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08" yWindow="-108" windowWidth="23256" windowHeight="12576"/>
  </bookViews>
  <sheets>
    <sheet name="2025" sheetId="11" r:id="rId1"/>
  </sheets>
  <definedNames>
    <definedName name="_xlnm._FilterDatabase" localSheetId="0" hidden="1">'2025'!$A$6:$J$201</definedName>
    <definedName name="_xlnm.Print_Titles" localSheetId="0">'2025'!$13:$15</definedName>
    <definedName name="_xlnm.Print_Area" localSheetId="0">'2025'!$A$1:$P$204</definedName>
  </definedNames>
  <calcPr calcId="152511"/>
</workbook>
</file>

<file path=xl/calcChain.xml><?xml version="1.0" encoding="utf-8"?>
<calcChain xmlns="http://schemas.openxmlformats.org/spreadsheetml/2006/main">
  <c r="M198" i="11" l="1"/>
  <c r="L198" i="11"/>
  <c r="J198" i="11"/>
  <c r="I198" i="11"/>
  <c r="K110" i="11"/>
  <c r="K111" i="11"/>
  <c r="N63" i="11" l="1"/>
  <c r="J159" i="11" l="1"/>
  <c r="I159" i="11"/>
  <c r="H159" i="11"/>
  <c r="M200" i="11" l="1"/>
  <c r="L200" i="11"/>
  <c r="N199" i="11"/>
  <c r="M199" i="11"/>
  <c r="L199" i="11"/>
  <c r="K198" i="11"/>
  <c r="M197" i="11"/>
  <c r="L197" i="11"/>
  <c r="N196" i="11"/>
  <c r="M196" i="11"/>
  <c r="L196" i="11"/>
  <c r="M195" i="11"/>
  <c r="L195" i="11"/>
  <c r="M194" i="11"/>
  <c r="L194" i="11"/>
  <c r="N193" i="11"/>
  <c r="M193" i="11"/>
  <c r="L193" i="11"/>
  <c r="N192" i="11"/>
  <c r="M192" i="11"/>
  <c r="N191" i="11"/>
  <c r="M191" i="11"/>
  <c r="L191" i="11"/>
  <c r="M190" i="11"/>
  <c r="M189" i="11"/>
  <c r="L189" i="11"/>
  <c r="M188" i="11"/>
  <c r="L187" i="11"/>
  <c r="M186" i="11"/>
  <c r="L186" i="11"/>
  <c r="M185" i="11"/>
  <c r="L185" i="11"/>
  <c r="N184" i="11"/>
  <c r="M184" i="11"/>
  <c r="K184" i="11" s="1"/>
  <c r="L183" i="11"/>
  <c r="M182" i="11"/>
  <c r="L182" i="11"/>
  <c r="M181" i="11"/>
  <c r="L181" i="11"/>
  <c r="M180" i="11"/>
  <c r="L180" i="11"/>
  <c r="N179" i="11"/>
  <c r="M179" i="11"/>
  <c r="L179" i="11"/>
  <c r="N178" i="11"/>
  <c r="M178" i="11"/>
  <c r="L178" i="11"/>
  <c r="N177" i="11"/>
  <c r="M177" i="11"/>
  <c r="L177" i="11"/>
  <c r="M176" i="11"/>
  <c r="L176" i="11"/>
  <c r="N175" i="11"/>
  <c r="M175" i="11"/>
  <c r="L175" i="11"/>
  <c r="L174" i="11"/>
  <c r="M173" i="11"/>
  <c r="L173" i="11"/>
  <c r="N172" i="11"/>
  <c r="M172" i="11"/>
  <c r="L172" i="11"/>
  <c r="M171" i="11"/>
  <c r="M170" i="11"/>
  <c r="L170" i="11"/>
  <c r="M169" i="11"/>
  <c r="N168" i="11"/>
  <c r="M168" i="11"/>
  <c r="M167" i="11"/>
  <c r="L167" i="11"/>
  <c r="M166" i="11"/>
  <c r="L166" i="11"/>
  <c r="L165" i="11"/>
  <c r="J200" i="11"/>
  <c r="I200" i="11"/>
  <c r="H200" i="11"/>
  <c r="J199" i="11"/>
  <c r="I199" i="11"/>
  <c r="H199" i="11"/>
  <c r="J197" i="11"/>
  <c r="I197" i="11"/>
  <c r="H197" i="11"/>
  <c r="J196" i="11"/>
  <c r="I196" i="11"/>
  <c r="H196" i="11"/>
  <c r="H195" i="11"/>
  <c r="J193" i="11"/>
  <c r="I193" i="11"/>
  <c r="H193" i="11"/>
  <c r="J192" i="11"/>
  <c r="I192" i="11"/>
  <c r="J191" i="11"/>
  <c r="I191" i="11"/>
  <c r="H187" i="11"/>
  <c r="J185" i="11"/>
  <c r="I185" i="11"/>
  <c r="H185" i="11"/>
  <c r="J184" i="11"/>
  <c r="I182" i="11"/>
  <c r="H182" i="11"/>
  <c r="H181" i="11"/>
  <c r="J179" i="11"/>
  <c r="I179" i="11"/>
  <c r="H179" i="11"/>
  <c r="J178" i="11"/>
  <c r="I178" i="11"/>
  <c r="J177" i="11"/>
  <c r="I177" i="11"/>
  <c r="J175" i="11"/>
  <c r="I175" i="11"/>
  <c r="H174" i="11"/>
  <c r="H173" i="11"/>
  <c r="J172" i="11"/>
  <c r="I172" i="11"/>
  <c r="J168" i="11"/>
  <c r="I168" i="11"/>
  <c r="J167" i="11"/>
  <c r="I167" i="11"/>
  <c r="H165" i="11"/>
  <c r="K186" i="11" l="1"/>
  <c r="N151" i="11"/>
  <c r="N127" i="11" l="1"/>
  <c r="N123" i="11"/>
  <c r="N20" i="11" l="1"/>
  <c r="N19" i="11"/>
  <c r="N61" i="11"/>
  <c r="N54" i="11"/>
  <c r="N52" i="11"/>
  <c r="N51" i="11"/>
  <c r="N48" i="11"/>
  <c r="N47" i="11"/>
  <c r="N43" i="11" l="1"/>
  <c r="N46" i="11"/>
  <c r="N42" i="11" l="1"/>
  <c r="N170" i="11" s="1"/>
  <c r="N163" i="11"/>
  <c r="N200" i="11" s="1"/>
  <c r="N162" i="11"/>
  <c r="N197" i="11" s="1"/>
  <c r="N160" i="11"/>
  <c r="N194" i="11" s="1"/>
  <c r="N159" i="11"/>
  <c r="L155" i="11" l="1"/>
  <c r="L188" i="11" s="1"/>
  <c r="L153" i="11"/>
  <c r="L192" i="11" s="1"/>
  <c r="L152" i="11"/>
  <c r="N147" i="11"/>
  <c r="N189" i="11" s="1"/>
  <c r="N146" i="11"/>
  <c r="N198" i="11" s="1"/>
  <c r="K144" i="11"/>
  <c r="N140" i="11"/>
  <c r="N137" i="11"/>
  <c r="N136" i="11"/>
  <c r="N135" i="11"/>
  <c r="N134" i="11"/>
  <c r="N133" i="11"/>
  <c r="N132" i="11"/>
  <c r="N128" i="11"/>
  <c r="L127" i="11"/>
  <c r="L171" i="11" s="1"/>
  <c r="N121" i="11"/>
  <c r="N122" i="11"/>
  <c r="N117" i="11"/>
  <c r="N116" i="11"/>
  <c r="N115" i="11"/>
  <c r="N113" i="11"/>
  <c r="N185" i="11" s="1"/>
  <c r="N112" i="11"/>
  <c r="N173" i="11" l="1"/>
  <c r="N171" i="11"/>
  <c r="N111" i="11"/>
  <c r="N166" i="11" s="1"/>
  <c r="N110" i="11"/>
  <c r="N109" i="11"/>
  <c r="N190" i="11" s="1"/>
  <c r="N108" i="11"/>
  <c r="N181" i="11" s="1"/>
  <c r="N69" i="11" l="1"/>
  <c r="N167" i="11" s="1"/>
  <c r="N94" i="11"/>
  <c r="N92" i="11"/>
  <c r="N176" i="11" s="1"/>
  <c r="N37" i="11" l="1"/>
  <c r="N188" i="11" s="1"/>
  <c r="N35" i="11"/>
  <c r="N180" i="11" s="1"/>
  <c r="N31" i="11" l="1"/>
  <c r="N30" i="11"/>
  <c r="N186" i="11" s="1"/>
  <c r="N28" i="11"/>
  <c r="N195" i="11" s="1"/>
  <c r="N27" i="11"/>
  <c r="L26" i="11"/>
  <c r="L190" i="11" s="1"/>
  <c r="L24" i="11"/>
  <c r="L168" i="11" s="1"/>
  <c r="L21" i="11" l="1"/>
  <c r="L169" i="11" s="1"/>
  <c r="N18" i="11"/>
  <c r="N169" i="11" s="1"/>
  <c r="K18" i="11"/>
  <c r="K152" i="11" l="1"/>
  <c r="K153" i="11"/>
  <c r="K192" i="11" s="1"/>
  <c r="K154" i="11"/>
  <c r="K193" i="11" s="1"/>
  <c r="K155" i="11"/>
  <c r="K156" i="11"/>
  <c r="K199" i="11" s="1"/>
  <c r="K157" i="11"/>
  <c r="K158" i="11"/>
  <c r="K159" i="11"/>
  <c r="K160" i="11"/>
  <c r="K194" i="11" s="1"/>
  <c r="K161" i="11"/>
  <c r="K196" i="11" s="1"/>
  <c r="K162" i="11"/>
  <c r="K197" i="11" s="1"/>
  <c r="K163" i="11"/>
  <c r="K200" i="11" s="1"/>
  <c r="K151" i="11"/>
  <c r="K145" i="11"/>
  <c r="K146" i="11"/>
  <c r="K147" i="11"/>
  <c r="K148" i="11"/>
  <c r="K143" i="11"/>
  <c r="K182" i="11" s="1"/>
  <c r="K133" i="11"/>
  <c r="K134" i="11"/>
  <c r="K135" i="11"/>
  <c r="K136" i="11"/>
  <c r="K137" i="11"/>
  <c r="K138" i="11"/>
  <c r="K139" i="11"/>
  <c r="K140" i="11"/>
  <c r="K132" i="11"/>
  <c r="K108" i="11"/>
  <c r="K109" i="11"/>
  <c r="K166" i="11"/>
  <c r="K112" i="11"/>
  <c r="K113" i="11"/>
  <c r="K185" i="11" s="1"/>
  <c r="K114" i="11"/>
  <c r="K115" i="11"/>
  <c r="K116" i="11"/>
  <c r="K117" i="11"/>
  <c r="K118" i="11"/>
  <c r="K119" i="11"/>
  <c r="K120" i="11"/>
  <c r="K121" i="11"/>
  <c r="K122" i="11"/>
  <c r="K123" i="11"/>
  <c r="K124" i="11"/>
  <c r="K125" i="11"/>
  <c r="K126" i="11"/>
  <c r="K127" i="11"/>
  <c r="K128" i="11"/>
  <c r="K129" i="11"/>
  <c r="K107" i="11"/>
  <c r="K183" i="11" s="1"/>
  <c r="K98" i="11"/>
  <c r="K99" i="11"/>
  <c r="K100" i="11"/>
  <c r="K101" i="11"/>
  <c r="K102" i="11"/>
  <c r="K103" i="11"/>
  <c r="K104" i="11"/>
  <c r="K97" i="11"/>
  <c r="K89" i="11"/>
  <c r="K90" i="11"/>
  <c r="K91" i="11"/>
  <c r="K92" i="11"/>
  <c r="K93" i="11"/>
  <c r="K94" i="11"/>
  <c r="K88" i="11"/>
  <c r="K84" i="11"/>
  <c r="K187" i="11" s="1"/>
  <c r="K85" i="11"/>
  <c r="K83" i="11"/>
  <c r="K67" i="11"/>
  <c r="K68" i="11"/>
  <c r="K69" i="11"/>
  <c r="K70" i="11"/>
  <c r="K71" i="11"/>
  <c r="K72" i="11"/>
  <c r="K73" i="11"/>
  <c r="K74" i="11"/>
  <c r="K75" i="11"/>
  <c r="K76" i="11"/>
  <c r="K77" i="11"/>
  <c r="K78" i="11"/>
  <c r="K79" i="11"/>
  <c r="K80" i="11"/>
  <c r="K66" i="11"/>
  <c r="K42" i="11"/>
  <c r="K43" i="11"/>
  <c r="K44" i="11"/>
  <c r="K174" i="11" s="1"/>
  <c r="K45" i="11"/>
  <c r="K179" i="11" s="1"/>
  <c r="K46" i="11"/>
  <c r="K47" i="11"/>
  <c r="K48" i="11"/>
  <c r="K49" i="11"/>
  <c r="K50" i="11"/>
  <c r="K51" i="11"/>
  <c r="K52" i="11"/>
  <c r="K53" i="11"/>
  <c r="K54" i="11"/>
  <c r="K55" i="11"/>
  <c r="K56" i="11"/>
  <c r="K57" i="11"/>
  <c r="K58" i="11"/>
  <c r="K175" i="11" s="1"/>
  <c r="K59" i="11"/>
  <c r="K165" i="11" s="1"/>
  <c r="K60" i="11"/>
  <c r="K61" i="11"/>
  <c r="K62" i="11"/>
  <c r="K63" i="11"/>
  <c r="K41" i="11"/>
  <c r="K19" i="11"/>
  <c r="K20" i="11"/>
  <c r="K21" i="11"/>
  <c r="K22" i="11"/>
  <c r="K191" i="11" s="1"/>
  <c r="K23" i="11"/>
  <c r="K24" i="11"/>
  <c r="K25" i="11"/>
  <c r="K167" i="11" s="1"/>
  <c r="K26" i="11"/>
  <c r="K190" i="11" s="1"/>
  <c r="K27" i="11"/>
  <c r="K28" i="11"/>
  <c r="K29" i="11"/>
  <c r="K30" i="11"/>
  <c r="K31" i="11"/>
  <c r="K32" i="11"/>
  <c r="K33" i="11"/>
  <c r="K34" i="11"/>
  <c r="K172" i="11" s="1"/>
  <c r="K35" i="11"/>
  <c r="K180" i="11" s="1"/>
  <c r="K36" i="11"/>
  <c r="K37" i="11"/>
  <c r="K38" i="11"/>
  <c r="N17" i="11"/>
  <c r="N16" i="11" s="1"/>
  <c r="M17" i="11"/>
  <c r="M16" i="11" s="1"/>
  <c r="L17" i="11"/>
  <c r="L16" i="11" s="1"/>
  <c r="K188" i="11" l="1"/>
  <c r="K195" i="11"/>
  <c r="K169" i="11"/>
  <c r="K181" i="11"/>
  <c r="K173" i="11"/>
  <c r="K178" i="11"/>
  <c r="K189" i="11"/>
  <c r="K171" i="11"/>
  <c r="K177" i="11"/>
  <c r="K176" i="11"/>
  <c r="K168" i="11"/>
  <c r="K170" i="11"/>
  <c r="K17" i="11"/>
  <c r="K16" i="11" s="1"/>
  <c r="N150" i="11"/>
  <c r="N149" i="11" s="1"/>
  <c r="M150" i="11"/>
  <c r="M149" i="11" s="1"/>
  <c r="L150" i="11"/>
  <c r="L149" i="11" s="1"/>
  <c r="K150" i="11"/>
  <c r="N142" i="11"/>
  <c r="N141" i="11" s="1"/>
  <c r="M142" i="11"/>
  <c r="M141" i="11" s="1"/>
  <c r="L142" i="11"/>
  <c r="L141" i="11" s="1"/>
  <c r="K142" i="11"/>
  <c r="N131" i="11"/>
  <c r="N130" i="11" s="1"/>
  <c r="M131" i="11"/>
  <c r="M130" i="11" s="1"/>
  <c r="L131" i="11"/>
  <c r="L130" i="11" s="1"/>
  <c r="K131" i="11"/>
  <c r="N106" i="11"/>
  <c r="N105" i="11" s="1"/>
  <c r="M106" i="11"/>
  <c r="M105" i="11" s="1"/>
  <c r="L106" i="11"/>
  <c r="L105" i="11" s="1"/>
  <c r="K106" i="11"/>
  <c r="N96" i="11"/>
  <c r="N95" i="11" s="1"/>
  <c r="M96" i="11"/>
  <c r="M95" i="11" s="1"/>
  <c r="L96" i="11"/>
  <c r="L95" i="11" s="1"/>
  <c r="K96" i="11"/>
  <c r="K95" i="11" s="1"/>
  <c r="N87" i="11"/>
  <c r="N86" i="11" s="1"/>
  <c r="M87" i="11"/>
  <c r="M86" i="11" s="1"/>
  <c r="L87" i="11"/>
  <c r="K87" i="11"/>
  <c r="N82" i="11"/>
  <c r="N81" i="11" s="1"/>
  <c r="M82" i="11"/>
  <c r="M81" i="11" s="1"/>
  <c r="L82" i="11"/>
  <c r="K82" i="11"/>
  <c r="K81" i="11" s="1"/>
  <c r="N65" i="11"/>
  <c r="M65" i="11"/>
  <c r="L65" i="11"/>
  <c r="K65" i="11"/>
  <c r="K64" i="11" s="1"/>
  <c r="N64" i="11"/>
  <c r="N40" i="11"/>
  <c r="N39" i="11" s="1"/>
  <c r="M40" i="11"/>
  <c r="M39" i="11" s="1"/>
  <c r="L40" i="11"/>
  <c r="L39" i="11" s="1"/>
  <c r="K40" i="11"/>
  <c r="N201" i="11"/>
  <c r="M64" i="11" l="1"/>
  <c r="K39" i="11"/>
  <c r="K130" i="11"/>
  <c r="N164" i="11"/>
  <c r="K105" i="11"/>
  <c r="L86" i="11"/>
  <c r="K86" i="11"/>
  <c r="L81" i="11"/>
  <c r="L64" i="11"/>
  <c r="L201" i="11" s="1"/>
  <c r="K149" i="11"/>
  <c r="K141" i="11"/>
  <c r="M201" i="11" l="1"/>
  <c r="K201" i="11" s="1"/>
  <c r="L164" i="11"/>
  <c r="M164" i="11"/>
  <c r="Q105" i="11"/>
  <c r="K164" i="11"/>
  <c r="J43" i="11"/>
  <c r="I43" i="11"/>
  <c r="J42" i="11"/>
  <c r="I42" i="11"/>
  <c r="J142" i="11" l="1"/>
  <c r="I142" i="11"/>
  <c r="H148" i="11"/>
  <c r="G146" i="11"/>
  <c r="O146" i="11" l="1"/>
  <c r="P146" i="11"/>
  <c r="H33" i="11"/>
  <c r="H19" i="11"/>
  <c r="H79" i="11" l="1"/>
  <c r="H78" i="11"/>
  <c r="H67" i="11" l="1"/>
  <c r="H66" i="11"/>
  <c r="H167" i="11" s="1"/>
  <c r="G122" i="11" l="1"/>
  <c r="I121" i="11"/>
  <c r="J121" i="11"/>
  <c r="H153" i="11"/>
  <c r="H192" i="11" s="1"/>
  <c r="H138" i="11"/>
  <c r="J137" i="11"/>
  <c r="I137" i="11"/>
  <c r="H127" i="11"/>
  <c r="H126" i="11"/>
  <c r="I124" i="11"/>
  <c r="J120" i="11"/>
  <c r="I120" i="11"/>
  <c r="H120" i="11"/>
  <c r="J116" i="11"/>
  <c r="I116" i="11"/>
  <c r="J115" i="11"/>
  <c r="I115" i="11"/>
  <c r="H115" i="11"/>
  <c r="J111" i="11"/>
  <c r="J166" i="11" s="1"/>
  <c r="I111" i="11"/>
  <c r="I166" i="11" s="1"/>
  <c r="H111" i="11"/>
  <c r="H166" i="11" s="1"/>
  <c r="J109" i="11"/>
  <c r="I109" i="11"/>
  <c r="H85" i="11"/>
  <c r="H77" i="11"/>
  <c r="H75" i="11"/>
  <c r="H74" i="11"/>
  <c r="H72" i="11"/>
  <c r="J63" i="11"/>
  <c r="I63" i="11"/>
  <c r="H63" i="11"/>
  <c r="H62" i="11"/>
  <c r="J61" i="11"/>
  <c r="I61" i="11"/>
  <c r="H60" i="11"/>
  <c r="J54" i="11"/>
  <c r="I54" i="11"/>
  <c r="H49" i="11"/>
  <c r="J48" i="11"/>
  <c r="I48" i="11"/>
  <c r="J46" i="11"/>
  <c r="I46" i="11"/>
  <c r="H46" i="11"/>
  <c r="I38" i="11"/>
  <c r="H34" i="11"/>
  <c r="H172" i="11" s="1"/>
  <c r="J30" i="11"/>
  <c r="J186" i="11" s="1"/>
  <c r="I30" i="11"/>
  <c r="I186" i="11" s="1"/>
  <c r="H30" i="11"/>
  <c r="H21" i="11"/>
  <c r="H20" i="11"/>
  <c r="P122" i="11" l="1"/>
  <c r="O122" i="11"/>
  <c r="H131" i="11"/>
  <c r="G139" i="11"/>
  <c r="O139" i="11" l="1"/>
  <c r="P139" i="11"/>
  <c r="H35" i="11"/>
  <c r="H180" i="11" s="1"/>
  <c r="H36" i="11"/>
  <c r="I125" i="11" l="1"/>
  <c r="J20" i="11" l="1"/>
  <c r="I20" i="11"/>
  <c r="J19" i="11" l="1"/>
  <c r="I19" i="11"/>
  <c r="H144" i="11"/>
  <c r="J135" i="11"/>
  <c r="J190" i="11" s="1"/>
  <c r="I135" i="11"/>
  <c r="I190" i="11" s="1"/>
  <c r="J132" i="11"/>
  <c r="I132" i="11"/>
  <c r="H198" i="11" l="1"/>
  <c r="G198" i="11" s="1"/>
  <c r="J123" i="11"/>
  <c r="J189" i="11" s="1"/>
  <c r="I123" i="11"/>
  <c r="I189" i="11" s="1"/>
  <c r="H110" i="11"/>
  <c r="H93" i="11"/>
  <c r="G48" i="11"/>
  <c r="O48" i="11" l="1"/>
  <c r="P48" i="11"/>
  <c r="H37" i="11"/>
  <c r="J29" i="11"/>
  <c r="I29" i="11"/>
  <c r="H26" i="11"/>
  <c r="J18" i="11" l="1"/>
  <c r="I18" i="11"/>
  <c r="H18" i="11" l="1"/>
  <c r="H169" i="11" s="1"/>
  <c r="H151" i="11" l="1"/>
  <c r="J112" i="11" l="1"/>
  <c r="I112" i="11"/>
  <c r="I129" i="11" l="1"/>
  <c r="I184" i="11" s="1"/>
  <c r="G184" i="11" s="1"/>
  <c r="G125" i="11"/>
  <c r="J108" i="11"/>
  <c r="I108" i="11"/>
  <c r="H103" i="11"/>
  <c r="H101" i="11"/>
  <c r="H99" i="11"/>
  <c r="H58" i="11"/>
  <c r="G57" i="11"/>
  <c r="I56" i="11"/>
  <c r="J35" i="11"/>
  <c r="J180" i="11" s="1"/>
  <c r="I35" i="11"/>
  <c r="I180" i="11" s="1"/>
  <c r="H22" i="11"/>
  <c r="H191" i="11" s="1"/>
  <c r="P125" i="11" l="1"/>
  <c r="O125" i="11"/>
  <c r="O57" i="11"/>
  <c r="P57" i="11"/>
  <c r="G56" i="11"/>
  <c r="G53" i="11"/>
  <c r="G55" i="11"/>
  <c r="O56" i="11" l="1"/>
  <c r="P56" i="11"/>
  <c r="O53" i="11"/>
  <c r="P53" i="11"/>
  <c r="P55" i="11"/>
  <c r="O55" i="11"/>
  <c r="H90" i="11"/>
  <c r="G52" i="11" l="1"/>
  <c r="G163" i="11"/>
  <c r="G200" i="11" s="1"/>
  <c r="H155" i="11"/>
  <c r="H188" i="11" s="1"/>
  <c r="H147" i="11"/>
  <c r="H189" i="11" s="1"/>
  <c r="J127" i="11"/>
  <c r="I127" i="11"/>
  <c r="H118" i="11"/>
  <c r="H171" i="11" s="1"/>
  <c r="J117" i="11"/>
  <c r="J181" i="11" s="1"/>
  <c r="I117" i="11"/>
  <c r="I181" i="11" s="1"/>
  <c r="H114" i="11"/>
  <c r="I96" i="11"/>
  <c r="I95" i="11" s="1"/>
  <c r="J96" i="11"/>
  <c r="J95" i="11" s="1"/>
  <c r="G104" i="11"/>
  <c r="J51" i="11"/>
  <c r="I51" i="11"/>
  <c r="J47" i="11"/>
  <c r="J170" i="11" s="1"/>
  <c r="I47" i="11"/>
  <c r="H71" i="11"/>
  <c r="I170" i="11" l="1"/>
  <c r="P163" i="11"/>
  <c r="O163" i="11"/>
  <c r="O104" i="11"/>
  <c r="P104" i="11"/>
  <c r="O52" i="11"/>
  <c r="P52" i="11"/>
  <c r="G157" i="11"/>
  <c r="O157" i="11" l="1"/>
  <c r="P157" i="11"/>
  <c r="P200" i="11"/>
  <c r="O200" i="11"/>
  <c r="J140" i="11"/>
  <c r="I140" i="11"/>
  <c r="G129" i="11"/>
  <c r="G110" i="11"/>
  <c r="O184" i="11" l="1"/>
  <c r="P184" i="11"/>
  <c r="P110" i="11"/>
  <c r="O110" i="11"/>
  <c r="O129" i="11"/>
  <c r="P129" i="11"/>
  <c r="H98" i="11"/>
  <c r="H88" i="11"/>
  <c r="I32" i="11" l="1"/>
  <c r="H24" i="11"/>
  <c r="G102" i="11" l="1"/>
  <c r="P102" i="11" l="1"/>
  <c r="O102" i="11"/>
  <c r="G156" i="11"/>
  <c r="G199" i="11" s="1"/>
  <c r="O156" i="11" l="1"/>
  <c r="P156" i="11"/>
  <c r="H50" i="11"/>
  <c r="H170" i="11" s="1"/>
  <c r="P199" i="11" l="1"/>
  <c r="O199" i="11"/>
  <c r="J134" i="11"/>
  <c r="J173" i="11" s="1"/>
  <c r="I134" i="11"/>
  <c r="I173" i="11" s="1"/>
  <c r="J133" i="11"/>
  <c r="J171" i="11" s="1"/>
  <c r="I133" i="11"/>
  <c r="I171" i="11" s="1"/>
  <c r="H73" i="11"/>
  <c r="H175" i="11" s="1"/>
  <c r="G32" i="11"/>
  <c r="P32" i="11" l="1"/>
  <c r="O32" i="11"/>
  <c r="H109" i="11"/>
  <c r="H190" i="11" s="1"/>
  <c r="J92" i="11"/>
  <c r="I92" i="11"/>
  <c r="I87" i="11" l="1"/>
  <c r="I176" i="11"/>
  <c r="J87" i="11"/>
  <c r="J176" i="11"/>
  <c r="G27" i="11"/>
  <c r="G23" i="11"/>
  <c r="P23" i="11" l="1"/>
  <c r="O23" i="11"/>
  <c r="O27" i="11"/>
  <c r="P27" i="11"/>
  <c r="H107" i="11"/>
  <c r="H183" i="11" s="1"/>
  <c r="G25" i="11" l="1"/>
  <c r="O25" i="11" l="1"/>
  <c r="P25" i="11"/>
  <c r="J160" i="11"/>
  <c r="I160" i="11"/>
  <c r="H160" i="11"/>
  <c r="H194" i="11" s="1"/>
  <c r="G121" i="11"/>
  <c r="G117" i="11"/>
  <c r="H100" i="11"/>
  <c r="H178" i="11" s="1"/>
  <c r="H94" i="11"/>
  <c r="H80" i="11"/>
  <c r="G54" i="11"/>
  <c r="J28" i="11"/>
  <c r="J195" i="11" s="1"/>
  <c r="I28" i="11"/>
  <c r="I195" i="11" s="1"/>
  <c r="I150" i="11" l="1"/>
  <c r="I194" i="11"/>
  <c r="J150" i="11"/>
  <c r="J194" i="11"/>
  <c r="P54" i="11"/>
  <c r="O54" i="11"/>
  <c r="P117" i="11"/>
  <c r="O117" i="11"/>
  <c r="O121" i="11"/>
  <c r="P121" i="11"/>
  <c r="H70" i="11"/>
  <c r="G155" i="11" l="1"/>
  <c r="G100" i="11"/>
  <c r="P100" i="11" l="1"/>
  <c r="O100" i="11"/>
  <c r="P155" i="11"/>
  <c r="O155" i="11"/>
  <c r="H106" i="11"/>
  <c r="G26" i="11"/>
  <c r="G144" i="11"/>
  <c r="G28" i="11"/>
  <c r="G195" i="11" s="1"/>
  <c r="G29" i="11"/>
  <c r="P26" i="11" l="1"/>
  <c r="O26" i="11"/>
  <c r="O144" i="11"/>
  <c r="P144" i="11"/>
  <c r="O29" i="11"/>
  <c r="P29" i="11"/>
  <c r="O28" i="11"/>
  <c r="P28" i="11"/>
  <c r="P198" i="11"/>
  <c r="O198" i="11"/>
  <c r="P195" i="11" l="1"/>
  <c r="O195" i="11"/>
  <c r="G69" i="11"/>
  <c r="P69" i="11" l="1"/>
  <c r="O69" i="11"/>
  <c r="I65" i="11"/>
  <c r="J65" i="11"/>
  <c r="G161" i="11"/>
  <c r="G196" i="11" s="1"/>
  <c r="G162" i="11"/>
  <c r="G197" i="11" s="1"/>
  <c r="G158" i="11"/>
  <c r="H145" i="11"/>
  <c r="H186" i="11" s="1"/>
  <c r="G186" i="11" s="1"/>
  <c r="G134" i="11"/>
  <c r="J128" i="11"/>
  <c r="J106" i="11" s="1"/>
  <c r="I128" i="11"/>
  <c r="G116" i="11"/>
  <c r="H97" i="11"/>
  <c r="H91" i="11"/>
  <c r="H176" i="11" s="1"/>
  <c r="G61" i="11"/>
  <c r="G49" i="11"/>
  <c r="G50" i="11"/>
  <c r="G47" i="11"/>
  <c r="J37" i="11"/>
  <c r="J188" i="11" s="1"/>
  <c r="I37" i="11"/>
  <c r="I188" i="11" s="1"/>
  <c r="H96" i="11" l="1"/>
  <c r="H177" i="11"/>
  <c r="O158" i="11"/>
  <c r="P158" i="11"/>
  <c r="O161" i="11"/>
  <c r="P161" i="11"/>
  <c r="P134" i="11"/>
  <c r="O134" i="11"/>
  <c r="O116" i="11"/>
  <c r="P116" i="11"/>
  <c r="P162" i="11"/>
  <c r="O162" i="11"/>
  <c r="O50" i="11"/>
  <c r="P50" i="11"/>
  <c r="O49" i="11"/>
  <c r="P49" i="11"/>
  <c r="O61" i="11"/>
  <c r="P61" i="11"/>
  <c r="O47" i="11"/>
  <c r="P47" i="11"/>
  <c r="G128" i="11"/>
  <c r="I106" i="11"/>
  <c r="H87" i="11"/>
  <c r="H40" i="11"/>
  <c r="O128" i="11" l="1"/>
  <c r="P128" i="11"/>
  <c r="P196" i="11"/>
  <c r="O196" i="11"/>
  <c r="P197" i="11"/>
  <c r="O197" i="11"/>
  <c r="H65" i="11"/>
  <c r="G112" i="11"/>
  <c r="O112" i="11" l="1"/>
  <c r="P112" i="11"/>
  <c r="H152" i="11"/>
  <c r="H150" i="11" s="1"/>
  <c r="H130" i="11"/>
  <c r="G140" i="11"/>
  <c r="G137" i="11"/>
  <c r="G173" i="11" s="1"/>
  <c r="G136" i="11"/>
  <c r="G133" i="11"/>
  <c r="P140" i="11" l="1"/>
  <c r="O140" i="11"/>
  <c r="O133" i="11"/>
  <c r="P133" i="11"/>
  <c r="O137" i="11"/>
  <c r="P137" i="11"/>
  <c r="O136" i="11"/>
  <c r="P136" i="11"/>
  <c r="J131" i="11"/>
  <c r="J130" i="11" s="1"/>
  <c r="G135" i="11"/>
  <c r="I131" i="11"/>
  <c r="I130" i="11" s="1"/>
  <c r="G132" i="11"/>
  <c r="G124" i="11"/>
  <c r="G123" i="11"/>
  <c r="G118" i="11"/>
  <c r="G113" i="11"/>
  <c r="G185" i="11" s="1"/>
  <c r="G108" i="11"/>
  <c r="G109" i="11"/>
  <c r="G51" i="11"/>
  <c r="G42" i="11"/>
  <c r="G37" i="11"/>
  <c r="J31" i="11"/>
  <c r="J169" i="11" s="1"/>
  <c r="I31" i="11"/>
  <c r="I169" i="11" s="1"/>
  <c r="G159" i="11"/>
  <c r="G160" i="11"/>
  <c r="G194" i="11" s="1"/>
  <c r="G181" i="11" l="1"/>
  <c r="P118" i="11"/>
  <c r="O118" i="11"/>
  <c r="O132" i="11"/>
  <c r="P132" i="11"/>
  <c r="P173" i="11"/>
  <c r="O173" i="11"/>
  <c r="P108" i="11"/>
  <c r="O108" i="11"/>
  <c r="O123" i="11"/>
  <c r="P123" i="11"/>
  <c r="P42" i="11"/>
  <c r="O42" i="11"/>
  <c r="P135" i="11"/>
  <c r="O135" i="11"/>
  <c r="P124" i="11"/>
  <c r="O124" i="11"/>
  <c r="O51" i="11"/>
  <c r="P51" i="11"/>
  <c r="O113" i="11"/>
  <c r="P113" i="11"/>
  <c r="O37" i="11"/>
  <c r="P37" i="11"/>
  <c r="P160" i="11"/>
  <c r="O160" i="11"/>
  <c r="O159" i="11"/>
  <c r="P159" i="11"/>
  <c r="P109" i="11"/>
  <c r="O109" i="11"/>
  <c r="J17" i="11"/>
  <c r="I17" i="11"/>
  <c r="P194" i="11" l="1"/>
  <c r="O194" i="11"/>
  <c r="P181" i="11"/>
  <c r="O181" i="11"/>
  <c r="O185" i="11"/>
  <c r="P185" i="11"/>
  <c r="G31" i="11"/>
  <c r="P31" i="11" l="1"/>
  <c r="O31" i="11"/>
  <c r="G73" i="11"/>
  <c r="P73" i="11" l="1"/>
  <c r="O73" i="11"/>
  <c r="P186" i="11"/>
  <c r="O186" i="11"/>
  <c r="G36" i="11"/>
  <c r="P36" i="11" l="1"/>
  <c r="O36" i="11"/>
  <c r="G63" i="11"/>
  <c r="P63" i="11" l="1"/>
  <c r="O63" i="11"/>
  <c r="H17" i="11" l="1"/>
  <c r="G22" i="11"/>
  <c r="G191" i="11" s="1"/>
  <c r="G33" i="11"/>
  <c r="P33" i="11" l="1"/>
  <c r="O33" i="11"/>
  <c r="O22" i="11"/>
  <c r="P22" i="11"/>
  <c r="G80" i="11"/>
  <c r="G62" i="11"/>
  <c r="G30" i="11"/>
  <c r="H83" i="11"/>
  <c r="G85" i="11"/>
  <c r="G84" i="11"/>
  <c r="G187" i="11" s="1"/>
  <c r="G94" i="11"/>
  <c r="G93" i="11"/>
  <c r="H82" i="11" l="1"/>
  <c r="H168" i="11"/>
  <c r="O84" i="11"/>
  <c r="P84" i="11"/>
  <c r="O80" i="11"/>
  <c r="P80" i="11"/>
  <c r="O94" i="11"/>
  <c r="P94" i="11"/>
  <c r="O85" i="11"/>
  <c r="P85" i="11"/>
  <c r="P191" i="11"/>
  <c r="O191" i="11"/>
  <c r="P62" i="11"/>
  <c r="O62" i="11"/>
  <c r="O93" i="11"/>
  <c r="P93" i="11"/>
  <c r="O30" i="11"/>
  <c r="P30" i="11"/>
  <c r="G103" i="11"/>
  <c r="G151" i="11"/>
  <c r="G138" i="11"/>
  <c r="H142" i="11"/>
  <c r="G145" i="11"/>
  <c r="G143" i="11"/>
  <c r="G182" i="11" s="1"/>
  <c r="O143" i="11" l="1"/>
  <c r="P143" i="11"/>
  <c r="G131" i="11"/>
  <c r="O138" i="11"/>
  <c r="P138" i="11"/>
  <c r="O103" i="11"/>
  <c r="P103" i="11"/>
  <c r="O145" i="11"/>
  <c r="P145" i="11"/>
  <c r="O151" i="11"/>
  <c r="P151" i="11"/>
  <c r="O187" i="11"/>
  <c r="P187" i="11"/>
  <c r="G130" i="11"/>
  <c r="P182" i="11" l="1"/>
  <c r="O182" i="11"/>
  <c r="P130" i="11"/>
  <c r="O130" i="11"/>
  <c r="P131" i="11"/>
  <c r="O131" i="11"/>
  <c r="G120" i="11"/>
  <c r="G107" i="11"/>
  <c r="G183" i="11" s="1"/>
  <c r="O107" i="11" l="1"/>
  <c r="P107" i="11"/>
  <c r="O120" i="11"/>
  <c r="P120" i="11"/>
  <c r="G78" i="11"/>
  <c r="P183" i="11" l="1"/>
  <c r="O183" i="11"/>
  <c r="P78" i="11"/>
  <c r="O78" i="11"/>
  <c r="G88" i="11" l="1"/>
  <c r="P88" i="11" l="1"/>
  <c r="O88" i="11"/>
  <c r="G90" i="11"/>
  <c r="G91" i="11"/>
  <c r="G92" i="11"/>
  <c r="G176" i="11" l="1"/>
  <c r="O92" i="11"/>
  <c r="P92" i="11"/>
  <c r="P91" i="11"/>
  <c r="O91" i="11"/>
  <c r="O90" i="11"/>
  <c r="P90" i="11"/>
  <c r="I82" i="11"/>
  <c r="J82" i="11"/>
  <c r="O176" i="11" l="1"/>
  <c r="P176" i="11"/>
  <c r="I40" i="11"/>
  <c r="J40" i="11"/>
  <c r="G46" i="11"/>
  <c r="P46" i="11" l="1"/>
  <c r="O46" i="11"/>
  <c r="G152" i="11"/>
  <c r="O152" i="11" l="1"/>
  <c r="P152" i="11"/>
  <c r="H81" i="11"/>
  <c r="I81" i="11"/>
  <c r="J81" i="11"/>
  <c r="G83" i="11"/>
  <c r="G82" i="11" l="1"/>
  <c r="O83" i="11"/>
  <c r="P83" i="11"/>
  <c r="G81" i="11"/>
  <c r="P81" i="11" l="1"/>
  <c r="O81" i="11"/>
  <c r="O82" i="11"/>
  <c r="P82" i="11"/>
  <c r="G154" i="11"/>
  <c r="G193" i="11" s="1"/>
  <c r="G153" i="11"/>
  <c r="G192" i="11" s="1"/>
  <c r="G148" i="11"/>
  <c r="G188" i="11" s="1"/>
  <c r="J141" i="11"/>
  <c r="G126" i="11"/>
  <c r="G119" i="11"/>
  <c r="G114" i="11"/>
  <c r="G101" i="11"/>
  <c r="G99" i="11"/>
  <c r="G98" i="11"/>
  <c r="G178" i="11" s="1"/>
  <c r="G97" i="11"/>
  <c r="G89" i="11"/>
  <c r="J86" i="11"/>
  <c r="G79" i="11"/>
  <c r="G77" i="11"/>
  <c r="G76" i="11"/>
  <c r="G75" i="11"/>
  <c r="G72" i="11"/>
  <c r="G70" i="11"/>
  <c r="G71" i="11"/>
  <c r="G177" i="11" s="1"/>
  <c r="G68" i="11"/>
  <c r="G66" i="11"/>
  <c r="G67" i="11"/>
  <c r="J64" i="11"/>
  <c r="G59" i="11"/>
  <c r="G165" i="11" s="1"/>
  <c r="G58" i="11"/>
  <c r="G45" i="11"/>
  <c r="G179" i="11" s="1"/>
  <c r="G44" i="11"/>
  <c r="G174" i="11" s="1"/>
  <c r="G41" i="11"/>
  <c r="J39" i="11"/>
  <c r="G38" i="11"/>
  <c r="G24" i="11"/>
  <c r="G21" i="11"/>
  <c r="G20" i="11"/>
  <c r="G175" i="11" l="1"/>
  <c r="G167" i="11"/>
  <c r="O21" i="11"/>
  <c r="P21" i="11"/>
  <c r="P154" i="11"/>
  <c r="O154" i="11"/>
  <c r="P72" i="11"/>
  <c r="O72" i="11"/>
  <c r="P24" i="11"/>
  <c r="O24" i="11"/>
  <c r="P101" i="11"/>
  <c r="O101" i="11"/>
  <c r="P99" i="11"/>
  <c r="O99" i="11"/>
  <c r="O67" i="11"/>
  <c r="P67" i="11"/>
  <c r="P77" i="11"/>
  <c r="O77" i="11"/>
  <c r="O114" i="11"/>
  <c r="P114" i="11"/>
  <c r="P59" i="11"/>
  <c r="O59" i="11"/>
  <c r="I201" i="11"/>
  <c r="P58" i="11"/>
  <c r="O58" i="11"/>
  <c r="O75" i="11"/>
  <c r="P75" i="11"/>
  <c r="O66" i="11"/>
  <c r="P66" i="11"/>
  <c r="O68" i="11"/>
  <c r="P68" i="11"/>
  <c r="P126" i="11"/>
  <c r="O126" i="11"/>
  <c r="O98" i="11"/>
  <c r="P98" i="11"/>
  <c r="O76" i="11"/>
  <c r="P76" i="11"/>
  <c r="O79" i="11"/>
  <c r="P79" i="11"/>
  <c r="O41" i="11"/>
  <c r="P41" i="11"/>
  <c r="O44" i="11"/>
  <c r="P44" i="11"/>
  <c r="P71" i="11"/>
  <c r="O71" i="11"/>
  <c r="G87" i="11"/>
  <c r="P89" i="11"/>
  <c r="O89" i="11"/>
  <c r="G150" i="11"/>
  <c r="O153" i="11"/>
  <c r="P153" i="11"/>
  <c r="O38" i="11"/>
  <c r="P38" i="11"/>
  <c r="O119" i="11"/>
  <c r="P119" i="11"/>
  <c r="P20" i="11"/>
  <c r="O20" i="11"/>
  <c r="P45" i="11"/>
  <c r="O45" i="11"/>
  <c r="O70" i="11"/>
  <c r="P70" i="11"/>
  <c r="O97" i="11"/>
  <c r="P97" i="11"/>
  <c r="P148" i="11"/>
  <c r="O148" i="11"/>
  <c r="J201" i="11"/>
  <c r="H201" i="11"/>
  <c r="G96" i="11"/>
  <c r="J16" i="11"/>
  <c r="G111" i="11"/>
  <c r="G166" i="11" s="1"/>
  <c r="J105" i="11"/>
  <c r="G34" i="11"/>
  <c r="G172" i="11" s="1"/>
  <c r="H16" i="11"/>
  <c r="I149" i="11"/>
  <c r="G74" i="11"/>
  <c r="J149" i="11"/>
  <c r="G147" i="11"/>
  <c r="G189" i="11" s="1"/>
  <c r="I64" i="11"/>
  <c r="G86" i="11"/>
  <c r="H105" i="11"/>
  <c r="G43" i="11"/>
  <c r="G170" i="11" s="1"/>
  <c r="G60" i="11"/>
  <c r="G168" i="11" s="1"/>
  <c r="I86" i="11"/>
  <c r="I39" i="11"/>
  <c r="G35" i="11"/>
  <c r="G180" i="11" s="1"/>
  <c r="G127" i="11"/>
  <c r="G171" i="11" s="1"/>
  <c r="I141" i="11"/>
  <c r="H64" i="11"/>
  <c r="H39" i="11"/>
  <c r="H141" i="11"/>
  <c r="H86" i="11"/>
  <c r="G18" i="11"/>
  <c r="H95" i="11"/>
  <c r="G95" i="11" l="1"/>
  <c r="O96" i="11"/>
  <c r="P96" i="11"/>
  <c r="P87" i="11"/>
  <c r="O87" i="11"/>
  <c r="O178" i="11"/>
  <c r="P178" i="11"/>
  <c r="P35" i="11"/>
  <c r="O35" i="11"/>
  <c r="O192" i="11"/>
  <c r="P192" i="11"/>
  <c r="P165" i="11"/>
  <c r="O165" i="11"/>
  <c r="O86" i="11"/>
  <c r="P86" i="11"/>
  <c r="G65" i="11"/>
  <c r="G64" i="11" s="1"/>
  <c r="O74" i="11"/>
  <c r="P74" i="11"/>
  <c r="P175" i="11"/>
  <c r="O175" i="11"/>
  <c r="O179" i="11"/>
  <c r="P179" i="11"/>
  <c r="O193" i="11"/>
  <c r="P193" i="11"/>
  <c r="P34" i="11"/>
  <c r="O34" i="11"/>
  <c r="O127" i="11"/>
  <c r="P127" i="11"/>
  <c r="P147" i="11"/>
  <c r="O147" i="11"/>
  <c r="O60" i="11"/>
  <c r="P60" i="11"/>
  <c r="O177" i="11"/>
  <c r="P177" i="11"/>
  <c r="O188" i="11"/>
  <c r="P188" i="11"/>
  <c r="O150" i="11"/>
  <c r="P150" i="11"/>
  <c r="P174" i="11"/>
  <c r="O174" i="11"/>
  <c r="P111" i="11"/>
  <c r="O111" i="11"/>
  <c r="O18" i="11"/>
  <c r="P18" i="11"/>
  <c r="O170" i="11"/>
  <c r="O43" i="11"/>
  <c r="P43" i="11"/>
  <c r="O167" i="11"/>
  <c r="P167" i="11"/>
  <c r="G201" i="11"/>
  <c r="G40" i="11"/>
  <c r="G142" i="11"/>
  <c r="J164" i="11"/>
  <c r="J202" i="11" s="1"/>
  <c r="I16" i="11"/>
  <c r="G19" i="11"/>
  <c r="G169" i="11" s="1"/>
  <c r="G115" i="11"/>
  <c r="G190" i="11" s="1"/>
  <c r="I105" i="11"/>
  <c r="O180" i="11" l="1"/>
  <c r="P180" i="11"/>
  <c r="P166" i="11"/>
  <c r="O166" i="11"/>
  <c r="O171" i="11"/>
  <c r="P171" i="11"/>
  <c r="P170" i="11"/>
  <c r="O115" i="11"/>
  <c r="P115" i="11"/>
  <c r="O19" i="11"/>
  <c r="P19" i="11"/>
  <c r="O64" i="11"/>
  <c r="P64" i="11"/>
  <c r="G141" i="11"/>
  <c r="P142" i="11"/>
  <c r="O142" i="11"/>
  <c r="P172" i="11"/>
  <c r="O172" i="11"/>
  <c r="P168" i="11"/>
  <c r="O168" i="11"/>
  <c r="P189" i="11"/>
  <c r="O189" i="11"/>
  <c r="O65" i="11"/>
  <c r="P65" i="11"/>
  <c r="O95" i="11"/>
  <c r="P95" i="11"/>
  <c r="G39" i="11"/>
  <c r="O40" i="11"/>
  <c r="P40" i="11"/>
  <c r="I164" i="11"/>
  <c r="I202" i="11" s="1"/>
  <c r="P201" i="11"/>
  <c r="O201" i="11"/>
  <c r="G106" i="11"/>
  <c r="G17" i="11"/>
  <c r="P169" i="11" l="1"/>
  <c r="O169" i="11"/>
  <c r="O190" i="11"/>
  <c r="P190" i="11"/>
  <c r="O141" i="11"/>
  <c r="P141" i="11"/>
  <c r="G16" i="11"/>
  <c r="O17" i="11"/>
  <c r="P17" i="11"/>
  <c r="P39" i="11"/>
  <c r="O39" i="11"/>
  <c r="G105" i="11"/>
  <c r="P106" i="11"/>
  <c r="O106" i="11"/>
  <c r="H149" i="11"/>
  <c r="H164" i="11" s="1"/>
  <c r="H202" i="11" s="1"/>
  <c r="G149" i="11"/>
  <c r="G164" i="11" l="1"/>
  <c r="O149" i="11"/>
  <c r="P149" i="11"/>
  <c r="P16" i="11"/>
  <c r="O16" i="11"/>
  <c r="G202" i="11"/>
  <c r="P164" i="11"/>
  <c r="O164" i="11"/>
  <c r="P105" i="11"/>
  <c r="O105" i="11"/>
</calcChain>
</file>

<file path=xl/sharedStrings.xml><?xml version="1.0" encoding="utf-8"?>
<sst xmlns="http://schemas.openxmlformats.org/spreadsheetml/2006/main" count="854" uniqueCount="395">
  <si>
    <t>Усього</t>
  </si>
  <si>
    <t>Загальний фонд</t>
  </si>
  <si>
    <t>Спеціальний фонд</t>
  </si>
  <si>
    <t>усього</t>
  </si>
  <si>
    <t>у тому числі бюджет розвитку</t>
  </si>
  <si>
    <t>0600000</t>
  </si>
  <si>
    <t>0610000</t>
  </si>
  <si>
    <t>0611010</t>
  </si>
  <si>
    <t>Надання дошкільної освіти</t>
  </si>
  <si>
    <t>Код Функціональної класифікації видатків та кредитування бюджету</t>
  </si>
  <si>
    <t>0200000</t>
  </si>
  <si>
    <t>0210000</t>
  </si>
  <si>
    <t>1200000</t>
  </si>
  <si>
    <t>1210000</t>
  </si>
  <si>
    <t xml:space="preserve">Інші заходи у сфері соціального захисту і соціального забезпечення </t>
  </si>
  <si>
    <t>0910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</si>
  <si>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</si>
  <si>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0800000</t>
  </si>
  <si>
    <t>0810000</t>
  </si>
  <si>
    <t>1216030</t>
  </si>
  <si>
    <t>0620</t>
  </si>
  <si>
    <t>0490</t>
  </si>
  <si>
    <t>1100000</t>
  </si>
  <si>
    <t>1110000</t>
  </si>
  <si>
    <t>0613242</t>
  </si>
  <si>
    <t>0813121</t>
  </si>
  <si>
    <t>3140</t>
  </si>
  <si>
    <t>1040</t>
  </si>
  <si>
    <t>Міська програма соціального захисту ветеранів педагогічної праці</t>
  </si>
  <si>
    <t>1010</t>
  </si>
  <si>
    <t>Організація благоустрою  населених пунктів</t>
  </si>
  <si>
    <t>1216017</t>
  </si>
  <si>
    <t>0456</t>
  </si>
  <si>
    <t>Утримання та розвиток автомобільних доріг та дорожньої інфраструктури за рахунок коштів місцевого бюджету</t>
  </si>
  <si>
    <t>7693</t>
  </si>
  <si>
    <t>1115061</t>
  </si>
  <si>
    <t>5061</t>
  </si>
  <si>
    <t>0810</t>
  </si>
  <si>
    <t>3100000</t>
  </si>
  <si>
    <t>3110000</t>
  </si>
  <si>
    <t>3117693</t>
  </si>
  <si>
    <t>1113133</t>
  </si>
  <si>
    <t>3133</t>
  </si>
  <si>
    <t>Інші заходи та заклади молодіжної політики</t>
  </si>
  <si>
    <t>0921</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</si>
  <si>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</si>
  <si>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</si>
  <si>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Найменування міської програми</t>
  </si>
  <si>
    <t>Найменування головного розпорядника коштів міського бюджету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</si>
  <si>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Дата і номер документа, яким затверджено міську програму</t>
  </si>
  <si>
    <t>Інші заходи, пов'язані в економічною діяльністю</t>
  </si>
  <si>
    <t>3121</t>
  </si>
  <si>
    <t>6030</t>
  </si>
  <si>
    <t>6017</t>
  </si>
  <si>
    <t>Інша діяльність, пов'язана з експлуатацією об'єктів житлово - комунального господарства</t>
  </si>
  <si>
    <t>7461</t>
  </si>
  <si>
    <t>Надання загальної середньої освіти закладами загальної середньої освіти</t>
  </si>
  <si>
    <t>0611021</t>
  </si>
  <si>
    <t>1021</t>
  </si>
  <si>
    <t xml:space="preserve">Утримання та забезпечення діяльності центрів соціальних служб </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</si>
  <si>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</si>
  <si>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0212010</t>
  </si>
  <si>
    <t>2010</t>
  </si>
  <si>
    <t>0731</t>
  </si>
  <si>
    <t>Багатопрофільна стаціонарна медична допомога населенню</t>
  </si>
  <si>
    <t>0212100</t>
  </si>
  <si>
    <t>2100</t>
  </si>
  <si>
    <t>0722</t>
  </si>
  <si>
    <t>Стоматологічна допомога населенню</t>
  </si>
  <si>
    <t>0212152</t>
  </si>
  <si>
    <t>2152</t>
  </si>
  <si>
    <t>0763</t>
  </si>
  <si>
    <t>Інші програми та заходи у сфері охорони здоров’я</t>
  </si>
  <si>
    <t>3112</t>
  </si>
  <si>
    <t>Заходи державної політики з питань дітей та їх соціального захисту</t>
  </si>
  <si>
    <t>Міська цільова програма соціального  захисту та надання соціальних послуг населенню Чорноморської міської територіальної громади на 2021-2025 роки</t>
  </si>
  <si>
    <t>0213242</t>
  </si>
  <si>
    <t>3242</t>
  </si>
  <si>
    <t>1090</t>
  </si>
  <si>
    <t>Інші заходи у сфері соціального захисту і соціального забезпечення</t>
  </si>
  <si>
    <t>0218230</t>
  </si>
  <si>
    <t>8230</t>
  </si>
  <si>
    <t>0380</t>
  </si>
  <si>
    <t>Інші заходи громадського порядку та безпеки</t>
  </si>
  <si>
    <t>0218340</t>
  </si>
  <si>
    <t>8340</t>
  </si>
  <si>
    <t>0540</t>
  </si>
  <si>
    <t>Природоохоронні заходи за рахунок цільових фондів</t>
  </si>
  <si>
    <t>0813031</t>
  </si>
  <si>
    <t>3031</t>
  </si>
  <si>
    <t>1030</t>
  </si>
  <si>
    <t>Надання інших пільг окремим категоріям громадян відповідно до законодавства</t>
  </si>
  <si>
    <t>Міська програма підтримки населення Чорноморської міської територіальної громади, які підпадають під дію Закону України "Про статус ветеранів війни, гарантії їх соціального захисту" на 2021 – 2025 роки</t>
  </si>
  <si>
    <t xml:space="preserve"> 24.12.2020р.
№ 15-VIII </t>
  </si>
  <si>
    <t>0813032</t>
  </si>
  <si>
    <t>3032</t>
  </si>
  <si>
    <t>Надання пільг окремим категоріям громадян з оплати послуг зв'язку</t>
  </si>
  <si>
    <t>0813160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</si>
  <si>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</si>
  <si>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</si>
  <si>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0813180</t>
  </si>
  <si>
    <t>3180</t>
  </si>
  <si>
    <t>1060</t>
  </si>
  <si>
    <t xml:space="preserve">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 </t>
  </si>
  <si>
    <t>0813192</t>
  </si>
  <si>
    <t>3192</t>
  </si>
  <si>
    <t>Надання фінансової підтримки громадським об'єднанням ветеранів і осіб з інвалідністю, діяльність яких має соціальну спрямованість</t>
  </si>
  <si>
    <t>0813242</t>
  </si>
  <si>
    <t>0813123</t>
  </si>
  <si>
    <t>3123</t>
  </si>
  <si>
    <t>Заходи державної політики з питань сім'ї</t>
  </si>
  <si>
    <t>1115011</t>
  </si>
  <si>
    <t>5011</t>
  </si>
  <si>
    <t>Проведення навчально-тренувальних зборів і змагань з олімпійських видів спорту</t>
  </si>
  <si>
    <t>5012</t>
  </si>
  <si>
    <t>1115012</t>
  </si>
  <si>
    <t>Проведення навчально-тренувальних зборів і змагань з неолімпійських видів спорту</t>
  </si>
  <si>
    <t>1216015</t>
  </si>
  <si>
    <t>6015</t>
  </si>
  <si>
    <t>Забезпечення надійної та безперебійної експлуатації ліфтів</t>
  </si>
  <si>
    <t>Міська цільова програма розвитку освіти міста Чорноморська на 2021-2025 роки</t>
  </si>
  <si>
    <t>0611022</t>
  </si>
  <si>
    <t>1022</t>
  </si>
  <si>
    <t>0922</t>
  </si>
  <si>
    <t>Надання загальної середньої освіти спеціальними закладами загальної середньої освіти для дітей, які потребують корекції фізичного та/або розумового розвитку</t>
  </si>
  <si>
    <t>1070</t>
  </si>
  <si>
    <t>1000000</t>
  </si>
  <si>
    <t>1010000</t>
  </si>
  <si>
    <t>0180</t>
  </si>
  <si>
    <t>1014030</t>
  </si>
  <si>
    <t>4030</t>
  </si>
  <si>
    <t>0824</t>
  </si>
  <si>
    <t>Забезпечення діяльності бібліотек</t>
  </si>
  <si>
    <t>1014040</t>
  </si>
  <si>
    <t>4040</t>
  </si>
  <si>
    <t>Забезпечення діяльності музеїв і виставок</t>
  </si>
  <si>
    <t>1014060</t>
  </si>
  <si>
    <t>4060</t>
  </si>
  <si>
    <t>0828</t>
  </si>
  <si>
    <t>Забезпечення діяльності палаців і будинків культури, клубів, центрів дозвілля та інших клубних закладів</t>
  </si>
  <si>
    <t>1014082</t>
  </si>
  <si>
    <t>4082</t>
  </si>
  <si>
    <t>0829</t>
  </si>
  <si>
    <t>Інші заходи в галузі культури і мистецтва</t>
  </si>
  <si>
    <t>Виконавчий комітет Чорноморської міської ради  Одеського району Одеської області</t>
  </si>
  <si>
    <t>Управління соціальної політики Чорноморської міської ради Одеського району Одеської області</t>
  </si>
  <si>
    <t>Відділ культури Чорноморської міської ради Одеського району Одеської області</t>
  </si>
  <si>
    <t>Міська цільова програма розвитку культури та мистецтва Чорноморської  міської  територіальної громади на  2022 – 2025 роки</t>
  </si>
  <si>
    <t>Відділ комунального господарства та благоустрою Чорноморської міської ради  Одеського району Одеської області</t>
  </si>
  <si>
    <t>Управління комунальної  власності  та земельних відносин Чорноморської міської ради Одеського району Одеської області</t>
  </si>
  <si>
    <t>0212111</t>
  </si>
  <si>
    <t>0726</t>
  </si>
  <si>
    <t>Первинна медична допомога населенню, що надається центрами первинної медичної (медико-санітарної) допомоги</t>
  </si>
  <si>
    <t xml:space="preserve">Міська цільова соціальна програма розвитку цивільного захисту Чорноморської міської територіальної громади на 2021-2025 роки </t>
  </si>
  <si>
    <t>Відділ молоді та спорту Чорноморської міської ради Одеського району Одеської області</t>
  </si>
  <si>
    <t>8240</t>
  </si>
  <si>
    <t>Заходи та роботи з територіальної оборони</t>
  </si>
  <si>
    <t>Міська цільова програма підтримки молодих педагогічних кадрів Чорноморської міської територіальної громади на 2022 - 2025 роки</t>
  </si>
  <si>
    <t>04.02.2022р.
№ 172-VIII</t>
  </si>
  <si>
    <t>04.02.2022р. 
№ 172-VIII</t>
  </si>
  <si>
    <t>Міська цільова програма розвитку фізичної культури і спорту на території Чорноморської міської територіальної громади на 2022-2025 роки</t>
  </si>
  <si>
    <t>Міська цільова соціальна програма розвитку цивільного захисту Чорноморської міської територіальної громади на 2021-2025 роки</t>
  </si>
  <si>
    <t>0320</t>
  </si>
  <si>
    <t>Заходи із запобігання та ліквідації надзвичайних ситуацій та наслідків стихійного лиха</t>
  </si>
  <si>
    <t>0813230</t>
  </si>
  <si>
    <t>3230</t>
  </si>
  <si>
    <t>Видатки, пов'язані з наданням підтримки внутрішньо переміщеним та/або евакуйованим особам у зв'язку із введенням воєнного стану</t>
  </si>
  <si>
    <t xml:space="preserve">Міська цільова програма "Молодь Чорноморська" на 2022-2025 роки </t>
  </si>
  <si>
    <t>Міська цільова програма відпочинку та оздоровлення дітей на 2022-2025 роки</t>
  </si>
  <si>
    <t>Міська цільова програма "Молодь Чорноморська" на 2022-2025 роки</t>
  </si>
  <si>
    <t>24.12.2020р.
№ 17-VIII 
(зі змінами)</t>
  </si>
  <si>
    <t>24.12.2020р.
№ 16-VIII 
(зі змінами)</t>
  </si>
  <si>
    <t>24.12.2020р.
№ 16-VIII  
(зі змінами)</t>
  </si>
  <si>
    <t>30.03.2021р. 
№ 27-VIII 
(зі змінами)</t>
  </si>
  <si>
    <t xml:space="preserve"> 30.03.2021р.
№ 25-VIII 
(зі змінами)</t>
  </si>
  <si>
    <t xml:space="preserve"> 24.12.2020р. 
№ 16-VIII 
(зі змінами)</t>
  </si>
  <si>
    <t>09.01.2006р. 
№ 511-IV 
(зі змінами)</t>
  </si>
  <si>
    <t xml:space="preserve"> 24.12.2020р.
№ 16-VIII 
(зі змінами)</t>
  </si>
  <si>
    <t>24.12.2020р.
№ 15-VIII 
(зі змінами)</t>
  </si>
  <si>
    <t>09.01.2006р. 
№ 511-IV
(зі змінами)</t>
  </si>
  <si>
    <t xml:space="preserve"> 24.12.2020р.
№ 15-VIII 
(зі змінами)</t>
  </si>
  <si>
    <t>0613140</t>
  </si>
  <si>
    <t>Міська комплексна програма відпочинку та оздоровлення дітей на 2022-2025 роки</t>
  </si>
  <si>
    <t>12.07.2022р.
№222 
(зі змінами)</t>
  </si>
  <si>
    <t>Міська цільова програма розвитку і функціонування української мови як державної на території Чорноморської міської територіальної громади на 2022-2025 роки</t>
  </si>
  <si>
    <t>1217693</t>
  </si>
  <si>
    <t>04.02.2022р. 
№ 182-VIII
(зі змінами)</t>
  </si>
  <si>
    <t>Міська цільова програма з функціонування інтегрованої системи відеоспостереження та відеоаналітики Чорноморської міської територальної громади на 2023 - 2025 роки</t>
  </si>
  <si>
    <t>3118240</t>
  </si>
  <si>
    <t>Фінансове управління Чорноморської міської ради Одеського району Одеської області</t>
  </si>
  <si>
    <t>3710000</t>
  </si>
  <si>
    <t>3700000</t>
  </si>
  <si>
    <t>Інші субвенції з місцевого бюджету</t>
  </si>
  <si>
    <t>0218220</t>
  </si>
  <si>
    <t>Заходи та роботи з мобілізаційної підготовки місцевого значення</t>
  </si>
  <si>
    <t>Міська програма підтримки Першого відділу Одеського районного територіального центру комплектування та соціальної підтримки, проведення мобілізаційної підготовки військовозобов’язаних м. Чорноморська та забезпечення заходів, пов’язаних із виконанням військового обов’язку, призовом громадян України на строкову військову службу до лав Збройних Сил України та інших військових формувань на 2021-2025 роки</t>
  </si>
  <si>
    <t>30.03.2021р. 
№ 31-VIII 
(зі змінами)</t>
  </si>
  <si>
    <t>04.02.2022р. 
№ 180-VIIІ
(зі змінами)</t>
  </si>
  <si>
    <t>04.02.2022р. 
№ 181-VIII
(зі змінами)</t>
  </si>
  <si>
    <t>20.12.2022р. 
№ 279-VIII 
(зі змінами)</t>
  </si>
  <si>
    <t>Управління освіти Чорноморської міської ради  Одеського району Одеської області</t>
  </si>
  <si>
    <t>12.09.2019р. 
№ 485-VII
(зі змінами)</t>
  </si>
  <si>
    <t xml:space="preserve">Міська цільова програма проведення технічної інвентаризації та виготовлення технічних паспортів багатоквартирних житлових будинків, які розташовані на території Чорноморської міської ради    Одеського району Одеської області  та знаходяться в управлінні комунального підприємства «Міське управління житлово - комунального господарства», на 2023 – 2025 роки. </t>
  </si>
  <si>
    <t>Програма модернізації ліфтового господарства Чорноморської міської ради Одеського району Одеської області на 2019 - 2025 роки</t>
  </si>
  <si>
    <t>1013140</t>
  </si>
  <si>
    <t>від 19.05.2023р.
№ 368-VIII</t>
  </si>
  <si>
    <t>04.02.2022р. 
№ 175-VIII 
(зі змінами)</t>
  </si>
  <si>
    <t>0900000</t>
  </si>
  <si>
    <t/>
  </si>
  <si>
    <t>Служба у справах дітей Чорноморської мiської ради Одеського району Одеської областi</t>
  </si>
  <si>
    <t>0910000</t>
  </si>
  <si>
    <t>0913112</t>
  </si>
  <si>
    <t>Начальник фінансового управління</t>
  </si>
  <si>
    <t>Ольга ЯКОВЕНКО</t>
  </si>
  <si>
    <t>Міська програма охорони довкілля, раціонального використання природних ресурсів та забезпечення  екологічної безпеки на  території Чорноморської міської територіальної громади Одеського району Одеської  області на 2024-2026 роки</t>
  </si>
  <si>
    <t>1011080</t>
  </si>
  <si>
    <t>1080</t>
  </si>
  <si>
    <t>0960</t>
  </si>
  <si>
    <t>Надання спеціалізованої освіти мистецькими школами</t>
  </si>
  <si>
    <t>Міська програма "Здоров’я населення Чорноморської  міської територіальної громади на 2021 - 2025 роки"</t>
  </si>
  <si>
    <t>УСЬОГО за розпорядниками</t>
  </si>
  <si>
    <t>УСЬОГО ЗА ПРОГРАМАМИ</t>
  </si>
  <si>
    <t>Міська цільова програма підтримки здобуття професійної (професійно-технічної), фахової передвищої освіти на умовах регіонального замовлення у відповідних закладах освіти, що розташовані та діють на території Чорноморської міської  територіальної громади, на 2025 рік</t>
  </si>
  <si>
    <t>Міська цільова програма фінансової підтримки діяльності  Одеської районної ради Одеської області на 2025 рік</t>
  </si>
  <si>
    <t>3210</t>
  </si>
  <si>
    <t>1050</t>
  </si>
  <si>
    <t>Організація та проведення громадських робіт</t>
  </si>
  <si>
    <t xml:space="preserve">Міська цільова програма зайнятості населення Чорноморської міської територіальної громади на 2024 - 2025 роки </t>
  </si>
  <si>
    <t>22.12.2023р. 
№ 517-VIII</t>
  </si>
  <si>
    <t>7520</t>
  </si>
  <si>
    <t>0460</t>
  </si>
  <si>
    <t>08.08.2024р.
 №649-VIII</t>
  </si>
  <si>
    <t>1213210</t>
  </si>
  <si>
    <t>1217520</t>
  </si>
  <si>
    <t>Міська цільова програма фінансової підтримки комунальних підприємств Чорноморської міської ради Одеського району Одеської області на 2025 рік.</t>
  </si>
  <si>
    <t>3116090</t>
  </si>
  <si>
    <t>0640</t>
  </si>
  <si>
    <t>Інша діяльність у сфері житлово-комунального господарства</t>
  </si>
  <si>
    <t>1500000</t>
  </si>
  <si>
    <t>Управлiння капiтального будiвництва Чорноморської мiської ради Одеського району Одеської областi</t>
  </si>
  <si>
    <t>1510000</t>
  </si>
  <si>
    <t>Міська цільова програма фінансової підтримки діяльності Одеської районної ради Одеської області на 2025 рік</t>
  </si>
  <si>
    <t>1117520</t>
  </si>
  <si>
    <t>1017520</t>
  </si>
  <si>
    <t>0917520</t>
  </si>
  <si>
    <t>Міська цільова програма надання поворотної фінансової допомоги (резервних коштів) патронатному вихователю нп території Чорноморської міської територіальної громади на 2025-2027 роки</t>
  </si>
  <si>
    <t>0217520</t>
  </si>
  <si>
    <t>0617520</t>
  </si>
  <si>
    <t>0817520</t>
  </si>
  <si>
    <t>0218110</t>
  </si>
  <si>
    <t>8110</t>
  </si>
  <si>
    <t>0216030</t>
  </si>
  <si>
    <t>0618110</t>
  </si>
  <si>
    <t>Міська цільова програма надання поворотної фінансової допомоги (резервних коштів) патронатному вихователю на території Чорноморської міської територіальної громади на 2025-2027 роки</t>
  </si>
  <si>
    <t>0813140</t>
  </si>
  <si>
    <t>Міська цільова програми підтримки сил безпеки та оборони України, а також  посилення  заходів громадської безпеки в умовах воєнного стану на території Чорноморської міської територіальної громади  на 2025 рік</t>
  </si>
  <si>
    <t xml:space="preserve">Про затвердження Міської цільової програми забезпечення жителів Чорноморської міської територіальної громади засобами для ендопротезування суглобів на 2025 рік </t>
  </si>
  <si>
    <t xml:space="preserve">Міська цільова програма забезпечення жителів Чорноморської міської територіальної громади засобами для ендопротезування суглобів на 2025 рік </t>
  </si>
  <si>
    <t>Міська цільова програма розвитку житлово-комунального господарства Чорноморської міської територіальної громади на 2025-2027 роки</t>
  </si>
  <si>
    <t>Міська цільова програми підтримки Сил безпеки та оборони України, а також  посилення  заходів громадської безпеки в умовах воєнного стану на території Чорноморської міської територіальної громади  на 2025 рік</t>
  </si>
  <si>
    <t xml:space="preserve">Міська цільова програма інформатизації Чорноморської міської ради Одеської області на 2024-2026 роки </t>
  </si>
  <si>
    <t>Реалізація Національної програми інформатизації</t>
  </si>
  <si>
    <t>19.05.2023р.
№ 368-VIII</t>
  </si>
  <si>
    <t>0217640</t>
  </si>
  <si>
    <t>7640</t>
  </si>
  <si>
    <t>0470</t>
  </si>
  <si>
    <t>Заходи з енергозбереження</t>
  </si>
  <si>
    <t xml:space="preserve">23.12.2024р.  
№ 735-VIII </t>
  </si>
  <si>
    <t>23.12.2024р.
№ 746-VIII</t>
  </si>
  <si>
    <t>23.12.2024р.
№ 749-VIII</t>
  </si>
  <si>
    <t>23.12.2024р.
№ 750-VIII</t>
  </si>
  <si>
    <t>Міська цільова програма протидії злочинності на території Чорноморської міської територіальної громади на 2025 рік</t>
  </si>
  <si>
    <t>Міська цільова програма підтримки Сил оборони і безпеки України, а також посилення  заходів громадської безпеки в умовах воєнного стану на території Чорноморської міської  територіальної громади на 2025 рік</t>
  </si>
  <si>
    <t>Субвенція з місцевого бюджету державному бюджету на виконання програм соціально-економічного розвитку регіонів</t>
  </si>
  <si>
    <t>0218240</t>
  </si>
  <si>
    <t>0611183</t>
  </si>
  <si>
    <t>1183</t>
  </si>
  <si>
    <t>0990</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</si>
  <si>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</si>
  <si>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1216011</t>
  </si>
  <si>
    <t>0610</t>
  </si>
  <si>
    <t>Експлуатація та технічне обслуговування житлового фонду</t>
  </si>
  <si>
    <t>Міська цільова програма сприяння діяльності об'єднань співвласників багатоквартирних будинків, житлово-будівельних кооперативів у багатоквартирних будинках на території Чорноморської міської територіальної громади на 2023 - 2025 роки</t>
  </si>
  <si>
    <t>Міська цільова програма часткової компенсації вартості закупівлі альтернативних джерел енергії для забезпечення потреб мешканців багатоквартирних житлових будинків на території Чорноморської міської територіальної громади на 2024 - 2025 роки</t>
  </si>
  <si>
    <t>08.08.2024р. 
№ 647-VIII</t>
  </si>
  <si>
    <t>6093</t>
  </si>
  <si>
    <t>Реалізація проектів (заходів) з відновлення об'єктів житлово-комунального господарства, пошкоджених/знищених внаслідок збройної агресії, за рахунок коштів місцевих бюджетів</t>
  </si>
  <si>
    <t>7670</t>
  </si>
  <si>
    <t>Внески до статутного капіталу суб'єктів господарювання</t>
  </si>
  <si>
    <t>1216093</t>
  </si>
  <si>
    <t>1217461</t>
  </si>
  <si>
    <t>1217670</t>
  </si>
  <si>
    <t>7691</t>
  </si>
  <si>
    <t>1217691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</si>
  <si>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</si>
  <si>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1300</t>
  </si>
  <si>
    <t>Будівництво освітніх установ та закладів</t>
  </si>
  <si>
    <t>2171</t>
  </si>
  <si>
    <t>Реалізація проектів (заходів) з відновлення закладів охорони здоров'я, пошкоджених/знищених внаслідок збройної агресії, за рахунок коштів місцевих бюджетів</t>
  </si>
  <si>
    <t>6091</t>
  </si>
  <si>
    <t>Будівництво об'єктів житлово-комунального господарства</t>
  </si>
  <si>
    <t>7368</t>
  </si>
  <si>
    <t>Виконання інвестиційних проектів за рахунок субвенцій з інших бюджетів</t>
  </si>
  <si>
    <t>7370</t>
  </si>
  <si>
    <t>Реалізація інших заходів щодо соціально-економічного розвитку територій</t>
  </si>
  <si>
    <t>Міська програма співфінансування заходів, направлених на доведення багаквартирних житлових будинків 13-го мікрорайону м.Чорноморська до стану, придатного для проживання, на 2021-2025 роки</t>
  </si>
  <si>
    <t>12.04.2021р. 
№ 55-VIII 
(зі змінами)</t>
  </si>
  <si>
    <t>1518110</t>
  </si>
  <si>
    <t>1218240</t>
  </si>
  <si>
    <t>23.12.2024р.
№ 741-VIII
(зі змінами)</t>
  </si>
  <si>
    <t>08.08.2024р.
 №649-VIII
(зі змінами)</t>
  </si>
  <si>
    <t>23.12.2024р.
№ 737-VIII
(зі змінами)</t>
  </si>
  <si>
    <t>12.04.2024р.
 №562-VIII
(зі змінами)</t>
  </si>
  <si>
    <t>31.01.2023р. 
№ 295-VIII
(зі змінами)</t>
  </si>
  <si>
    <t>23.12.2024р.
№ 740-VIII
(зі змінами)</t>
  </si>
  <si>
    <t>28.01.2025р.
№ 772-VIII</t>
  </si>
  <si>
    <t>0611070</t>
  </si>
  <si>
    <t>Надання позашкільної освіти закладами позашкільної освіти, заходи із позашкільної роботи з дітьми</t>
  </si>
  <si>
    <t>0611151</t>
  </si>
  <si>
    <t>1151</t>
  </si>
  <si>
    <t>Забезпечення діяльності інклюзивно-ресурсних центрів за рахунок коштів місцевого бюджету</t>
  </si>
  <si>
    <t>0611160</t>
  </si>
  <si>
    <t>1160</t>
  </si>
  <si>
    <t>Забезпечення діяльності центрів професійного розвитку педагогічних працівників</t>
  </si>
  <si>
    <t>0615031</t>
  </si>
  <si>
    <t>5031</t>
  </si>
  <si>
    <t>Розвиток здібностей у дітей та молоді з фізичної культури та спорту комунальними дитячо-юнацькими спортивними школами</t>
  </si>
  <si>
    <t>Міська цільова програма підтримки Територіального управління Державного бюро розслідувань, розташованого у місті Миколаєві, на 2025 рік</t>
  </si>
  <si>
    <t>Міська цільова програма "Поліцейський офіцер громади" Чорноморської міської територіальної громади на 2025 рік</t>
  </si>
  <si>
    <t>Міська цільова програма розроблення містобудівної документації населених пунктів Чорноморської міської  територіальної громади на 2025-2027 роки</t>
  </si>
  <si>
    <t>28.02.2025р.
№ 792-VIII</t>
  </si>
  <si>
    <t>28.02.2025р.
№ 793-VIII</t>
  </si>
  <si>
    <t>28.02.2025р.
№ 798-VIII</t>
  </si>
  <si>
    <t>0217350</t>
  </si>
  <si>
    <t>7350</t>
  </si>
  <si>
    <t>0443</t>
  </si>
  <si>
    <t>Розроблення схем планування та забудови територій (містобудівної документації)</t>
  </si>
  <si>
    <t>0217351</t>
  </si>
  <si>
    <t>7351</t>
  </si>
  <si>
    <t>Розроблення комплексних планів просторового розвитку територій територіальних громад</t>
  </si>
  <si>
    <t>Міська цільова програма розвитку земельних відносин Чорноморської міської територіальної громади Одеського району Одеської області на 2025-2027 роки</t>
  </si>
  <si>
    <t>3117130</t>
  </si>
  <si>
    <t>7130</t>
  </si>
  <si>
    <t>0421</t>
  </si>
  <si>
    <t>Здійснення заходів із землеустрою</t>
  </si>
  <si>
    <t>Виконання окремих заходів з реалізації соціального проекту "Активні парки - локації здорової України"</t>
  </si>
  <si>
    <t>11.04.2025р.
№ 818-VIII</t>
  </si>
  <si>
    <t>0611310</t>
  </si>
  <si>
    <t>1310</t>
  </si>
  <si>
    <t>Реалізація проектів (заходів) з відновлення освітніх установ та закладів, пошкоджених/знищених внаслідок збройної агресії, за рахунок коштів місцевих бюджетів</t>
  </si>
  <si>
    <t>1217640</t>
  </si>
  <si>
    <t>0212170</t>
  </si>
  <si>
    <t>2170</t>
  </si>
  <si>
    <t>Будівництво закладів охорони здоров'я</t>
  </si>
  <si>
    <t>0217330</t>
  </si>
  <si>
    <t>7330</t>
  </si>
  <si>
    <t>Будівництво інших об'єктів комунальної власності</t>
  </si>
  <si>
    <t>0217691</t>
  </si>
  <si>
    <t>03.07.2025р.</t>
  </si>
  <si>
    <t xml:space="preserve">Міська цільова програма співпраці виконавчих органів Чорноморської міської ради Одеського району Одеської області та ГУ ДПС в Одеській області з питань забезпечення контролю за дотриманням зобов'язань щодо платежів підприємств, установ, організацій, суб’єктів господарювання, фізичних осіб до бюджету Чорноморської  міської територіальної громади на 2025 рік </t>
  </si>
  <si>
    <t>Підтримка спорту вищих досягнень та організацій, які здійснюють фізкультурно-спортивну діяльність в регіоні</t>
  </si>
  <si>
    <t>1115062</t>
  </si>
  <si>
    <t>5062</t>
  </si>
  <si>
    <t>Забезпечення діяльності водопровідно-каналізаційного господарства</t>
  </si>
  <si>
    <t>1218340</t>
  </si>
  <si>
    <t>1117691</t>
  </si>
  <si>
    <t>Міська цільова програма підтримки Регіонального сервісного  центру  ГСЦ МВС  в  Одеській, Миколаївській  та  Херсонській  областях  у сфері  надання адміністративних  послуг на 2024-2025 рок</t>
  </si>
  <si>
    <t>03.07.2025р.
№ 898-VIII</t>
  </si>
  <si>
    <t>23.12.2024р.
№ 743-VIII</t>
  </si>
  <si>
    <t>0611184</t>
  </si>
  <si>
    <t>1184</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</si>
  <si>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</si>
  <si>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0611403</t>
  </si>
  <si>
    <t>1403</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</si>
  <si>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</si>
  <si>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0611279</t>
  </si>
  <si>
    <t>1279</t>
  </si>
  <si>
    <t>Реалізація заходів за рахунок освітньої субвенції з державного бюджету місцевим бюджетам (за спеціальним фондом державного бюджету) на забезпечення харчуванням учнів закладів загальної середньої освіти</t>
  </si>
  <si>
    <t>0611700</t>
  </si>
  <si>
    <t>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t>
  </si>
  <si>
    <t>0611702</t>
  </si>
  <si>
    <t xml:space="preserve">Забезпечення харчуванням учнів закладів загальної середньої освіти за рахунок субвенції з державного бюджету місцевим бюджетам </t>
  </si>
  <si>
    <t>Забезпечення діяльності інших закладів у сфері освіти</t>
  </si>
  <si>
    <t>0611141</t>
  </si>
  <si>
    <t>1141</t>
  </si>
  <si>
    <t>1517691</t>
  </si>
  <si>
    <t>Проведення експертної грошової оцінки земельної ділянки чи права на неї</t>
  </si>
  <si>
    <t>% виконання</t>
  </si>
  <si>
    <t>відхилення, грн</t>
  </si>
  <si>
    <t>Додаток 7</t>
  </si>
  <si>
    <t>до рішення Чорноморської міської ради</t>
  </si>
  <si>
    <t>від _________02.2026 № ________  - VIIІ</t>
  </si>
  <si>
    <t>Затверджено на звітний період з урахуванням змін, грн</t>
  </si>
  <si>
    <t>Виконано за звітний період, грн</t>
  </si>
  <si>
    <t>ЗВІТ
про  виконання  Міських  програм за  2025  рік</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</si>
</sst>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charset val="204"/>
      <scheme val="minor"/>
    </font>
    <font>
      <sz val="10"/>
      <color theme="1"/>
      <name val="Calibri"/>
      <family val="2"/>
      <charset val="204"/>
      <scheme val="minor"/>
    </font>
    <font>
      <sz val="12"/>
      <color theme="1"/>
      <name val="Times New Roman"/>
      <family val="1"/>
      <charset val="204"/>
    </font>
    <font>
      <b/>
      <sz val="12"/>
      <color theme="1"/>
      <name val="Times New Roman"/>
      <family val="1"/>
      <charset val="204"/>
    </font>
    <font>
      <sz val="12"/>
      <name val="Times New Roman"/>
      <family val="1"/>
      <charset val="204"/>
    </font>
    <font>
      <b/>
      <sz val="12"/>
      <name val="Times New Roman"/>
      <family val="1"/>
      <charset val="204"/>
    </font>
    <font>
      <sz val="10"/>
      <color theme="1"/>
      <name val="Times New Roman"/>
      <family val="1"/>
      <charset val="204"/>
    </font>
    <font>
      <sz val="11"/>
      <color indexed="8"/>
      <name val="Calibri"/>
      <family val="2"/>
      <charset val="204"/>
    </font>
    <font>
      <sz val="10"/>
      <name val="Times New Roman"/>
      <family val="1"/>
      <charset val="204"/>
    </font>
    <font>
      <sz val="10"/>
      <name val="Arial Cyr"/>
      <charset val="204"/>
    </font>
    <font>
      <sz val="12"/>
      <color indexed="8"/>
      <name val="Times New Roman"/>
      <family val="1"/>
      <charset val="204"/>
    </font>
    <font>
      <b/>
      <sz val="14"/>
      <color theme="1"/>
      <name val="Times New Roman"/>
      <family val="1"/>
      <charset val="204"/>
    </font>
    <font>
      <sz val="11"/>
      <name val="Calibri"/>
      <family val="2"/>
      <charset val="204"/>
      <scheme val="minor"/>
    </font>
    <font>
      <sz val="11"/>
      <color theme="1"/>
      <name val="Calibri"/>
      <family val="2"/>
      <charset val="204"/>
      <scheme val="minor"/>
    </font>
    <font>
      <sz val="11"/>
      <color theme="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8">
    <xf numFmtId="0" fontId="0" fillId="0" borderId="0"/>
    <xf numFmtId="0" fontId="7" fillId="0" borderId="0"/>
    <xf numFmtId="0" fontId="8" fillId="0" borderId="0"/>
    <xf numFmtId="0" fontId="1" fillId="0" borderId="0"/>
    <xf numFmtId="0" fontId="8" fillId="0" borderId="0"/>
    <xf numFmtId="0" fontId="8" fillId="0" borderId="0"/>
    <xf numFmtId="0" fontId="9" fillId="0" borderId="0"/>
    <xf numFmtId="0" fontId="13" fillId="0" borderId="0"/>
  </cellStyleXfs>
  <cellXfs count="94">
    <xf numFmtId="0" fontId="0" fillId="0" borderId="0" xfId="0"/>
    <xf numFmtId="0" fontId="0" fillId="2" borderId="0" xfId="0" applyFill="1" applyAlignment="1">
      <alignment horizontal="center" vertical="center"/>
    </xf>
    <xf numFmtId="0" fontId="0" fillId="2" borderId="0" xfId="0" applyFill="1"/>
    <xf numFmtId="0" fontId="0" fillId="2" borderId="0" xfId="0" applyFill="1" applyAlignment="1">
      <alignment horizontal="center"/>
    </xf>
    <xf numFmtId="0" fontId="0" fillId="2" borderId="0" xfId="0" applyFill="1" applyAlignment="1">
      <alignment horizontal="left"/>
    </xf>
    <xf numFmtId="0" fontId="2" fillId="2" borderId="0" xfId="0" applyFont="1" applyFill="1" applyAlignment="1">
      <alignment vertical="center" wrapText="1"/>
    </xf>
    <xf numFmtId="49" fontId="4" fillId="2" borderId="1" xfId="0" applyNumberFormat="1" applyFont="1" applyFill="1" applyBorder="1" applyAlignment="1">
      <alignment horizontal="center" vertical="center"/>
    </xf>
    <xf numFmtId="0" fontId="4" fillId="2" borderId="1" xfId="0" applyFont="1" applyFill="1" applyBorder="1" applyAlignment="1">
      <alignment vertical="center" wrapText="1"/>
    </xf>
    <xf numFmtId="0" fontId="2" fillId="2" borderId="1" xfId="0" applyFont="1" applyFill="1" applyBorder="1" applyAlignment="1">
      <alignment horizontal="center" vertical="center" wrapText="1"/>
    </xf>
    <xf numFmtId="0" fontId="2" fillId="2" borderId="0" xfId="0" applyFont="1" applyFill="1"/>
    <xf numFmtId="0" fontId="2" fillId="2" borderId="1" xfId="0" quotePrefix="1" applyFont="1" applyFill="1" applyBorder="1" applyAlignment="1">
      <alignment vertical="center" wrapText="1"/>
    </xf>
    <xf numFmtId="49" fontId="2" fillId="2" borderId="1" xfId="5"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2" fillId="2" borderId="3" xfId="0" applyFont="1" applyFill="1" applyBorder="1" applyAlignment="1">
      <alignment horizontal="center" vertical="center" wrapText="1"/>
    </xf>
    <xf numFmtId="49" fontId="5" fillId="2" borderId="1" xfId="0" applyNumberFormat="1" applyFont="1" applyFill="1" applyBorder="1" applyAlignment="1">
      <alignment horizontal="center" vertical="center"/>
    </xf>
    <xf numFmtId="0" fontId="3" fillId="2" borderId="0" xfId="0" applyFont="1" applyFill="1"/>
    <xf numFmtId="0" fontId="2" fillId="2" borderId="0" xfId="0" applyFont="1" applyFill="1" applyAlignment="1">
      <alignment horizontal="center"/>
    </xf>
    <xf numFmtId="49" fontId="3" fillId="2" borderId="1" xfId="5" applyNumberFormat="1" applyFont="1" applyFill="1" applyBorder="1" applyAlignment="1">
      <alignment horizontal="center" vertical="center" wrapText="1"/>
    </xf>
    <xf numFmtId="0" fontId="2" fillId="2" borderId="2" xfId="0" applyFont="1" applyFill="1" applyBorder="1" applyAlignment="1">
      <alignment vertical="center" wrapText="1"/>
    </xf>
    <xf numFmtId="0" fontId="2" fillId="2" borderId="1" xfId="0" applyFont="1" applyFill="1" applyBorder="1" applyAlignment="1">
      <alignment vertical="center" wrapText="1"/>
    </xf>
    <xf numFmtId="0" fontId="2" fillId="2" borderId="0" xfId="0" applyFont="1" applyFill="1" applyAlignment="1">
      <alignment vertical="center"/>
    </xf>
    <xf numFmtId="0" fontId="2" fillId="2" borderId="0" xfId="0" applyFont="1" applyFill="1" applyAlignment="1">
      <alignment horizontal="center" vertical="center"/>
    </xf>
    <xf numFmtId="0" fontId="6" fillId="2" borderId="1" xfId="4" applyFont="1" applyFill="1" applyBorder="1" applyAlignment="1">
      <alignment horizontal="center" vertical="center" wrapText="1"/>
    </xf>
    <xf numFmtId="3" fontId="6" fillId="2" borderId="1" xfId="4" applyNumberFormat="1" applyFont="1" applyFill="1" applyBorder="1" applyAlignment="1">
      <alignment horizontal="center" vertical="center" wrapText="1"/>
    </xf>
    <xf numFmtId="0" fontId="6" fillId="2" borderId="1" xfId="4" applyFont="1" applyFill="1" applyBorder="1" applyAlignment="1">
      <alignment horizontal="center" wrapText="1"/>
    </xf>
    <xf numFmtId="0" fontId="2" fillId="2" borderId="0" xfId="0" quotePrefix="1" applyFont="1" applyFill="1" applyAlignment="1">
      <alignment vertical="center" wrapText="1"/>
    </xf>
    <xf numFmtId="0" fontId="2" fillId="2" borderId="0" xfId="0" applyFont="1" applyFill="1" applyAlignment="1">
      <alignment horizontal="center" vertical="center" wrapText="1"/>
    </xf>
    <xf numFmtId="4" fontId="2" fillId="2" borderId="0" xfId="0" applyNumberFormat="1" applyFont="1" applyFill="1" applyAlignment="1">
      <alignment horizontal="center" vertical="center"/>
    </xf>
    <xf numFmtId="0" fontId="2" fillId="3" borderId="0" xfId="0" applyFont="1" applyFill="1"/>
    <xf numFmtId="0" fontId="3" fillId="3" borderId="0" xfId="0" applyFont="1" applyFill="1"/>
    <xf numFmtId="49"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vertical="center"/>
    </xf>
    <xf numFmtId="4" fontId="2" fillId="2" borderId="1" xfId="0" applyNumberFormat="1" applyFont="1" applyFill="1" applyBorder="1" applyAlignment="1">
      <alignment vertical="center"/>
    </xf>
    <xf numFmtId="0" fontId="11" fillId="2" borderId="0" xfId="0" applyFont="1" applyFill="1"/>
    <xf numFmtId="0" fontId="2" fillId="2" borderId="2" xfId="0" applyFont="1" applyFill="1" applyBorder="1" applyAlignment="1">
      <alignment horizontal="center" vertical="center"/>
    </xf>
    <xf numFmtId="0" fontId="4" fillId="2" borderId="1" xfId="0" quotePrefix="1" applyFont="1" applyFill="1" applyBorder="1" applyAlignment="1">
      <alignment vertical="center" wrapText="1"/>
    </xf>
    <xf numFmtId="0" fontId="4" fillId="2" borderId="1" xfId="0" applyFont="1" applyFill="1" applyBorder="1" applyAlignment="1">
      <alignment vertical="top" wrapText="1"/>
    </xf>
    <xf numFmtId="0" fontId="2" fillId="2" borderId="5" xfId="0" applyFont="1" applyFill="1" applyBorder="1" applyAlignment="1">
      <alignment vertical="center" wrapText="1"/>
    </xf>
    <xf numFmtId="0" fontId="2" fillId="2" borderId="2" xfId="0" applyFont="1" applyFill="1" applyBorder="1" applyAlignment="1">
      <alignment vertical="center"/>
    </xf>
    <xf numFmtId="0" fontId="2" fillId="2" borderId="3" xfId="0" applyFont="1" applyFill="1" applyBorder="1" applyAlignment="1">
      <alignment horizontal="center" vertical="center"/>
    </xf>
    <xf numFmtId="0" fontId="2" fillId="2" borderId="3" xfId="0" applyFont="1" applyFill="1" applyBorder="1" applyAlignment="1">
      <alignment vertical="center"/>
    </xf>
    <xf numFmtId="0" fontId="2" fillId="2" borderId="3" xfId="0" applyFont="1" applyFill="1" applyBorder="1" applyAlignment="1">
      <alignment vertical="center" wrapText="1"/>
    </xf>
    <xf numFmtId="4" fontId="0" fillId="2" borderId="0" xfId="0" applyNumberFormat="1" applyFill="1" applyAlignment="1">
      <alignment horizontal="center" vertical="center"/>
    </xf>
    <xf numFmtId="4" fontId="12" fillId="2" borderId="0" xfId="0" applyNumberFormat="1" applyFont="1" applyFill="1" applyAlignment="1">
      <alignment horizontal="center" vertical="center"/>
    </xf>
    <xf numFmtId="0" fontId="11" fillId="2" borderId="0" xfId="0" applyFont="1" applyFill="1" applyBorder="1" applyAlignment="1">
      <alignment horizontal="center" vertical="center"/>
    </xf>
    <xf numFmtId="4" fontId="11" fillId="2" borderId="0" xfId="0" applyNumberFormat="1" applyFont="1" applyFill="1" applyBorder="1" applyAlignment="1">
      <alignment horizontal="center" vertical="center"/>
    </xf>
    <xf numFmtId="0" fontId="0" fillId="2" borderId="1" xfId="0" applyFill="1" applyBorder="1" applyAlignment="1">
      <alignment horizontal="center" vertical="center"/>
    </xf>
    <xf numFmtId="3" fontId="14" fillId="2" borderId="1" xfId="4" applyNumberFormat="1" applyFont="1" applyFill="1" applyBorder="1" applyAlignment="1">
      <alignment horizontal="center" vertical="center" wrapText="1"/>
    </xf>
    <xf numFmtId="0" fontId="0" fillId="0" borderId="0" xfId="0"/>
    <xf numFmtId="0" fontId="14" fillId="2" borderId="0" xfId="0" applyFont="1" applyFill="1" applyAlignment="1">
      <alignment vertical="center"/>
    </xf>
    <xf numFmtId="0" fontId="14" fillId="2" borderId="0" xfId="4" applyFont="1" applyFill="1" applyAlignment="1">
      <alignment vertical="center"/>
    </xf>
    <xf numFmtId="0" fontId="3" fillId="2" borderId="1" xfId="0" applyFont="1" applyFill="1" applyBorder="1" applyAlignment="1">
      <alignment horizontal="center" vertical="center"/>
    </xf>
    <xf numFmtId="0" fontId="3" fillId="2" borderId="1" xfId="5" applyFont="1" applyFill="1" applyBorder="1" applyAlignment="1">
      <alignment horizontal="center" vertical="center" wrapText="1"/>
    </xf>
    <xf numFmtId="0" fontId="4" fillId="2" borderId="1" xfId="4" applyFont="1" applyFill="1" applyBorder="1" applyAlignment="1">
      <alignment vertical="center" wrapText="1"/>
    </xf>
    <xf numFmtId="0" fontId="2" fillId="2" borderId="4" xfId="0" applyFont="1" applyFill="1" applyBorder="1" applyAlignment="1">
      <alignment vertical="center" wrapText="1"/>
    </xf>
    <xf numFmtId="0" fontId="4" fillId="2" borderId="4" xfId="1" applyFont="1" applyFill="1" applyBorder="1" applyAlignment="1">
      <alignment vertical="center" wrapText="1"/>
    </xf>
    <xf numFmtId="0" fontId="10" fillId="2" borderId="1" xfId="0" applyFont="1" applyFill="1" applyBorder="1" applyAlignment="1">
      <alignment vertical="center" wrapText="1"/>
    </xf>
    <xf numFmtId="0" fontId="4" fillId="2" borderId="1" xfId="1" applyFont="1" applyFill="1" applyBorder="1" applyAlignment="1">
      <alignment vertical="center" wrapText="1"/>
    </xf>
    <xf numFmtId="0" fontId="4" fillId="2" borderId="1" xfId="1" quotePrefix="1" applyFont="1" applyFill="1" applyBorder="1" applyAlignment="1">
      <alignment vertical="center" wrapText="1"/>
    </xf>
    <xf numFmtId="0" fontId="4" fillId="2" borderId="1" xfId="0" applyFont="1" applyFill="1" applyBorder="1" applyAlignment="1">
      <alignment vertical="center"/>
    </xf>
    <xf numFmtId="0" fontId="2" fillId="2" borderId="4" xfId="0" quotePrefix="1" applyFont="1" applyFill="1" applyBorder="1" applyAlignment="1">
      <alignment vertical="center" wrapText="1"/>
    </xf>
    <xf numFmtId="4" fontId="2" fillId="2" borderId="0" xfId="0" applyNumberFormat="1" applyFont="1" applyFill="1"/>
    <xf numFmtId="4" fontId="2" fillId="3" borderId="0" xfId="0" applyNumberFormat="1" applyFont="1" applyFill="1"/>
    <xf numFmtId="3" fontId="3" fillId="2" borderId="1" xfId="0" applyNumberFormat="1" applyFont="1" applyFill="1" applyBorder="1" applyAlignment="1">
      <alignment horizontal="center" vertical="center"/>
    </xf>
    <xf numFmtId="3" fontId="2" fillId="2" borderId="1" xfId="0" applyNumberFormat="1" applyFont="1" applyFill="1" applyBorder="1" applyAlignment="1">
      <alignment horizontal="center" vertical="center"/>
    </xf>
    <xf numFmtId="3" fontId="2" fillId="2" borderId="5" xfId="0" applyNumberFormat="1" applyFont="1" applyFill="1" applyBorder="1" applyAlignment="1">
      <alignment horizontal="center" vertical="center"/>
    </xf>
    <xf numFmtId="3" fontId="2" fillId="2" borderId="0" xfId="0" applyNumberFormat="1" applyFont="1" applyFill="1" applyAlignment="1">
      <alignment horizontal="center" vertical="center"/>
    </xf>
    <xf numFmtId="3" fontId="2" fillId="2" borderId="1" xfId="0" quotePrefix="1" applyNumberFormat="1" applyFont="1" applyFill="1" applyBorder="1" applyAlignment="1">
      <alignment horizontal="center" vertical="center"/>
    </xf>
    <xf numFmtId="3" fontId="2" fillId="2" borderId="0" xfId="0" applyNumberFormat="1" applyFont="1" applyFill="1" applyAlignment="1">
      <alignment horizontal="center" vertical="center" wrapText="1"/>
    </xf>
    <xf numFmtId="3" fontId="2" fillId="2" borderId="2" xfId="0" applyNumberFormat="1" applyFont="1" applyFill="1" applyBorder="1" applyAlignment="1">
      <alignment horizontal="center" vertical="center"/>
    </xf>
    <xf numFmtId="3" fontId="2" fillId="2" borderId="3" xfId="0" applyNumberFormat="1" applyFont="1" applyFill="1" applyBorder="1" applyAlignment="1">
      <alignment horizontal="center" vertical="center"/>
    </xf>
    <xf numFmtId="9" fontId="3" fillId="2" borderId="1" xfId="0" applyNumberFormat="1" applyFont="1" applyFill="1" applyBorder="1" applyAlignment="1">
      <alignment horizontal="center" vertical="center"/>
    </xf>
    <xf numFmtId="0" fontId="14" fillId="2" borderId="0" xfId="0" applyFont="1" applyFill="1" applyAlignment="1">
      <alignment horizontal="left" vertical="center"/>
    </xf>
    <xf numFmtId="0" fontId="11" fillId="2" borderId="1" xfId="0" applyFont="1" applyFill="1" applyBorder="1" applyAlignment="1">
      <alignment horizontal="center" vertical="center"/>
    </xf>
    <xf numFmtId="0" fontId="2" fillId="2" borderId="0" xfId="0" applyFont="1" applyFill="1" applyAlignment="1">
      <alignment horizontal="left" vertical="center"/>
    </xf>
    <xf numFmtId="0" fontId="6" fillId="2" borderId="1" xfId="4" applyFont="1" applyFill="1" applyBorder="1" applyAlignment="1">
      <alignment horizontal="center" vertical="center" wrapText="1"/>
    </xf>
    <xf numFmtId="3" fontId="6" fillId="2" borderId="1" xfId="4" applyNumberFormat="1" applyFont="1" applyFill="1" applyBorder="1" applyAlignment="1">
      <alignment horizontal="center" vertical="center" wrapText="1"/>
    </xf>
    <xf numFmtId="0" fontId="3" fillId="2" borderId="1" xfId="5" applyFont="1" applyFill="1" applyBorder="1" applyAlignment="1">
      <alignment horizontal="center" vertical="center" wrapText="1"/>
    </xf>
    <xf numFmtId="0" fontId="5" fillId="2" borderId="4" xfId="1" applyFont="1" applyFill="1" applyBorder="1" applyAlignment="1">
      <alignment vertical="center" wrapText="1"/>
    </xf>
    <xf numFmtId="0" fontId="5" fillId="2" borderId="5" xfId="1" applyFont="1" applyFill="1" applyBorder="1" applyAlignment="1">
      <alignment vertical="center" wrapText="1"/>
    </xf>
    <xf numFmtId="0" fontId="2" fillId="2" borderId="0" xfId="4" applyFont="1" applyFill="1" applyAlignment="1">
      <alignment horizontal="left" vertical="center"/>
    </xf>
    <xf numFmtId="0" fontId="3" fillId="2" borderId="1" xfId="0" applyFont="1" applyFill="1" applyBorder="1" applyAlignment="1">
      <alignment vertical="center"/>
    </xf>
    <xf numFmtId="0" fontId="3" fillId="2" borderId="4" xfId="0" quotePrefix="1" applyFont="1" applyFill="1" applyBorder="1" applyAlignment="1">
      <alignment vertical="center" wrapText="1"/>
    </xf>
    <xf numFmtId="0" fontId="3" fillId="2" borderId="5" xfId="0" quotePrefix="1" applyFont="1" applyFill="1" applyBorder="1" applyAlignment="1">
      <alignment vertical="center" wrapText="1"/>
    </xf>
    <xf numFmtId="3" fontId="14" fillId="2" borderId="1" xfId="4" applyNumberFormat="1" applyFont="1" applyFill="1" applyBorder="1" applyAlignment="1">
      <alignment horizontal="center" vertical="center" wrapText="1"/>
    </xf>
    <xf numFmtId="0" fontId="3" fillId="2" borderId="0" xfId="4" applyFont="1" applyFill="1" applyAlignment="1">
      <alignment horizontal="center" vertical="center" wrapText="1"/>
    </xf>
    <xf numFmtId="0" fontId="3" fillId="2" borderId="6" xfId="4" applyFont="1" applyFill="1" applyBorder="1" applyAlignment="1">
      <alignment horizontal="center" vertical="center" wrapText="1"/>
    </xf>
    <xf numFmtId="3" fontId="6" fillId="2" borderId="5" xfId="4" applyNumberFormat="1" applyFont="1" applyFill="1" applyBorder="1" applyAlignment="1">
      <alignment horizontal="center" vertical="center" wrapText="1"/>
    </xf>
    <xf numFmtId="0" fontId="2" fillId="2" borderId="1" xfId="4" applyFont="1" applyFill="1" applyBorder="1" applyAlignment="1">
      <alignment horizontal="center" vertical="center" wrapText="1"/>
    </xf>
    <xf numFmtId="9" fontId="2" fillId="2" borderId="1" xfId="0" applyNumberFormat="1" applyFont="1" applyFill="1" applyBorder="1" applyAlignment="1">
      <alignment horizontal="center" vertical="center"/>
    </xf>
  </cellXfs>
  <cellStyles count="8">
    <cellStyle name="Звичайний" xfId="0" builtinId="0"/>
    <cellStyle name="Звичайний 2" xfId="7"/>
    <cellStyle name="Обычный 11 2" xfId="5"/>
    <cellStyle name="Обычный 17 5 6" xfId="3"/>
    <cellStyle name="Обычный 2" xfId="6"/>
    <cellStyle name="Обычный 3" xfId="2"/>
    <cellStyle name="Обычный 3 2" xfId="4"/>
    <cellStyle name="Обычный_дод 3"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T207"/>
  <sheetViews>
    <sheetView showZeros="0" tabSelected="1" view="pageBreakPreview" topLeftCell="D1" zoomScale="62" zoomScaleNormal="65" zoomScaleSheetLayoutView="62" workbookViewId="0">
      <pane ySplit="14" topLeftCell="A15" activePane="bottomLeft" state="frozen"/>
      <selection pane="bottomLeft" activeCell="P7" sqref="P7"/>
    </sheetView>
  </sheetViews>
  <sheetFormatPr defaultColWidth="9.109375" defaultRowHeight="14.4" x14ac:dyDescent="0.3"/>
  <cols>
    <col min="1" max="1" width="13.33203125" style="3" customWidth="1"/>
    <col min="2" max="2" width="12.33203125" style="1" customWidth="1"/>
    <col min="3" max="3" width="14.33203125" style="3" customWidth="1"/>
    <col min="4" max="4" width="56" style="2" customWidth="1"/>
    <col min="5" max="5" width="58.88671875" style="4" customWidth="1"/>
    <col min="6" max="6" width="25" style="1" customWidth="1"/>
    <col min="7" max="7" width="21.6640625" style="1" customWidth="1"/>
    <col min="8" max="8" width="19.33203125" style="1" customWidth="1"/>
    <col min="9" max="9" width="21.44140625" style="1" customWidth="1"/>
    <col min="10" max="10" width="22.6640625" style="1" customWidth="1"/>
    <col min="11" max="11" width="19.88671875" style="2" customWidth="1"/>
    <col min="12" max="12" width="19.44140625" style="2" customWidth="1"/>
    <col min="13" max="13" width="19" style="2" customWidth="1"/>
    <col min="14" max="14" width="18.88671875" style="2" customWidth="1"/>
    <col min="15" max="15" width="14.109375" style="2" customWidth="1"/>
    <col min="16" max="16" width="18.44140625" style="2" customWidth="1"/>
    <col min="17" max="17" width="18.109375" style="2" bestFit="1" customWidth="1"/>
    <col min="18" max="18" width="16.109375" style="2" customWidth="1"/>
    <col min="19" max="16384" width="9.109375" style="2"/>
  </cols>
  <sheetData>
    <row r="1" spans="1:16" ht="15.6" x14ac:dyDescent="0.3">
      <c r="H1" s="78"/>
      <c r="I1" s="78"/>
      <c r="J1" s="78"/>
      <c r="M1" s="76" t="s">
        <v>389</v>
      </c>
      <c r="N1" s="76"/>
      <c r="O1" s="53"/>
    </row>
    <row r="2" spans="1:16" ht="15.6" x14ac:dyDescent="0.3">
      <c r="H2" s="78"/>
      <c r="I2" s="78"/>
      <c r="J2" s="78"/>
      <c r="M2" s="53" t="s">
        <v>390</v>
      </c>
      <c r="N2" s="53"/>
      <c r="O2" s="53"/>
    </row>
    <row r="3" spans="1:16" ht="15.6" x14ac:dyDescent="0.3">
      <c r="H3" s="78"/>
      <c r="I3" s="78"/>
      <c r="J3" s="78"/>
      <c r="M3" s="54" t="s">
        <v>391</v>
      </c>
      <c r="N3" s="54"/>
      <c r="O3" s="54"/>
    </row>
    <row r="4" spans="1:16" ht="15.6" x14ac:dyDescent="0.3">
      <c r="H4" s="84"/>
      <c r="I4" s="84"/>
      <c r="J4" s="84"/>
      <c r="M4" s="52"/>
      <c r="N4" s="52"/>
      <c r="O4" s="52"/>
    </row>
    <row r="6" spans="1:16" ht="15.6" x14ac:dyDescent="0.3">
      <c r="H6" s="78"/>
      <c r="I6" s="78"/>
      <c r="J6" s="78"/>
    </row>
    <row r="7" spans="1:16" ht="15.6" x14ac:dyDescent="0.3">
      <c r="H7" s="78"/>
      <c r="I7" s="78"/>
      <c r="J7" s="78"/>
    </row>
    <row r="8" spans="1:16" ht="15.6" x14ac:dyDescent="0.3">
      <c r="H8" s="78"/>
      <c r="I8" s="78"/>
      <c r="J8" s="78"/>
    </row>
    <row r="9" spans="1:16" ht="15.75" customHeight="1" x14ac:dyDescent="0.3">
      <c r="A9" s="89" t="s">
        <v>394</v>
      </c>
      <c r="B9" s="89"/>
      <c r="C9" s="89"/>
      <c r="D9" s="89"/>
      <c r="E9" s="89"/>
      <c r="F9" s="89"/>
      <c r="G9" s="89"/>
      <c r="H9" s="89"/>
      <c r="I9" s="89"/>
      <c r="J9" s="89"/>
      <c r="K9" s="89"/>
      <c r="L9" s="89"/>
      <c r="M9" s="89"/>
      <c r="N9" s="89"/>
      <c r="O9" s="89"/>
      <c r="P9" s="89"/>
    </row>
    <row r="10" spans="1:16" ht="15.75" customHeight="1" x14ac:dyDescent="0.3">
      <c r="A10" s="89"/>
      <c r="B10" s="89"/>
      <c r="C10" s="89"/>
      <c r="D10" s="89"/>
      <c r="E10" s="89"/>
      <c r="F10" s="89"/>
      <c r="G10" s="89"/>
      <c r="H10" s="89"/>
      <c r="I10" s="89"/>
      <c r="J10" s="89"/>
      <c r="K10" s="89"/>
      <c r="L10" s="89"/>
      <c r="M10" s="89"/>
      <c r="N10" s="89"/>
      <c r="O10" s="89"/>
      <c r="P10" s="89"/>
    </row>
    <row r="11" spans="1:16" x14ac:dyDescent="0.3">
      <c r="A11" s="90"/>
      <c r="B11" s="90"/>
      <c r="C11" s="90"/>
      <c r="D11" s="90"/>
      <c r="E11" s="90"/>
      <c r="F11" s="90"/>
      <c r="G11" s="90"/>
      <c r="H11" s="90"/>
      <c r="I11" s="90"/>
      <c r="J11" s="90"/>
      <c r="K11" s="90"/>
      <c r="L11" s="90"/>
      <c r="M11" s="90"/>
      <c r="N11" s="90"/>
      <c r="O11" s="90"/>
      <c r="P11" s="90"/>
    </row>
    <row r="12" spans="1:16" ht="15.6" x14ac:dyDescent="0.3">
      <c r="A12" s="79" t="s">
        <v>45</v>
      </c>
      <c r="B12" s="79" t="s">
        <v>46</v>
      </c>
      <c r="C12" s="79" t="s">
        <v>9</v>
      </c>
      <c r="D12" s="79" t="s">
        <v>48</v>
      </c>
      <c r="E12" s="79" t="s">
        <v>47</v>
      </c>
      <c r="F12" s="79" t="s">
        <v>49</v>
      </c>
      <c r="G12" s="92" t="s">
        <v>392</v>
      </c>
      <c r="H12" s="92"/>
      <c r="I12" s="92"/>
      <c r="J12" s="92"/>
      <c r="K12" s="92" t="s">
        <v>393</v>
      </c>
      <c r="L12" s="92"/>
      <c r="M12" s="92"/>
      <c r="N12" s="92"/>
      <c r="O12" s="88" t="s">
        <v>387</v>
      </c>
      <c r="P12" s="88" t="s">
        <v>388</v>
      </c>
    </row>
    <row r="13" spans="1:16" ht="14.4" customHeight="1" x14ac:dyDescent="0.3">
      <c r="A13" s="79"/>
      <c r="B13" s="79"/>
      <c r="C13" s="79"/>
      <c r="D13" s="79"/>
      <c r="E13" s="79"/>
      <c r="F13" s="79"/>
      <c r="G13" s="91" t="s">
        <v>0</v>
      </c>
      <c r="H13" s="80" t="s">
        <v>1</v>
      </c>
      <c r="I13" s="80" t="s">
        <v>2</v>
      </c>
      <c r="J13" s="80"/>
      <c r="K13" s="88" t="s">
        <v>0</v>
      </c>
      <c r="L13" s="88" t="s">
        <v>1</v>
      </c>
      <c r="M13" s="88" t="s">
        <v>2</v>
      </c>
      <c r="N13" s="88"/>
      <c r="O13" s="88"/>
      <c r="P13" s="88"/>
    </row>
    <row r="14" spans="1:16" ht="85.65" customHeight="1" x14ac:dyDescent="0.3">
      <c r="A14" s="79"/>
      <c r="B14" s="79"/>
      <c r="C14" s="79"/>
      <c r="D14" s="79"/>
      <c r="E14" s="79"/>
      <c r="F14" s="79"/>
      <c r="G14" s="91"/>
      <c r="H14" s="80"/>
      <c r="I14" s="24" t="s">
        <v>3</v>
      </c>
      <c r="J14" s="24" t="s">
        <v>4</v>
      </c>
      <c r="K14" s="88"/>
      <c r="L14" s="88"/>
      <c r="M14" s="51" t="s">
        <v>3</v>
      </c>
      <c r="N14" s="51" t="s">
        <v>4</v>
      </c>
      <c r="O14" s="88"/>
      <c r="P14" s="88"/>
    </row>
    <row r="15" spans="1:16" s="1" customFormat="1" x14ac:dyDescent="0.25">
      <c r="A15" s="25">
        <v>1</v>
      </c>
      <c r="B15" s="23">
        <v>2</v>
      </c>
      <c r="C15" s="25">
        <v>3</v>
      </c>
      <c r="D15" s="23">
        <v>4</v>
      </c>
      <c r="E15" s="23">
        <v>5</v>
      </c>
      <c r="F15" s="23">
        <v>6</v>
      </c>
      <c r="G15" s="24">
        <v>7</v>
      </c>
      <c r="H15" s="24">
        <v>8</v>
      </c>
      <c r="I15" s="24">
        <v>9</v>
      </c>
      <c r="J15" s="24">
        <v>10</v>
      </c>
      <c r="K15" s="50">
        <v>11</v>
      </c>
      <c r="L15" s="50">
        <v>12</v>
      </c>
      <c r="M15" s="50">
        <v>13</v>
      </c>
      <c r="N15" s="50">
        <v>14</v>
      </c>
      <c r="O15" s="50">
        <v>15</v>
      </c>
      <c r="P15" s="50">
        <v>16</v>
      </c>
    </row>
    <row r="16" spans="1:16" s="16" customFormat="1" ht="15.6" x14ac:dyDescent="0.3">
      <c r="A16" s="18" t="s">
        <v>10</v>
      </c>
      <c r="B16" s="56"/>
      <c r="C16" s="56"/>
      <c r="D16" s="81" t="s">
        <v>144</v>
      </c>
      <c r="E16" s="81"/>
      <c r="F16" s="55"/>
      <c r="G16" s="67">
        <f t="shared" ref="G16:N16" si="0">G17</f>
        <v>120753277.22</v>
      </c>
      <c r="H16" s="67">
        <f t="shared" si="0"/>
        <v>93238383.099999994</v>
      </c>
      <c r="I16" s="67">
        <f t="shared" si="0"/>
        <v>27514894.119999997</v>
      </c>
      <c r="J16" s="67">
        <f t="shared" si="0"/>
        <v>25003138.899999999</v>
      </c>
      <c r="K16" s="67">
        <f t="shared" si="0"/>
        <v>114258045.47</v>
      </c>
      <c r="L16" s="67">
        <f t="shared" si="0"/>
        <v>90521649.939999998</v>
      </c>
      <c r="M16" s="67">
        <f t="shared" si="0"/>
        <v>23736395.529999997</v>
      </c>
      <c r="N16" s="67">
        <f t="shared" si="0"/>
        <v>21572172.709999997</v>
      </c>
      <c r="O16" s="75">
        <f>K16/G16</f>
        <v>0.94621072073955925</v>
      </c>
      <c r="P16" s="67">
        <f>K16-G16</f>
        <v>-6495231.75</v>
      </c>
    </row>
    <row r="17" spans="1:16" s="16" customFormat="1" ht="15.6" x14ac:dyDescent="0.3">
      <c r="A17" s="18" t="s">
        <v>11</v>
      </c>
      <c r="B17" s="18"/>
      <c r="C17" s="18"/>
      <c r="D17" s="81" t="s">
        <v>144</v>
      </c>
      <c r="E17" s="81"/>
      <c r="F17" s="55"/>
      <c r="G17" s="67">
        <f t="shared" ref="G17:N17" si="1">SUM(G18:G38)</f>
        <v>120753277.22</v>
      </c>
      <c r="H17" s="67">
        <f t="shared" si="1"/>
        <v>93238383.099999994</v>
      </c>
      <c r="I17" s="67">
        <f t="shared" si="1"/>
        <v>27514894.119999997</v>
      </c>
      <c r="J17" s="67">
        <f t="shared" si="1"/>
        <v>25003138.899999999</v>
      </c>
      <c r="K17" s="67">
        <f t="shared" si="1"/>
        <v>114258045.47</v>
      </c>
      <c r="L17" s="67">
        <f t="shared" si="1"/>
        <v>90521649.939999998</v>
      </c>
      <c r="M17" s="67">
        <f t="shared" si="1"/>
        <v>23736395.529999997</v>
      </c>
      <c r="N17" s="67">
        <f t="shared" si="1"/>
        <v>21572172.709999997</v>
      </c>
      <c r="O17" s="75">
        <f t="shared" ref="O17:O80" si="2">K17/G17</f>
        <v>0.94621072073955925</v>
      </c>
      <c r="P17" s="67">
        <f t="shared" ref="P17:P80" si="3">K17-G17</f>
        <v>-6495231.75</v>
      </c>
    </row>
    <row r="18" spans="1:16" s="9" customFormat="1" ht="46.8" x14ac:dyDescent="0.3">
      <c r="A18" s="6" t="s">
        <v>61</v>
      </c>
      <c r="B18" s="6" t="s">
        <v>62</v>
      </c>
      <c r="C18" s="6" t="s">
        <v>63</v>
      </c>
      <c r="D18" s="7" t="s">
        <v>64</v>
      </c>
      <c r="E18" s="20" t="s">
        <v>219</v>
      </c>
      <c r="F18" s="8" t="s">
        <v>170</v>
      </c>
      <c r="G18" s="68">
        <f>H18+I18</f>
        <v>57524527</v>
      </c>
      <c r="H18" s="68">
        <f>34002900+511600+5000000+65630+200210+297600+22000-975433.9</f>
        <v>39124506.100000001</v>
      </c>
      <c r="I18" s="68">
        <f>2036600-65630+1822170+5800000+1695270+1611610.9+5500000</f>
        <v>18400020.899999999</v>
      </c>
      <c r="J18" s="68">
        <f>2036600-65630+1822170+5800000+1695270+1611610.9+5500000</f>
        <v>18400020.899999999</v>
      </c>
      <c r="K18" s="68">
        <f>L18+M18</f>
        <v>53513820.759999998</v>
      </c>
      <c r="L18" s="68">
        <v>37694074.859999999</v>
      </c>
      <c r="M18" s="68">
        <v>15819745.9</v>
      </c>
      <c r="N18" s="68">
        <f>M18</f>
        <v>15819745.9</v>
      </c>
      <c r="O18" s="93">
        <f t="shared" si="2"/>
        <v>0.93027832736460392</v>
      </c>
      <c r="P18" s="68">
        <f t="shared" si="3"/>
        <v>-4010706.2400000021</v>
      </c>
    </row>
    <row r="19" spans="1:16" s="9" customFormat="1" ht="46.8" x14ac:dyDescent="0.3">
      <c r="A19" s="6" t="s">
        <v>65</v>
      </c>
      <c r="B19" s="6" t="s">
        <v>66</v>
      </c>
      <c r="C19" s="6" t="s">
        <v>67</v>
      </c>
      <c r="D19" s="7" t="s">
        <v>68</v>
      </c>
      <c r="E19" s="20" t="s">
        <v>219</v>
      </c>
      <c r="F19" s="8" t="s">
        <v>170</v>
      </c>
      <c r="G19" s="68">
        <f t="shared" ref="G19:G36" si="4">H19+I19</f>
        <v>10723300</v>
      </c>
      <c r="H19" s="68">
        <f>8701800+470400-98000</f>
        <v>9074200</v>
      </c>
      <c r="I19" s="68">
        <f>962100+687000</f>
        <v>1649100</v>
      </c>
      <c r="J19" s="68">
        <f>962100+687000</f>
        <v>1649100</v>
      </c>
      <c r="K19" s="68">
        <f t="shared" ref="K19:K38" si="5">L19+M19</f>
        <v>10690759.880000001</v>
      </c>
      <c r="L19" s="68">
        <v>9041659.8800000008</v>
      </c>
      <c r="M19" s="68">
        <v>1649100</v>
      </c>
      <c r="N19" s="68">
        <f>M19</f>
        <v>1649100</v>
      </c>
      <c r="O19" s="93">
        <f t="shared" si="2"/>
        <v>0.99696547518021517</v>
      </c>
      <c r="P19" s="68">
        <f t="shared" si="3"/>
        <v>-32540.11999999918</v>
      </c>
    </row>
    <row r="20" spans="1:16" s="9" customFormat="1" ht="46.8" x14ac:dyDescent="0.3">
      <c r="A20" s="8" t="s">
        <v>150</v>
      </c>
      <c r="B20" s="8">
        <v>2111</v>
      </c>
      <c r="C20" s="8" t="s">
        <v>151</v>
      </c>
      <c r="D20" s="10" t="s">
        <v>152</v>
      </c>
      <c r="E20" s="20" t="s">
        <v>219</v>
      </c>
      <c r="F20" s="8" t="s">
        <v>170</v>
      </c>
      <c r="G20" s="68">
        <f t="shared" si="4"/>
        <v>4942313</v>
      </c>
      <c r="H20" s="68">
        <f>4545400+68000+100000-60000+3500-190920-234262-96800</f>
        <v>4134918</v>
      </c>
      <c r="I20" s="68">
        <f>1426100+192000+100000+45000+60000-714700-301005</f>
        <v>807395</v>
      </c>
      <c r="J20" s="68">
        <f>1426100+192000+100000+45000+60000-714700-301005</f>
        <v>807395</v>
      </c>
      <c r="K20" s="68">
        <f t="shared" si="5"/>
        <v>4854145.62</v>
      </c>
      <c r="L20" s="68">
        <v>4060003.06</v>
      </c>
      <c r="M20" s="68">
        <v>794142.56</v>
      </c>
      <c r="N20" s="68">
        <f>M20</f>
        <v>794142.56</v>
      </c>
      <c r="O20" s="93">
        <f t="shared" si="2"/>
        <v>0.98216070491690832</v>
      </c>
      <c r="P20" s="68">
        <f t="shared" si="3"/>
        <v>-88167.379999999888</v>
      </c>
    </row>
    <row r="21" spans="1:16" s="9" customFormat="1" ht="46.8" x14ac:dyDescent="0.3">
      <c r="A21" s="6" t="s">
        <v>69</v>
      </c>
      <c r="B21" s="6" t="s">
        <v>70</v>
      </c>
      <c r="C21" s="6" t="s">
        <v>71</v>
      </c>
      <c r="D21" s="57" t="s">
        <v>72</v>
      </c>
      <c r="E21" s="20" t="s">
        <v>219</v>
      </c>
      <c r="F21" s="8" t="s">
        <v>170</v>
      </c>
      <c r="G21" s="68">
        <f t="shared" si="4"/>
        <v>13626337</v>
      </c>
      <c r="H21" s="68">
        <f>10835900-500000+550000+1405620+504307+830510</f>
        <v>13626337</v>
      </c>
      <c r="I21" s="68"/>
      <c r="J21" s="68"/>
      <c r="K21" s="68">
        <f t="shared" si="5"/>
        <v>12834520.350000001</v>
      </c>
      <c r="L21" s="68">
        <f>700309.41+2309878.14+10302332.8-478000</f>
        <v>12834520.350000001</v>
      </c>
      <c r="M21" s="68"/>
      <c r="N21" s="68"/>
      <c r="O21" s="93">
        <f t="shared" si="2"/>
        <v>0.94189071868690766</v>
      </c>
      <c r="P21" s="68">
        <f t="shared" si="3"/>
        <v>-791816.64999999851</v>
      </c>
    </row>
    <row r="22" spans="1:16" s="9" customFormat="1" ht="62.4" x14ac:dyDescent="0.3">
      <c r="A22" s="6" t="s">
        <v>69</v>
      </c>
      <c r="B22" s="6" t="s">
        <v>70</v>
      </c>
      <c r="C22" s="6" t="s">
        <v>71</v>
      </c>
      <c r="D22" s="57" t="s">
        <v>72</v>
      </c>
      <c r="E22" s="58" t="s">
        <v>256</v>
      </c>
      <c r="F22" s="8" t="s">
        <v>268</v>
      </c>
      <c r="G22" s="68">
        <f t="shared" si="4"/>
        <v>478000</v>
      </c>
      <c r="H22" s="68">
        <f>500000-22000</f>
        <v>478000</v>
      </c>
      <c r="I22" s="68"/>
      <c r="J22" s="68"/>
      <c r="K22" s="68">
        <f t="shared" si="5"/>
        <v>478000</v>
      </c>
      <c r="L22" s="68">
        <v>478000</v>
      </c>
      <c r="M22" s="68"/>
      <c r="N22" s="68"/>
      <c r="O22" s="93">
        <f t="shared" si="2"/>
        <v>1</v>
      </c>
      <c r="P22" s="68">
        <f t="shared" si="3"/>
        <v>0</v>
      </c>
    </row>
    <row r="23" spans="1:16" s="9" customFormat="1" ht="46.8" x14ac:dyDescent="0.3">
      <c r="A23" s="6" t="s">
        <v>351</v>
      </c>
      <c r="B23" s="6" t="s">
        <v>352</v>
      </c>
      <c r="C23" s="13" t="s">
        <v>71</v>
      </c>
      <c r="D23" s="10" t="s">
        <v>353</v>
      </c>
      <c r="E23" s="20" t="s">
        <v>219</v>
      </c>
      <c r="F23" s="8" t="s">
        <v>170</v>
      </c>
      <c r="G23" s="68">
        <f t="shared" si="4"/>
        <v>197300</v>
      </c>
      <c r="H23" s="68"/>
      <c r="I23" s="68">
        <v>197300</v>
      </c>
      <c r="J23" s="68">
        <v>197300</v>
      </c>
      <c r="K23" s="68">
        <f t="shared" si="5"/>
        <v>0</v>
      </c>
      <c r="L23" s="68"/>
      <c r="M23" s="68"/>
      <c r="N23" s="68"/>
      <c r="O23" s="93">
        <f t="shared" si="2"/>
        <v>0</v>
      </c>
      <c r="P23" s="68">
        <f t="shared" si="3"/>
        <v>-197300</v>
      </c>
    </row>
    <row r="24" spans="1:16" s="9" customFormat="1" ht="46.8" x14ac:dyDescent="0.3">
      <c r="A24" s="11" t="s">
        <v>76</v>
      </c>
      <c r="B24" s="6" t="s">
        <v>77</v>
      </c>
      <c r="C24" s="6" t="s">
        <v>78</v>
      </c>
      <c r="D24" s="61" t="s">
        <v>79</v>
      </c>
      <c r="E24" s="58" t="s">
        <v>75</v>
      </c>
      <c r="F24" s="8" t="s">
        <v>172</v>
      </c>
      <c r="G24" s="69">
        <f t="shared" si="4"/>
        <v>3463600</v>
      </c>
      <c r="H24" s="68">
        <f>5000000-36400-500000-1000000</f>
        <v>3463600</v>
      </c>
      <c r="I24" s="68"/>
      <c r="J24" s="68"/>
      <c r="K24" s="68">
        <f t="shared" si="5"/>
        <v>3456015</v>
      </c>
      <c r="L24" s="68">
        <f>3492415-36400</f>
        <v>3456015</v>
      </c>
      <c r="M24" s="68"/>
      <c r="N24" s="68"/>
      <c r="O24" s="93">
        <f t="shared" si="2"/>
        <v>0.9978100819956115</v>
      </c>
      <c r="P24" s="68">
        <f t="shared" si="3"/>
        <v>-7585</v>
      </c>
    </row>
    <row r="25" spans="1:16" s="9" customFormat="1" ht="62.4" x14ac:dyDescent="0.3">
      <c r="A25" s="11" t="s">
        <v>76</v>
      </c>
      <c r="B25" s="6" t="s">
        <v>77</v>
      </c>
      <c r="C25" s="6" t="s">
        <v>78</v>
      </c>
      <c r="D25" s="61" t="s">
        <v>79</v>
      </c>
      <c r="E25" s="20" t="s">
        <v>92</v>
      </c>
      <c r="F25" s="8" t="s">
        <v>93</v>
      </c>
      <c r="G25" s="69">
        <f t="shared" ref="G25" si="6">H25+I25</f>
        <v>36400</v>
      </c>
      <c r="H25" s="68">
        <v>36400</v>
      </c>
      <c r="I25" s="68"/>
      <c r="J25" s="68"/>
      <c r="K25" s="68">
        <f t="shared" si="5"/>
        <v>36400</v>
      </c>
      <c r="L25" s="68">
        <v>36400</v>
      </c>
      <c r="M25" s="68"/>
      <c r="N25" s="68"/>
      <c r="O25" s="93">
        <f t="shared" si="2"/>
        <v>1</v>
      </c>
      <c r="P25" s="68">
        <f t="shared" si="3"/>
        <v>0</v>
      </c>
    </row>
    <row r="26" spans="1:16" s="9" customFormat="1" ht="46.8" x14ac:dyDescent="0.3">
      <c r="A26" s="6" t="s">
        <v>251</v>
      </c>
      <c r="B26" s="6" t="s">
        <v>52</v>
      </c>
      <c r="C26" s="6" t="s">
        <v>20</v>
      </c>
      <c r="D26" s="61" t="s">
        <v>30</v>
      </c>
      <c r="E26" s="20" t="s">
        <v>258</v>
      </c>
      <c r="F26" s="8" t="s">
        <v>309</v>
      </c>
      <c r="G26" s="69">
        <f>H26+I26</f>
        <v>15359700</v>
      </c>
      <c r="H26" s="68">
        <f>8141500-73000+2000000-15600+1500000+1500000-29000+1900000-254000+469800+220000</f>
        <v>15359700</v>
      </c>
      <c r="I26" s="68"/>
      <c r="J26" s="68"/>
      <c r="K26" s="68">
        <f t="shared" si="5"/>
        <v>15268094.779999999</v>
      </c>
      <c r="L26" s="68">
        <f>9947866.07+3743461.79+1576766.92</f>
        <v>15268094.779999999</v>
      </c>
      <c r="M26" s="68"/>
      <c r="N26" s="68"/>
      <c r="O26" s="93">
        <f t="shared" si="2"/>
        <v>0.99403600200524744</v>
      </c>
      <c r="P26" s="68">
        <f t="shared" si="3"/>
        <v>-91605.220000000671</v>
      </c>
    </row>
    <row r="27" spans="1:16" s="9" customFormat="1" ht="46.8" x14ac:dyDescent="0.3">
      <c r="A27" s="13" t="s">
        <v>354</v>
      </c>
      <c r="B27" s="13" t="s">
        <v>355</v>
      </c>
      <c r="C27" s="13" t="s">
        <v>335</v>
      </c>
      <c r="D27" s="10" t="s">
        <v>356</v>
      </c>
      <c r="E27" s="20" t="s">
        <v>219</v>
      </c>
      <c r="F27" s="8" t="s">
        <v>170</v>
      </c>
      <c r="G27" s="69">
        <f>H27+I27</f>
        <v>90000</v>
      </c>
      <c r="H27" s="68"/>
      <c r="I27" s="68">
        <v>90000</v>
      </c>
      <c r="J27" s="68">
        <v>90000</v>
      </c>
      <c r="K27" s="68">
        <f t="shared" si="5"/>
        <v>89999.98</v>
      </c>
      <c r="L27" s="68"/>
      <c r="M27" s="68">
        <v>89999.98</v>
      </c>
      <c r="N27" s="68">
        <f>M27</f>
        <v>89999.98</v>
      </c>
      <c r="O27" s="93">
        <f t="shared" si="2"/>
        <v>0.99999977777777771</v>
      </c>
      <c r="P27" s="68">
        <f t="shared" si="3"/>
        <v>-2.0000000004074536E-2</v>
      </c>
    </row>
    <row r="28" spans="1:16" s="9" customFormat="1" ht="46.8" x14ac:dyDescent="0.3">
      <c r="A28" s="13" t="s">
        <v>333</v>
      </c>
      <c r="B28" s="13" t="s">
        <v>334</v>
      </c>
      <c r="C28" s="13" t="s">
        <v>335</v>
      </c>
      <c r="D28" s="10" t="s">
        <v>336</v>
      </c>
      <c r="E28" s="20" t="s">
        <v>329</v>
      </c>
      <c r="F28" s="8" t="s">
        <v>332</v>
      </c>
      <c r="G28" s="69">
        <f t="shared" ref="G28:G29" si="7">H28+I28</f>
        <v>283400</v>
      </c>
      <c r="H28" s="68"/>
      <c r="I28" s="68">
        <f>340000-56600</f>
        <v>283400</v>
      </c>
      <c r="J28" s="68">
        <f>340000-56600</f>
        <v>283400</v>
      </c>
      <c r="K28" s="68">
        <f t="shared" si="5"/>
        <v>283333.33</v>
      </c>
      <c r="L28" s="68"/>
      <c r="M28" s="68">
        <v>283333.33</v>
      </c>
      <c r="N28" s="68">
        <f>M28</f>
        <v>283333.33</v>
      </c>
      <c r="O28" s="93">
        <f t="shared" si="2"/>
        <v>0.99976474947071281</v>
      </c>
      <c r="P28" s="68">
        <f t="shared" si="3"/>
        <v>-66.669999999983702</v>
      </c>
    </row>
    <row r="29" spans="1:16" s="9" customFormat="1" ht="46.8" x14ac:dyDescent="0.3">
      <c r="A29" s="13" t="s">
        <v>337</v>
      </c>
      <c r="B29" s="13" t="s">
        <v>338</v>
      </c>
      <c r="C29" s="13" t="s">
        <v>335</v>
      </c>
      <c r="D29" s="10" t="s">
        <v>339</v>
      </c>
      <c r="E29" s="20" t="s">
        <v>329</v>
      </c>
      <c r="F29" s="8" t="s">
        <v>332</v>
      </c>
      <c r="G29" s="69">
        <f t="shared" si="7"/>
        <v>80000</v>
      </c>
      <c r="H29" s="68">
        <v>80000</v>
      </c>
      <c r="I29" s="68">
        <f>7000000-80000-3000000-3920000</f>
        <v>0</v>
      </c>
      <c r="J29" s="68">
        <f>7000000-80000-3000000-3920000</f>
        <v>0</v>
      </c>
      <c r="K29" s="68">
        <f t="shared" si="5"/>
        <v>79590</v>
      </c>
      <c r="L29" s="68">
        <v>79590</v>
      </c>
      <c r="M29" s="68"/>
      <c r="N29" s="68"/>
      <c r="O29" s="93">
        <f t="shared" si="2"/>
        <v>0.99487499999999995</v>
      </c>
      <c r="P29" s="68">
        <f t="shared" si="3"/>
        <v>-410</v>
      </c>
    </row>
    <row r="30" spans="1:16" s="9" customFormat="1" ht="46.8" x14ac:dyDescent="0.3">
      <c r="A30" s="11" t="s">
        <v>246</v>
      </c>
      <c r="B30" s="6" t="s">
        <v>229</v>
      </c>
      <c r="C30" s="6" t="s">
        <v>230</v>
      </c>
      <c r="D30" s="7" t="s">
        <v>261</v>
      </c>
      <c r="E30" s="20" t="s">
        <v>260</v>
      </c>
      <c r="F30" s="8" t="s">
        <v>310</v>
      </c>
      <c r="G30" s="69">
        <f t="shared" si="4"/>
        <v>2579940</v>
      </c>
      <c r="H30" s="68">
        <f>1529300+39240+89300+14500-71000</f>
        <v>1601340</v>
      </c>
      <c r="I30" s="68">
        <f>534000+191600+40180+159820+29000+24000</f>
        <v>978600</v>
      </c>
      <c r="J30" s="68">
        <f>534000+191600+40180+159820+29000+24000</f>
        <v>978600</v>
      </c>
      <c r="K30" s="68">
        <f t="shared" si="5"/>
        <v>2118294.7999999998</v>
      </c>
      <c r="L30" s="70">
        <v>1402394.8</v>
      </c>
      <c r="M30" s="68">
        <v>715900</v>
      </c>
      <c r="N30" s="68">
        <f>M30</f>
        <v>715900</v>
      </c>
      <c r="O30" s="93">
        <f t="shared" si="2"/>
        <v>0.82106359062613854</v>
      </c>
      <c r="P30" s="68">
        <f t="shared" si="3"/>
        <v>-461645.20000000019</v>
      </c>
    </row>
    <row r="31" spans="1:16" s="9" customFormat="1" ht="46.8" x14ac:dyDescent="0.3">
      <c r="A31" s="13" t="s">
        <v>263</v>
      </c>
      <c r="B31" s="13" t="s">
        <v>264</v>
      </c>
      <c r="C31" s="13" t="s">
        <v>265</v>
      </c>
      <c r="D31" s="10" t="s">
        <v>266</v>
      </c>
      <c r="E31" s="20" t="s">
        <v>219</v>
      </c>
      <c r="F31" s="8" t="s">
        <v>170</v>
      </c>
      <c r="G31" s="69">
        <f t="shared" si="4"/>
        <v>1500000</v>
      </c>
      <c r="H31" s="68"/>
      <c r="I31" s="68">
        <f>1000000+500000</f>
        <v>1500000</v>
      </c>
      <c r="J31" s="68">
        <f>1000000+500000</f>
        <v>1500000</v>
      </c>
      <c r="K31" s="68">
        <f t="shared" si="5"/>
        <v>1125771.3400000001</v>
      </c>
      <c r="L31" s="68"/>
      <c r="M31" s="68">
        <v>1125771.3400000001</v>
      </c>
      <c r="N31" s="68">
        <f>M31</f>
        <v>1125771.3400000001</v>
      </c>
      <c r="O31" s="93">
        <f t="shared" si="2"/>
        <v>0.75051422666666667</v>
      </c>
      <c r="P31" s="68">
        <f t="shared" si="3"/>
        <v>-374228.65999999992</v>
      </c>
    </row>
    <row r="32" spans="1:16" s="9" customFormat="1" ht="109.2" x14ac:dyDescent="0.3">
      <c r="A32" s="13" t="s">
        <v>357</v>
      </c>
      <c r="B32" s="13" t="s">
        <v>292</v>
      </c>
      <c r="C32" s="13" t="s">
        <v>21</v>
      </c>
      <c r="D32" s="10" t="s">
        <v>294</v>
      </c>
      <c r="E32" s="20" t="s">
        <v>219</v>
      </c>
      <c r="F32" s="8" t="s">
        <v>170</v>
      </c>
      <c r="G32" s="69">
        <f t="shared" si="4"/>
        <v>2074155.22</v>
      </c>
      <c r="H32" s="68"/>
      <c r="I32" s="68">
        <f>2082045-7889.78</f>
        <v>2074155.22</v>
      </c>
      <c r="J32" s="68"/>
      <c r="K32" s="68">
        <f t="shared" si="5"/>
        <v>2074155.22</v>
      </c>
      <c r="L32" s="68"/>
      <c r="M32" s="68">
        <v>2074155.22</v>
      </c>
      <c r="N32" s="68"/>
      <c r="O32" s="93">
        <f t="shared" si="2"/>
        <v>1</v>
      </c>
      <c r="P32" s="68">
        <f t="shared" si="3"/>
        <v>0</v>
      </c>
    </row>
    <row r="33" spans="1:16" s="9" customFormat="1" ht="46.8" x14ac:dyDescent="0.3">
      <c r="A33" s="11" t="s">
        <v>249</v>
      </c>
      <c r="B33" s="6" t="s">
        <v>250</v>
      </c>
      <c r="C33" s="6" t="s">
        <v>162</v>
      </c>
      <c r="D33" s="10" t="s">
        <v>163</v>
      </c>
      <c r="E33" s="20" t="s">
        <v>153</v>
      </c>
      <c r="F33" s="8" t="s">
        <v>173</v>
      </c>
      <c r="G33" s="69">
        <f t="shared" si="4"/>
        <v>357660</v>
      </c>
      <c r="H33" s="68">
        <f>42000+13000+30000+50000+127860-3200+98000</f>
        <v>357660</v>
      </c>
      <c r="I33" s="68"/>
      <c r="J33" s="68"/>
      <c r="K33" s="68">
        <f t="shared" si="5"/>
        <v>351533.21</v>
      </c>
      <c r="L33" s="68">
        <v>351533.21</v>
      </c>
      <c r="M33" s="68"/>
      <c r="N33" s="68"/>
      <c r="O33" s="93">
        <f t="shared" si="2"/>
        <v>0.98286979254040152</v>
      </c>
      <c r="P33" s="68">
        <f t="shared" si="3"/>
        <v>-6126.789999999979</v>
      </c>
    </row>
    <row r="34" spans="1:16" s="9" customFormat="1" ht="124.8" x14ac:dyDescent="0.3">
      <c r="A34" s="13" t="s">
        <v>193</v>
      </c>
      <c r="B34" s="8">
        <v>8220</v>
      </c>
      <c r="C34" s="13" t="s">
        <v>82</v>
      </c>
      <c r="D34" s="10" t="s">
        <v>194</v>
      </c>
      <c r="E34" s="45" t="s">
        <v>195</v>
      </c>
      <c r="F34" s="8" t="s">
        <v>196</v>
      </c>
      <c r="G34" s="68">
        <f t="shared" si="4"/>
        <v>233347</v>
      </c>
      <c r="H34" s="68">
        <f>2083400-1000000-450000-400053</f>
        <v>233347</v>
      </c>
      <c r="I34" s="68"/>
      <c r="J34" s="68"/>
      <c r="K34" s="68">
        <f t="shared" si="5"/>
        <v>233280</v>
      </c>
      <c r="L34" s="68">
        <v>233280</v>
      </c>
      <c r="M34" s="68"/>
      <c r="N34" s="68"/>
      <c r="O34" s="93">
        <f t="shared" si="2"/>
        <v>0.99971287396023945</v>
      </c>
      <c r="P34" s="68">
        <f t="shared" si="3"/>
        <v>-67</v>
      </c>
    </row>
    <row r="35" spans="1:16" s="9" customFormat="1" ht="62.4" x14ac:dyDescent="0.3">
      <c r="A35" s="6" t="s">
        <v>80</v>
      </c>
      <c r="B35" s="6" t="s">
        <v>81</v>
      </c>
      <c r="C35" s="6" t="s">
        <v>82</v>
      </c>
      <c r="D35" s="61" t="s">
        <v>83</v>
      </c>
      <c r="E35" s="45" t="s">
        <v>187</v>
      </c>
      <c r="F35" s="8" t="s">
        <v>199</v>
      </c>
      <c r="G35" s="68">
        <f>H35+I35</f>
        <v>3310623</v>
      </c>
      <c r="H35" s="68">
        <f>2270000</f>
        <v>2270000</v>
      </c>
      <c r="I35" s="68">
        <f>514000+307000+201140+18483</f>
        <v>1040623</v>
      </c>
      <c r="J35" s="68">
        <f>514000+307000+201140+18483</f>
        <v>1040623</v>
      </c>
      <c r="K35" s="68">
        <f t="shared" si="5"/>
        <v>3295540</v>
      </c>
      <c r="L35" s="68">
        <v>2258016</v>
      </c>
      <c r="M35" s="68">
        <v>1037524</v>
      </c>
      <c r="N35" s="68">
        <f>M35</f>
        <v>1037524</v>
      </c>
      <c r="O35" s="93">
        <f t="shared" si="2"/>
        <v>0.99544405992467277</v>
      </c>
      <c r="P35" s="68">
        <f t="shared" si="3"/>
        <v>-15083</v>
      </c>
    </row>
    <row r="36" spans="1:16" s="9" customFormat="1" ht="78" x14ac:dyDescent="0.3">
      <c r="A36" s="6" t="s">
        <v>80</v>
      </c>
      <c r="B36" s="6" t="s">
        <v>81</v>
      </c>
      <c r="C36" s="6" t="s">
        <v>82</v>
      </c>
      <c r="D36" s="61" t="s">
        <v>83</v>
      </c>
      <c r="E36" s="45" t="s">
        <v>259</v>
      </c>
      <c r="F36" s="8" t="s">
        <v>311</v>
      </c>
      <c r="G36" s="68">
        <f t="shared" si="4"/>
        <v>1932677</v>
      </c>
      <c r="H36" s="68">
        <f>403200+173800+604700+376500+374477</f>
        <v>1932677</v>
      </c>
      <c r="I36" s="68"/>
      <c r="J36" s="68"/>
      <c r="K36" s="68">
        <f t="shared" si="5"/>
        <v>1931901.6</v>
      </c>
      <c r="L36" s="68">
        <v>1931901.6</v>
      </c>
      <c r="M36" s="68"/>
      <c r="N36" s="68"/>
      <c r="O36" s="93">
        <f t="shared" si="2"/>
        <v>0.99959879483224567</v>
      </c>
      <c r="P36" s="68">
        <f t="shared" si="3"/>
        <v>-775.39999999990687</v>
      </c>
    </row>
    <row r="37" spans="1:16" s="9" customFormat="1" ht="78" x14ac:dyDescent="0.3">
      <c r="A37" s="6" t="s">
        <v>274</v>
      </c>
      <c r="B37" s="6" t="s">
        <v>155</v>
      </c>
      <c r="C37" s="13" t="s">
        <v>82</v>
      </c>
      <c r="D37" s="10" t="s">
        <v>156</v>
      </c>
      <c r="E37" s="45" t="s">
        <v>259</v>
      </c>
      <c r="F37" s="8" t="s">
        <v>311</v>
      </c>
      <c r="G37" s="68">
        <f>H37+I37</f>
        <v>1522398</v>
      </c>
      <c r="H37" s="68">
        <f>22800+500000+107500+450000+385398</f>
        <v>1465698</v>
      </c>
      <c r="I37" s="68">
        <f>200500-22800-121000</f>
        <v>56700</v>
      </c>
      <c r="J37" s="68">
        <f>200500-22800-121000</f>
        <v>56700</v>
      </c>
      <c r="K37" s="68">
        <f t="shared" si="5"/>
        <v>1452822</v>
      </c>
      <c r="L37" s="68">
        <v>1396166.4</v>
      </c>
      <c r="M37" s="68">
        <v>56655.6</v>
      </c>
      <c r="N37" s="68">
        <f>M37</f>
        <v>56655.6</v>
      </c>
      <c r="O37" s="93">
        <f t="shared" si="2"/>
        <v>0.95429841605151877</v>
      </c>
      <c r="P37" s="68">
        <f t="shared" si="3"/>
        <v>-69576</v>
      </c>
    </row>
    <row r="38" spans="1:16" s="9" customFormat="1" ht="78" x14ac:dyDescent="0.3">
      <c r="A38" s="6" t="s">
        <v>84</v>
      </c>
      <c r="B38" s="6" t="s">
        <v>85</v>
      </c>
      <c r="C38" s="6" t="s">
        <v>86</v>
      </c>
      <c r="D38" s="61" t="s">
        <v>87</v>
      </c>
      <c r="E38" s="45" t="s">
        <v>214</v>
      </c>
      <c r="F38" s="8" t="s">
        <v>312</v>
      </c>
      <c r="G38" s="68">
        <f>H38+I38</f>
        <v>437600</v>
      </c>
      <c r="H38" s="68"/>
      <c r="I38" s="68">
        <f>900000-100000-362400</f>
        <v>437600</v>
      </c>
      <c r="J38" s="68"/>
      <c r="K38" s="68">
        <f t="shared" si="5"/>
        <v>90067.6</v>
      </c>
      <c r="L38" s="68"/>
      <c r="M38" s="68">
        <v>90067.6</v>
      </c>
      <c r="N38" s="68"/>
      <c r="O38" s="93">
        <f t="shared" si="2"/>
        <v>0.20582175502742231</v>
      </c>
      <c r="P38" s="68">
        <f t="shared" si="3"/>
        <v>-347532.4</v>
      </c>
    </row>
    <row r="39" spans="1:16" s="16" customFormat="1" ht="15.6" x14ac:dyDescent="0.3">
      <c r="A39" s="15" t="s">
        <v>5</v>
      </c>
      <c r="B39" s="15"/>
      <c r="C39" s="15"/>
      <c r="D39" s="82" t="s">
        <v>200</v>
      </c>
      <c r="E39" s="83"/>
      <c r="F39" s="55"/>
      <c r="G39" s="67">
        <f t="shared" ref="G39:N39" si="8">G40</f>
        <v>92030152.249999985</v>
      </c>
      <c r="H39" s="67">
        <f t="shared" si="8"/>
        <v>56970060.32</v>
      </c>
      <c r="I39" s="67">
        <f t="shared" si="8"/>
        <v>35060091.93</v>
      </c>
      <c r="J39" s="67">
        <f t="shared" si="8"/>
        <v>20437791.93</v>
      </c>
      <c r="K39" s="67">
        <f t="shared" si="8"/>
        <v>68599614.469999999</v>
      </c>
      <c r="L39" s="67">
        <f t="shared" si="8"/>
        <v>41610317.350000001</v>
      </c>
      <c r="M39" s="67">
        <f t="shared" si="8"/>
        <v>26989297.120000001</v>
      </c>
      <c r="N39" s="67">
        <f t="shared" si="8"/>
        <v>19455803.41</v>
      </c>
      <c r="O39" s="75">
        <f t="shared" si="2"/>
        <v>0.7454036833889951</v>
      </c>
      <c r="P39" s="67">
        <f t="shared" si="3"/>
        <v>-23430537.779999986</v>
      </c>
    </row>
    <row r="40" spans="1:16" s="16" customFormat="1" ht="15.6" x14ac:dyDescent="0.3">
      <c r="A40" s="15" t="s">
        <v>6</v>
      </c>
      <c r="B40" s="15"/>
      <c r="C40" s="15"/>
      <c r="D40" s="82" t="s">
        <v>200</v>
      </c>
      <c r="E40" s="83"/>
      <c r="F40" s="55"/>
      <c r="G40" s="67">
        <f t="shared" ref="G40:N40" si="9">SUM(G41:G63)</f>
        <v>92030152.249999985</v>
      </c>
      <c r="H40" s="67">
        <f t="shared" si="9"/>
        <v>56970060.32</v>
      </c>
      <c r="I40" s="67">
        <f t="shared" si="9"/>
        <v>35060091.93</v>
      </c>
      <c r="J40" s="67">
        <f t="shared" si="9"/>
        <v>20437791.93</v>
      </c>
      <c r="K40" s="67">
        <f t="shared" si="9"/>
        <v>68599614.469999999</v>
      </c>
      <c r="L40" s="67">
        <f t="shared" si="9"/>
        <v>41610317.350000001</v>
      </c>
      <c r="M40" s="67">
        <f t="shared" si="9"/>
        <v>26989297.120000001</v>
      </c>
      <c r="N40" s="67">
        <f t="shared" si="9"/>
        <v>19455803.41</v>
      </c>
      <c r="O40" s="75">
        <f t="shared" si="2"/>
        <v>0.7454036833889951</v>
      </c>
      <c r="P40" s="67">
        <f t="shared" si="3"/>
        <v>-23430537.779999986</v>
      </c>
    </row>
    <row r="41" spans="1:16" s="9" customFormat="1" ht="62.4" x14ac:dyDescent="0.3">
      <c r="A41" s="6" t="s">
        <v>7</v>
      </c>
      <c r="B41" s="6" t="s">
        <v>29</v>
      </c>
      <c r="C41" s="6" t="s">
        <v>15</v>
      </c>
      <c r="D41" s="7" t="s">
        <v>8</v>
      </c>
      <c r="E41" s="20" t="s">
        <v>92</v>
      </c>
      <c r="F41" s="12" t="s">
        <v>180</v>
      </c>
      <c r="G41" s="68">
        <f t="shared" ref="G41:G58" si="10">H41+I41</f>
        <v>1100000</v>
      </c>
      <c r="H41" s="68">
        <v>1100000</v>
      </c>
      <c r="I41" s="68"/>
      <c r="J41" s="68"/>
      <c r="K41" s="68">
        <f t="shared" ref="K41:K63" si="11">L41+M41</f>
        <v>808096.97</v>
      </c>
      <c r="L41" s="68">
        <v>808096.97</v>
      </c>
      <c r="M41" s="68"/>
      <c r="N41" s="68"/>
      <c r="O41" s="93">
        <f t="shared" si="2"/>
        <v>0.73463360909090902</v>
      </c>
      <c r="P41" s="68">
        <f t="shared" si="3"/>
        <v>-291903.03000000003</v>
      </c>
    </row>
    <row r="42" spans="1:16" s="9" customFormat="1" ht="46.8" x14ac:dyDescent="0.3">
      <c r="A42" s="6" t="s">
        <v>7</v>
      </c>
      <c r="B42" s="6" t="s">
        <v>29</v>
      </c>
      <c r="C42" s="6" t="s">
        <v>15</v>
      </c>
      <c r="D42" s="7" t="s">
        <v>8</v>
      </c>
      <c r="E42" s="20" t="s">
        <v>120</v>
      </c>
      <c r="F42" s="8" t="s">
        <v>174</v>
      </c>
      <c r="G42" s="68">
        <f t="shared" si="10"/>
        <v>7650040</v>
      </c>
      <c r="H42" s="68">
        <v>6650000</v>
      </c>
      <c r="I42" s="68">
        <f>1073037+700000+500000+77000-260000-889997-200000</f>
        <v>1000040</v>
      </c>
      <c r="J42" s="68">
        <f>1073037+700000+500000+77000-260000-889997-200000</f>
        <v>1000040</v>
      </c>
      <c r="K42" s="68">
        <f t="shared" si="11"/>
        <v>7218085.1099999994</v>
      </c>
      <c r="L42" s="68">
        <v>6218045.1399999997</v>
      </c>
      <c r="M42" s="68">
        <v>1000039.97</v>
      </c>
      <c r="N42" s="68">
        <f>M42</f>
        <v>1000039.97</v>
      </c>
      <c r="O42" s="93">
        <f t="shared" si="2"/>
        <v>0.94353560373540524</v>
      </c>
      <c r="P42" s="68">
        <f t="shared" si="3"/>
        <v>-431954.8900000006</v>
      </c>
    </row>
    <row r="43" spans="1:16" s="9" customFormat="1" ht="46.8" x14ac:dyDescent="0.3">
      <c r="A43" s="6" t="s">
        <v>57</v>
      </c>
      <c r="B43" s="6" t="s">
        <v>58</v>
      </c>
      <c r="C43" s="6" t="s">
        <v>44</v>
      </c>
      <c r="D43" s="61" t="s">
        <v>56</v>
      </c>
      <c r="E43" s="20" t="s">
        <v>120</v>
      </c>
      <c r="F43" s="8" t="s">
        <v>174</v>
      </c>
      <c r="G43" s="68">
        <f>H43+I43</f>
        <v>30231586.609999999</v>
      </c>
      <c r="H43" s="68">
        <v>24700000</v>
      </c>
      <c r="I43" s="68">
        <f>1800000+800000-200000-546750+600000+400000+9000+2173375+475000+475000-340000+73549-92000+304412.61-400000</f>
        <v>5531586.6100000003</v>
      </c>
      <c r="J43" s="68">
        <f>1800000+800000-200000-546750+600000+400000+9000+2173375+475000+475000-340000+73549-92000+304412.61-400000</f>
        <v>5531586.6100000003</v>
      </c>
      <c r="K43" s="68">
        <f t="shared" si="11"/>
        <v>25312219.140000001</v>
      </c>
      <c r="L43" s="68">
        <v>20642723.710000001</v>
      </c>
      <c r="M43" s="68">
        <v>4669495.43</v>
      </c>
      <c r="N43" s="68">
        <f>M43</f>
        <v>4669495.43</v>
      </c>
      <c r="O43" s="93">
        <f t="shared" si="2"/>
        <v>0.83727723147772959</v>
      </c>
      <c r="P43" s="68">
        <f t="shared" si="3"/>
        <v>-4919367.4699999988</v>
      </c>
    </row>
    <row r="44" spans="1:16" s="9" customFormat="1" ht="46.8" x14ac:dyDescent="0.3">
      <c r="A44" s="6" t="s">
        <v>57</v>
      </c>
      <c r="B44" s="6" t="s">
        <v>58</v>
      </c>
      <c r="C44" s="6" t="s">
        <v>44</v>
      </c>
      <c r="D44" s="61" t="s">
        <v>56</v>
      </c>
      <c r="E44" s="20" t="s">
        <v>157</v>
      </c>
      <c r="F44" s="8" t="s">
        <v>158</v>
      </c>
      <c r="G44" s="68">
        <f t="shared" si="10"/>
        <v>200000</v>
      </c>
      <c r="H44" s="68">
        <v>200000</v>
      </c>
      <c r="I44" s="68"/>
      <c r="J44" s="68"/>
      <c r="K44" s="68">
        <f t="shared" si="11"/>
        <v>0</v>
      </c>
      <c r="L44" s="68"/>
      <c r="M44" s="68"/>
      <c r="N44" s="68"/>
      <c r="O44" s="93">
        <f t="shared" si="2"/>
        <v>0</v>
      </c>
      <c r="P44" s="68">
        <f t="shared" si="3"/>
        <v>-200000</v>
      </c>
    </row>
    <row r="45" spans="1:16" s="9" customFormat="1" ht="62.4" x14ac:dyDescent="0.3">
      <c r="A45" s="6" t="s">
        <v>57</v>
      </c>
      <c r="B45" s="6" t="s">
        <v>58</v>
      </c>
      <c r="C45" s="6" t="s">
        <v>44</v>
      </c>
      <c r="D45" s="61" t="s">
        <v>56</v>
      </c>
      <c r="E45" s="20" t="s">
        <v>184</v>
      </c>
      <c r="F45" s="8" t="s">
        <v>183</v>
      </c>
      <c r="G45" s="68">
        <f t="shared" si="10"/>
        <v>15000</v>
      </c>
      <c r="H45" s="68">
        <v>15000</v>
      </c>
      <c r="I45" s="68"/>
      <c r="J45" s="68"/>
      <c r="K45" s="68">
        <f t="shared" si="11"/>
        <v>12000</v>
      </c>
      <c r="L45" s="68">
        <v>12000</v>
      </c>
      <c r="M45" s="68"/>
      <c r="N45" s="68"/>
      <c r="O45" s="93">
        <f t="shared" si="2"/>
        <v>0.8</v>
      </c>
      <c r="P45" s="68">
        <f t="shared" si="3"/>
        <v>-3000</v>
      </c>
    </row>
    <row r="46" spans="1:16" s="9" customFormat="1" ht="62.4" x14ac:dyDescent="0.3">
      <c r="A46" s="6" t="s">
        <v>121</v>
      </c>
      <c r="B46" s="6" t="s">
        <v>122</v>
      </c>
      <c r="C46" s="6" t="s">
        <v>123</v>
      </c>
      <c r="D46" s="61" t="s">
        <v>124</v>
      </c>
      <c r="E46" s="20" t="s">
        <v>120</v>
      </c>
      <c r="F46" s="8" t="s">
        <v>174</v>
      </c>
      <c r="G46" s="68">
        <f>H46+I46</f>
        <v>2859069</v>
      </c>
      <c r="H46" s="68">
        <f>2000000-676400+837400+4000+10000</f>
        <v>2175000</v>
      </c>
      <c r="I46" s="68">
        <f>9100-31+675000</f>
        <v>684069</v>
      </c>
      <c r="J46" s="68">
        <f>9100-31+675000</f>
        <v>684069</v>
      </c>
      <c r="K46" s="68">
        <f t="shared" si="11"/>
        <v>2407574.61</v>
      </c>
      <c r="L46" s="68">
        <v>1768505.97</v>
      </c>
      <c r="M46" s="68">
        <v>639068.64</v>
      </c>
      <c r="N46" s="68">
        <f>M46</f>
        <v>639068.64</v>
      </c>
      <c r="O46" s="93">
        <f t="shared" si="2"/>
        <v>0.84208342296041117</v>
      </c>
      <c r="P46" s="68">
        <f t="shared" si="3"/>
        <v>-451494.39000000013</v>
      </c>
    </row>
    <row r="47" spans="1:16" s="9" customFormat="1" ht="46.8" x14ac:dyDescent="0.3">
      <c r="A47" s="6" t="s">
        <v>316</v>
      </c>
      <c r="B47" s="6" t="s">
        <v>125</v>
      </c>
      <c r="C47" s="8" t="s">
        <v>217</v>
      </c>
      <c r="D47" s="10" t="s">
        <v>317</v>
      </c>
      <c r="E47" s="20" t="s">
        <v>120</v>
      </c>
      <c r="F47" s="8" t="s">
        <v>174</v>
      </c>
      <c r="G47" s="68">
        <f>H47+I47</f>
        <v>687783</v>
      </c>
      <c r="H47" s="68">
        <v>684300</v>
      </c>
      <c r="I47" s="68">
        <f>4000-517</f>
        <v>3483</v>
      </c>
      <c r="J47" s="68">
        <f>4000-517</f>
        <v>3483</v>
      </c>
      <c r="K47" s="68">
        <f t="shared" si="11"/>
        <v>687782.02</v>
      </c>
      <c r="L47" s="68">
        <v>684300</v>
      </c>
      <c r="M47" s="68">
        <v>3482.02</v>
      </c>
      <c r="N47" s="68">
        <f>M47</f>
        <v>3482.02</v>
      </c>
      <c r="O47" s="93">
        <f t="shared" si="2"/>
        <v>0.99999857513198209</v>
      </c>
      <c r="P47" s="68">
        <f t="shared" si="3"/>
        <v>-0.97999999998137355</v>
      </c>
    </row>
    <row r="48" spans="1:16" s="9" customFormat="1" ht="46.8" x14ac:dyDescent="0.3">
      <c r="A48" s="6" t="s">
        <v>383</v>
      </c>
      <c r="B48" s="6" t="s">
        <v>384</v>
      </c>
      <c r="C48" s="13" t="s">
        <v>277</v>
      </c>
      <c r="D48" s="10" t="s">
        <v>382</v>
      </c>
      <c r="E48" s="20" t="s">
        <v>120</v>
      </c>
      <c r="F48" s="8" t="s">
        <v>174</v>
      </c>
      <c r="G48" s="68">
        <f>H48+I48</f>
        <v>3733000</v>
      </c>
      <c r="H48" s="68"/>
      <c r="I48" s="68">
        <f>3750000-17000</f>
        <v>3733000</v>
      </c>
      <c r="J48" s="68">
        <f>3750000-17000</f>
        <v>3733000</v>
      </c>
      <c r="K48" s="68">
        <f t="shared" si="11"/>
        <v>3733000</v>
      </c>
      <c r="L48" s="68"/>
      <c r="M48" s="68">
        <v>3733000</v>
      </c>
      <c r="N48" s="68">
        <f>M48</f>
        <v>3733000</v>
      </c>
      <c r="O48" s="93">
        <f t="shared" si="2"/>
        <v>1</v>
      </c>
      <c r="P48" s="68">
        <f t="shared" si="3"/>
        <v>0</v>
      </c>
    </row>
    <row r="49" spans="1:98" s="9" customFormat="1" ht="46.8" x14ac:dyDescent="0.3">
      <c r="A49" s="8" t="s">
        <v>318</v>
      </c>
      <c r="B49" s="8" t="s">
        <v>319</v>
      </c>
      <c r="C49" s="8" t="s">
        <v>277</v>
      </c>
      <c r="D49" s="10" t="s">
        <v>320</v>
      </c>
      <c r="E49" s="20" t="s">
        <v>120</v>
      </c>
      <c r="F49" s="8" t="s">
        <v>174</v>
      </c>
      <c r="G49" s="68">
        <f t="shared" ref="G49:G50" si="12">H49+I49</f>
        <v>80000</v>
      </c>
      <c r="H49" s="68">
        <f>100000-20000</f>
        <v>80000</v>
      </c>
      <c r="I49" s="68"/>
      <c r="J49" s="68"/>
      <c r="K49" s="68">
        <f t="shared" si="11"/>
        <v>73300</v>
      </c>
      <c r="L49" s="68">
        <v>73300</v>
      </c>
      <c r="M49" s="68"/>
      <c r="N49" s="68"/>
      <c r="O49" s="93">
        <f t="shared" si="2"/>
        <v>0.91625000000000001</v>
      </c>
      <c r="P49" s="68">
        <f t="shared" si="3"/>
        <v>-6700</v>
      </c>
    </row>
    <row r="50" spans="1:98" s="9" customFormat="1" ht="46.8" x14ac:dyDescent="0.3">
      <c r="A50" s="8" t="s">
        <v>321</v>
      </c>
      <c r="B50" s="8" t="s">
        <v>322</v>
      </c>
      <c r="C50" s="8" t="s">
        <v>277</v>
      </c>
      <c r="D50" s="10" t="s">
        <v>323</v>
      </c>
      <c r="E50" s="20" t="s">
        <v>120</v>
      </c>
      <c r="F50" s="8" t="s">
        <v>174</v>
      </c>
      <c r="G50" s="68">
        <f t="shared" si="12"/>
        <v>148400</v>
      </c>
      <c r="H50" s="68">
        <f>145600+2800</f>
        <v>148400</v>
      </c>
      <c r="I50" s="68"/>
      <c r="J50" s="68"/>
      <c r="K50" s="68">
        <f t="shared" si="11"/>
        <v>148400</v>
      </c>
      <c r="L50" s="68">
        <v>148400</v>
      </c>
      <c r="M50" s="68"/>
      <c r="N50" s="68"/>
      <c r="O50" s="93">
        <f t="shared" si="2"/>
        <v>1</v>
      </c>
      <c r="P50" s="68">
        <f t="shared" si="3"/>
        <v>0</v>
      </c>
    </row>
    <row r="51" spans="1:98" s="9" customFormat="1" ht="94.5" customHeight="1" x14ac:dyDescent="0.3">
      <c r="A51" s="6" t="s">
        <v>275</v>
      </c>
      <c r="B51" s="13" t="s">
        <v>276</v>
      </c>
      <c r="C51" s="13" t="s">
        <v>277</v>
      </c>
      <c r="D51" s="10" t="s">
        <v>278</v>
      </c>
      <c r="E51" s="20" t="s">
        <v>120</v>
      </c>
      <c r="F51" s="8" t="s">
        <v>174</v>
      </c>
      <c r="G51" s="68">
        <f t="shared" ref="G51:G57" si="13">H51+I51</f>
        <v>1291800</v>
      </c>
      <c r="H51" s="68"/>
      <c r="I51" s="68">
        <f>1304329-12529</f>
        <v>1291800</v>
      </c>
      <c r="J51" s="68">
        <f>1304329-12529</f>
        <v>1291800</v>
      </c>
      <c r="K51" s="68">
        <f t="shared" si="11"/>
        <v>1291800</v>
      </c>
      <c r="L51" s="68"/>
      <c r="M51" s="68">
        <v>1291800</v>
      </c>
      <c r="N51" s="68">
        <f>M51</f>
        <v>1291800</v>
      </c>
      <c r="O51" s="93">
        <f t="shared" si="2"/>
        <v>1</v>
      </c>
      <c r="P51" s="68">
        <f t="shared" si="3"/>
        <v>0</v>
      </c>
    </row>
    <row r="52" spans="1:98" s="9" customFormat="1" ht="78" x14ac:dyDescent="0.3">
      <c r="A52" s="13" t="s">
        <v>369</v>
      </c>
      <c r="B52" s="13" t="s">
        <v>370</v>
      </c>
      <c r="C52" s="13" t="s">
        <v>277</v>
      </c>
      <c r="D52" s="10" t="s">
        <v>371</v>
      </c>
      <c r="E52" s="20" t="s">
        <v>120</v>
      </c>
      <c r="F52" s="8" t="s">
        <v>174</v>
      </c>
      <c r="G52" s="68">
        <f t="shared" si="13"/>
        <v>3043200</v>
      </c>
      <c r="H52" s="68"/>
      <c r="I52" s="68">
        <v>3043200</v>
      </c>
      <c r="J52" s="68">
        <v>3043200</v>
      </c>
      <c r="K52" s="68">
        <f t="shared" si="11"/>
        <v>3043200</v>
      </c>
      <c r="L52" s="68"/>
      <c r="M52" s="68">
        <v>3043200</v>
      </c>
      <c r="N52" s="68">
        <f>M52</f>
        <v>3043200</v>
      </c>
      <c r="O52" s="93">
        <f t="shared" si="2"/>
        <v>1</v>
      </c>
      <c r="P52" s="68">
        <f t="shared" si="3"/>
        <v>0</v>
      </c>
    </row>
    <row r="53" spans="1:98" s="9" customFormat="1" ht="78" x14ac:dyDescent="0.3">
      <c r="A53" s="13" t="s">
        <v>375</v>
      </c>
      <c r="B53" s="13" t="s">
        <v>376</v>
      </c>
      <c r="C53" s="13" t="s">
        <v>277</v>
      </c>
      <c r="D53" s="10" t="s">
        <v>377</v>
      </c>
      <c r="E53" s="20" t="s">
        <v>120</v>
      </c>
      <c r="F53" s="8" t="s">
        <v>174</v>
      </c>
      <c r="G53" s="68">
        <f t="shared" si="13"/>
        <v>4508100</v>
      </c>
      <c r="H53" s="68"/>
      <c r="I53" s="68">
        <v>4508100</v>
      </c>
      <c r="J53" s="68"/>
      <c r="K53" s="68">
        <f t="shared" si="11"/>
        <v>0</v>
      </c>
      <c r="L53" s="68"/>
      <c r="M53" s="68"/>
      <c r="N53" s="68"/>
      <c r="O53" s="93">
        <f t="shared" si="2"/>
        <v>0</v>
      </c>
      <c r="P53" s="68">
        <f t="shared" si="3"/>
        <v>-4508100</v>
      </c>
    </row>
    <row r="54" spans="1:98" s="9" customFormat="1" ht="66.75" customHeight="1" x14ac:dyDescent="0.3">
      <c r="A54" s="13" t="s">
        <v>347</v>
      </c>
      <c r="B54" s="13" t="s">
        <v>348</v>
      </c>
      <c r="C54" s="13" t="s">
        <v>277</v>
      </c>
      <c r="D54" s="10" t="s">
        <v>349</v>
      </c>
      <c r="E54" s="20" t="s">
        <v>153</v>
      </c>
      <c r="F54" s="8" t="s">
        <v>173</v>
      </c>
      <c r="G54" s="68">
        <f t="shared" si="13"/>
        <v>964613.8</v>
      </c>
      <c r="H54" s="68"/>
      <c r="I54" s="68">
        <f>1400000-400000-35386.2</f>
        <v>964613.8</v>
      </c>
      <c r="J54" s="68">
        <f>1400000-400000-35386.2</f>
        <v>964613.8</v>
      </c>
      <c r="K54" s="68">
        <f t="shared" si="11"/>
        <v>964613.8</v>
      </c>
      <c r="L54" s="68"/>
      <c r="M54" s="68">
        <v>964613.8</v>
      </c>
      <c r="N54" s="68">
        <f>M54</f>
        <v>964613.8</v>
      </c>
      <c r="O54" s="93">
        <f t="shared" si="2"/>
        <v>1</v>
      </c>
      <c r="P54" s="68">
        <f t="shared" si="3"/>
        <v>0</v>
      </c>
    </row>
    <row r="55" spans="1:98" s="9" customFormat="1" ht="48" customHeight="1" x14ac:dyDescent="0.3">
      <c r="A55" s="13" t="s">
        <v>372</v>
      </c>
      <c r="B55" s="13" t="s">
        <v>373</v>
      </c>
      <c r="C55" s="13" t="s">
        <v>277</v>
      </c>
      <c r="D55" s="10" t="s">
        <v>374</v>
      </c>
      <c r="E55" s="20" t="s">
        <v>120</v>
      </c>
      <c r="F55" s="8" t="s">
        <v>174</v>
      </c>
      <c r="G55" s="68">
        <f t="shared" si="13"/>
        <v>7220800</v>
      </c>
      <c r="H55" s="68"/>
      <c r="I55" s="68">
        <v>7220800</v>
      </c>
      <c r="J55" s="68"/>
      <c r="K55" s="68">
        <f t="shared" si="11"/>
        <v>7153423.71</v>
      </c>
      <c r="L55" s="68"/>
      <c r="M55" s="68">
        <v>7153423.71</v>
      </c>
      <c r="N55" s="68"/>
      <c r="O55" s="93">
        <f t="shared" si="2"/>
        <v>0.99066913776866827</v>
      </c>
      <c r="P55" s="68">
        <f t="shared" si="3"/>
        <v>-67376.290000000037</v>
      </c>
    </row>
    <row r="56" spans="1:98" s="9" customFormat="1" ht="62.4" x14ac:dyDescent="0.3">
      <c r="A56" s="13" t="s">
        <v>378</v>
      </c>
      <c r="B56" s="8">
        <v>1700</v>
      </c>
      <c r="C56" s="8" t="s">
        <v>277</v>
      </c>
      <c r="D56" s="39" t="s">
        <v>379</v>
      </c>
      <c r="E56" s="20" t="s">
        <v>120</v>
      </c>
      <c r="F56" s="8" t="s">
        <v>174</v>
      </c>
      <c r="G56" s="68">
        <f t="shared" si="13"/>
        <v>2893400</v>
      </c>
      <c r="H56" s="68"/>
      <c r="I56" s="68">
        <f>1446700+1446700</f>
        <v>2893400</v>
      </c>
      <c r="J56" s="68"/>
      <c r="K56" s="68">
        <f t="shared" si="11"/>
        <v>380070</v>
      </c>
      <c r="L56" s="68"/>
      <c r="M56" s="68">
        <v>380070</v>
      </c>
      <c r="N56" s="68"/>
      <c r="O56" s="93">
        <f t="shared" si="2"/>
        <v>0.13135757240616575</v>
      </c>
      <c r="P56" s="68">
        <f t="shared" si="3"/>
        <v>-2513330</v>
      </c>
    </row>
    <row r="57" spans="1:98" s="9" customFormat="1" ht="46.8" x14ac:dyDescent="0.3">
      <c r="A57" s="13" t="s">
        <v>380</v>
      </c>
      <c r="B57" s="8">
        <v>1702</v>
      </c>
      <c r="C57" s="8" t="s">
        <v>277</v>
      </c>
      <c r="D57" s="39" t="s">
        <v>381</v>
      </c>
      <c r="E57" s="20" t="s">
        <v>120</v>
      </c>
      <c r="F57" s="8" t="s">
        <v>174</v>
      </c>
      <c r="G57" s="68">
        <f t="shared" si="13"/>
        <v>12957600</v>
      </c>
      <c r="H57" s="68">
        <v>12957600</v>
      </c>
      <c r="I57" s="68"/>
      <c r="J57" s="68"/>
      <c r="K57" s="68">
        <f t="shared" si="11"/>
        <v>3119339.86</v>
      </c>
      <c r="L57" s="68">
        <v>3119339.86</v>
      </c>
      <c r="M57" s="68"/>
      <c r="N57" s="68"/>
      <c r="O57" s="93">
        <f t="shared" si="2"/>
        <v>0.24073438445391121</v>
      </c>
      <c r="P57" s="68">
        <f t="shared" si="3"/>
        <v>-9838260.1400000006</v>
      </c>
    </row>
    <row r="58" spans="1:98" s="9" customFormat="1" ht="72.75" customHeight="1" x14ac:dyDescent="0.3">
      <c r="A58" s="6" t="s">
        <v>181</v>
      </c>
      <c r="B58" s="6" t="s">
        <v>26</v>
      </c>
      <c r="C58" s="6" t="s">
        <v>27</v>
      </c>
      <c r="D58" s="40" t="s">
        <v>16</v>
      </c>
      <c r="E58" s="20" t="s">
        <v>182</v>
      </c>
      <c r="F58" s="8" t="s">
        <v>206</v>
      </c>
      <c r="G58" s="68">
        <f t="shared" si="10"/>
        <v>2184645.3199999998</v>
      </c>
      <c r="H58" s="68">
        <f>4638400-500000-1152400-630000-66834.68-104520</f>
        <v>2184645.3199999998</v>
      </c>
      <c r="I58" s="68"/>
      <c r="J58" s="68"/>
      <c r="K58" s="68">
        <f t="shared" si="11"/>
        <v>2184638.2000000002</v>
      </c>
      <c r="L58" s="68">
        <v>2184638.2000000002</v>
      </c>
      <c r="M58" s="68"/>
      <c r="N58" s="68"/>
      <c r="O58" s="93">
        <f t="shared" si="2"/>
        <v>0.99999674088972956</v>
      </c>
      <c r="P58" s="68">
        <f t="shared" si="3"/>
        <v>-7.1199999996460974</v>
      </c>
    </row>
    <row r="59" spans="1:98" s="21" customFormat="1" ht="46.8" x14ac:dyDescent="0.3">
      <c r="A59" s="13" t="s">
        <v>24</v>
      </c>
      <c r="B59" s="8">
        <v>3242</v>
      </c>
      <c r="C59" s="8">
        <v>1090</v>
      </c>
      <c r="D59" s="20" t="s">
        <v>14</v>
      </c>
      <c r="E59" s="20" t="s">
        <v>28</v>
      </c>
      <c r="F59" s="8" t="s">
        <v>176</v>
      </c>
      <c r="G59" s="68">
        <f t="shared" ref="G59:G63" si="14">H59+I59</f>
        <v>300000</v>
      </c>
      <c r="H59" s="68">
        <v>300000</v>
      </c>
      <c r="I59" s="68"/>
      <c r="J59" s="68"/>
      <c r="K59" s="68">
        <f t="shared" si="11"/>
        <v>289890</v>
      </c>
      <c r="L59" s="68">
        <v>289890</v>
      </c>
      <c r="M59" s="68"/>
      <c r="N59" s="68"/>
      <c r="O59" s="93">
        <f t="shared" si="2"/>
        <v>0.96630000000000005</v>
      </c>
      <c r="P59" s="68">
        <f t="shared" si="3"/>
        <v>-10110</v>
      </c>
    </row>
    <row r="60" spans="1:98" s="21" customFormat="1" ht="46.8" x14ac:dyDescent="0.3">
      <c r="A60" s="13" t="s">
        <v>24</v>
      </c>
      <c r="B60" s="8">
        <v>3242</v>
      </c>
      <c r="C60" s="8">
        <v>1090</v>
      </c>
      <c r="D60" s="20" t="s">
        <v>14</v>
      </c>
      <c r="E60" s="20" t="s">
        <v>75</v>
      </c>
      <c r="F60" s="8" t="s">
        <v>172</v>
      </c>
      <c r="G60" s="68">
        <f t="shared" si="14"/>
        <v>3212500</v>
      </c>
      <c r="H60" s="68">
        <f>3801000-588500</f>
        <v>3212500</v>
      </c>
      <c r="I60" s="68"/>
      <c r="J60" s="68"/>
      <c r="K60" s="68">
        <f t="shared" si="11"/>
        <v>3158196.12</v>
      </c>
      <c r="L60" s="68">
        <v>3158196.12</v>
      </c>
      <c r="M60" s="71"/>
      <c r="N60" s="68"/>
      <c r="O60" s="93">
        <f t="shared" si="2"/>
        <v>0.98309606848249032</v>
      </c>
      <c r="P60" s="68">
        <f t="shared" si="3"/>
        <v>-54303.879999999888</v>
      </c>
    </row>
    <row r="61" spans="1:98" s="21" customFormat="1" ht="46.8" x14ac:dyDescent="0.3">
      <c r="A61" s="8" t="s">
        <v>324</v>
      </c>
      <c r="B61" s="8" t="s">
        <v>325</v>
      </c>
      <c r="C61" s="8" t="s">
        <v>37</v>
      </c>
      <c r="D61" s="10" t="s">
        <v>326</v>
      </c>
      <c r="E61" s="20" t="s">
        <v>120</v>
      </c>
      <c r="F61" s="8" t="s">
        <v>174</v>
      </c>
      <c r="G61" s="68">
        <f t="shared" si="14"/>
        <v>759270</v>
      </c>
      <c r="H61" s="68">
        <v>282000</v>
      </c>
      <c r="I61" s="68">
        <f>310000+444270+92000+500000-869000</f>
        <v>477270</v>
      </c>
      <c r="J61" s="68">
        <f>310000+444270+92000+500000-869000</f>
        <v>477270</v>
      </c>
      <c r="K61" s="68">
        <f t="shared" si="11"/>
        <v>758210</v>
      </c>
      <c r="L61" s="68">
        <v>282000</v>
      </c>
      <c r="M61" s="68">
        <v>476210</v>
      </c>
      <c r="N61" s="68">
        <f>M61</f>
        <v>476210</v>
      </c>
      <c r="O61" s="93">
        <f t="shared" si="2"/>
        <v>0.99860392218841787</v>
      </c>
      <c r="P61" s="68">
        <f t="shared" si="3"/>
        <v>-1060</v>
      </c>
    </row>
    <row r="62" spans="1:98" s="21" customFormat="1" ht="46.8" x14ac:dyDescent="0.3">
      <c r="A62" s="11" t="s">
        <v>247</v>
      </c>
      <c r="B62" s="6" t="s">
        <v>229</v>
      </c>
      <c r="C62" s="6" t="s">
        <v>230</v>
      </c>
      <c r="D62" s="7" t="s">
        <v>261</v>
      </c>
      <c r="E62" s="20" t="s">
        <v>260</v>
      </c>
      <c r="F62" s="8" t="s">
        <v>310</v>
      </c>
      <c r="G62" s="68">
        <f t="shared" si="14"/>
        <v>1153000</v>
      </c>
      <c r="H62" s="68">
        <f>500000+600000+173000-120000</f>
        <v>1153000</v>
      </c>
      <c r="I62" s="68"/>
      <c r="J62" s="68"/>
      <c r="K62" s="68">
        <f t="shared" si="11"/>
        <v>1147543</v>
      </c>
      <c r="L62" s="68">
        <v>1147543</v>
      </c>
      <c r="M62" s="68"/>
      <c r="N62" s="68"/>
      <c r="O62" s="93">
        <f t="shared" si="2"/>
        <v>0.99526712922810057</v>
      </c>
      <c r="P62" s="68">
        <f t="shared" si="3"/>
        <v>-5457</v>
      </c>
    </row>
    <row r="63" spans="1:98" s="21" customFormat="1" ht="46.8" x14ac:dyDescent="0.3">
      <c r="A63" s="11" t="s">
        <v>252</v>
      </c>
      <c r="B63" s="6" t="s">
        <v>250</v>
      </c>
      <c r="C63" s="6" t="s">
        <v>162</v>
      </c>
      <c r="D63" s="10" t="s">
        <v>163</v>
      </c>
      <c r="E63" s="20" t="s">
        <v>153</v>
      </c>
      <c r="F63" s="8" t="s">
        <v>173</v>
      </c>
      <c r="G63" s="68">
        <f t="shared" si="14"/>
        <v>4836344.5199999996</v>
      </c>
      <c r="H63" s="68">
        <f>780000+20000-208385+371000+165000</f>
        <v>1127615</v>
      </c>
      <c r="I63" s="68">
        <f>200000+6894650+200000-37590-211300+780000-130000+295784+1820000-6099362.19-3452.29</f>
        <v>3708729.5199999996</v>
      </c>
      <c r="J63" s="68">
        <f>200000+6894650+200000-37590-211300+780000-130000+295784+1820000-6099362.19-3452.29</f>
        <v>3708729.5199999996</v>
      </c>
      <c r="K63" s="68">
        <f t="shared" si="11"/>
        <v>4708231.93</v>
      </c>
      <c r="L63" s="68">
        <v>1073338.3799999999</v>
      </c>
      <c r="M63" s="68">
        <v>3634893.55</v>
      </c>
      <c r="N63" s="68">
        <f>M63</f>
        <v>3634893.55</v>
      </c>
      <c r="O63" s="93">
        <f t="shared" si="2"/>
        <v>0.97351044999581626</v>
      </c>
      <c r="P63" s="68">
        <f t="shared" si="3"/>
        <v>-128112.58999999985</v>
      </c>
    </row>
    <row r="64" spans="1:98" s="30" customFormat="1" ht="15.6" x14ac:dyDescent="0.3">
      <c r="A64" s="15" t="s">
        <v>17</v>
      </c>
      <c r="B64" s="15"/>
      <c r="C64" s="15"/>
      <c r="D64" s="82" t="s">
        <v>145</v>
      </c>
      <c r="E64" s="83"/>
      <c r="F64" s="55"/>
      <c r="G64" s="67">
        <f>G65</f>
        <v>61778525</v>
      </c>
      <c r="H64" s="67">
        <f>H65</f>
        <v>60786900</v>
      </c>
      <c r="I64" s="67">
        <f t="shared" ref="I64:J64" si="15">I65</f>
        <v>991625</v>
      </c>
      <c r="J64" s="67">
        <f t="shared" si="15"/>
        <v>991625</v>
      </c>
      <c r="K64" s="67">
        <f>K65</f>
        <v>58569980.579999998</v>
      </c>
      <c r="L64" s="67">
        <f>L65</f>
        <v>57617181.870000005</v>
      </c>
      <c r="M64" s="67">
        <f t="shared" ref="M64:N64" si="16">M65</f>
        <v>952798.71</v>
      </c>
      <c r="N64" s="67">
        <f t="shared" si="16"/>
        <v>952798.71</v>
      </c>
      <c r="O64" s="75">
        <f t="shared" si="2"/>
        <v>0.94806375807774623</v>
      </c>
      <c r="P64" s="67">
        <f t="shared" si="3"/>
        <v>-3208544.4200000018</v>
      </c>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c r="BG64" s="16"/>
      <c r="BH64" s="16"/>
      <c r="BI64" s="16"/>
      <c r="BJ64" s="16"/>
      <c r="BK64" s="16"/>
      <c r="BL64" s="16"/>
      <c r="BM64" s="16"/>
      <c r="BN64" s="16"/>
      <c r="BO64" s="16"/>
      <c r="BP64" s="16"/>
      <c r="BQ64" s="16"/>
      <c r="BR64" s="16"/>
      <c r="BS64" s="16"/>
      <c r="BT64" s="16"/>
      <c r="BU64" s="16"/>
      <c r="BV64" s="16"/>
      <c r="BW64" s="16"/>
      <c r="BX64" s="16"/>
      <c r="BY64" s="16"/>
      <c r="BZ64" s="16"/>
      <c r="CA64" s="16"/>
      <c r="CB64" s="16"/>
      <c r="CC64" s="16"/>
      <c r="CD64" s="16"/>
      <c r="CE64" s="16"/>
      <c r="CF64" s="16"/>
      <c r="CG64" s="16"/>
      <c r="CH64" s="16"/>
      <c r="CI64" s="16"/>
      <c r="CJ64" s="16"/>
      <c r="CK64" s="16"/>
      <c r="CL64" s="16"/>
      <c r="CM64" s="16"/>
      <c r="CN64" s="16"/>
      <c r="CO64" s="16"/>
      <c r="CP64" s="16"/>
      <c r="CQ64" s="16"/>
      <c r="CR64" s="16"/>
      <c r="CS64" s="16"/>
      <c r="CT64" s="16"/>
    </row>
    <row r="65" spans="1:98" s="30" customFormat="1" ht="15.6" x14ac:dyDescent="0.3">
      <c r="A65" s="15" t="s">
        <v>18</v>
      </c>
      <c r="B65" s="15"/>
      <c r="C65" s="15"/>
      <c r="D65" s="82" t="s">
        <v>145</v>
      </c>
      <c r="E65" s="83"/>
      <c r="F65" s="55"/>
      <c r="G65" s="67">
        <f t="shared" ref="G65:N65" si="17">SUM(G66:G80)</f>
        <v>61778525</v>
      </c>
      <c r="H65" s="67">
        <f t="shared" si="17"/>
        <v>60786900</v>
      </c>
      <c r="I65" s="67">
        <f t="shared" si="17"/>
        <v>991625</v>
      </c>
      <c r="J65" s="67">
        <f t="shared" si="17"/>
        <v>991625</v>
      </c>
      <c r="K65" s="67">
        <f t="shared" si="17"/>
        <v>58569980.579999998</v>
      </c>
      <c r="L65" s="67">
        <f t="shared" si="17"/>
        <v>57617181.870000005</v>
      </c>
      <c r="M65" s="67">
        <f t="shared" si="17"/>
        <v>952798.71</v>
      </c>
      <c r="N65" s="67">
        <f t="shared" si="17"/>
        <v>952798.71</v>
      </c>
      <c r="O65" s="75">
        <f t="shared" si="2"/>
        <v>0.94806375807774623</v>
      </c>
      <c r="P65" s="67">
        <f t="shared" si="3"/>
        <v>-3208544.4200000018</v>
      </c>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c r="CB65" s="16"/>
      <c r="CC65" s="16"/>
      <c r="CD65" s="16"/>
      <c r="CE65" s="16"/>
      <c r="CF65" s="16"/>
      <c r="CG65" s="16"/>
      <c r="CH65" s="16"/>
      <c r="CI65" s="16"/>
      <c r="CJ65" s="16"/>
      <c r="CK65" s="16"/>
      <c r="CL65" s="16"/>
      <c r="CM65" s="16"/>
      <c r="CN65" s="16"/>
      <c r="CO65" s="16"/>
      <c r="CP65" s="16"/>
      <c r="CQ65" s="16"/>
      <c r="CR65" s="16"/>
      <c r="CS65" s="16"/>
      <c r="CT65" s="16"/>
    </row>
    <row r="66" spans="1:98" s="29" customFormat="1" ht="62.4" x14ac:dyDescent="0.3">
      <c r="A66" s="6" t="s">
        <v>88</v>
      </c>
      <c r="B66" s="6" t="s">
        <v>89</v>
      </c>
      <c r="C66" s="6" t="s">
        <v>90</v>
      </c>
      <c r="D66" s="60" t="s">
        <v>91</v>
      </c>
      <c r="E66" s="20" t="s">
        <v>92</v>
      </c>
      <c r="F66" s="8" t="s">
        <v>93</v>
      </c>
      <c r="G66" s="68">
        <f>H66+I66</f>
        <v>1704000</v>
      </c>
      <c r="H66" s="68">
        <f>3153000-246000-20000-1000000-183000</f>
        <v>1704000</v>
      </c>
      <c r="I66" s="68"/>
      <c r="J66" s="68"/>
      <c r="K66" s="68">
        <f t="shared" ref="K66:K80" si="18">L66+M66</f>
        <v>1650000</v>
      </c>
      <c r="L66" s="68">
        <v>1650000</v>
      </c>
      <c r="M66" s="68"/>
      <c r="N66" s="68"/>
      <c r="O66" s="93">
        <f t="shared" si="2"/>
        <v>0.96830985915492962</v>
      </c>
      <c r="P66" s="68">
        <f t="shared" si="3"/>
        <v>-54000</v>
      </c>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9"/>
      <c r="BH66" s="9"/>
      <c r="BI66" s="9"/>
      <c r="BJ66" s="9"/>
      <c r="BK66" s="9"/>
      <c r="BL66" s="9"/>
      <c r="BM66" s="9"/>
      <c r="BN66" s="9"/>
      <c r="BO66" s="9"/>
      <c r="BP66" s="9"/>
      <c r="BQ66" s="9"/>
      <c r="BR66" s="9"/>
      <c r="BS66" s="9"/>
      <c r="BT66" s="9"/>
      <c r="BU66" s="9"/>
      <c r="BV66" s="9"/>
      <c r="BW66" s="9"/>
      <c r="BX66" s="9"/>
      <c r="BY66" s="9"/>
      <c r="BZ66" s="9"/>
      <c r="CA66" s="9"/>
      <c r="CB66" s="9"/>
      <c r="CC66" s="9"/>
      <c r="CD66" s="9"/>
      <c r="CE66" s="9"/>
      <c r="CF66" s="9"/>
      <c r="CG66" s="9"/>
      <c r="CH66" s="9"/>
      <c r="CI66" s="9"/>
      <c r="CJ66" s="9"/>
      <c r="CK66" s="9"/>
      <c r="CL66" s="9"/>
      <c r="CM66" s="9"/>
      <c r="CN66" s="9"/>
      <c r="CO66" s="9"/>
      <c r="CP66" s="9"/>
      <c r="CQ66" s="9"/>
      <c r="CR66" s="9"/>
      <c r="CS66" s="9"/>
      <c r="CT66" s="9"/>
    </row>
    <row r="67" spans="1:98" s="29" customFormat="1" ht="46.8" x14ac:dyDescent="0.3">
      <c r="A67" s="6" t="s">
        <v>88</v>
      </c>
      <c r="B67" s="6" t="s">
        <v>89</v>
      </c>
      <c r="C67" s="6" t="s">
        <v>90</v>
      </c>
      <c r="D67" s="60" t="s">
        <v>91</v>
      </c>
      <c r="E67" s="20" t="s">
        <v>75</v>
      </c>
      <c r="F67" s="8" t="s">
        <v>172</v>
      </c>
      <c r="G67" s="68">
        <f>H67+I67</f>
        <v>22000</v>
      </c>
      <c r="H67" s="68">
        <f>8000+20000-6000</f>
        <v>22000</v>
      </c>
      <c r="I67" s="68"/>
      <c r="J67" s="68"/>
      <c r="K67" s="68">
        <f t="shared" si="18"/>
        <v>11291.63</v>
      </c>
      <c r="L67" s="68">
        <v>11291.63</v>
      </c>
      <c r="M67" s="68"/>
      <c r="N67" s="68"/>
      <c r="O67" s="93">
        <f t="shared" si="2"/>
        <v>0.51325590909090901</v>
      </c>
      <c r="P67" s="68">
        <f t="shared" si="3"/>
        <v>-10708.37</v>
      </c>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c r="AY67" s="9"/>
      <c r="AZ67" s="9"/>
      <c r="BA67" s="9"/>
      <c r="BB67" s="9"/>
      <c r="BC67" s="9"/>
      <c r="BD67" s="9"/>
      <c r="BE67" s="9"/>
      <c r="BF67" s="9"/>
      <c r="BG67" s="9"/>
      <c r="BH67" s="9"/>
      <c r="BI67" s="9"/>
      <c r="BJ67" s="9"/>
      <c r="BK67" s="9"/>
      <c r="BL67" s="9"/>
      <c r="BM67" s="9"/>
      <c r="BN67" s="9"/>
      <c r="BO67" s="9"/>
      <c r="BP67" s="9"/>
      <c r="BQ67" s="9"/>
      <c r="BR67" s="9"/>
      <c r="BS67" s="9"/>
      <c r="BT67" s="9"/>
      <c r="BU67" s="9"/>
      <c r="BV67" s="9"/>
      <c r="BW67" s="9"/>
      <c r="BX67" s="9"/>
      <c r="BY67" s="9"/>
      <c r="BZ67" s="9"/>
      <c r="CA67" s="9"/>
      <c r="CB67" s="9"/>
      <c r="CC67" s="9"/>
      <c r="CD67" s="9"/>
      <c r="CE67" s="9"/>
      <c r="CF67" s="9"/>
      <c r="CG67" s="9"/>
      <c r="CH67" s="9"/>
      <c r="CI67" s="9"/>
      <c r="CJ67" s="9"/>
      <c r="CK67" s="9"/>
      <c r="CL67" s="9"/>
      <c r="CM67" s="9"/>
      <c r="CN67" s="9"/>
      <c r="CO67" s="9"/>
      <c r="CP67" s="9"/>
      <c r="CQ67" s="9"/>
      <c r="CR67" s="9"/>
      <c r="CS67" s="9"/>
      <c r="CT67" s="9"/>
    </row>
    <row r="68" spans="1:98" s="29" customFormat="1" ht="46.8" x14ac:dyDescent="0.3">
      <c r="A68" s="6" t="s">
        <v>94</v>
      </c>
      <c r="B68" s="6" t="s">
        <v>95</v>
      </c>
      <c r="C68" s="6" t="s">
        <v>90</v>
      </c>
      <c r="D68" s="60" t="s">
        <v>96</v>
      </c>
      <c r="E68" s="20" t="s">
        <v>75</v>
      </c>
      <c r="F68" s="8" t="s">
        <v>172</v>
      </c>
      <c r="G68" s="68">
        <f t="shared" ref="G68:G80" si="19">H68+I68</f>
        <v>5000</v>
      </c>
      <c r="H68" s="68">
        <v>5000</v>
      </c>
      <c r="I68" s="68"/>
      <c r="J68" s="68"/>
      <c r="K68" s="68">
        <f t="shared" si="18"/>
        <v>3698.71</v>
      </c>
      <c r="L68" s="68">
        <v>3698.71</v>
      </c>
      <c r="M68" s="68"/>
      <c r="N68" s="68"/>
      <c r="O68" s="93">
        <f t="shared" si="2"/>
        <v>0.73974200000000001</v>
      </c>
      <c r="P68" s="68">
        <f t="shared" si="3"/>
        <v>-1301.29</v>
      </c>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c r="AY68" s="9"/>
      <c r="AZ68" s="9"/>
      <c r="BA68" s="9"/>
      <c r="BB68" s="9"/>
      <c r="BC68" s="9"/>
      <c r="BD68" s="9"/>
      <c r="BE68" s="9"/>
      <c r="BF68" s="9"/>
      <c r="BG68" s="9"/>
      <c r="BH68" s="9"/>
      <c r="BI68" s="9"/>
      <c r="BJ68" s="9"/>
      <c r="BK68" s="9"/>
      <c r="BL68" s="9"/>
      <c r="BM68" s="9"/>
      <c r="BN68" s="9"/>
      <c r="BO68" s="9"/>
      <c r="BP68" s="9"/>
      <c r="BQ68" s="9"/>
      <c r="BR68" s="9"/>
      <c r="BS68" s="9"/>
      <c r="BT68" s="9"/>
      <c r="BU68" s="9"/>
      <c r="BV68" s="9"/>
      <c r="BW68" s="9"/>
      <c r="BX68" s="9"/>
      <c r="BY68" s="9"/>
      <c r="BZ68" s="9"/>
      <c r="CA68" s="9"/>
      <c r="CB68" s="9"/>
      <c r="CC68" s="9"/>
      <c r="CD68" s="9"/>
      <c r="CE68" s="9"/>
      <c r="CF68" s="9"/>
      <c r="CG68" s="9"/>
      <c r="CH68" s="9"/>
      <c r="CI68" s="9"/>
      <c r="CJ68" s="9"/>
      <c r="CK68" s="9"/>
      <c r="CL68" s="9"/>
      <c r="CM68" s="9"/>
      <c r="CN68" s="9"/>
      <c r="CO68" s="9"/>
      <c r="CP68" s="9"/>
      <c r="CQ68" s="9"/>
      <c r="CR68" s="9"/>
      <c r="CS68" s="9"/>
      <c r="CT68" s="9"/>
    </row>
    <row r="69" spans="1:98" s="9" customFormat="1" ht="62.4" x14ac:dyDescent="0.3">
      <c r="A69" s="6" t="s">
        <v>25</v>
      </c>
      <c r="B69" s="6" t="s">
        <v>51</v>
      </c>
      <c r="C69" s="6" t="s">
        <v>27</v>
      </c>
      <c r="D69" s="7" t="s">
        <v>59</v>
      </c>
      <c r="E69" s="20" t="s">
        <v>92</v>
      </c>
      <c r="F69" s="8" t="s">
        <v>93</v>
      </c>
      <c r="G69" s="68">
        <f>H69+I69</f>
        <v>991625</v>
      </c>
      <c r="H69" s="68"/>
      <c r="I69" s="68">
        <v>991625</v>
      </c>
      <c r="J69" s="68">
        <v>991625</v>
      </c>
      <c r="K69" s="68">
        <f t="shared" si="18"/>
        <v>952798.71</v>
      </c>
      <c r="L69" s="68"/>
      <c r="M69" s="68">
        <v>952798.71</v>
      </c>
      <c r="N69" s="68">
        <f>M69</f>
        <v>952798.71</v>
      </c>
      <c r="O69" s="93">
        <f t="shared" si="2"/>
        <v>0.96084579352073618</v>
      </c>
      <c r="P69" s="68">
        <f t="shared" si="3"/>
        <v>-38826.290000000037</v>
      </c>
    </row>
    <row r="70" spans="1:98" s="29" customFormat="1" ht="46.8" x14ac:dyDescent="0.3">
      <c r="A70" s="6" t="s">
        <v>25</v>
      </c>
      <c r="B70" s="6" t="s">
        <v>51</v>
      </c>
      <c r="C70" s="6" t="s">
        <v>27</v>
      </c>
      <c r="D70" s="7" t="s">
        <v>59</v>
      </c>
      <c r="E70" s="20" t="s">
        <v>75</v>
      </c>
      <c r="F70" s="8" t="s">
        <v>175</v>
      </c>
      <c r="G70" s="68">
        <f>H70+I70</f>
        <v>343400</v>
      </c>
      <c r="H70" s="68">
        <f>343400</f>
        <v>343400</v>
      </c>
      <c r="I70" s="68"/>
      <c r="J70" s="68"/>
      <c r="K70" s="68">
        <f t="shared" si="18"/>
        <v>338402</v>
      </c>
      <c r="L70" s="68">
        <v>338402</v>
      </c>
      <c r="M70" s="68"/>
      <c r="N70" s="68"/>
      <c r="O70" s="93">
        <f t="shared" si="2"/>
        <v>0.98544554455445543</v>
      </c>
      <c r="P70" s="68">
        <f t="shared" si="3"/>
        <v>-4998</v>
      </c>
      <c r="Q70" s="9"/>
      <c r="R70" s="9"/>
      <c r="S70" s="9"/>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9"/>
      <c r="AX70" s="9"/>
      <c r="AY70" s="9"/>
      <c r="AZ70" s="9"/>
      <c r="BA70" s="9"/>
      <c r="BB70" s="9"/>
      <c r="BC70" s="9"/>
      <c r="BD70" s="9"/>
      <c r="BE70" s="9"/>
      <c r="BF70" s="9"/>
      <c r="BG70" s="9"/>
      <c r="BH70" s="9"/>
      <c r="BI70" s="9"/>
      <c r="BJ70" s="9"/>
      <c r="BK70" s="9"/>
      <c r="BL70" s="9"/>
      <c r="BM70" s="9"/>
      <c r="BN70" s="9"/>
      <c r="BO70" s="9"/>
      <c r="BP70" s="9"/>
      <c r="BQ70" s="9"/>
      <c r="BR70" s="9"/>
      <c r="BS70" s="9"/>
      <c r="BT70" s="9"/>
      <c r="BU70" s="9"/>
      <c r="BV70" s="9"/>
      <c r="BW70" s="9"/>
      <c r="BX70" s="9"/>
      <c r="BY70" s="9"/>
      <c r="BZ70" s="9"/>
      <c r="CA70" s="9"/>
      <c r="CB70" s="9"/>
      <c r="CC70" s="9"/>
      <c r="CD70" s="9"/>
      <c r="CE70" s="9"/>
      <c r="CF70" s="9"/>
      <c r="CG70" s="9"/>
      <c r="CH70" s="9"/>
      <c r="CI70" s="9"/>
      <c r="CJ70" s="9"/>
      <c r="CK70" s="9"/>
      <c r="CL70" s="9"/>
      <c r="CM70" s="9"/>
      <c r="CN70" s="9"/>
      <c r="CO70" s="9"/>
      <c r="CP70" s="9"/>
      <c r="CQ70" s="9"/>
      <c r="CR70" s="9"/>
      <c r="CS70" s="9"/>
      <c r="CT70" s="9"/>
    </row>
    <row r="71" spans="1:98" s="29" customFormat="1" ht="46.8" x14ac:dyDescent="0.3">
      <c r="A71" s="6" t="s">
        <v>25</v>
      </c>
      <c r="B71" s="6" t="s">
        <v>51</v>
      </c>
      <c r="C71" s="6" t="s">
        <v>27</v>
      </c>
      <c r="D71" s="7" t="s">
        <v>59</v>
      </c>
      <c r="E71" s="20" t="s">
        <v>167</v>
      </c>
      <c r="F71" s="8" t="s">
        <v>198</v>
      </c>
      <c r="G71" s="68">
        <f t="shared" si="19"/>
        <v>420200</v>
      </c>
      <c r="H71" s="68">
        <f>287200+98000+35000</f>
        <v>420200</v>
      </c>
      <c r="I71" s="68"/>
      <c r="J71" s="68"/>
      <c r="K71" s="68">
        <f t="shared" si="18"/>
        <v>419431.94</v>
      </c>
      <c r="L71" s="68">
        <v>419431.94</v>
      </c>
      <c r="M71" s="68"/>
      <c r="N71" s="68"/>
      <c r="O71" s="93">
        <f t="shared" si="2"/>
        <v>0.99817215611613519</v>
      </c>
      <c r="P71" s="68">
        <f t="shared" si="3"/>
        <v>-768.05999999999767</v>
      </c>
      <c r="Q71" s="9"/>
      <c r="R71" s="9"/>
      <c r="S71" s="9"/>
      <c r="T71" s="9"/>
      <c r="U71" s="9"/>
      <c r="V71" s="9"/>
      <c r="W71" s="9"/>
      <c r="X71" s="9"/>
      <c r="Y71" s="9"/>
      <c r="Z71" s="9"/>
      <c r="AA71" s="9"/>
      <c r="AB71" s="9"/>
      <c r="AC71" s="9"/>
      <c r="AD71" s="9"/>
      <c r="AE71" s="9"/>
      <c r="AF71" s="9"/>
      <c r="AG71" s="9"/>
      <c r="AH71" s="9"/>
      <c r="AI71" s="9"/>
      <c r="AJ71" s="9"/>
      <c r="AK71" s="9"/>
      <c r="AL71" s="9"/>
      <c r="AM71" s="9"/>
      <c r="AN71" s="9"/>
      <c r="AO71" s="9"/>
      <c r="AP71" s="9"/>
      <c r="AQ71" s="9"/>
      <c r="AR71" s="9"/>
      <c r="AS71" s="9"/>
      <c r="AT71" s="9"/>
      <c r="AU71" s="9"/>
      <c r="AV71" s="9"/>
      <c r="AW71" s="9"/>
      <c r="AX71" s="9"/>
      <c r="AY71" s="9"/>
      <c r="AZ71" s="9"/>
      <c r="BA71" s="9"/>
      <c r="BB71" s="9"/>
      <c r="BC71" s="9"/>
      <c r="BD71" s="9"/>
      <c r="BE71" s="9"/>
      <c r="BF71" s="9"/>
      <c r="BG71" s="9"/>
      <c r="BH71" s="9"/>
      <c r="BI71" s="9"/>
      <c r="BJ71" s="9"/>
      <c r="BK71" s="9"/>
      <c r="BL71" s="9"/>
      <c r="BM71" s="9"/>
      <c r="BN71" s="9"/>
      <c r="BO71" s="9"/>
      <c r="BP71" s="9"/>
      <c r="BQ71" s="9"/>
      <c r="BR71" s="9"/>
      <c r="BS71" s="9"/>
      <c r="BT71" s="9"/>
      <c r="BU71" s="9"/>
      <c r="BV71" s="9"/>
      <c r="BW71" s="9"/>
      <c r="BX71" s="9"/>
      <c r="BY71" s="9"/>
      <c r="BZ71" s="9"/>
      <c r="CA71" s="9"/>
      <c r="CB71" s="9"/>
      <c r="CC71" s="9"/>
      <c r="CD71" s="9"/>
      <c r="CE71" s="9"/>
      <c r="CF71" s="9"/>
      <c r="CG71" s="9"/>
      <c r="CH71" s="9"/>
      <c r="CI71" s="9"/>
      <c r="CJ71" s="9"/>
      <c r="CK71" s="9"/>
      <c r="CL71" s="9"/>
      <c r="CM71" s="9"/>
      <c r="CN71" s="9"/>
      <c r="CO71" s="9"/>
      <c r="CP71" s="9"/>
      <c r="CQ71" s="9"/>
      <c r="CR71" s="9"/>
      <c r="CS71" s="9"/>
      <c r="CT71" s="9"/>
    </row>
    <row r="72" spans="1:98" s="29" customFormat="1" ht="46.8" x14ac:dyDescent="0.3">
      <c r="A72" s="6" t="s">
        <v>108</v>
      </c>
      <c r="B72" s="6" t="s">
        <v>109</v>
      </c>
      <c r="C72" s="6" t="s">
        <v>27</v>
      </c>
      <c r="D72" s="61" t="s">
        <v>110</v>
      </c>
      <c r="E72" s="20" t="s">
        <v>75</v>
      </c>
      <c r="F72" s="8" t="s">
        <v>177</v>
      </c>
      <c r="G72" s="68">
        <f>H72+I72</f>
        <v>353500</v>
      </c>
      <c r="H72" s="68">
        <f>707500-55000-200000-99000</f>
        <v>353500</v>
      </c>
      <c r="I72" s="68"/>
      <c r="J72" s="68"/>
      <c r="K72" s="68">
        <f t="shared" si="18"/>
        <v>352940</v>
      </c>
      <c r="L72" s="68">
        <v>352940</v>
      </c>
      <c r="M72" s="68"/>
      <c r="N72" s="68"/>
      <c r="O72" s="93">
        <f t="shared" si="2"/>
        <v>0.99841584158415841</v>
      </c>
      <c r="P72" s="68">
        <f t="shared" si="3"/>
        <v>-560</v>
      </c>
    </row>
    <row r="73" spans="1:98" s="29" customFormat="1" ht="73.95" hidden="1" customHeight="1" x14ac:dyDescent="0.3">
      <c r="A73" s="6" t="s">
        <v>254</v>
      </c>
      <c r="B73" s="6" t="s">
        <v>26</v>
      </c>
      <c r="C73" s="6" t="s">
        <v>27</v>
      </c>
      <c r="D73" s="40" t="s">
        <v>16</v>
      </c>
      <c r="E73" s="20" t="s">
        <v>182</v>
      </c>
      <c r="F73" s="8" t="s">
        <v>206</v>
      </c>
      <c r="G73" s="68">
        <f>H73+I73</f>
        <v>0</v>
      </c>
      <c r="H73" s="68">
        <f>200000+1000000-287300-912700</f>
        <v>0</v>
      </c>
      <c r="I73" s="68"/>
      <c r="J73" s="68"/>
      <c r="K73" s="68">
        <f t="shared" si="18"/>
        <v>0</v>
      </c>
      <c r="L73" s="68"/>
      <c r="M73" s="68"/>
      <c r="N73" s="68"/>
      <c r="O73" s="93" t="e">
        <f t="shared" si="2"/>
        <v>#DIV/0!</v>
      </c>
      <c r="P73" s="68">
        <f t="shared" si="3"/>
        <v>0</v>
      </c>
    </row>
    <row r="74" spans="1:98" s="29" customFormat="1" ht="78" x14ac:dyDescent="0.3">
      <c r="A74" s="6" t="s">
        <v>97</v>
      </c>
      <c r="B74" s="6" t="s">
        <v>98</v>
      </c>
      <c r="C74" s="6" t="s">
        <v>29</v>
      </c>
      <c r="D74" s="7" t="s">
        <v>99</v>
      </c>
      <c r="E74" s="20" t="s">
        <v>75</v>
      </c>
      <c r="F74" s="8" t="s">
        <v>172</v>
      </c>
      <c r="G74" s="68">
        <f t="shared" si="19"/>
        <v>2236000</v>
      </c>
      <c r="H74" s="68">
        <f>3300000-350000-700000-14000</f>
        <v>2236000</v>
      </c>
      <c r="I74" s="68"/>
      <c r="J74" s="68"/>
      <c r="K74" s="68">
        <f t="shared" si="18"/>
        <v>2173644.65</v>
      </c>
      <c r="L74" s="68">
        <v>2173644.65</v>
      </c>
      <c r="M74" s="68"/>
      <c r="N74" s="68"/>
      <c r="O74" s="93">
        <f t="shared" si="2"/>
        <v>0.97211299194991052</v>
      </c>
      <c r="P74" s="68">
        <f t="shared" si="3"/>
        <v>-62355.350000000093</v>
      </c>
    </row>
    <row r="75" spans="1:98" s="29" customFormat="1" ht="62.4" x14ac:dyDescent="0.3">
      <c r="A75" s="6" t="s">
        <v>100</v>
      </c>
      <c r="B75" s="6" t="s">
        <v>101</v>
      </c>
      <c r="C75" s="6" t="s">
        <v>102</v>
      </c>
      <c r="D75" s="7" t="s">
        <v>103</v>
      </c>
      <c r="E75" s="20" t="s">
        <v>75</v>
      </c>
      <c r="F75" s="8" t="s">
        <v>172</v>
      </c>
      <c r="G75" s="68">
        <f t="shared" si="19"/>
        <v>760000</v>
      </c>
      <c r="H75" s="68">
        <f>1000000-240000</f>
        <v>760000</v>
      </c>
      <c r="I75" s="68"/>
      <c r="J75" s="68"/>
      <c r="K75" s="68">
        <f t="shared" si="18"/>
        <v>718953.71</v>
      </c>
      <c r="L75" s="68">
        <v>718953.71</v>
      </c>
      <c r="M75" s="68"/>
      <c r="N75" s="68"/>
      <c r="O75" s="93">
        <f t="shared" si="2"/>
        <v>0.94599172368421047</v>
      </c>
      <c r="P75" s="68">
        <f t="shared" si="3"/>
        <v>-41046.290000000037</v>
      </c>
    </row>
    <row r="76" spans="1:98" s="29" customFormat="1" ht="57" customHeight="1" x14ac:dyDescent="0.3">
      <c r="A76" s="6" t="s">
        <v>104</v>
      </c>
      <c r="B76" s="6" t="s">
        <v>105</v>
      </c>
      <c r="C76" s="6" t="s">
        <v>90</v>
      </c>
      <c r="D76" s="7" t="s">
        <v>106</v>
      </c>
      <c r="E76" s="20" t="s">
        <v>75</v>
      </c>
      <c r="F76" s="8" t="s">
        <v>172</v>
      </c>
      <c r="G76" s="68">
        <f t="shared" si="19"/>
        <v>71000</v>
      </c>
      <c r="H76" s="68">
        <v>71000</v>
      </c>
      <c r="I76" s="68"/>
      <c r="J76" s="68"/>
      <c r="K76" s="68">
        <f t="shared" si="18"/>
        <v>69148.17</v>
      </c>
      <c r="L76" s="68">
        <v>69148.17</v>
      </c>
      <c r="M76" s="68"/>
      <c r="N76" s="68"/>
      <c r="O76" s="93">
        <f t="shared" si="2"/>
        <v>0.97391788732394369</v>
      </c>
      <c r="P76" s="68">
        <f t="shared" si="3"/>
        <v>-1851.8300000000017</v>
      </c>
    </row>
    <row r="77" spans="1:98" s="29" customFormat="1" ht="46.8" x14ac:dyDescent="0.3">
      <c r="A77" s="6" t="s">
        <v>164</v>
      </c>
      <c r="B77" s="6" t="s">
        <v>165</v>
      </c>
      <c r="C77" s="6" t="s">
        <v>125</v>
      </c>
      <c r="D77" s="39" t="s">
        <v>166</v>
      </c>
      <c r="E77" s="20" t="s">
        <v>75</v>
      </c>
      <c r="F77" s="8" t="s">
        <v>172</v>
      </c>
      <c r="G77" s="68">
        <f t="shared" si="19"/>
        <v>371600</v>
      </c>
      <c r="H77" s="68">
        <f>497600+200000-326000</f>
        <v>371600</v>
      </c>
      <c r="I77" s="68"/>
      <c r="J77" s="68"/>
      <c r="K77" s="68">
        <f t="shared" si="18"/>
        <v>271260</v>
      </c>
      <c r="L77" s="68">
        <v>271260</v>
      </c>
      <c r="M77" s="68"/>
      <c r="N77" s="68"/>
      <c r="O77" s="93">
        <f t="shared" si="2"/>
        <v>0.72997847147470396</v>
      </c>
      <c r="P77" s="68">
        <f t="shared" si="3"/>
        <v>-100340</v>
      </c>
    </row>
    <row r="78" spans="1:98" s="29" customFormat="1" ht="62.4" x14ac:dyDescent="0.3">
      <c r="A78" s="6" t="s">
        <v>107</v>
      </c>
      <c r="B78" s="6" t="s">
        <v>77</v>
      </c>
      <c r="C78" s="6" t="s">
        <v>78</v>
      </c>
      <c r="D78" s="7" t="s">
        <v>79</v>
      </c>
      <c r="E78" s="20" t="s">
        <v>92</v>
      </c>
      <c r="F78" s="8" t="s">
        <v>178</v>
      </c>
      <c r="G78" s="68">
        <f>H78+I78</f>
        <v>16587795</v>
      </c>
      <c r="H78" s="68">
        <f>6622800+12080000+20000+100000-900000-1335005</f>
        <v>16587795</v>
      </c>
      <c r="I78" s="68"/>
      <c r="J78" s="68"/>
      <c r="K78" s="68">
        <f t="shared" si="18"/>
        <v>16341248</v>
      </c>
      <c r="L78" s="68">
        <v>16341248</v>
      </c>
      <c r="M78" s="68"/>
      <c r="N78" s="68"/>
      <c r="O78" s="93">
        <f t="shared" si="2"/>
        <v>0.98513684308251936</v>
      </c>
      <c r="P78" s="68">
        <f t="shared" si="3"/>
        <v>-246547</v>
      </c>
    </row>
    <row r="79" spans="1:98" s="29" customFormat="1" ht="46.8" x14ac:dyDescent="0.3">
      <c r="A79" s="6" t="s">
        <v>107</v>
      </c>
      <c r="B79" s="6" t="s">
        <v>77</v>
      </c>
      <c r="C79" s="6" t="s">
        <v>78</v>
      </c>
      <c r="D79" s="7" t="s">
        <v>79</v>
      </c>
      <c r="E79" s="20" t="s">
        <v>75</v>
      </c>
      <c r="F79" s="8" t="s">
        <v>172</v>
      </c>
      <c r="G79" s="68">
        <f t="shared" si="19"/>
        <v>37528605</v>
      </c>
      <c r="H79" s="68">
        <f>16425600+35000000-12080000-1000000-20000+600000+1000000-2100000-296995</f>
        <v>37528605</v>
      </c>
      <c r="I79" s="68"/>
      <c r="J79" s="68"/>
      <c r="K79" s="68">
        <f t="shared" si="18"/>
        <v>34929254.060000002</v>
      </c>
      <c r="L79" s="68">
        <v>34929254.060000002</v>
      </c>
      <c r="M79" s="68"/>
      <c r="N79" s="68"/>
      <c r="O79" s="93">
        <f t="shared" si="2"/>
        <v>0.93073680889550792</v>
      </c>
      <c r="P79" s="68">
        <f t="shared" si="3"/>
        <v>-2599350.9399999976</v>
      </c>
    </row>
    <row r="80" spans="1:98" s="29" customFormat="1" ht="46.8" x14ac:dyDescent="0.3">
      <c r="A80" s="6" t="s">
        <v>248</v>
      </c>
      <c r="B80" s="6" t="s">
        <v>229</v>
      </c>
      <c r="C80" s="6" t="s">
        <v>230</v>
      </c>
      <c r="D80" s="7" t="s">
        <v>261</v>
      </c>
      <c r="E80" s="20" t="s">
        <v>260</v>
      </c>
      <c r="F80" s="8" t="s">
        <v>310</v>
      </c>
      <c r="G80" s="68">
        <f t="shared" si="19"/>
        <v>383800</v>
      </c>
      <c r="H80" s="68">
        <f>278500+105300</f>
        <v>383800</v>
      </c>
      <c r="I80" s="68"/>
      <c r="J80" s="68"/>
      <c r="K80" s="68">
        <f t="shared" si="18"/>
        <v>337909</v>
      </c>
      <c r="L80" s="68">
        <v>337909</v>
      </c>
      <c r="M80" s="68"/>
      <c r="N80" s="68"/>
      <c r="O80" s="93">
        <f t="shared" si="2"/>
        <v>0.88042991141219384</v>
      </c>
      <c r="P80" s="68">
        <f t="shared" si="3"/>
        <v>-45891</v>
      </c>
    </row>
    <row r="81" spans="1:16" s="29" customFormat="1" ht="15.6" x14ac:dyDescent="0.3">
      <c r="A81" s="31" t="s">
        <v>207</v>
      </c>
      <c r="B81" s="32" t="s">
        <v>208</v>
      </c>
      <c r="C81" s="32" t="s">
        <v>208</v>
      </c>
      <c r="D81" s="86" t="s">
        <v>209</v>
      </c>
      <c r="E81" s="87"/>
      <c r="F81" s="8"/>
      <c r="G81" s="67">
        <f>G82</f>
        <v>388200</v>
      </c>
      <c r="H81" s="67">
        <f t="shared" ref="H81:N82" si="20">H82</f>
        <v>388200</v>
      </c>
      <c r="I81" s="67">
        <f t="shared" si="20"/>
        <v>0</v>
      </c>
      <c r="J81" s="67">
        <f t="shared" si="20"/>
        <v>0</v>
      </c>
      <c r="K81" s="67">
        <f>K82</f>
        <v>342760.9</v>
      </c>
      <c r="L81" s="67">
        <f t="shared" si="20"/>
        <v>342760.9</v>
      </c>
      <c r="M81" s="67">
        <f t="shared" si="20"/>
        <v>0</v>
      </c>
      <c r="N81" s="67">
        <f t="shared" si="20"/>
        <v>0</v>
      </c>
      <c r="O81" s="75">
        <f t="shared" ref="O81:O143" si="21">K81/G81</f>
        <v>0.88294925296239057</v>
      </c>
      <c r="P81" s="67">
        <f t="shared" ref="P81:P143" si="22">K81-G81</f>
        <v>-45439.099999999977</v>
      </c>
    </row>
    <row r="82" spans="1:16" s="29" customFormat="1" ht="15.6" x14ac:dyDescent="0.3">
      <c r="A82" s="31" t="s">
        <v>210</v>
      </c>
      <c r="B82" s="32" t="s">
        <v>208</v>
      </c>
      <c r="C82" s="32" t="s">
        <v>208</v>
      </c>
      <c r="D82" s="86" t="s">
        <v>209</v>
      </c>
      <c r="E82" s="87"/>
      <c r="F82" s="8"/>
      <c r="G82" s="67">
        <f>SUM(G83:G85)</f>
        <v>388200</v>
      </c>
      <c r="H82" s="67">
        <f>SUM(H83:H85)</f>
        <v>388200</v>
      </c>
      <c r="I82" s="67">
        <f t="shared" si="20"/>
        <v>0</v>
      </c>
      <c r="J82" s="67">
        <f t="shared" si="20"/>
        <v>0</v>
      </c>
      <c r="K82" s="67">
        <f>SUM(K83:K85)</f>
        <v>342760.9</v>
      </c>
      <c r="L82" s="67">
        <f>SUM(L83:L85)</f>
        <v>342760.9</v>
      </c>
      <c r="M82" s="67">
        <f t="shared" si="20"/>
        <v>0</v>
      </c>
      <c r="N82" s="67">
        <f t="shared" si="20"/>
        <v>0</v>
      </c>
      <c r="O82" s="75">
        <f t="shared" si="21"/>
        <v>0.88294925296239057</v>
      </c>
      <c r="P82" s="67">
        <f t="shared" si="22"/>
        <v>-45439.099999999977</v>
      </c>
    </row>
    <row r="83" spans="1:16" s="29" customFormat="1" ht="46.8" x14ac:dyDescent="0.3">
      <c r="A83" s="13" t="s">
        <v>211</v>
      </c>
      <c r="B83" s="8" t="s">
        <v>73</v>
      </c>
      <c r="C83" s="8" t="s">
        <v>27</v>
      </c>
      <c r="D83" s="10" t="s">
        <v>74</v>
      </c>
      <c r="E83" s="20" t="s">
        <v>75</v>
      </c>
      <c r="F83" s="12" t="s">
        <v>171</v>
      </c>
      <c r="G83" s="68">
        <f>H83+I83</f>
        <v>263600</v>
      </c>
      <c r="H83" s="68">
        <f>278000-14400</f>
        <v>263600</v>
      </c>
      <c r="I83" s="68"/>
      <c r="J83" s="68"/>
      <c r="K83" s="68">
        <f t="shared" ref="K83:K85" si="23">L83+M83</f>
        <v>224584.9</v>
      </c>
      <c r="L83" s="68">
        <v>224584.9</v>
      </c>
      <c r="M83" s="68"/>
      <c r="N83" s="68"/>
      <c r="O83" s="93">
        <f t="shared" si="21"/>
        <v>0.85199127465857361</v>
      </c>
      <c r="P83" s="68">
        <f t="shared" si="22"/>
        <v>-39015.100000000006</v>
      </c>
    </row>
    <row r="84" spans="1:16" s="29" customFormat="1" ht="62.4" x14ac:dyDescent="0.3">
      <c r="A84" s="13" t="s">
        <v>211</v>
      </c>
      <c r="B84" s="8" t="s">
        <v>73</v>
      </c>
      <c r="C84" s="8" t="s">
        <v>27</v>
      </c>
      <c r="D84" s="10" t="s">
        <v>74</v>
      </c>
      <c r="E84" s="41" t="s">
        <v>245</v>
      </c>
      <c r="F84" s="8" t="s">
        <v>267</v>
      </c>
      <c r="G84" s="68">
        <f t="shared" ref="G84:G85" si="24">H84+I84</f>
        <v>14400</v>
      </c>
      <c r="H84" s="68">
        <v>14400</v>
      </c>
      <c r="I84" s="68"/>
      <c r="J84" s="68"/>
      <c r="K84" s="68">
        <f t="shared" si="23"/>
        <v>7990</v>
      </c>
      <c r="L84" s="68">
        <v>7990</v>
      </c>
      <c r="M84" s="68"/>
      <c r="N84" s="68"/>
      <c r="O84" s="93">
        <f t="shared" si="21"/>
        <v>0.55486111111111114</v>
      </c>
      <c r="P84" s="68">
        <f t="shared" si="22"/>
        <v>-6410</v>
      </c>
    </row>
    <row r="85" spans="1:16" s="29" customFormat="1" ht="46.8" x14ac:dyDescent="0.3">
      <c r="A85" s="6" t="s">
        <v>244</v>
      </c>
      <c r="B85" s="6" t="s">
        <v>229</v>
      </c>
      <c r="C85" s="6" t="s">
        <v>230</v>
      </c>
      <c r="D85" s="7" t="s">
        <v>261</v>
      </c>
      <c r="E85" s="20" t="s">
        <v>260</v>
      </c>
      <c r="F85" s="8" t="s">
        <v>310</v>
      </c>
      <c r="G85" s="68">
        <f t="shared" si="24"/>
        <v>110200</v>
      </c>
      <c r="H85" s="68">
        <f>100300+9900</f>
        <v>110200</v>
      </c>
      <c r="I85" s="68"/>
      <c r="J85" s="68"/>
      <c r="K85" s="68">
        <f t="shared" si="23"/>
        <v>110186</v>
      </c>
      <c r="L85" s="68">
        <v>110186</v>
      </c>
      <c r="M85" s="68"/>
      <c r="N85" s="68"/>
      <c r="O85" s="93">
        <f t="shared" si="21"/>
        <v>0.99987295825771327</v>
      </c>
      <c r="P85" s="68">
        <f t="shared" si="22"/>
        <v>-14</v>
      </c>
    </row>
    <row r="86" spans="1:16" s="9" customFormat="1" ht="15.6" x14ac:dyDescent="0.3">
      <c r="A86" s="15" t="s">
        <v>126</v>
      </c>
      <c r="B86" s="15"/>
      <c r="C86" s="15"/>
      <c r="D86" s="82" t="s">
        <v>146</v>
      </c>
      <c r="E86" s="83"/>
      <c r="F86" s="55"/>
      <c r="G86" s="67">
        <f t="shared" ref="G86:N86" si="25">G87</f>
        <v>4910026</v>
      </c>
      <c r="H86" s="67">
        <f t="shared" si="25"/>
        <v>4134926</v>
      </c>
      <c r="I86" s="67">
        <f t="shared" si="25"/>
        <v>775100</v>
      </c>
      <c r="J86" s="67">
        <f t="shared" si="25"/>
        <v>500100</v>
      </c>
      <c r="K86" s="67">
        <f t="shared" si="25"/>
        <v>4666880.03</v>
      </c>
      <c r="L86" s="67">
        <f t="shared" si="25"/>
        <v>3976134.0300000003</v>
      </c>
      <c r="M86" s="67">
        <f t="shared" si="25"/>
        <v>690746</v>
      </c>
      <c r="N86" s="67">
        <f t="shared" si="25"/>
        <v>500062</v>
      </c>
      <c r="O86" s="75">
        <f t="shared" si="21"/>
        <v>0.95047969807084531</v>
      </c>
      <c r="P86" s="67">
        <f t="shared" si="22"/>
        <v>-243145.96999999974</v>
      </c>
    </row>
    <row r="87" spans="1:16" s="9" customFormat="1" ht="15.6" x14ac:dyDescent="0.3">
      <c r="A87" s="15" t="s">
        <v>127</v>
      </c>
      <c r="B87" s="15"/>
      <c r="C87" s="15"/>
      <c r="D87" s="82" t="s">
        <v>146</v>
      </c>
      <c r="E87" s="83"/>
      <c r="F87" s="55"/>
      <c r="G87" s="67">
        <f t="shared" ref="G87:N87" si="26">SUM(G88:G94)</f>
        <v>4910026</v>
      </c>
      <c r="H87" s="67">
        <f t="shared" si="26"/>
        <v>4134926</v>
      </c>
      <c r="I87" s="67">
        <f t="shared" si="26"/>
        <v>775100</v>
      </c>
      <c r="J87" s="67">
        <f t="shared" si="26"/>
        <v>500100</v>
      </c>
      <c r="K87" s="67">
        <f t="shared" si="26"/>
        <v>4666880.03</v>
      </c>
      <c r="L87" s="67">
        <f t="shared" si="26"/>
        <v>3976134.0300000003</v>
      </c>
      <c r="M87" s="67">
        <f t="shared" si="26"/>
        <v>690746</v>
      </c>
      <c r="N87" s="67">
        <f t="shared" si="26"/>
        <v>500062</v>
      </c>
      <c r="O87" s="75">
        <f t="shared" si="21"/>
        <v>0.95047969807084531</v>
      </c>
      <c r="P87" s="67">
        <f t="shared" si="22"/>
        <v>-243145.96999999974</v>
      </c>
    </row>
    <row r="88" spans="1:16" s="16" customFormat="1" ht="46.8" x14ac:dyDescent="0.3">
      <c r="A88" s="6" t="s">
        <v>215</v>
      </c>
      <c r="B88" s="6" t="s">
        <v>216</v>
      </c>
      <c r="C88" s="6" t="s">
        <v>217</v>
      </c>
      <c r="D88" s="7" t="s">
        <v>218</v>
      </c>
      <c r="E88" s="20" t="s">
        <v>147</v>
      </c>
      <c r="F88" s="12" t="s">
        <v>197</v>
      </c>
      <c r="G88" s="68">
        <f>H88+I88</f>
        <v>947600</v>
      </c>
      <c r="H88" s="68">
        <f>587600+85000</f>
        <v>672600</v>
      </c>
      <c r="I88" s="68">
        <v>275000</v>
      </c>
      <c r="J88" s="68"/>
      <c r="K88" s="68">
        <f t="shared" ref="K88:K94" si="27">L88+M88</f>
        <v>863284</v>
      </c>
      <c r="L88" s="68">
        <v>672600</v>
      </c>
      <c r="M88" s="68">
        <v>190684</v>
      </c>
      <c r="N88" s="67"/>
      <c r="O88" s="93">
        <f t="shared" si="21"/>
        <v>0.91102152807091596</v>
      </c>
      <c r="P88" s="68">
        <f t="shared" si="22"/>
        <v>-84316</v>
      </c>
    </row>
    <row r="89" spans="1:16" s="9" customFormat="1" ht="62.4" x14ac:dyDescent="0.3">
      <c r="A89" s="13" t="s">
        <v>204</v>
      </c>
      <c r="B89" s="8">
        <v>3140</v>
      </c>
      <c r="C89" s="6" t="s">
        <v>27</v>
      </c>
      <c r="D89" s="7" t="s">
        <v>16</v>
      </c>
      <c r="E89" s="20" t="s">
        <v>168</v>
      </c>
      <c r="F89" s="8" t="s">
        <v>206</v>
      </c>
      <c r="G89" s="68">
        <f>H89+I89</f>
        <v>150000</v>
      </c>
      <c r="H89" s="68">
        <v>150000</v>
      </c>
      <c r="I89" s="68"/>
      <c r="J89" s="68"/>
      <c r="K89" s="68">
        <f t="shared" si="27"/>
        <v>149320</v>
      </c>
      <c r="L89" s="68">
        <v>149320</v>
      </c>
      <c r="M89" s="68"/>
      <c r="N89" s="68"/>
      <c r="O89" s="93">
        <f t="shared" si="21"/>
        <v>0.99546666666666672</v>
      </c>
      <c r="P89" s="68">
        <f t="shared" si="22"/>
        <v>-680</v>
      </c>
    </row>
    <row r="90" spans="1:16" s="9" customFormat="1" ht="46.8" x14ac:dyDescent="0.3">
      <c r="A90" s="6" t="s">
        <v>129</v>
      </c>
      <c r="B90" s="6" t="s">
        <v>130</v>
      </c>
      <c r="C90" s="6" t="s">
        <v>131</v>
      </c>
      <c r="D90" s="7" t="s">
        <v>132</v>
      </c>
      <c r="E90" s="20" t="s">
        <v>147</v>
      </c>
      <c r="F90" s="12" t="s">
        <v>197</v>
      </c>
      <c r="G90" s="68">
        <f t="shared" ref="G90:G92" si="28">H90+I90</f>
        <v>671800</v>
      </c>
      <c r="H90" s="68">
        <f>95000+200000+260000+120000-3200</f>
        <v>671800</v>
      </c>
      <c r="I90" s="68"/>
      <c r="J90" s="68"/>
      <c r="K90" s="68">
        <f t="shared" si="27"/>
        <v>663625.96</v>
      </c>
      <c r="L90" s="68">
        <v>663625.96</v>
      </c>
      <c r="M90" s="68"/>
      <c r="N90" s="68"/>
      <c r="O90" s="93">
        <f t="shared" si="21"/>
        <v>0.98783262875855904</v>
      </c>
      <c r="P90" s="68">
        <f t="shared" si="22"/>
        <v>-8174.0400000000373</v>
      </c>
    </row>
    <row r="91" spans="1:16" s="9" customFormat="1" ht="46.8" x14ac:dyDescent="0.3">
      <c r="A91" s="6" t="s">
        <v>133</v>
      </c>
      <c r="B91" s="6" t="s">
        <v>134</v>
      </c>
      <c r="C91" s="6" t="s">
        <v>131</v>
      </c>
      <c r="D91" s="7" t="s">
        <v>135</v>
      </c>
      <c r="E91" s="20" t="s">
        <v>147</v>
      </c>
      <c r="F91" s="8" t="s">
        <v>197</v>
      </c>
      <c r="G91" s="68">
        <f t="shared" si="28"/>
        <v>185500</v>
      </c>
      <c r="H91" s="68">
        <f>49000+136500</f>
        <v>185500</v>
      </c>
      <c r="I91" s="68"/>
      <c r="J91" s="68"/>
      <c r="K91" s="68">
        <f t="shared" si="27"/>
        <v>177776</v>
      </c>
      <c r="L91" s="68">
        <v>177776</v>
      </c>
      <c r="M91" s="68"/>
      <c r="N91" s="68"/>
      <c r="O91" s="93">
        <f t="shared" si="21"/>
        <v>0.95836118598382747</v>
      </c>
      <c r="P91" s="68">
        <f t="shared" si="22"/>
        <v>-7724</v>
      </c>
    </row>
    <row r="92" spans="1:16" s="9" customFormat="1" ht="46.8" x14ac:dyDescent="0.3">
      <c r="A92" s="6" t="s">
        <v>136</v>
      </c>
      <c r="B92" s="6" t="s">
        <v>137</v>
      </c>
      <c r="C92" s="6" t="s">
        <v>138</v>
      </c>
      <c r="D92" s="7" t="s">
        <v>139</v>
      </c>
      <c r="E92" s="19" t="s">
        <v>147</v>
      </c>
      <c r="F92" s="12" t="s">
        <v>197</v>
      </c>
      <c r="G92" s="68">
        <f t="shared" si="28"/>
        <v>1938626</v>
      </c>
      <c r="H92" s="68">
        <v>1518526</v>
      </c>
      <c r="I92" s="68">
        <f>200000+30000+300000-300000+190100</f>
        <v>420100</v>
      </c>
      <c r="J92" s="68">
        <f>200000+30000+300000-300000+190100</f>
        <v>420100</v>
      </c>
      <c r="K92" s="68">
        <f t="shared" si="27"/>
        <v>1828898.82</v>
      </c>
      <c r="L92" s="68">
        <v>1408836.82</v>
      </c>
      <c r="M92" s="68">
        <v>420062</v>
      </c>
      <c r="N92" s="68">
        <f>M92</f>
        <v>420062</v>
      </c>
      <c r="O92" s="93">
        <f t="shared" si="21"/>
        <v>0.94339951078753714</v>
      </c>
      <c r="P92" s="68">
        <f t="shared" si="22"/>
        <v>-109727.17999999993</v>
      </c>
    </row>
    <row r="93" spans="1:16" s="9" customFormat="1" ht="46.8" x14ac:dyDescent="0.3">
      <c r="A93" s="6" t="s">
        <v>140</v>
      </c>
      <c r="B93" s="6" t="s">
        <v>141</v>
      </c>
      <c r="C93" s="6" t="s">
        <v>142</v>
      </c>
      <c r="D93" s="7" t="s">
        <v>143</v>
      </c>
      <c r="E93" s="19" t="s">
        <v>147</v>
      </c>
      <c r="F93" s="12" t="s">
        <v>197</v>
      </c>
      <c r="G93" s="68">
        <f t="shared" ref="G93:G94" si="29">H93+I93</f>
        <v>760000</v>
      </c>
      <c r="H93" s="68">
        <f>600000+80000+60000+20000</f>
        <v>760000</v>
      </c>
      <c r="I93" s="68"/>
      <c r="J93" s="68"/>
      <c r="K93" s="68">
        <f t="shared" si="27"/>
        <v>744312</v>
      </c>
      <c r="L93" s="68">
        <v>744312</v>
      </c>
      <c r="M93" s="68"/>
      <c r="N93" s="68"/>
      <c r="O93" s="93">
        <f t="shared" si="21"/>
        <v>0.97935789473684209</v>
      </c>
      <c r="P93" s="68">
        <f t="shared" si="22"/>
        <v>-15688</v>
      </c>
    </row>
    <row r="94" spans="1:16" s="9" customFormat="1" ht="46.8" x14ac:dyDescent="0.3">
      <c r="A94" s="6" t="s">
        <v>243</v>
      </c>
      <c r="B94" s="6" t="s">
        <v>229</v>
      </c>
      <c r="C94" s="6" t="s">
        <v>230</v>
      </c>
      <c r="D94" s="7" t="s">
        <v>261</v>
      </c>
      <c r="E94" s="20" t="s">
        <v>260</v>
      </c>
      <c r="F94" s="8" t="s">
        <v>310</v>
      </c>
      <c r="G94" s="68">
        <f t="shared" si="29"/>
        <v>256500</v>
      </c>
      <c r="H94" s="68">
        <f>167000+9500</f>
        <v>176500</v>
      </c>
      <c r="I94" s="68">
        <v>80000</v>
      </c>
      <c r="J94" s="68">
        <v>80000</v>
      </c>
      <c r="K94" s="68">
        <f t="shared" si="27"/>
        <v>239663.25</v>
      </c>
      <c r="L94" s="68">
        <v>159663.25</v>
      </c>
      <c r="M94" s="68">
        <v>80000</v>
      </c>
      <c r="N94" s="68">
        <f>M94</f>
        <v>80000</v>
      </c>
      <c r="O94" s="93">
        <f t="shared" si="21"/>
        <v>0.934359649122807</v>
      </c>
      <c r="P94" s="68">
        <f t="shared" si="22"/>
        <v>-16836.75</v>
      </c>
    </row>
    <row r="95" spans="1:16" s="29" customFormat="1" ht="15.6" x14ac:dyDescent="0.3">
      <c r="A95" s="15" t="s">
        <v>22</v>
      </c>
      <c r="B95" s="15"/>
      <c r="C95" s="15"/>
      <c r="D95" s="82" t="s">
        <v>154</v>
      </c>
      <c r="E95" s="83"/>
      <c r="F95" s="55"/>
      <c r="G95" s="67">
        <f>G96</f>
        <v>11161491</v>
      </c>
      <c r="H95" s="67">
        <f>H96</f>
        <v>6803356</v>
      </c>
      <c r="I95" s="67">
        <f t="shared" ref="I95:J95" si="30">I96</f>
        <v>4358135</v>
      </c>
      <c r="J95" s="67">
        <f t="shared" si="30"/>
        <v>0</v>
      </c>
      <c r="K95" s="67">
        <f>K96</f>
        <v>6144582.1900000013</v>
      </c>
      <c r="L95" s="67">
        <f>L96</f>
        <v>6127443.040000001</v>
      </c>
      <c r="M95" s="67">
        <f t="shared" ref="M95:N95" si="31">M96</f>
        <v>17139.150000000001</v>
      </c>
      <c r="N95" s="67">
        <f t="shared" si="31"/>
        <v>0</v>
      </c>
      <c r="O95" s="75">
        <f t="shared" si="21"/>
        <v>0.55051625181617769</v>
      </c>
      <c r="P95" s="67">
        <f t="shared" si="22"/>
        <v>-5016908.8099999987</v>
      </c>
    </row>
    <row r="96" spans="1:16" s="30" customFormat="1" ht="15.6" x14ac:dyDescent="0.3">
      <c r="A96" s="15" t="s">
        <v>23</v>
      </c>
      <c r="B96" s="15"/>
      <c r="C96" s="15"/>
      <c r="D96" s="82" t="s">
        <v>154</v>
      </c>
      <c r="E96" s="83"/>
      <c r="F96" s="55"/>
      <c r="G96" s="67">
        <f>SUM(G97:G104)</f>
        <v>11161491</v>
      </c>
      <c r="H96" s="67">
        <f t="shared" ref="H96:J96" si="32">SUM(H97:H104)</f>
        <v>6803356</v>
      </c>
      <c r="I96" s="67">
        <f t="shared" si="32"/>
        <v>4358135</v>
      </c>
      <c r="J96" s="67">
        <f t="shared" si="32"/>
        <v>0</v>
      </c>
      <c r="K96" s="67">
        <f>SUM(K97:K104)</f>
        <v>6144582.1900000013</v>
      </c>
      <c r="L96" s="67">
        <f t="shared" ref="L96:N96" si="33">SUM(L97:L104)</f>
        <v>6127443.040000001</v>
      </c>
      <c r="M96" s="67">
        <f t="shared" si="33"/>
        <v>17139.150000000001</v>
      </c>
      <c r="N96" s="67">
        <f t="shared" si="33"/>
        <v>0</v>
      </c>
      <c r="O96" s="75">
        <f t="shared" si="21"/>
        <v>0.55051625181617769</v>
      </c>
      <c r="P96" s="67">
        <f t="shared" si="22"/>
        <v>-5016908.8099999987</v>
      </c>
    </row>
    <row r="97" spans="1:17" s="30" customFormat="1" ht="46.8" x14ac:dyDescent="0.3">
      <c r="A97" s="6" t="s">
        <v>41</v>
      </c>
      <c r="B97" s="6" t="s">
        <v>42</v>
      </c>
      <c r="C97" s="6" t="s">
        <v>27</v>
      </c>
      <c r="D97" s="7" t="s">
        <v>43</v>
      </c>
      <c r="E97" s="20" t="s">
        <v>169</v>
      </c>
      <c r="F97" s="8" t="s">
        <v>198</v>
      </c>
      <c r="G97" s="68">
        <f t="shared" ref="G97:G104" si="34">H97+I97</f>
        <v>994300</v>
      </c>
      <c r="H97" s="68">
        <f>1029300-35000</f>
        <v>994300</v>
      </c>
      <c r="I97" s="68"/>
      <c r="J97" s="68"/>
      <c r="K97" s="68">
        <f t="shared" ref="K97:K104" si="35">L97+M97</f>
        <v>784266.8</v>
      </c>
      <c r="L97" s="68">
        <v>784266.8</v>
      </c>
      <c r="M97" s="67"/>
      <c r="N97" s="67"/>
      <c r="O97" s="93">
        <f t="shared" si="21"/>
        <v>0.78876274766167154</v>
      </c>
      <c r="P97" s="68">
        <f t="shared" si="22"/>
        <v>-210033.19999999995</v>
      </c>
    </row>
    <row r="98" spans="1:17" s="29" customFormat="1" ht="46.8" x14ac:dyDescent="0.3">
      <c r="A98" s="6" t="s">
        <v>111</v>
      </c>
      <c r="B98" s="6" t="s">
        <v>112</v>
      </c>
      <c r="C98" s="6" t="s">
        <v>37</v>
      </c>
      <c r="D98" s="7" t="s">
        <v>113</v>
      </c>
      <c r="E98" s="20" t="s">
        <v>160</v>
      </c>
      <c r="F98" s="8" t="s">
        <v>186</v>
      </c>
      <c r="G98" s="68">
        <f t="shared" si="34"/>
        <v>1498900</v>
      </c>
      <c r="H98" s="68">
        <f>1400000+49000+49900</f>
        <v>1498900</v>
      </c>
      <c r="I98" s="68"/>
      <c r="J98" s="68"/>
      <c r="K98" s="68">
        <f t="shared" si="35"/>
        <v>1245942.72</v>
      </c>
      <c r="L98" s="68">
        <v>1245942.72</v>
      </c>
      <c r="M98" s="68"/>
      <c r="N98" s="68"/>
      <c r="O98" s="93">
        <f t="shared" si="21"/>
        <v>0.83123805457335376</v>
      </c>
      <c r="P98" s="68">
        <f t="shared" si="22"/>
        <v>-252957.28000000003</v>
      </c>
    </row>
    <row r="99" spans="1:17" s="29" customFormat="1" ht="46.8" x14ac:dyDescent="0.3">
      <c r="A99" s="6" t="s">
        <v>115</v>
      </c>
      <c r="B99" s="6" t="s">
        <v>114</v>
      </c>
      <c r="C99" s="6" t="s">
        <v>37</v>
      </c>
      <c r="D99" s="7" t="s">
        <v>116</v>
      </c>
      <c r="E99" s="20" t="s">
        <v>160</v>
      </c>
      <c r="F99" s="8" t="s">
        <v>186</v>
      </c>
      <c r="G99" s="68">
        <f t="shared" si="34"/>
        <v>1193600</v>
      </c>
      <c r="H99" s="68">
        <f>990000+49000+49900-115300+220000</f>
        <v>1193600</v>
      </c>
      <c r="I99" s="68"/>
      <c r="J99" s="68"/>
      <c r="K99" s="68">
        <f t="shared" si="35"/>
        <v>1162800.8400000001</v>
      </c>
      <c r="L99" s="68">
        <v>1162800.8400000001</v>
      </c>
      <c r="M99" s="68"/>
      <c r="N99" s="68"/>
      <c r="O99" s="93">
        <f t="shared" si="21"/>
        <v>0.9741964142091154</v>
      </c>
      <c r="P99" s="68">
        <f t="shared" si="22"/>
        <v>-30799.159999999916</v>
      </c>
    </row>
    <row r="100" spans="1:17" s="29" customFormat="1" ht="46.8" x14ac:dyDescent="0.3">
      <c r="A100" s="8">
        <v>1115049</v>
      </c>
      <c r="B100" s="8">
        <v>5049</v>
      </c>
      <c r="C100" s="8" t="s">
        <v>37</v>
      </c>
      <c r="D100" s="10" t="s">
        <v>345</v>
      </c>
      <c r="E100" s="20" t="s">
        <v>160</v>
      </c>
      <c r="F100" s="8" t="s">
        <v>186</v>
      </c>
      <c r="G100" s="68">
        <f t="shared" si="34"/>
        <v>114192</v>
      </c>
      <c r="H100" s="68">
        <f>35136+79056</f>
        <v>114192</v>
      </c>
      <c r="I100" s="68"/>
      <c r="J100" s="68"/>
      <c r="K100" s="68">
        <f t="shared" si="35"/>
        <v>81984</v>
      </c>
      <c r="L100" s="68">
        <v>81984</v>
      </c>
      <c r="M100" s="68"/>
      <c r="N100" s="68"/>
      <c r="O100" s="93">
        <f t="shared" si="21"/>
        <v>0.71794871794871795</v>
      </c>
      <c r="P100" s="68">
        <f t="shared" si="22"/>
        <v>-32208</v>
      </c>
    </row>
    <row r="101" spans="1:17" s="29" customFormat="1" ht="46.8" x14ac:dyDescent="0.3">
      <c r="A101" s="6" t="s">
        <v>35</v>
      </c>
      <c r="B101" s="6" t="s">
        <v>36</v>
      </c>
      <c r="C101" s="6" t="s">
        <v>37</v>
      </c>
      <c r="D101" s="61" t="s">
        <v>60</v>
      </c>
      <c r="E101" s="20" t="s">
        <v>160</v>
      </c>
      <c r="F101" s="8" t="s">
        <v>186</v>
      </c>
      <c r="G101" s="68">
        <f t="shared" si="34"/>
        <v>2749864</v>
      </c>
      <c r="H101" s="68">
        <f>3185000-35136-180000-220000</f>
        <v>2749864</v>
      </c>
      <c r="I101" s="68"/>
      <c r="J101" s="68"/>
      <c r="K101" s="68">
        <f t="shared" si="35"/>
        <v>2624046.6</v>
      </c>
      <c r="L101" s="68">
        <v>2624046.6</v>
      </c>
      <c r="M101" s="68"/>
      <c r="N101" s="68"/>
      <c r="O101" s="93">
        <f t="shared" si="21"/>
        <v>0.95424595543634161</v>
      </c>
      <c r="P101" s="68">
        <f t="shared" si="22"/>
        <v>-125817.39999999991</v>
      </c>
    </row>
    <row r="102" spans="1:17" s="29" customFormat="1" ht="46.8" x14ac:dyDescent="0.3">
      <c r="A102" s="6" t="s">
        <v>361</v>
      </c>
      <c r="B102" s="6" t="s">
        <v>362</v>
      </c>
      <c r="C102" s="6" t="s">
        <v>37</v>
      </c>
      <c r="D102" s="62" t="s">
        <v>360</v>
      </c>
      <c r="E102" s="20" t="s">
        <v>160</v>
      </c>
      <c r="F102" s="8" t="s">
        <v>186</v>
      </c>
      <c r="G102" s="68">
        <f t="shared" si="34"/>
        <v>180000</v>
      </c>
      <c r="H102" s="68">
        <v>180000</v>
      </c>
      <c r="I102" s="68"/>
      <c r="J102" s="68"/>
      <c r="K102" s="68">
        <f t="shared" si="35"/>
        <v>165460.07999999999</v>
      </c>
      <c r="L102" s="68">
        <v>165460.07999999999</v>
      </c>
      <c r="M102" s="68"/>
      <c r="N102" s="68"/>
      <c r="O102" s="93">
        <f t="shared" si="21"/>
        <v>0.91922266666666663</v>
      </c>
      <c r="P102" s="68">
        <f t="shared" si="22"/>
        <v>-14539.920000000013</v>
      </c>
    </row>
    <row r="103" spans="1:17" s="29" customFormat="1" ht="46.8" x14ac:dyDescent="0.3">
      <c r="A103" s="6" t="s">
        <v>242</v>
      </c>
      <c r="B103" s="6" t="s">
        <v>229</v>
      </c>
      <c r="C103" s="6" t="s">
        <v>230</v>
      </c>
      <c r="D103" s="7" t="s">
        <v>261</v>
      </c>
      <c r="E103" s="20" t="s">
        <v>260</v>
      </c>
      <c r="F103" s="8" t="s">
        <v>310</v>
      </c>
      <c r="G103" s="68">
        <f t="shared" si="34"/>
        <v>72500</v>
      </c>
      <c r="H103" s="68">
        <f>65000+7500</f>
        <v>72500</v>
      </c>
      <c r="I103" s="68"/>
      <c r="J103" s="68"/>
      <c r="K103" s="68">
        <f t="shared" si="35"/>
        <v>62942</v>
      </c>
      <c r="L103" s="68">
        <v>62942</v>
      </c>
      <c r="M103" s="68"/>
      <c r="N103" s="68"/>
      <c r="O103" s="93">
        <f t="shared" si="21"/>
        <v>0.86816551724137936</v>
      </c>
      <c r="P103" s="68">
        <f t="shared" si="22"/>
        <v>-9558</v>
      </c>
    </row>
    <row r="104" spans="1:17" s="29" customFormat="1" ht="109.2" x14ac:dyDescent="0.3">
      <c r="A104" s="6" t="s">
        <v>365</v>
      </c>
      <c r="B104" s="6" t="s">
        <v>292</v>
      </c>
      <c r="C104" s="13" t="s">
        <v>21</v>
      </c>
      <c r="D104" s="10" t="s">
        <v>294</v>
      </c>
      <c r="E104" s="20" t="s">
        <v>160</v>
      </c>
      <c r="F104" s="8" t="s">
        <v>186</v>
      </c>
      <c r="G104" s="68">
        <f t="shared" si="34"/>
        <v>4358135</v>
      </c>
      <c r="H104" s="68"/>
      <c r="I104" s="68">
        <v>4358135</v>
      </c>
      <c r="J104" s="68"/>
      <c r="K104" s="68">
        <f t="shared" si="35"/>
        <v>17139.150000000001</v>
      </c>
      <c r="L104" s="68"/>
      <c r="M104" s="68">
        <v>17139.150000000001</v>
      </c>
      <c r="N104" s="68"/>
      <c r="O104" s="93">
        <f t="shared" si="21"/>
        <v>3.9326799192773978E-3</v>
      </c>
      <c r="P104" s="68">
        <f t="shared" si="22"/>
        <v>-4340995.8499999996</v>
      </c>
    </row>
    <row r="105" spans="1:17" s="29" customFormat="1" ht="15.6" x14ac:dyDescent="0.3">
      <c r="A105" s="15" t="s">
        <v>12</v>
      </c>
      <c r="B105" s="15"/>
      <c r="C105" s="15"/>
      <c r="D105" s="82" t="s">
        <v>148</v>
      </c>
      <c r="E105" s="83"/>
      <c r="F105" s="55"/>
      <c r="G105" s="67">
        <f t="shared" ref="G105:N105" si="36">G106</f>
        <v>236479405.91</v>
      </c>
      <c r="H105" s="67">
        <f t="shared" si="36"/>
        <v>200578894</v>
      </c>
      <c r="I105" s="67">
        <f t="shared" si="36"/>
        <v>35900511.910000004</v>
      </c>
      <c r="J105" s="67">
        <f t="shared" si="36"/>
        <v>31066015.82</v>
      </c>
      <c r="K105" s="67">
        <f t="shared" si="36"/>
        <v>224143948.27000001</v>
      </c>
      <c r="L105" s="67">
        <f t="shared" si="36"/>
        <v>195474638.23000002</v>
      </c>
      <c r="M105" s="67">
        <f t="shared" si="36"/>
        <v>28669309.039999999</v>
      </c>
      <c r="N105" s="67">
        <f t="shared" si="36"/>
        <v>27184718.73</v>
      </c>
      <c r="O105" s="75">
        <f t="shared" si="21"/>
        <v>0.94783707446941634</v>
      </c>
      <c r="P105" s="67">
        <f t="shared" si="22"/>
        <v>-12335457.639999986</v>
      </c>
      <c r="Q105" s="66">
        <f>L16+L39+L64+L81+L86+L95+L105+L130+L141+L149</f>
        <v>474600915.18000007</v>
      </c>
    </row>
    <row r="106" spans="1:17" s="30" customFormat="1" ht="15.6" x14ac:dyDescent="0.3">
      <c r="A106" s="15" t="s">
        <v>13</v>
      </c>
      <c r="B106" s="15"/>
      <c r="C106" s="15"/>
      <c r="D106" s="82" t="s">
        <v>148</v>
      </c>
      <c r="E106" s="83"/>
      <c r="F106" s="55"/>
      <c r="G106" s="67">
        <f t="shared" ref="G106:N106" si="37">SUM(G107:G129)</f>
        <v>236479405.91</v>
      </c>
      <c r="H106" s="67">
        <f t="shared" si="37"/>
        <v>200578894</v>
      </c>
      <c r="I106" s="67">
        <f t="shared" si="37"/>
        <v>35900511.910000004</v>
      </c>
      <c r="J106" s="67">
        <f t="shared" si="37"/>
        <v>31066015.82</v>
      </c>
      <c r="K106" s="67">
        <f t="shared" si="37"/>
        <v>224143948.27000001</v>
      </c>
      <c r="L106" s="67">
        <f t="shared" si="37"/>
        <v>195474638.23000002</v>
      </c>
      <c r="M106" s="67">
        <f t="shared" si="37"/>
        <v>28669309.039999999</v>
      </c>
      <c r="N106" s="67">
        <f t="shared" si="37"/>
        <v>27184718.73</v>
      </c>
      <c r="O106" s="75">
        <f t="shared" si="21"/>
        <v>0.94783707446941634</v>
      </c>
      <c r="P106" s="67">
        <f t="shared" si="22"/>
        <v>-12335457.639999986</v>
      </c>
    </row>
    <row r="107" spans="1:17" s="30" customFormat="1" ht="46.8" x14ac:dyDescent="0.3">
      <c r="A107" s="6" t="s">
        <v>232</v>
      </c>
      <c r="B107" s="6" t="s">
        <v>224</v>
      </c>
      <c r="C107" s="6" t="s">
        <v>225</v>
      </c>
      <c r="D107" s="59" t="s">
        <v>226</v>
      </c>
      <c r="E107" s="19" t="s">
        <v>227</v>
      </c>
      <c r="F107" s="8" t="s">
        <v>228</v>
      </c>
      <c r="G107" s="68">
        <f t="shared" ref="G107:G112" si="38">H107+I107</f>
        <v>30000</v>
      </c>
      <c r="H107" s="68">
        <f>50000-20000</f>
        <v>30000</v>
      </c>
      <c r="I107" s="68"/>
      <c r="J107" s="67"/>
      <c r="K107" s="68">
        <f t="shared" ref="K107:K129" si="39">L107+M107</f>
        <v>0</v>
      </c>
      <c r="L107" s="67"/>
      <c r="M107" s="67"/>
      <c r="N107" s="67"/>
      <c r="O107" s="93">
        <f t="shared" si="21"/>
        <v>0</v>
      </c>
      <c r="P107" s="68">
        <f t="shared" si="22"/>
        <v>-30000</v>
      </c>
    </row>
    <row r="108" spans="1:17" s="16" customFormat="1" ht="78" x14ac:dyDescent="0.3">
      <c r="A108" s="6" t="s">
        <v>279</v>
      </c>
      <c r="B108" s="8">
        <v>6011</v>
      </c>
      <c r="C108" s="13" t="s">
        <v>280</v>
      </c>
      <c r="D108" s="10" t="s">
        <v>281</v>
      </c>
      <c r="E108" s="20" t="s">
        <v>282</v>
      </c>
      <c r="F108" s="8" t="s">
        <v>313</v>
      </c>
      <c r="G108" s="68">
        <f>H108+I108</f>
        <v>3130470</v>
      </c>
      <c r="H108" s="68"/>
      <c r="I108" s="68">
        <f>1660017+1413000+15300+38452+3701</f>
        <v>3130470</v>
      </c>
      <c r="J108" s="68">
        <f>1660017+1413000+15300+38452+3701</f>
        <v>3130470</v>
      </c>
      <c r="K108" s="68">
        <f t="shared" si="39"/>
        <v>2017596.76</v>
      </c>
      <c r="L108" s="67"/>
      <c r="M108" s="68">
        <v>2017596.76</v>
      </c>
      <c r="N108" s="68">
        <f t="shared" ref="N108:N113" si="40">M108</f>
        <v>2017596.76</v>
      </c>
      <c r="O108" s="93">
        <f t="shared" si="21"/>
        <v>0.6445028254543248</v>
      </c>
      <c r="P108" s="68">
        <f t="shared" si="22"/>
        <v>-1112873.24</v>
      </c>
    </row>
    <row r="109" spans="1:17" s="30" customFormat="1" ht="46.8" x14ac:dyDescent="0.3">
      <c r="A109" s="6" t="s">
        <v>279</v>
      </c>
      <c r="B109" s="8">
        <v>6011</v>
      </c>
      <c r="C109" s="13" t="s">
        <v>280</v>
      </c>
      <c r="D109" s="10" t="s">
        <v>281</v>
      </c>
      <c r="E109" s="20" t="s">
        <v>258</v>
      </c>
      <c r="F109" s="8" t="s">
        <v>309</v>
      </c>
      <c r="G109" s="68">
        <f t="shared" si="38"/>
        <v>1806472.75</v>
      </c>
      <c r="H109" s="68">
        <f>319069-91250</f>
        <v>227819</v>
      </c>
      <c r="I109" s="68">
        <f>43200+600000+94300+1400000+27908+84762.75-13046-658471</f>
        <v>1578653.75</v>
      </c>
      <c r="J109" s="68">
        <f>43200+600000+94300+1400000+27908+84762.75-13046-658471</f>
        <v>1578653.75</v>
      </c>
      <c r="K109" s="68">
        <f t="shared" si="39"/>
        <v>881316.35</v>
      </c>
      <c r="L109" s="67"/>
      <c r="M109" s="68">
        <v>881316.35</v>
      </c>
      <c r="N109" s="68">
        <f t="shared" si="40"/>
        <v>881316.35</v>
      </c>
      <c r="O109" s="93">
        <f t="shared" si="21"/>
        <v>0.48786584242690623</v>
      </c>
      <c r="P109" s="68">
        <f t="shared" si="22"/>
        <v>-925156.4</v>
      </c>
    </row>
    <row r="110" spans="1:17" s="16" customFormat="1" ht="46.8" x14ac:dyDescent="0.3">
      <c r="A110" s="8">
        <v>1216013</v>
      </c>
      <c r="B110" s="8">
        <v>6013</v>
      </c>
      <c r="C110" s="13" t="s">
        <v>20</v>
      </c>
      <c r="D110" s="10" t="s">
        <v>363</v>
      </c>
      <c r="E110" s="20" t="s">
        <v>258</v>
      </c>
      <c r="F110" s="8" t="s">
        <v>309</v>
      </c>
      <c r="G110" s="68">
        <f t="shared" si="38"/>
        <v>2411223</v>
      </c>
      <c r="H110" s="68">
        <f>4148102-1873996</f>
        <v>2274106</v>
      </c>
      <c r="I110" s="68">
        <v>137117</v>
      </c>
      <c r="J110" s="68">
        <v>137117</v>
      </c>
      <c r="K110" s="68">
        <f>L110+M110+1</f>
        <v>2411223.4</v>
      </c>
      <c r="L110" s="68">
        <v>2274105.6</v>
      </c>
      <c r="M110" s="68">
        <v>137116.79999999999</v>
      </c>
      <c r="N110" s="68">
        <f t="shared" si="40"/>
        <v>137116.79999999999</v>
      </c>
      <c r="O110" s="93">
        <f t="shared" si="21"/>
        <v>1.0000001658909192</v>
      </c>
      <c r="P110" s="68">
        <f t="shared" si="22"/>
        <v>0.39999999990686774</v>
      </c>
    </row>
    <row r="111" spans="1:17" s="9" customFormat="1" ht="46.8" x14ac:dyDescent="0.3">
      <c r="A111" s="6" t="s">
        <v>117</v>
      </c>
      <c r="B111" s="6" t="s">
        <v>118</v>
      </c>
      <c r="C111" s="6" t="s">
        <v>20</v>
      </c>
      <c r="D111" s="61" t="s">
        <v>119</v>
      </c>
      <c r="E111" s="20" t="s">
        <v>203</v>
      </c>
      <c r="F111" s="8" t="s">
        <v>201</v>
      </c>
      <c r="G111" s="68">
        <f t="shared" si="38"/>
        <v>5048613.25</v>
      </c>
      <c r="H111" s="68">
        <f>300000-150101-149899</f>
        <v>0</v>
      </c>
      <c r="I111" s="68">
        <f>7215287-1799333-321984+6487.25-3701-48143</f>
        <v>5048613.25</v>
      </c>
      <c r="J111" s="68">
        <f>7215287-1799333-321984+6487.25-3701-48143</f>
        <v>5048613.25</v>
      </c>
      <c r="K111" s="68">
        <f t="shared" si="39"/>
        <v>5048609.3</v>
      </c>
      <c r="L111" s="68"/>
      <c r="M111" s="68">
        <v>5048609.3</v>
      </c>
      <c r="N111" s="68">
        <f t="shared" si="40"/>
        <v>5048609.3</v>
      </c>
      <c r="O111" s="93">
        <f t="shared" si="21"/>
        <v>0.99999921760693389</v>
      </c>
      <c r="P111" s="68">
        <f t="shared" si="22"/>
        <v>-3.9500000001862645</v>
      </c>
    </row>
    <row r="112" spans="1:17" s="9" customFormat="1" ht="78" x14ac:dyDescent="0.3">
      <c r="A112" s="6" t="s">
        <v>117</v>
      </c>
      <c r="B112" s="6" t="s">
        <v>118</v>
      </c>
      <c r="C112" s="6" t="s">
        <v>20</v>
      </c>
      <c r="D112" s="61" t="s">
        <v>119</v>
      </c>
      <c r="E112" s="20" t="s">
        <v>282</v>
      </c>
      <c r="F112" s="8" t="s">
        <v>313</v>
      </c>
      <c r="G112" s="68">
        <f t="shared" si="38"/>
        <v>1705579</v>
      </c>
      <c r="H112" s="68"/>
      <c r="I112" s="68">
        <f>1799333-15300-78454</f>
        <v>1705579</v>
      </c>
      <c r="J112" s="68">
        <f>1799333-15300-78454</f>
        <v>1705579</v>
      </c>
      <c r="K112" s="68">
        <f t="shared" si="39"/>
        <v>1705578.38</v>
      </c>
      <c r="L112" s="68"/>
      <c r="M112" s="68">
        <v>1705578.38</v>
      </c>
      <c r="N112" s="68">
        <f t="shared" si="40"/>
        <v>1705578.38</v>
      </c>
      <c r="O112" s="93">
        <f t="shared" si="21"/>
        <v>0.99999963648708146</v>
      </c>
      <c r="P112" s="68">
        <f t="shared" si="22"/>
        <v>-0.62000000011175871</v>
      </c>
    </row>
    <row r="113" spans="1:16" s="9" customFormat="1" ht="78" x14ac:dyDescent="0.3">
      <c r="A113" s="6" t="s">
        <v>31</v>
      </c>
      <c r="B113" s="6" t="s">
        <v>53</v>
      </c>
      <c r="C113" s="6" t="s">
        <v>20</v>
      </c>
      <c r="D113" s="7" t="s">
        <v>54</v>
      </c>
      <c r="E113" s="20" t="s">
        <v>283</v>
      </c>
      <c r="F113" s="8" t="s">
        <v>284</v>
      </c>
      <c r="G113" s="68">
        <f>H113+I113</f>
        <v>1095000</v>
      </c>
      <c r="H113" s="68"/>
      <c r="I113" s="68">
        <v>1095000</v>
      </c>
      <c r="J113" s="68">
        <v>1095000</v>
      </c>
      <c r="K113" s="68">
        <f t="shared" si="39"/>
        <v>70017.3</v>
      </c>
      <c r="L113" s="68"/>
      <c r="M113" s="68">
        <v>70017.3</v>
      </c>
      <c r="N113" s="68">
        <f t="shared" si="40"/>
        <v>70017.3</v>
      </c>
      <c r="O113" s="93">
        <f t="shared" si="21"/>
        <v>6.3942739726027403E-2</v>
      </c>
      <c r="P113" s="68">
        <f t="shared" si="22"/>
        <v>-1024982.7</v>
      </c>
    </row>
    <row r="114" spans="1:16" s="29" customFormat="1" ht="46.8" x14ac:dyDescent="0.3">
      <c r="A114" s="6" t="s">
        <v>31</v>
      </c>
      <c r="B114" s="6" t="s">
        <v>53</v>
      </c>
      <c r="C114" s="6" t="s">
        <v>20</v>
      </c>
      <c r="D114" s="7" t="s">
        <v>54</v>
      </c>
      <c r="E114" s="20" t="s">
        <v>258</v>
      </c>
      <c r="F114" s="8" t="s">
        <v>309</v>
      </c>
      <c r="G114" s="68">
        <f t="shared" ref="G114:G126" si="41">H114+I114</f>
        <v>2051830</v>
      </c>
      <c r="H114" s="68">
        <f>1720000+331830</f>
        <v>2051830</v>
      </c>
      <c r="I114" s="68"/>
      <c r="J114" s="68"/>
      <c r="K114" s="68">
        <f t="shared" si="39"/>
        <v>1845358.21</v>
      </c>
      <c r="L114" s="68">
        <v>1845358.21</v>
      </c>
      <c r="M114" s="68"/>
      <c r="N114" s="68"/>
      <c r="O114" s="93">
        <f t="shared" si="21"/>
        <v>0.89937188266084422</v>
      </c>
      <c r="P114" s="68">
        <f t="shared" si="22"/>
        <v>-206471.79000000004</v>
      </c>
    </row>
    <row r="115" spans="1:16" s="29" customFormat="1" ht="46.8" x14ac:dyDescent="0.3">
      <c r="A115" s="6" t="s">
        <v>19</v>
      </c>
      <c r="B115" s="6" t="s">
        <v>52</v>
      </c>
      <c r="C115" s="6" t="s">
        <v>20</v>
      </c>
      <c r="D115" s="61" t="s">
        <v>30</v>
      </c>
      <c r="E115" s="20" t="s">
        <v>258</v>
      </c>
      <c r="F115" s="8" t="s">
        <v>309</v>
      </c>
      <c r="G115" s="68">
        <f t="shared" si="41"/>
        <v>92133353</v>
      </c>
      <c r="H115" s="68">
        <f>84160000+401000+200000-500000+9490+20000+500000+758464-34000-300000+1523499-2000000+153221</f>
        <v>84891674</v>
      </c>
      <c r="I115" s="68">
        <f>839500+252000+34000+6088600+27579</f>
        <v>7241679</v>
      </c>
      <c r="J115" s="68">
        <f>839500+252000+34000+6088600+27579</f>
        <v>7241679</v>
      </c>
      <c r="K115" s="68">
        <f t="shared" si="39"/>
        <v>88015071.530000001</v>
      </c>
      <c r="L115" s="68">
        <v>81632940.780000001</v>
      </c>
      <c r="M115" s="68">
        <v>6382130.75</v>
      </c>
      <c r="N115" s="68">
        <f>M115</f>
        <v>6382130.75</v>
      </c>
      <c r="O115" s="93">
        <f t="shared" si="21"/>
        <v>0.95530086189308661</v>
      </c>
      <c r="P115" s="68">
        <f t="shared" si="22"/>
        <v>-4118281.4699999988</v>
      </c>
    </row>
    <row r="116" spans="1:16" s="9" customFormat="1" ht="46.8" x14ac:dyDescent="0.3">
      <c r="A116" s="8">
        <v>1216091</v>
      </c>
      <c r="B116" s="8">
        <v>6091</v>
      </c>
      <c r="C116" s="13" t="s">
        <v>236</v>
      </c>
      <c r="D116" s="10" t="s">
        <v>300</v>
      </c>
      <c r="E116" s="20" t="s">
        <v>258</v>
      </c>
      <c r="F116" s="8" t="s">
        <v>309</v>
      </c>
      <c r="G116" s="68">
        <f t="shared" si="41"/>
        <v>6400000</v>
      </c>
      <c r="H116" s="68"/>
      <c r="I116" s="68">
        <f>6400000+300000-300000</f>
        <v>6400000</v>
      </c>
      <c r="J116" s="68">
        <f>6400000+300000-300000</f>
        <v>6400000</v>
      </c>
      <c r="K116" s="68">
        <f t="shared" si="39"/>
        <v>6400000</v>
      </c>
      <c r="L116" s="68"/>
      <c r="M116" s="68">
        <v>6400000</v>
      </c>
      <c r="N116" s="68">
        <f>M116</f>
        <v>6400000</v>
      </c>
      <c r="O116" s="93">
        <f t="shared" si="21"/>
        <v>1</v>
      </c>
      <c r="P116" s="68">
        <f t="shared" si="22"/>
        <v>0</v>
      </c>
    </row>
    <row r="117" spans="1:16" s="9" customFormat="1" ht="78" x14ac:dyDescent="0.3">
      <c r="A117" s="8">
        <v>1216091</v>
      </c>
      <c r="B117" s="8">
        <v>6091</v>
      </c>
      <c r="C117" s="13" t="s">
        <v>236</v>
      </c>
      <c r="D117" s="10" t="s">
        <v>300</v>
      </c>
      <c r="E117" s="20" t="s">
        <v>282</v>
      </c>
      <c r="F117" s="8" t="s">
        <v>313</v>
      </c>
      <c r="G117" s="68">
        <f t="shared" si="41"/>
        <v>159841</v>
      </c>
      <c r="H117" s="68"/>
      <c r="I117" s="68">
        <f>171000-11159</f>
        <v>159841</v>
      </c>
      <c r="J117" s="68">
        <f>171000-11159</f>
        <v>159841</v>
      </c>
      <c r="K117" s="68">
        <f t="shared" si="39"/>
        <v>159840.91</v>
      </c>
      <c r="L117" s="68"/>
      <c r="M117" s="68">
        <v>159840.91</v>
      </c>
      <c r="N117" s="68">
        <f>M117</f>
        <v>159840.91</v>
      </c>
      <c r="O117" s="93">
        <f t="shared" si="21"/>
        <v>0.99999943694045956</v>
      </c>
      <c r="P117" s="68">
        <f t="shared" si="22"/>
        <v>-8.999999999650754E-2</v>
      </c>
    </row>
    <row r="118" spans="1:16" s="9" customFormat="1" ht="83.25" customHeight="1" x14ac:dyDescent="0.3">
      <c r="A118" s="6" t="s">
        <v>289</v>
      </c>
      <c r="B118" s="6" t="s">
        <v>285</v>
      </c>
      <c r="C118" s="13" t="s">
        <v>236</v>
      </c>
      <c r="D118" s="10" t="s">
        <v>286</v>
      </c>
      <c r="E118" s="20" t="s">
        <v>153</v>
      </c>
      <c r="F118" s="8" t="s">
        <v>173</v>
      </c>
      <c r="G118" s="68">
        <f t="shared" si="41"/>
        <v>37755</v>
      </c>
      <c r="H118" s="68">
        <f>47400-9645</f>
        <v>37755</v>
      </c>
      <c r="I118" s="68"/>
      <c r="J118" s="68"/>
      <c r="K118" s="68">
        <f t="shared" si="39"/>
        <v>37754.870000000003</v>
      </c>
      <c r="L118" s="68">
        <v>37754.870000000003</v>
      </c>
      <c r="M118" s="68"/>
      <c r="N118" s="68"/>
      <c r="O118" s="93">
        <f t="shared" si="21"/>
        <v>0.99999655674745069</v>
      </c>
      <c r="P118" s="68">
        <f t="shared" si="22"/>
        <v>-0.12999999999738066</v>
      </c>
    </row>
    <row r="119" spans="1:16" s="29" customFormat="1" ht="46.8" x14ac:dyDescent="0.3">
      <c r="A119" s="6" t="s">
        <v>290</v>
      </c>
      <c r="B119" s="6" t="s">
        <v>55</v>
      </c>
      <c r="C119" s="6" t="s">
        <v>32</v>
      </c>
      <c r="D119" s="7" t="s">
        <v>33</v>
      </c>
      <c r="E119" s="20" t="s">
        <v>258</v>
      </c>
      <c r="F119" s="8" t="s">
        <v>309</v>
      </c>
      <c r="G119" s="68">
        <f t="shared" si="41"/>
        <v>30000000</v>
      </c>
      <c r="H119" s="68">
        <v>30000000</v>
      </c>
      <c r="I119" s="68"/>
      <c r="J119" s="68"/>
      <c r="K119" s="68">
        <f t="shared" si="39"/>
        <v>29614431.600000001</v>
      </c>
      <c r="L119" s="68">
        <v>29614431.600000001</v>
      </c>
      <c r="M119" s="68"/>
      <c r="N119" s="68"/>
      <c r="O119" s="93">
        <f t="shared" si="21"/>
        <v>0.98714772000000006</v>
      </c>
      <c r="P119" s="68">
        <f t="shared" si="22"/>
        <v>-385568.39999999851</v>
      </c>
    </row>
    <row r="120" spans="1:16" s="29" customFormat="1" ht="46.8" x14ac:dyDescent="0.3">
      <c r="A120" s="6" t="s">
        <v>233</v>
      </c>
      <c r="B120" s="6" t="s">
        <v>229</v>
      </c>
      <c r="C120" s="6" t="s">
        <v>230</v>
      </c>
      <c r="D120" s="7" t="s">
        <v>261</v>
      </c>
      <c r="E120" s="20" t="s">
        <v>260</v>
      </c>
      <c r="F120" s="8" t="s">
        <v>310</v>
      </c>
      <c r="G120" s="68">
        <f t="shared" si="41"/>
        <v>58300</v>
      </c>
      <c r="H120" s="68">
        <f>488300-430000</f>
        <v>58300</v>
      </c>
      <c r="I120" s="68">
        <f>36000-36000</f>
        <v>0</v>
      </c>
      <c r="J120" s="68">
        <f>36000-36000</f>
        <v>0</v>
      </c>
      <c r="K120" s="68">
        <f t="shared" si="39"/>
        <v>36058</v>
      </c>
      <c r="L120" s="68">
        <v>36058</v>
      </c>
      <c r="M120" s="68"/>
      <c r="N120" s="68"/>
      <c r="O120" s="93">
        <f t="shared" si="21"/>
        <v>0.61849056603773589</v>
      </c>
      <c r="P120" s="68">
        <f t="shared" si="22"/>
        <v>-22242</v>
      </c>
    </row>
    <row r="121" spans="1:16" s="29" customFormat="1" ht="78" x14ac:dyDescent="0.3">
      <c r="A121" s="6" t="s">
        <v>350</v>
      </c>
      <c r="B121" s="6" t="s">
        <v>264</v>
      </c>
      <c r="C121" s="13" t="s">
        <v>21</v>
      </c>
      <c r="D121" s="10" t="s">
        <v>266</v>
      </c>
      <c r="E121" s="20" t="s">
        <v>282</v>
      </c>
      <c r="F121" s="8" t="s">
        <v>313</v>
      </c>
      <c r="G121" s="68">
        <f t="shared" si="41"/>
        <v>522900</v>
      </c>
      <c r="H121" s="68"/>
      <c r="I121" s="68">
        <f>360000+162900</f>
        <v>522900</v>
      </c>
      <c r="J121" s="68">
        <f>360000+162900</f>
        <v>522900</v>
      </c>
      <c r="K121" s="68">
        <f t="shared" si="39"/>
        <v>462193.04</v>
      </c>
      <c r="L121" s="68"/>
      <c r="M121" s="68">
        <v>462193.04</v>
      </c>
      <c r="N121" s="68">
        <f>M121</f>
        <v>462193.04</v>
      </c>
      <c r="O121" s="93">
        <f t="shared" si="21"/>
        <v>0.88390330847198317</v>
      </c>
      <c r="P121" s="68">
        <f t="shared" si="22"/>
        <v>-60706.960000000021</v>
      </c>
    </row>
    <row r="122" spans="1:16" s="9" customFormat="1" ht="46.8" x14ac:dyDescent="0.3">
      <c r="A122" s="6" t="s">
        <v>350</v>
      </c>
      <c r="B122" s="6" t="s">
        <v>264</v>
      </c>
      <c r="C122" s="13" t="s">
        <v>21</v>
      </c>
      <c r="D122" s="10" t="s">
        <v>266</v>
      </c>
      <c r="E122" s="20" t="s">
        <v>258</v>
      </c>
      <c r="F122" s="8" t="s">
        <v>309</v>
      </c>
      <c r="G122" s="68">
        <f t="shared" si="41"/>
        <v>220000</v>
      </c>
      <c r="H122" s="68"/>
      <c r="I122" s="68">
        <v>220000</v>
      </c>
      <c r="J122" s="68">
        <v>220000</v>
      </c>
      <c r="K122" s="68">
        <f t="shared" si="39"/>
        <v>94215.48</v>
      </c>
      <c r="L122" s="68"/>
      <c r="M122" s="68">
        <v>94215.48</v>
      </c>
      <c r="N122" s="68">
        <f>M122</f>
        <v>94215.48</v>
      </c>
      <c r="O122" s="93">
        <f t="shared" si="21"/>
        <v>0.42825218181818181</v>
      </c>
      <c r="P122" s="68">
        <f t="shared" si="22"/>
        <v>-125784.52</v>
      </c>
    </row>
    <row r="123" spans="1:16" s="29" customFormat="1" ht="46.8" x14ac:dyDescent="0.3">
      <c r="A123" s="6" t="s">
        <v>291</v>
      </c>
      <c r="B123" s="13" t="s">
        <v>287</v>
      </c>
      <c r="C123" s="13" t="s">
        <v>21</v>
      </c>
      <c r="D123" s="10" t="s">
        <v>288</v>
      </c>
      <c r="E123" s="20" t="s">
        <v>234</v>
      </c>
      <c r="F123" s="8" t="s">
        <v>314</v>
      </c>
      <c r="G123" s="68">
        <f t="shared" si="41"/>
        <v>3403797.82</v>
      </c>
      <c r="H123" s="68"/>
      <c r="I123" s="68">
        <f>2060000-9490+600000+753287.82</f>
        <v>3403797.82</v>
      </c>
      <c r="J123" s="68">
        <f>2060000-9490+600000+753287.82</f>
        <v>3403797.82</v>
      </c>
      <c r="K123" s="68">
        <f t="shared" si="39"/>
        <v>3403794.36</v>
      </c>
      <c r="L123" s="68"/>
      <c r="M123" s="68">
        <v>3403794.36</v>
      </c>
      <c r="N123" s="68">
        <f>M123</f>
        <v>3403794.36</v>
      </c>
      <c r="O123" s="93">
        <f t="shared" si="21"/>
        <v>0.99999898348839067</v>
      </c>
      <c r="P123" s="68">
        <f t="shared" si="22"/>
        <v>-3.4599999999627471</v>
      </c>
    </row>
    <row r="124" spans="1:16" s="9" customFormat="1" ht="109.2" x14ac:dyDescent="0.3">
      <c r="A124" s="13" t="s">
        <v>293</v>
      </c>
      <c r="B124" s="13" t="s">
        <v>292</v>
      </c>
      <c r="C124" s="13" t="s">
        <v>21</v>
      </c>
      <c r="D124" s="10" t="s">
        <v>294</v>
      </c>
      <c r="E124" s="20" t="s">
        <v>282</v>
      </c>
      <c r="F124" s="8" t="s">
        <v>313</v>
      </c>
      <c r="G124" s="68">
        <f t="shared" si="41"/>
        <v>613123.73</v>
      </c>
      <c r="H124" s="68"/>
      <c r="I124" s="68">
        <f>384374.18+216000+1700+10712.87+411.2-180.33+105.81</f>
        <v>613123.73</v>
      </c>
      <c r="J124" s="68"/>
      <c r="K124" s="68">
        <f t="shared" si="39"/>
        <v>482801.02</v>
      </c>
      <c r="L124" s="68"/>
      <c r="M124" s="68">
        <v>482801.02</v>
      </c>
      <c r="N124" s="68"/>
      <c r="O124" s="93">
        <f t="shared" si="21"/>
        <v>0.78744468102710696</v>
      </c>
      <c r="P124" s="68">
        <f t="shared" si="22"/>
        <v>-130322.70999999996</v>
      </c>
    </row>
    <row r="125" spans="1:16" s="9" customFormat="1" ht="109.2" x14ac:dyDescent="0.3">
      <c r="A125" s="13" t="s">
        <v>293</v>
      </c>
      <c r="B125" s="13" t="s">
        <v>292</v>
      </c>
      <c r="C125" s="13" t="s">
        <v>21</v>
      </c>
      <c r="D125" s="10" t="s">
        <v>294</v>
      </c>
      <c r="E125" s="20" t="s">
        <v>258</v>
      </c>
      <c r="F125" s="8" t="s">
        <v>309</v>
      </c>
      <c r="G125" s="68">
        <f t="shared" si="41"/>
        <v>2987672.36</v>
      </c>
      <c r="H125" s="68"/>
      <c r="I125" s="68">
        <f>2987672.36</f>
        <v>2987672.36</v>
      </c>
      <c r="J125" s="68"/>
      <c r="K125" s="68">
        <f t="shared" si="39"/>
        <v>0</v>
      </c>
      <c r="L125" s="68"/>
      <c r="M125" s="68"/>
      <c r="N125" s="68"/>
      <c r="O125" s="93">
        <f t="shared" si="21"/>
        <v>0</v>
      </c>
      <c r="P125" s="68">
        <f t="shared" si="22"/>
        <v>-2987672.36</v>
      </c>
    </row>
    <row r="126" spans="1:16" s="29" customFormat="1" ht="46.8" x14ac:dyDescent="0.3">
      <c r="A126" s="6" t="s">
        <v>185</v>
      </c>
      <c r="B126" s="6" t="s">
        <v>34</v>
      </c>
      <c r="C126" s="6" t="s">
        <v>21</v>
      </c>
      <c r="D126" s="61" t="s">
        <v>50</v>
      </c>
      <c r="E126" s="20" t="s">
        <v>234</v>
      </c>
      <c r="F126" s="8" t="s">
        <v>314</v>
      </c>
      <c r="G126" s="68">
        <f t="shared" si="41"/>
        <v>74305110</v>
      </c>
      <c r="H126" s="68">
        <f>43320000+4300000+100800+8400000+2588110+12000000+3596200</f>
        <v>74305110</v>
      </c>
      <c r="I126" s="68"/>
      <c r="J126" s="68"/>
      <c r="K126" s="68">
        <f t="shared" si="39"/>
        <v>74231564.730000004</v>
      </c>
      <c r="L126" s="68">
        <v>74231564.730000004</v>
      </c>
      <c r="M126" s="68"/>
      <c r="N126" s="68"/>
      <c r="O126" s="93">
        <f t="shared" si="21"/>
        <v>0.99901022594542965</v>
      </c>
      <c r="P126" s="68">
        <f t="shared" si="22"/>
        <v>-73545.269999995828</v>
      </c>
    </row>
    <row r="127" spans="1:16" s="29" customFormat="1" ht="46.8" x14ac:dyDescent="0.3">
      <c r="A127" s="8">
        <v>1218110</v>
      </c>
      <c r="B127" s="8">
        <v>8110</v>
      </c>
      <c r="C127" s="13" t="s">
        <v>162</v>
      </c>
      <c r="D127" s="10" t="s">
        <v>163</v>
      </c>
      <c r="E127" s="20" t="s">
        <v>153</v>
      </c>
      <c r="F127" s="8" t="s">
        <v>173</v>
      </c>
      <c r="G127" s="68">
        <f>H127+I127</f>
        <v>7030665</v>
      </c>
      <c r="H127" s="68">
        <f>2527200+91100+500000+3584000</f>
        <v>6702300</v>
      </c>
      <c r="I127" s="68">
        <f>378921-50556</f>
        <v>328365</v>
      </c>
      <c r="J127" s="68">
        <f>378921-50556</f>
        <v>328365</v>
      </c>
      <c r="K127" s="68">
        <f t="shared" si="39"/>
        <v>6130788.7399999993</v>
      </c>
      <c r="L127" s="72">
        <f>2177907.65+1301390.13+2323126.66</f>
        <v>5802424.4399999995</v>
      </c>
      <c r="M127" s="68">
        <v>328364.3</v>
      </c>
      <c r="N127" s="68">
        <f>M127</f>
        <v>328364.3</v>
      </c>
      <c r="O127" s="93">
        <f t="shared" si="21"/>
        <v>0.87200694955598068</v>
      </c>
      <c r="P127" s="68">
        <f t="shared" si="22"/>
        <v>-899876.26000000071</v>
      </c>
    </row>
    <row r="128" spans="1:16" s="9" customFormat="1" ht="78" x14ac:dyDescent="0.3">
      <c r="A128" s="6" t="s">
        <v>308</v>
      </c>
      <c r="B128" s="6" t="s">
        <v>155</v>
      </c>
      <c r="C128" s="13" t="s">
        <v>82</v>
      </c>
      <c r="D128" s="10" t="s">
        <v>156</v>
      </c>
      <c r="E128" s="45" t="s">
        <v>259</v>
      </c>
      <c r="F128" s="8" t="s">
        <v>311</v>
      </c>
      <c r="G128" s="68">
        <f>H128+I128</f>
        <v>94000</v>
      </c>
      <c r="H128" s="68"/>
      <c r="I128" s="68">
        <f>200000-106000</f>
        <v>94000</v>
      </c>
      <c r="J128" s="68">
        <f>200000-106000</f>
        <v>94000</v>
      </c>
      <c r="K128" s="68">
        <f t="shared" si="39"/>
        <v>93945</v>
      </c>
      <c r="L128" s="68"/>
      <c r="M128" s="68">
        <v>93945</v>
      </c>
      <c r="N128" s="68">
        <f>M128</f>
        <v>93945</v>
      </c>
      <c r="O128" s="93">
        <f t="shared" si="21"/>
        <v>0.99941489361702129</v>
      </c>
      <c r="P128" s="68">
        <f t="shared" si="22"/>
        <v>-55</v>
      </c>
    </row>
    <row r="129" spans="1:16" s="9" customFormat="1" ht="78" x14ac:dyDescent="0.3">
      <c r="A129" s="6" t="s">
        <v>364</v>
      </c>
      <c r="B129" s="6" t="s">
        <v>85</v>
      </c>
      <c r="C129" s="6" t="s">
        <v>86</v>
      </c>
      <c r="D129" s="61" t="s">
        <v>87</v>
      </c>
      <c r="E129" s="45" t="s">
        <v>214</v>
      </c>
      <c r="F129" s="8" t="s">
        <v>312</v>
      </c>
      <c r="G129" s="68">
        <f>H129+I129</f>
        <v>1233700</v>
      </c>
      <c r="H129" s="68"/>
      <c r="I129" s="68">
        <f>1133700+100000</f>
        <v>1233700</v>
      </c>
      <c r="J129" s="68"/>
      <c r="K129" s="68">
        <f t="shared" si="39"/>
        <v>1001789.29</v>
      </c>
      <c r="L129" s="68"/>
      <c r="M129" s="68">
        <v>1001789.29</v>
      </c>
      <c r="N129" s="68"/>
      <c r="O129" s="93">
        <f t="shared" si="21"/>
        <v>0.81202017508308344</v>
      </c>
      <c r="P129" s="68">
        <f t="shared" si="22"/>
        <v>-231910.70999999996</v>
      </c>
    </row>
    <row r="130" spans="1:16" s="29" customFormat="1" ht="15.6" x14ac:dyDescent="0.3">
      <c r="A130" s="32" t="s">
        <v>238</v>
      </c>
      <c r="B130" s="32" t="s">
        <v>208</v>
      </c>
      <c r="C130" s="32" t="s">
        <v>208</v>
      </c>
      <c r="D130" s="86" t="s">
        <v>239</v>
      </c>
      <c r="E130" s="87"/>
      <c r="F130" s="8"/>
      <c r="G130" s="67">
        <f>G131</f>
        <v>158190446.34</v>
      </c>
      <c r="H130" s="67">
        <f t="shared" ref="H130:N130" si="42">H131</f>
        <v>80300</v>
      </c>
      <c r="I130" s="67">
        <f t="shared" si="42"/>
        <v>158110146.34</v>
      </c>
      <c r="J130" s="67">
        <f t="shared" si="42"/>
        <v>156475855.63</v>
      </c>
      <c r="K130" s="67">
        <f>K131</f>
        <v>90118155.470000014</v>
      </c>
      <c r="L130" s="67">
        <f t="shared" si="42"/>
        <v>73727.42</v>
      </c>
      <c r="M130" s="67">
        <f t="shared" si="42"/>
        <v>90044428.050000012</v>
      </c>
      <c r="N130" s="67">
        <f t="shared" si="42"/>
        <v>90044428.050000012</v>
      </c>
      <c r="O130" s="75">
        <f t="shared" si="21"/>
        <v>0.56968140336558848</v>
      </c>
      <c r="P130" s="67">
        <f t="shared" si="22"/>
        <v>-68072290.86999999</v>
      </c>
    </row>
    <row r="131" spans="1:16" s="29" customFormat="1" ht="15.6" x14ac:dyDescent="0.3">
      <c r="A131" s="32" t="s">
        <v>240</v>
      </c>
      <c r="B131" s="32" t="s">
        <v>208</v>
      </c>
      <c r="C131" s="32" t="s">
        <v>208</v>
      </c>
      <c r="D131" s="86" t="s">
        <v>239</v>
      </c>
      <c r="E131" s="87"/>
      <c r="F131" s="8"/>
      <c r="G131" s="67">
        <f>SUM(G132:G140)</f>
        <v>158190446.34</v>
      </c>
      <c r="H131" s="67">
        <f>SUM(H132:H140)</f>
        <v>80300</v>
      </c>
      <c r="I131" s="67">
        <f t="shared" ref="I131:J131" si="43">SUM(I132:I140)</f>
        <v>158110146.34</v>
      </c>
      <c r="J131" s="67">
        <f t="shared" si="43"/>
        <v>156475855.63</v>
      </c>
      <c r="K131" s="67">
        <f>SUM(K132:K140)</f>
        <v>90118155.470000014</v>
      </c>
      <c r="L131" s="67">
        <f>SUM(L132:L140)</f>
        <v>73727.42</v>
      </c>
      <c r="M131" s="67">
        <f t="shared" ref="M131:N131" si="44">SUM(M132:M140)</f>
        <v>90044428.050000012</v>
      </c>
      <c r="N131" s="67">
        <f t="shared" si="44"/>
        <v>90044428.050000012</v>
      </c>
      <c r="O131" s="75">
        <f t="shared" si="21"/>
        <v>0.56968140336558848</v>
      </c>
      <c r="P131" s="67">
        <f t="shared" si="22"/>
        <v>-68072290.86999999</v>
      </c>
    </row>
    <row r="132" spans="1:16" s="29" customFormat="1" ht="46.8" x14ac:dyDescent="0.3">
      <c r="A132" s="8">
        <v>1511300</v>
      </c>
      <c r="B132" s="13" t="s">
        <v>295</v>
      </c>
      <c r="C132" s="13" t="s">
        <v>277</v>
      </c>
      <c r="D132" s="10" t="s">
        <v>296</v>
      </c>
      <c r="E132" s="20" t="s">
        <v>153</v>
      </c>
      <c r="F132" s="8" t="s">
        <v>173</v>
      </c>
      <c r="G132" s="68">
        <f t="shared" ref="G132:G137" si="45">H132+I132</f>
        <v>90138146.510000005</v>
      </c>
      <c r="H132" s="67"/>
      <c r="I132" s="68">
        <f>83518800+3500000+100000-250000+100000-14084+2800000-70000+3000000-2546569.49</f>
        <v>90138146.510000005</v>
      </c>
      <c r="J132" s="68">
        <f>83518800+3500000+100000-250000+100000-14084+2800000-70000+3000000-2546569.49</f>
        <v>90138146.510000005</v>
      </c>
      <c r="K132" s="68">
        <f t="shared" ref="K132:K140" si="46">L132+M132</f>
        <v>40404093.020000003</v>
      </c>
      <c r="L132" s="68"/>
      <c r="M132" s="68">
        <v>40404093.020000003</v>
      </c>
      <c r="N132" s="68">
        <f t="shared" ref="N132:N137" si="47">M132</f>
        <v>40404093.020000003</v>
      </c>
      <c r="O132" s="93">
        <f t="shared" si="21"/>
        <v>0.44824632616022936</v>
      </c>
      <c r="P132" s="68">
        <f t="shared" si="22"/>
        <v>-49734053.490000002</v>
      </c>
    </row>
    <row r="133" spans="1:16" s="29" customFormat="1" ht="63.75" customHeight="1" x14ac:dyDescent="0.3">
      <c r="A133" s="8">
        <v>1512171</v>
      </c>
      <c r="B133" s="13" t="s">
        <v>297</v>
      </c>
      <c r="C133" s="13" t="s">
        <v>71</v>
      </c>
      <c r="D133" s="10" t="s">
        <v>298</v>
      </c>
      <c r="E133" s="20" t="s">
        <v>153</v>
      </c>
      <c r="F133" s="8" t="s">
        <v>173</v>
      </c>
      <c r="G133" s="68">
        <f t="shared" si="45"/>
        <v>7550000</v>
      </c>
      <c r="H133" s="67"/>
      <c r="I133" s="68">
        <f>550000+2000000+5000000</f>
        <v>7550000</v>
      </c>
      <c r="J133" s="68">
        <f>550000+2000000+5000000</f>
        <v>7550000</v>
      </c>
      <c r="K133" s="68">
        <f t="shared" si="46"/>
        <v>499270.91</v>
      </c>
      <c r="L133" s="68"/>
      <c r="M133" s="68">
        <v>499270.91</v>
      </c>
      <c r="N133" s="68">
        <f t="shared" si="47"/>
        <v>499270.91</v>
      </c>
      <c r="O133" s="93">
        <f t="shared" si="21"/>
        <v>6.6128597350993371E-2</v>
      </c>
      <c r="P133" s="68">
        <f t="shared" si="22"/>
        <v>-7050729.0899999999</v>
      </c>
    </row>
    <row r="134" spans="1:16" s="9" customFormat="1" ht="62.4" x14ac:dyDescent="0.3">
      <c r="A134" s="8">
        <v>1516015</v>
      </c>
      <c r="B134" s="13" t="s">
        <v>118</v>
      </c>
      <c r="C134" s="13" t="s">
        <v>20</v>
      </c>
      <c r="D134" s="10" t="s">
        <v>119</v>
      </c>
      <c r="E134" s="41" t="s">
        <v>305</v>
      </c>
      <c r="F134" s="8" t="s">
        <v>306</v>
      </c>
      <c r="G134" s="68">
        <f t="shared" si="45"/>
        <v>1122000</v>
      </c>
      <c r="H134" s="67"/>
      <c r="I134" s="68">
        <f>486000+636000</f>
        <v>1122000</v>
      </c>
      <c r="J134" s="68">
        <f>486000+636000</f>
        <v>1122000</v>
      </c>
      <c r="K134" s="68">
        <f t="shared" si="46"/>
        <v>1122000</v>
      </c>
      <c r="L134" s="68"/>
      <c r="M134" s="68">
        <v>1122000</v>
      </c>
      <c r="N134" s="68">
        <f t="shared" si="47"/>
        <v>1122000</v>
      </c>
      <c r="O134" s="93">
        <f t="shared" si="21"/>
        <v>1</v>
      </c>
      <c r="P134" s="68">
        <f t="shared" si="22"/>
        <v>0</v>
      </c>
    </row>
    <row r="135" spans="1:16" s="29" customFormat="1" ht="46.8" x14ac:dyDescent="0.3">
      <c r="A135" s="8">
        <v>1516091</v>
      </c>
      <c r="B135" s="13" t="s">
        <v>299</v>
      </c>
      <c r="C135" s="13" t="s">
        <v>236</v>
      </c>
      <c r="D135" s="10" t="s">
        <v>300</v>
      </c>
      <c r="E135" s="20" t="s">
        <v>258</v>
      </c>
      <c r="F135" s="8" t="s">
        <v>309</v>
      </c>
      <c r="G135" s="68">
        <f t="shared" si="45"/>
        <v>27938093.499999996</v>
      </c>
      <c r="H135" s="67"/>
      <c r="I135" s="68">
        <f>14033601.01+10981383+4148102+926970+136176-4148102+1859963.49</f>
        <v>27938093.499999996</v>
      </c>
      <c r="J135" s="68">
        <f>14033601.01+10981383+4148102+926970+136176-4148102+1859963.49</f>
        <v>27938093.499999996</v>
      </c>
      <c r="K135" s="68">
        <f t="shared" si="46"/>
        <v>19395269.899999999</v>
      </c>
      <c r="L135" s="68"/>
      <c r="M135" s="68">
        <v>19395269.899999999</v>
      </c>
      <c r="N135" s="68">
        <f t="shared" si="47"/>
        <v>19395269.899999999</v>
      </c>
      <c r="O135" s="93">
        <f t="shared" si="21"/>
        <v>0.69422310079963045</v>
      </c>
      <c r="P135" s="68">
        <f t="shared" si="22"/>
        <v>-8542823.5999999978</v>
      </c>
    </row>
    <row r="136" spans="1:16" s="29" customFormat="1" ht="46.8" x14ac:dyDescent="0.3">
      <c r="A136" s="8">
        <v>1517368</v>
      </c>
      <c r="B136" s="13" t="s">
        <v>301</v>
      </c>
      <c r="C136" s="13" t="s">
        <v>21</v>
      </c>
      <c r="D136" s="10" t="s">
        <v>302</v>
      </c>
      <c r="E136" s="20" t="s">
        <v>153</v>
      </c>
      <c r="F136" s="8" t="s">
        <v>173</v>
      </c>
      <c r="G136" s="68">
        <f t="shared" si="45"/>
        <v>15815727.619999999</v>
      </c>
      <c r="H136" s="67"/>
      <c r="I136" s="68">
        <v>15815727.619999999</v>
      </c>
      <c r="J136" s="68">
        <v>15815727.619999999</v>
      </c>
      <c r="K136" s="68">
        <f t="shared" si="46"/>
        <v>15806403.9</v>
      </c>
      <c r="L136" s="68"/>
      <c r="M136" s="68">
        <v>15806403.9</v>
      </c>
      <c r="N136" s="68">
        <f t="shared" si="47"/>
        <v>15806403.9</v>
      </c>
      <c r="O136" s="93">
        <f t="shared" si="21"/>
        <v>0.99941047796067195</v>
      </c>
      <c r="P136" s="68">
        <f t="shared" si="22"/>
        <v>-9323.7199999988079</v>
      </c>
    </row>
    <row r="137" spans="1:16" s="9" customFormat="1" ht="62.4" x14ac:dyDescent="0.3">
      <c r="A137" s="8">
        <v>1517370</v>
      </c>
      <c r="B137" s="13" t="s">
        <v>303</v>
      </c>
      <c r="C137" s="13" t="s">
        <v>21</v>
      </c>
      <c r="D137" s="10" t="s">
        <v>304</v>
      </c>
      <c r="E137" s="41" t="s">
        <v>305</v>
      </c>
      <c r="F137" s="8" t="s">
        <v>306</v>
      </c>
      <c r="G137" s="68">
        <f t="shared" si="45"/>
        <v>11920588</v>
      </c>
      <c r="H137" s="67"/>
      <c r="I137" s="68">
        <f>19920588-5000000-3000000</f>
        <v>11920588</v>
      </c>
      <c r="J137" s="68">
        <f>19920588-5000000-3000000</f>
        <v>11920588</v>
      </c>
      <c r="K137" s="68">
        <f t="shared" si="46"/>
        <v>11283372.140000001</v>
      </c>
      <c r="L137" s="68"/>
      <c r="M137" s="68">
        <v>11283372.140000001</v>
      </c>
      <c r="N137" s="68">
        <f t="shared" si="47"/>
        <v>11283372.140000001</v>
      </c>
      <c r="O137" s="93">
        <f t="shared" si="21"/>
        <v>0.94654493050175048</v>
      </c>
      <c r="P137" s="68">
        <f t="shared" si="22"/>
        <v>-637215.8599999994</v>
      </c>
    </row>
    <row r="138" spans="1:16" s="29" customFormat="1" ht="46.8" x14ac:dyDescent="0.3">
      <c r="A138" s="8">
        <v>1517520</v>
      </c>
      <c r="B138" s="8">
        <v>7520</v>
      </c>
      <c r="C138" s="8">
        <v>460</v>
      </c>
      <c r="D138" s="7" t="s">
        <v>261</v>
      </c>
      <c r="E138" s="20" t="s">
        <v>260</v>
      </c>
      <c r="F138" s="8" t="s">
        <v>310</v>
      </c>
      <c r="G138" s="68">
        <f t="shared" ref="G138:G140" si="48">H138+I138</f>
        <v>80300</v>
      </c>
      <c r="H138" s="68">
        <f>46300+24000+10000</f>
        <v>80300</v>
      </c>
      <c r="I138" s="68"/>
      <c r="J138" s="68"/>
      <c r="K138" s="68">
        <f t="shared" si="46"/>
        <v>73727.42</v>
      </c>
      <c r="L138" s="68">
        <v>73727.42</v>
      </c>
      <c r="M138" s="68"/>
      <c r="N138" s="68"/>
      <c r="O138" s="93">
        <f t="shared" si="21"/>
        <v>0.91814968866749691</v>
      </c>
      <c r="P138" s="68">
        <f t="shared" si="22"/>
        <v>-6572.5800000000017</v>
      </c>
    </row>
    <row r="139" spans="1:16" s="9" customFormat="1" ht="109.2" x14ac:dyDescent="0.3">
      <c r="A139" s="13" t="s">
        <v>385</v>
      </c>
      <c r="B139" s="13" t="s">
        <v>292</v>
      </c>
      <c r="C139" s="13" t="s">
        <v>21</v>
      </c>
      <c r="D139" s="10" t="s">
        <v>294</v>
      </c>
      <c r="E139" s="20" t="s">
        <v>153</v>
      </c>
      <c r="F139" s="8" t="s">
        <v>173</v>
      </c>
      <c r="G139" s="68">
        <f t="shared" si="48"/>
        <v>1634290.71</v>
      </c>
      <c r="H139" s="68"/>
      <c r="I139" s="68">
        <v>1634290.71</v>
      </c>
      <c r="J139" s="68"/>
      <c r="K139" s="68">
        <f t="shared" si="46"/>
        <v>0</v>
      </c>
      <c r="L139" s="68"/>
      <c r="M139" s="68"/>
      <c r="N139" s="68"/>
      <c r="O139" s="93">
        <f t="shared" si="21"/>
        <v>0</v>
      </c>
      <c r="P139" s="68">
        <f t="shared" si="22"/>
        <v>-1634290.71</v>
      </c>
    </row>
    <row r="140" spans="1:16" s="29" customFormat="1" ht="46.8" x14ac:dyDescent="0.3">
      <c r="A140" s="13" t="s">
        <v>307</v>
      </c>
      <c r="B140" s="13" t="s">
        <v>250</v>
      </c>
      <c r="C140" s="13" t="s">
        <v>162</v>
      </c>
      <c r="D140" s="10" t="s">
        <v>163</v>
      </c>
      <c r="E140" s="20" t="s">
        <v>153</v>
      </c>
      <c r="F140" s="8" t="s">
        <v>173</v>
      </c>
      <c r="G140" s="68">
        <f t="shared" si="48"/>
        <v>1991300</v>
      </c>
      <c r="H140" s="68"/>
      <c r="I140" s="68">
        <f>6791300-2000000-2800000</f>
        <v>1991300</v>
      </c>
      <c r="J140" s="68">
        <f>6791300-2000000-2800000</f>
        <v>1991300</v>
      </c>
      <c r="K140" s="68">
        <f t="shared" si="46"/>
        <v>1534018.18</v>
      </c>
      <c r="L140" s="68"/>
      <c r="M140" s="68">
        <v>1534018.18</v>
      </c>
      <c r="N140" s="68">
        <f>M140</f>
        <v>1534018.18</v>
      </c>
      <c r="O140" s="93">
        <f t="shared" si="21"/>
        <v>0.77036015668156477</v>
      </c>
      <c r="P140" s="68">
        <f t="shared" si="22"/>
        <v>-457281.82000000007</v>
      </c>
    </row>
    <row r="141" spans="1:16" s="9" customFormat="1" ht="33" customHeight="1" x14ac:dyDescent="0.3">
      <c r="A141" s="15" t="s">
        <v>38</v>
      </c>
      <c r="B141" s="15"/>
      <c r="C141" s="15"/>
      <c r="D141" s="82" t="s">
        <v>149</v>
      </c>
      <c r="E141" s="83"/>
      <c r="F141" s="55"/>
      <c r="G141" s="67">
        <f t="shared" ref="G141:N141" si="49">G142</f>
        <v>23342700</v>
      </c>
      <c r="H141" s="67">
        <f t="shared" si="49"/>
        <v>22452700</v>
      </c>
      <c r="I141" s="67">
        <f t="shared" si="49"/>
        <v>890000</v>
      </c>
      <c r="J141" s="67">
        <f t="shared" si="49"/>
        <v>890000</v>
      </c>
      <c r="K141" s="67">
        <f t="shared" si="49"/>
        <v>20460911.699999999</v>
      </c>
      <c r="L141" s="67">
        <f t="shared" si="49"/>
        <v>20398685.349999998</v>
      </c>
      <c r="M141" s="67">
        <f t="shared" si="49"/>
        <v>62226.35</v>
      </c>
      <c r="N141" s="67">
        <f t="shared" si="49"/>
        <v>62226.35</v>
      </c>
      <c r="O141" s="75">
        <f t="shared" si="21"/>
        <v>0.87654434576976958</v>
      </c>
      <c r="P141" s="67">
        <f t="shared" si="22"/>
        <v>-2881788.3000000007</v>
      </c>
    </row>
    <row r="142" spans="1:16" s="16" customFormat="1" ht="33" customHeight="1" x14ac:dyDescent="0.3">
      <c r="A142" s="15" t="s">
        <v>39</v>
      </c>
      <c r="B142" s="15"/>
      <c r="C142" s="15"/>
      <c r="D142" s="82" t="s">
        <v>149</v>
      </c>
      <c r="E142" s="83"/>
      <c r="F142" s="55"/>
      <c r="G142" s="67">
        <f t="shared" ref="G142:N142" si="50">SUM(G143:G148)</f>
        <v>23342700</v>
      </c>
      <c r="H142" s="67">
        <f t="shared" si="50"/>
        <v>22452700</v>
      </c>
      <c r="I142" s="67">
        <f t="shared" si="50"/>
        <v>890000</v>
      </c>
      <c r="J142" s="67">
        <f t="shared" si="50"/>
        <v>890000</v>
      </c>
      <c r="K142" s="67">
        <f t="shared" si="50"/>
        <v>20460911.699999999</v>
      </c>
      <c r="L142" s="67">
        <f t="shared" si="50"/>
        <v>20398685.349999998</v>
      </c>
      <c r="M142" s="67">
        <f t="shared" si="50"/>
        <v>62226.35</v>
      </c>
      <c r="N142" s="67">
        <f t="shared" si="50"/>
        <v>62226.35</v>
      </c>
      <c r="O142" s="75">
        <f t="shared" si="21"/>
        <v>0.87654434576976958</v>
      </c>
      <c r="P142" s="67">
        <f t="shared" si="22"/>
        <v>-2881788.3000000007</v>
      </c>
    </row>
    <row r="143" spans="1:16" s="16" customFormat="1" ht="120" customHeight="1" x14ac:dyDescent="0.3">
      <c r="A143" s="13" t="s">
        <v>235</v>
      </c>
      <c r="B143" s="8">
        <v>6090</v>
      </c>
      <c r="C143" s="13" t="s">
        <v>236</v>
      </c>
      <c r="D143" s="10" t="s">
        <v>237</v>
      </c>
      <c r="E143" s="10" t="s">
        <v>202</v>
      </c>
      <c r="F143" s="14" t="s">
        <v>205</v>
      </c>
      <c r="G143" s="68">
        <f t="shared" ref="G143:G146" si="51">H143+I143</f>
        <v>1500000</v>
      </c>
      <c r="H143" s="68">
        <v>1500000</v>
      </c>
      <c r="I143" s="67"/>
      <c r="J143" s="67"/>
      <c r="K143" s="68">
        <f t="shared" ref="K143:K148" si="52">L143+M143</f>
        <v>1494699</v>
      </c>
      <c r="L143" s="68">
        <v>1494699</v>
      </c>
      <c r="M143" s="67"/>
      <c r="N143" s="67"/>
      <c r="O143" s="93">
        <f t="shared" si="21"/>
        <v>0.99646599999999996</v>
      </c>
      <c r="P143" s="68">
        <f t="shared" si="22"/>
        <v>-5301</v>
      </c>
    </row>
    <row r="144" spans="1:16" s="16" customFormat="1" ht="46.8" x14ac:dyDescent="0.3">
      <c r="A144" s="8" t="s">
        <v>341</v>
      </c>
      <c r="B144" s="8" t="s">
        <v>342</v>
      </c>
      <c r="C144" s="8" t="s">
        <v>343</v>
      </c>
      <c r="D144" s="10" t="s">
        <v>344</v>
      </c>
      <c r="E144" s="20" t="s">
        <v>340</v>
      </c>
      <c r="F144" s="8" t="s">
        <v>346</v>
      </c>
      <c r="G144" s="68">
        <f t="shared" si="51"/>
        <v>360000</v>
      </c>
      <c r="H144" s="68">
        <f>1160000-200000-600000</f>
        <v>360000</v>
      </c>
      <c r="I144" s="67"/>
      <c r="J144" s="67"/>
      <c r="K144" s="68">
        <f t="shared" si="52"/>
        <v>349879.79</v>
      </c>
      <c r="L144" s="68">
        <v>349879.79</v>
      </c>
      <c r="M144" s="67"/>
      <c r="N144" s="67"/>
      <c r="O144" s="93">
        <f t="shared" ref="O144:O201" si="53">K144/G144</f>
        <v>0.9718883055555555</v>
      </c>
      <c r="P144" s="68">
        <f t="shared" ref="P144:P201" si="54">K144-G144</f>
        <v>-10120.210000000021</v>
      </c>
    </row>
    <row r="145" spans="1:16" s="16" customFormat="1" ht="46.8" x14ac:dyDescent="0.3">
      <c r="A145" s="8">
        <v>3117520</v>
      </c>
      <c r="B145" s="8">
        <v>7520</v>
      </c>
      <c r="C145" s="13" t="s">
        <v>230</v>
      </c>
      <c r="D145" s="7" t="s">
        <v>261</v>
      </c>
      <c r="E145" s="20" t="s">
        <v>260</v>
      </c>
      <c r="F145" s="8" t="s">
        <v>310</v>
      </c>
      <c r="G145" s="68">
        <f t="shared" si="51"/>
        <v>48600</v>
      </c>
      <c r="H145" s="68">
        <f>8600+40000</f>
        <v>48600</v>
      </c>
      <c r="I145" s="67"/>
      <c r="J145" s="67"/>
      <c r="K145" s="68">
        <f t="shared" si="52"/>
        <v>48446</v>
      </c>
      <c r="L145" s="68">
        <v>48446</v>
      </c>
      <c r="M145" s="67"/>
      <c r="N145" s="67"/>
      <c r="O145" s="93">
        <f t="shared" si="53"/>
        <v>0.99683127572016461</v>
      </c>
      <c r="P145" s="68">
        <f t="shared" si="54"/>
        <v>-154</v>
      </c>
    </row>
    <row r="146" spans="1:16" s="16" customFormat="1" ht="46.8" x14ac:dyDescent="0.3">
      <c r="A146" s="8">
        <v>3117650</v>
      </c>
      <c r="B146" s="8">
        <v>7650</v>
      </c>
      <c r="C146" s="13" t="s">
        <v>21</v>
      </c>
      <c r="D146" s="10" t="s">
        <v>386</v>
      </c>
      <c r="E146" s="20" t="s">
        <v>340</v>
      </c>
      <c r="F146" s="8" t="s">
        <v>346</v>
      </c>
      <c r="G146" s="68">
        <f t="shared" si="51"/>
        <v>40000</v>
      </c>
      <c r="H146" s="68"/>
      <c r="I146" s="68">
        <v>40000</v>
      </c>
      <c r="J146" s="68">
        <v>40000</v>
      </c>
      <c r="K146" s="68">
        <f t="shared" si="52"/>
        <v>40000</v>
      </c>
      <c r="L146" s="67"/>
      <c r="M146" s="68">
        <v>40000</v>
      </c>
      <c r="N146" s="68">
        <f>M146</f>
        <v>40000</v>
      </c>
      <c r="O146" s="93">
        <f t="shared" si="53"/>
        <v>1</v>
      </c>
      <c r="P146" s="68">
        <f t="shared" si="54"/>
        <v>0</v>
      </c>
    </row>
    <row r="147" spans="1:16" s="16" customFormat="1" ht="46.8" x14ac:dyDescent="0.3">
      <c r="A147" s="6" t="s">
        <v>40</v>
      </c>
      <c r="B147" s="6" t="s">
        <v>34</v>
      </c>
      <c r="C147" s="6" t="s">
        <v>21</v>
      </c>
      <c r="D147" s="61" t="s">
        <v>50</v>
      </c>
      <c r="E147" s="20" t="s">
        <v>234</v>
      </c>
      <c r="F147" s="8" t="s">
        <v>314</v>
      </c>
      <c r="G147" s="68">
        <f>H147+I147</f>
        <v>21209100</v>
      </c>
      <c r="H147" s="68">
        <f>20021000+200000+138100</f>
        <v>20359100</v>
      </c>
      <c r="I147" s="68">
        <v>850000</v>
      </c>
      <c r="J147" s="68">
        <v>850000</v>
      </c>
      <c r="K147" s="68">
        <f t="shared" si="52"/>
        <v>18360973.66</v>
      </c>
      <c r="L147" s="70">
        <v>18338747.309999999</v>
      </c>
      <c r="M147" s="68">
        <v>22226.35</v>
      </c>
      <c r="N147" s="68">
        <f>M147</f>
        <v>22226.35</v>
      </c>
      <c r="O147" s="93">
        <f t="shared" si="53"/>
        <v>0.86571206038917259</v>
      </c>
      <c r="P147" s="68">
        <f t="shared" si="54"/>
        <v>-2848126.34</v>
      </c>
    </row>
    <row r="148" spans="1:16" s="9" customFormat="1" ht="78" x14ac:dyDescent="0.3">
      <c r="A148" s="6" t="s">
        <v>188</v>
      </c>
      <c r="B148" s="6" t="s">
        <v>155</v>
      </c>
      <c r="C148" s="6" t="s">
        <v>82</v>
      </c>
      <c r="D148" s="61" t="s">
        <v>156</v>
      </c>
      <c r="E148" s="45" t="s">
        <v>255</v>
      </c>
      <c r="F148" s="8" t="s">
        <v>311</v>
      </c>
      <c r="G148" s="68">
        <f>H148+I148</f>
        <v>185000</v>
      </c>
      <c r="H148" s="68">
        <f>145000+40000</f>
        <v>185000</v>
      </c>
      <c r="I148" s="68"/>
      <c r="J148" s="68"/>
      <c r="K148" s="68">
        <f t="shared" si="52"/>
        <v>166913.25</v>
      </c>
      <c r="L148" s="68">
        <v>166913.25</v>
      </c>
      <c r="M148" s="68"/>
      <c r="N148" s="68"/>
      <c r="O148" s="93">
        <f t="shared" si="53"/>
        <v>0.90223378378378383</v>
      </c>
      <c r="P148" s="68">
        <f t="shared" si="54"/>
        <v>-18086.75</v>
      </c>
    </row>
    <row r="149" spans="1:16" s="9" customFormat="1" ht="15.6" x14ac:dyDescent="0.3">
      <c r="A149" s="15" t="s">
        <v>191</v>
      </c>
      <c r="B149" s="15"/>
      <c r="C149" s="15"/>
      <c r="D149" s="82" t="s">
        <v>189</v>
      </c>
      <c r="E149" s="83"/>
      <c r="F149" s="8"/>
      <c r="G149" s="67">
        <f t="shared" ref="G149:N149" si="55">G150</f>
        <v>113880012</v>
      </c>
      <c r="H149" s="67">
        <f t="shared" si="55"/>
        <v>58999230</v>
      </c>
      <c r="I149" s="67">
        <f t="shared" si="55"/>
        <v>54880782</v>
      </c>
      <c r="J149" s="67">
        <f t="shared" si="55"/>
        <v>54880782</v>
      </c>
      <c r="K149" s="67">
        <f t="shared" si="55"/>
        <v>110169387.05</v>
      </c>
      <c r="L149" s="67">
        <f t="shared" si="55"/>
        <v>58458377.050000004</v>
      </c>
      <c r="M149" s="67">
        <f t="shared" si="55"/>
        <v>51711010</v>
      </c>
      <c r="N149" s="67">
        <f t="shared" si="55"/>
        <v>51711010</v>
      </c>
      <c r="O149" s="75">
        <f t="shared" si="53"/>
        <v>0.96741636319813518</v>
      </c>
      <c r="P149" s="67">
        <f t="shared" si="54"/>
        <v>-3710624.950000003</v>
      </c>
    </row>
    <row r="150" spans="1:16" s="9" customFormat="1" ht="15.6" x14ac:dyDescent="0.3">
      <c r="A150" s="15" t="s">
        <v>190</v>
      </c>
      <c r="B150" s="15"/>
      <c r="C150" s="15"/>
      <c r="D150" s="82" t="s">
        <v>189</v>
      </c>
      <c r="E150" s="83"/>
      <c r="F150" s="8"/>
      <c r="G150" s="67">
        <f>SUM(G151:G163)</f>
        <v>113880012</v>
      </c>
      <c r="H150" s="67">
        <f t="shared" ref="H150:J150" si="56">SUM(H151:H163)</f>
        <v>58999230</v>
      </c>
      <c r="I150" s="67">
        <f>SUM(I151:I163)</f>
        <v>54880782</v>
      </c>
      <c r="J150" s="67">
        <f t="shared" si="56"/>
        <v>54880782</v>
      </c>
      <c r="K150" s="67">
        <f>SUM(K151:K163)</f>
        <v>110169387.05</v>
      </c>
      <c r="L150" s="67">
        <f t="shared" ref="L150" si="57">SUM(L151:L163)</f>
        <v>58458377.050000004</v>
      </c>
      <c r="M150" s="67">
        <f>SUM(M151:M163)</f>
        <v>51711010</v>
      </c>
      <c r="N150" s="67">
        <f t="shared" ref="N150" si="58">SUM(N151:N163)</f>
        <v>51711010</v>
      </c>
      <c r="O150" s="75">
        <f t="shared" si="53"/>
        <v>0.96741636319813518</v>
      </c>
      <c r="P150" s="67">
        <f t="shared" si="54"/>
        <v>-3710624.950000003</v>
      </c>
    </row>
    <row r="151" spans="1:16" s="9" customFormat="1" ht="31.2" x14ac:dyDescent="0.3">
      <c r="A151" s="8">
        <v>3717520</v>
      </c>
      <c r="B151" s="8">
        <v>7520</v>
      </c>
      <c r="C151" s="8">
        <v>460</v>
      </c>
      <c r="D151" s="7" t="s">
        <v>261</v>
      </c>
      <c r="E151" s="20" t="s">
        <v>260</v>
      </c>
      <c r="F151" s="8" t="s">
        <v>231</v>
      </c>
      <c r="G151" s="68">
        <f t="shared" ref="G151:G158" si="59">H151+I151</f>
        <v>92500</v>
      </c>
      <c r="H151" s="68">
        <f>92500-25000</f>
        <v>67500</v>
      </c>
      <c r="I151" s="68">
        <v>25000</v>
      </c>
      <c r="J151" s="68">
        <v>25000</v>
      </c>
      <c r="K151" s="68">
        <f t="shared" ref="K151:K163" si="60">L151+M151</f>
        <v>91086</v>
      </c>
      <c r="L151" s="68">
        <v>66090</v>
      </c>
      <c r="M151" s="68">
        <v>24996</v>
      </c>
      <c r="N151" s="68">
        <f>M151</f>
        <v>24996</v>
      </c>
      <c r="O151" s="93">
        <f t="shared" si="53"/>
        <v>0.98471351351351355</v>
      </c>
      <c r="P151" s="68">
        <f t="shared" si="54"/>
        <v>-1414</v>
      </c>
    </row>
    <row r="152" spans="1:16" s="9" customFormat="1" ht="46.8" x14ac:dyDescent="0.3">
      <c r="A152" s="8">
        <v>3719770</v>
      </c>
      <c r="B152" s="33">
        <v>9770</v>
      </c>
      <c r="C152" s="13" t="s">
        <v>128</v>
      </c>
      <c r="D152" s="63" t="s">
        <v>192</v>
      </c>
      <c r="E152" s="20" t="s">
        <v>75</v>
      </c>
      <c r="F152" s="8" t="s">
        <v>172</v>
      </c>
      <c r="G152" s="68">
        <f t="shared" si="59"/>
        <v>2241100</v>
      </c>
      <c r="H152" s="68">
        <f>2251200-10100</f>
        <v>2241100</v>
      </c>
      <c r="I152" s="68"/>
      <c r="J152" s="68"/>
      <c r="K152" s="68">
        <f t="shared" si="60"/>
        <v>2241100</v>
      </c>
      <c r="L152" s="68">
        <f>2251200-10100</f>
        <v>2241100</v>
      </c>
      <c r="M152" s="68"/>
      <c r="N152" s="68"/>
      <c r="O152" s="93">
        <f t="shared" si="53"/>
        <v>1</v>
      </c>
      <c r="P152" s="68">
        <f t="shared" si="54"/>
        <v>0</v>
      </c>
    </row>
    <row r="153" spans="1:16" s="9" customFormat="1" ht="93.6" x14ac:dyDescent="0.3">
      <c r="A153" s="8">
        <v>3719770</v>
      </c>
      <c r="B153" s="33">
        <v>9770</v>
      </c>
      <c r="C153" s="13" t="s">
        <v>128</v>
      </c>
      <c r="D153" s="63" t="s">
        <v>192</v>
      </c>
      <c r="E153" s="20" t="s">
        <v>222</v>
      </c>
      <c r="F153" s="8" t="s">
        <v>269</v>
      </c>
      <c r="G153" s="68">
        <f>H153+I153</f>
        <v>2053700</v>
      </c>
      <c r="H153" s="68">
        <f>1760700+198000+95000-300000</f>
        <v>1753700</v>
      </c>
      <c r="I153" s="68">
        <v>300000</v>
      </c>
      <c r="J153" s="68">
        <v>300000</v>
      </c>
      <c r="K153" s="68">
        <f t="shared" si="60"/>
        <v>2053700</v>
      </c>
      <c r="L153" s="68">
        <f>1760700+198000+95000-300000</f>
        <v>1753700</v>
      </c>
      <c r="M153" s="68">
        <v>300000</v>
      </c>
      <c r="N153" s="68">
        <v>300000</v>
      </c>
      <c r="O153" s="93">
        <f t="shared" si="53"/>
        <v>1</v>
      </c>
      <c r="P153" s="68">
        <f t="shared" si="54"/>
        <v>0</v>
      </c>
    </row>
    <row r="154" spans="1:16" s="9" customFormat="1" ht="31.2" x14ac:dyDescent="0.3">
      <c r="A154" s="8">
        <v>3719770</v>
      </c>
      <c r="B154" s="33">
        <v>9770</v>
      </c>
      <c r="C154" s="13" t="s">
        <v>128</v>
      </c>
      <c r="D154" s="63" t="s">
        <v>192</v>
      </c>
      <c r="E154" s="10" t="s">
        <v>223</v>
      </c>
      <c r="F154" s="8" t="s">
        <v>270</v>
      </c>
      <c r="G154" s="68">
        <f t="shared" si="59"/>
        <v>500000</v>
      </c>
      <c r="H154" s="68">
        <v>500000</v>
      </c>
      <c r="I154" s="68"/>
      <c r="J154" s="68"/>
      <c r="K154" s="68">
        <f t="shared" si="60"/>
        <v>500000</v>
      </c>
      <c r="L154" s="68">
        <v>500000</v>
      </c>
      <c r="M154" s="68"/>
      <c r="N154" s="68"/>
      <c r="O154" s="93">
        <f t="shared" si="53"/>
        <v>1</v>
      </c>
      <c r="P154" s="68">
        <f t="shared" si="54"/>
        <v>0</v>
      </c>
    </row>
    <row r="155" spans="1:16" s="9" customFormat="1" ht="78" x14ac:dyDescent="0.3">
      <c r="A155" s="8">
        <v>3719770</v>
      </c>
      <c r="B155" s="33">
        <v>9770</v>
      </c>
      <c r="C155" s="13" t="s">
        <v>128</v>
      </c>
      <c r="D155" s="63" t="s">
        <v>192</v>
      </c>
      <c r="E155" s="20" t="s">
        <v>272</v>
      </c>
      <c r="F155" s="8" t="s">
        <v>311</v>
      </c>
      <c r="G155" s="68">
        <f t="shared" si="59"/>
        <v>12370300</v>
      </c>
      <c r="H155" s="68">
        <f>10000000+2370300</f>
        <v>12370300</v>
      </c>
      <c r="I155" s="68"/>
      <c r="J155" s="68"/>
      <c r="K155" s="68">
        <f t="shared" si="60"/>
        <v>12370300</v>
      </c>
      <c r="L155" s="68">
        <f>10000000+2370300</f>
        <v>12370300</v>
      </c>
      <c r="M155" s="68"/>
      <c r="N155" s="68"/>
      <c r="O155" s="93">
        <f t="shared" si="53"/>
        <v>1</v>
      </c>
      <c r="P155" s="68">
        <f t="shared" si="54"/>
        <v>0</v>
      </c>
    </row>
    <row r="156" spans="1:16" s="9" customFormat="1" ht="124.8" x14ac:dyDescent="0.3">
      <c r="A156" s="8">
        <v>3719770</v>
      </c>
      <c r="B156" s="33">
        <v>9770</v>
      </c>
      <c r="C156" s="13" t="s">
        <v>128</v>
      </c>
      <c r="D156" s="63" t="s">
        <v>192</v>
      </c>
      <c r="E156" s="20" t="s">
        <v>359</v>
      </c>
      <c r="F156" s="8" t="s">
        <v>358</v>
      </c>
      <c r="G156" s="68">
        <f t="shared" si="59"/>
        <v>231812</v>
      </c>
      <c r="H156" s="68">
        <v>231812</v>
      </c>
      <c r="I156" s="68"/>
      <c r="J156" s="68"/>
      <c r="K156" s="68">
        <f t="shared" si="60"/>
        <v>231812</v>
      </c>
      <c r="L156" s="68">
        <v>231812</v>
      </c>
      <c r="M156" s="68"/>
      <c r="N156" s="68"/>
      <c r="O156" s="93">
        <f t="shared" si="53"/>
        <v>1</v>
      </c>
      <c r="P156" s="68">
        <f t="shared" si="54"/>
        <v>0</v>
      </c>
    </row>
    <row r="157" spans="1:16" s="9" customFormat="1" ht="46.8" x14ac:dyDescent="0.3">
      <c r="A157" s="8">
        <v>3719770</v>
      </c>
      <c r="B157" s="33">
        <v>9770</v>
      </c>
      <c r="C157" s="13" t="s">
        <v>128</v>
      </c>
      <c r="D157" s="63" t="s">
        <v>192</v>
      </c>
      <c r="E157" s="20" t="s">
        <v>258</v>
      </c>
      <c r="F157" s="8" t="s">
        <v>309</v>
      </c>
      <c r="G157" s="68">
        <f t="shared" si="59"/>
        <v>1041300</v>
      </c>
      <c r="H157" s="68"/>
      <c r="I157" s="68">
        <v>1041300</v>
      </c>
      <c r="J157" s="68">
        <v>1041300</v>
      </c>
      <c r="K157" s="68">
        <f t="shared" si="60"/>
        <v>1041300</v>
      </c>
      <c r="L157" s="68"/>
      <c r="M157" s="68">
        <v>1041300</v>
      </c>
      <c r="N157" s="68">
        <v>1041300</v>
      </c>
      <c r="O157" s="93">
        <f t="shared" si="53"/>
        <v>1</v>
      </c>
      <c r="P157" s="68">
        <f t="shared" si="54"/>
        <v>0</v>
      </c>
    </row>
    <row r="158" spans="1:16" s="9" customFormat="1" ht="46.8" x14ac:dyDescent="0.3">
      <c r="A158" s="8">
        <v>3719800</v>
      </c>
      <c r="B158" s="33">
        <v>9800</v>
      </c>
      <c r="C158" s="13" t="s">
        <v>128</v>
      </c>
      <c r="D158" s="64" t="s">
        <v>273</v>
      </c>
      <c r="E158" s="20" t="s">
        <v>219</v>
      </c>
      <c r="F158" s="8" t="s">
        <v>170</v>
      </c>
      <c r="G158" s="68">
        <f t="shared" si="59"/>
        <v>200000</v>
      </c>
      <c r="H158" s="68">
        <v>200000</v>
      </c>
      <c r="I158" s="68"/>
      <c r="J158" s="68"/>
      <c r="K158" s="68">
        <f t="shared" si="60"/>
        <v>200000</v>
      </c>
      <c r="L158" s="68">
        <v>200000</v>
      </c>
      <c r="M158" s="68"/>
      <c r="N158" s="68"/>
      <c r="O158" s="93">
        <f t="shared" si="53"/>
        <v>1</v>
      </c>
      <c r="P158" s="68">
        <f t="shared" si="54"/>
        <v>0</v>
      </c>
    </row>
    <row r="159" spans="1:16" s="9" customFormat="1" ht="78" x14ac:dyDescent="0.3">
      <c r="A159" s="8">
        <v>3719800</v>
      </c>
      <c r="B159" s="33">
        <v>9800</v>
      </c>
      <c r="C159" s="13" t="s">
        <v>128</v>
      </c>
      <c r="D159" s="64" t="s">
        <v>273</v>
      </c>
      <c r="E159" s="20" t="s">
        <v>272</v>
      </c>
      <c r="F159" s="8" t="s">
        <v>311</v>
      </c>
      <c r="G159" s="68">
        <f t="shared" ref="G159:G163" si="61">H159+I159</f>
        <v>87629700</v>
      </c>
      <c r="H159" s="68">
        <f>1690000+14000000+77500000-15874082-6000000-2000000-4300000+2000000-5500000-1500000-1000000-4490300-4085400-2500000-2400000-3000000-5000000</f>
        <v>37540218</v>
      </c>
      <c r="I159" s="68">
        <f>2310000+4500000+5874082+6000000+2000000+4300000-2000000+5500000+1500000+1000000+2120000+4085400+2500000+2400000+3000000+5000000</f>
        <v>50089482</v>
      </c>
      <c r="J159" s="68">
        <f>2310000+4500000+5874082+6000000+2000000+4300000-2000000+5500000+1500000+1000000+2120000+4085400+2500000+2400000+3000000+5000000</f>
        <v>50089482</v>
      </c>
      <c r="K159" s="68">
        <f t="shared" si="60"/>
        <v>83992071</v>
      </c>
      <c r="L159" s="68">
        <v>37011307</v>
      </c>
      <c r="M159" s="68">
        <v>46980764</v>
      </c>
      <c r="N159" s="68">
        <f>M159</f>
        <v>46980764</v>
      </c>
      <c r="O159" s="93">
        <f t="shared" si="53"/>
        <v>0.95848862885528541</v>
      </c>
      <c r="P159" s="68">
        <f t="shared" si="54"/>
        <v>-3637629</v>
      </c>
    </row>
    <row r="160" spans="1:16" s="9" customFormat="1" ht="46.8" x14ac:dyDescent="0.3">
      <c r="A160" s="8">
        <v>3719800</v>
      </c>
      <c r="B160" s="33">
        <v>9800</v>
      </c>
      <c r="C160" s="13" t="s">
        <v>128</v>
      </c>
      <c r="D160" s="10" t="s">
        <v>273</v>
      </c>
      <c r="E160" s="20" t="s">
        <v>271</v>
      </c>
      <c r="F160" s="8" t="s">
        <v>315</v>
      </c>
      <c r="G160" s="68">
        <f t="shared" si="61"/>
        <v>3000000</v>
      </c>
      <c r="H160" s="68">
        <f>2000000-130000+100000</f>
        <v>1970000</v>
      </c>
      <c r="I160" s="68">
        <f>1000000+130000-100000</f>
        <v>1030000</v>
      </c>
      <c r="J160" s="68">
        <f>1000000+130000-100000</f>
        <v>1030000</v>
      </c>
      <c r="K160" s="68">
        <f t="shared" si="60"/>
        <v>2987848.35</v>
      </c>
      <c r="L160" s="68">
        <v>1965760.35</v>
      </c>
      <c r="M160" s="68">
        <v>1022088</v>
      </c>
      <c r="N160" s="68">
        <f>M160</f>
        <v>1022088</v>
      </c>
      <c r="O160" s="93">
        <f t="shared" si="53"/>
        <v>0.99594945000000001</v>
      </c>
      <c r="P160" s="68">
        <f t="shared" si="54"/>
        <v>-12151.649999999907</v>
      </c>
    </row>
    <row r="161" spans="1:17" s="9" customFormat="1" ht="46.8" x14ac:dyDescent="0.3">
      <c r="A161" s="8">
        <v>3719800</v>
      </c>
      <c r="B161" s="33">
        <v>9800</v>
      </c>
      <c r="C161" s="13" t="s">
        <v>128</v>
      </c>
      <c r="D161" s="10" t="s">
        <v>273</v>
      </c>
      <c r="E161" s="20" t="s">
        <v>327</v>
      </c>
      <c r="F161" s="8" t="s">
        <v>330</v>
      </c>
      <c r="G161" s="68">
        <f t="shared" si="61"/>
        <v>2000000</v>
      </c>
      <c r="H161" s="68">
        <v>2000000</v>
      </c>
      <c r="I161" s="68"/>
      <c r="J161" s="68"/>
      <c r="K161" s="68">
        <f t="shared" si="60"/>
        <v>2000000</v>
      </c>
      <c r="L161" s="68">
        <v>2000000</v>
      </c>
      <c r="M161" s="68"/>
      <c r="N161" s="68"/>
      <c r="O161" s="93">
        <f t="shared" si="53"/>
        <v>1</v>
      </c>
      <c r="P161" s="68">
        <f t="shared" si="54"/>
        <v>0</v>
      </c>
    </row>
    <row r="162" spans="1:17" s="9" customFormat="1" ht="46.8" x14ac:dyDescent="0.3">
      <c r="A162" s="8">
        <v>3719800</v>
      </c>
      <c r="B162" s="33">
        <v>9800</v>
      </c>
      <c r="C162" s="13" t="s">
        <v>128</v>
      </c>
      <c r="D162" s="10" t="s">
        <v>273</v>
      </c>
      <c r="E162" s="20" t="s">
        <v>328</v>
      </c>
      <c r="F162" s="8" t="s">
        <v>331</v>
      </c>
      <c r="G162" s="68">
        <f t="shared" si="61"/>
        <v>1419600</v>
      </c>
      <c r="H162" s="68">
        <v>124600</v>
      </c>
      <c r="I162" s="68">
        <v>1295000</v>
      </c>
      <c r="J162" s="68">
        <v>1295000</v>
      </c>
      <c r="K162" s="68">
        <f t="shared" si="60"/>
        <v>1360169.7</v>
      </c>
      <c r="L162" s="68">
        <v>118307.7</v>
      </c>
      <c r="M162" s="68">
        <v>1241862</v>
      </c>
      <c r="N162" s="68">
        <f>M162</f>
        <v>1241862</v>
      </c>
      <c r="O162" s="93">
        <f t="shared" si="53"/>
        <v>0.95813588334742172</v>
      </c>
      <c r="P162" s="68">
        <f t="shared" si="54"/>
        <v>-59430.300000000047</v>
      </c>
    </row>
    <row r="163" spans="1:17" s="9" customFormat="1" ht="62.4" x14ac:dyDescent="0.3">
      <c r="A163" s="8">
        <v>3719800</v>
      </c>
      <c r="B163" s="33">
        <v>9800</v>
      </c>
      <c r="C163" s="13" t="s">
        <v>128</v>
      </c>
      <c r="D163" s="10" t="s">
        <v>273</v>
      </c>
      <c r="E163" s="20" t="s">
        <v>366</v>
      </c>
      <c r="F163" s="8" t="s">
        <v>368</v>
      </c>
      <c r="G163" s="68">
        <f t="shared" si="61"/>
        <v>1100000</v>
      </c>
      <c r="H163" s="68"/>
      <c r="I163" s="68">
        <v>1100000</v>
      </c>
      <c r="J163" s="68">
        <v>1100000</v>
      </c>
      <c r="K163" s="68">
        <f t="shared" si="60"/>
        <v>1100000</v>
      </c>
      <c r="L163" s="68"/>
      <c r="M163" s="68">
        <v>1100000</v>
      </c>
      <c r="N163" s="68">
        <f>M163</f>
        <v>1100000</v>
      </c>
      <c r="O163" s="93">
        <f t="shared" si="53"/>
        <v>1</v>
      </c>
      <c r="P163" s="68">
        <f t="shared" si="54"/>
        <v>0</v>
      </c>
      <c r="Q163" s="65"/>
    </row>
    <row r="164" spans="1:17" s="9" customFormat="1" ht="15.6" x14ac:dyDescent="0.3">
      <c r="A164" s="55"/>
      <c r="B164" s="55"/>
      <c r="C164" s="55"/>
      <c r="D164" s="85" t="s">
        <v>220</v>
      </c>
      <c r="E164" s="85"/>
      <c r="F164" s="55"/>
      <c r="G164" s="67">
        <f t="shared" ref="G164:N164" si="62">G16+G39+G64+G81+G86+G95+G105+G141+G149+G131</f>
        <v>822914235.72000003</v>
      </c>
      <c r="H164" s="67">
        <f t="shared" si="62"/>
        <v>504432949.41999996</v>
      </c>
      <c r="I164" s="67">
        <f t="shared" si="62"/>
        <v>318481286.30000001</v>
      </c>
      <c r="J164" s="67">
        <f t="shared" si="62"/>
        <v>290245309.27999997</v>
      </c>
      <c r="K164" s="67">
        <f t="shared" si="62"/>
        <v>697474266.13</v>
      </c>
      <c r="L164" s="67">
        <f t="shared" si="62"/>
        <v>474600915.18000007</v>
      </c>
      <c r="M164" s="67">
        <f t="shared" si="62"/>
        <v>222873349.94999999</v>
      </c>
      <c r="N164" s="67">
        <f t="shared" si="62"/>
        <v>211483219.96000001</v>
      </c>
      <c r="O164" s="75">
        <f t="shared" si="53"/>
        <v>0.84756616893345194</v>
      </c>
      <c r="P164" s="67">
        <f t="shared" si="54"/>
        <v>-125439969.59000003</v>
      </c>
      <c r="Q164" s="65"/>
    </row>
    <row r="165" spans="1:17" s="16" customFormat="1" ht="46.8" x14ac:dyDescent="0.3">
      <c r="A165" s="8">
        <v>1</v>
      </c>
      <c r="B165" s="34"/>
      <c r="C165" s="34"/>
      <c r="D165" s="35"/>
      <c r="E165" s="20" t="s">
        <v>28</v>
      </c>
      <c r="F165" s="8" t="s">
        <v>179</v>
      </c>
      <c r="G165" s="68">
        <f>G59</f>
        <v>300000</v>
      </c>
      <c r="H165" s="68">
        <f>H59</f>
        <v>300000</v>
      </c>
      <c r="I165" s="68"/>
      <c r="J165" s="68"/>
      <c r="K165" s="68">
        <f>K59</f>
        <v>289890</v>
      </c>
      <c r="L165" s="68">
        <f>L59</f>
        <v>289890</v>
      </c>
      <c r="M165" s="68"/>
      <c r="N165" s="68"/>
      <c r="O165" s="93">
        <f t="shared" si="53"/>
        <v>0.96630000000000005</v>
      </c>
      <c r="P165" s="68">
        <f t="shared" si="54"/>
        <v>-10110</v>
      </c>
    </row>
    <row r="166" spans="1:17" s="9" customFormat="1" ht="52.5" customHeight="1" x14ac:dyDescent="0.3">
      <c r="A166" s="8">
        <v>2</v>
      </c>
      <c r="B166" s="34"/>
      <c r="C166" s="34"/>
      <c r="D166" s="35"/>
      <c r="E166" s="20" t="s">
        <v>203</v>
      </c>
      <c r="F166" s="8" t="s">
        <v>201</v>
      </c>
      <c r="G166" s="68">
        <f t="shared" ref="G166:N166" si="63">G111</f>
        <v>5048613.25</v>
      </c>
      <c r="H166" s="68">
        <f t="shared" si="63"/>
        <v>0</v>
      </c>
      <c r="I166" s="68">
        <f t="shared" si="63"/>
        <v>5048613.25</v>
      </c>
      <c r="J166" s="68">
        <f t="shared" si="63"/>
        <v>5048613.25</v>
      </c>
      <c r="K166" s="68">
        <f t="shared" si="63"/>
        <v>5048609.3</v>
      </c>
      <c r="L166" s="68">
        <f t="shared" si="63"/>
        <v>0</v>
      </c>
      <c r="M166" s="68">
        <f t="shared" si="63"/>
        <v>5048609.3</v>
      </c>
      <c r="N166" s="68">
        <f t="shared" si="63"/>
        <v>5048609.3</v>
      </c>
      <c r="O166" s="93">
        <f t="shared" si="53"/>
        <v>0.99999921760693389</v>
      </c>
      <c r="P166" s="68">
        <f t="shared" si="54"/>
        <v>-3.9500000001862645</v>
      </c>
    </row>
    <row r="167" spans="1:17" s="9" customFormat="1" ht="62.4" x14ac:dyDescent="0.3">
      <c r="A167" s="8">
        <v>3</v>
      </c>
      <c r="B167" s="34"/>
      <c r="C167" s="34"/>
      <c r="D167" s="35"/>
      <c r="E167" s="20" t="s">
        <v>92</v>
      </c>
      <c r="F167" s="8" t="s">
        <v>180</v>
      </c>
      <c r="G167" s="68">
        <f t="shared" ref="G167:N167" si="64">G25+G66+G69+G78+G41</f>
        <v>20419820</v>
      </c>
      <c r="H167" s="68">
        <f t="shared" si="64"/>
        <v>19428195</v>
      </c>
      <c r="I167" s="68">
        <f t="shared" si="64"/>
        <v>991625</v>
      </c>
      <c r="J167" s="68">
        <f t="shared" si="64"/>
        <v>991625</v>
      </c>
      <c r="K167" s="68">
        <f t="shared" si="64"/>
        <v>19788543.68</v>
      </c>
      <c r="L167" s="68">
        <f t="shared" si="64"/>
        <v>18835744.969999999</v>
      </c>
      <c r="M167" s="68">
        <f t="shared" si="64"/>
        <v>952798.71</v>
      </c>
      <c r="N167" s="68">
        <f t="shared" si="64"/>
        <v>952798.71</v>
      </c>
      <c r="O167" s="93">
        <f t="shared" si="53"/>
        <v>0.96908511828213961</v>
      </c>
      <c r="P167" s="68">
        <f t="shared" si="54"/>
        <v>-631276.3200000003</v>
      </c>
    </row>
    <row r="168" spans="1:17" s="9" customFormat="1" ht="53.25" customHeight="1" x14ac:dyDescent="0.3">
      <c r="A168" s="8">
        <v>4</v>
      </c>
      <c r="B168" s="34"/>
      <c r="C168" s="34"/>
      <c r="D168" s="35"/>
      <c r="E168" s="20" t="s">
        <v>75</v>
      </c>
      <c r="F168" s="8" t="s">
        <v>172</v>
      </c>
      <c r="G168" s="68">
        <f t="shared" ref="G168:N168" si="65">G24+G60+G67+G68+G70+G72+G74+G75+G76+G77+G79+G83+G152</f>
        <v>50871905</v>
      </c>
      <c r="H168" s="68">
        <f t="shared" si="65"/>
        <v>50871905</v>
      </c>
      <c r="I168" s="68">
        <f t="shared" si="65"/>
        <v>0</v>
      </c>
      <c r="J168" s="68">
        <f t="shared" si="65"/>
        <v>0</v>
      </c>
      <c r="K168" s="68">
        <f t="shared" si="65"/>
        <v>47948488.950000003</v>
      </c>
      <c r="L168" s="68">
        <f t="shared" si="65"/>
        <v>47948488.950000003</v>
      </c>
      <c r="M168" s="68">
        <f t="shared" si="65"/>
        <v>0</v>
      </c>
      <c r="N168" s="68">
        <f t="shared" si="65"/>
        <v>0</v>
      </c>
      <c r="O168" s="93">
        <f t="shared" si="53"/>
        <v>0.94253378067913918</v>
      </c>
      <c r="P168" s="68">
        <f t="shared" si="54"/>
        <v>-2923416.049999997</v>
      </c>
    </row>
    <row r="169" spans="1:17" s="9" customFormat="1" ht="49.5" customHeight="1" x14ac:dyDescent="0.3">
      <c r="A169" s="8">
        <v>5</v>
      </c>
      <c r="B169" s="34"/>
      <c r="C169" s="34"/>
      <c r="D169" s="36"/>
      <c r="E169" s="20" t="s">
        <v>219</v>
      </c>
      <c r="F169" s="8" t="s">
        <v>170</v>
      </c>
      <c r="G169" s="68">
        <f t="shared" ref="G169:N169" si="66">G18+G19+G20+G21+G23+G27+G31+G32+G158</f>
        <v>90877932.219999999</v>
      </c>
      <c r="H169" s="68">
        <f t="shared" si="66"/>
        <v>66159961.100000001</v>
      </c>
      <c r="I169" s="68">
        <f t="shared" si="66"/>
        <v>24717971.119999997</v>
      </c>
      <c r="J169" s="68">
        <f t="shared" si="66"/>
        <v>22643815.899999999</v>
      </c>
      <c r="K169" s="68">
        <f t="shared" si="66"/>
        <v>85383173.150000021</v>
      </c>
      <c r="L169" s="68">
        <f t="shared" si="66"/>
        <v>63830258.150000006</v>
      </c>
      <c r="M169" s="68">
        <f t="shared" si="66"/>
        <v>21552914.999999996</v>
      </c>
      <c r="N169" s="68">
        <f t="shared" si="66"/>
        <v>19478759.779999997</v>
      </c>
      <c r="O169" s="93">
        <f t="shared" si="53"/>
        <v>0.93953692677890044</v>
      </c>
      <c r="P169" s="68">
        <f t="shared" si="54"/>
        <v>-5494759.0699999779</v>
      </c>
    </row>
    <row r="170" spans="1:17" s="9" customFormat="1" ht="46.8" x14ac:dyDescent="0.3">
      <c r="A170" s="8">
        <v>6</v>
      </c>
      <c r="B170" s="34"/>
      <c r="C170" s="34"/>
      <c r="D170" s="36"/>
      <c r="E170" s="20" t="s">
        <v>120</v>
      </c>
      <c r="F170" s="8" t="s">
        <v>174</v>
      </c>
      <c r="G170" s="68">
        <f t="shared" ref="G170:N170" si="67">G42+G43+G46+G47+G48+G49+G50+G51+G52+G53+G55+G56+G57+G61</f>
        <v>78064048.609999999</v>
      </c>
      <c r="H170" s="68">
        <f t="shared" si="67"/>
        <v>47677300</v>
      </c>
      <c r="I170" s="68">
        <f t="shared" si="67"/>
        <v>30386748.609999999</v>
      </c>
      <c r="J170" s="68">
        <f t="shared" si="67"/>
        <v>15764448.609999999</v>
      </c>
      <c r="K170" s="68">
        <f t="shared" si="67"/>
        <v>55326404.450000003</v>
      </c>
      <c r="L170" s="68">
        <f t="shared" si="67"/>
        <v>32936614.68</v>
      </c>
      <c r="M170" s="68">
        <f t="shared" si="67"/>
        <v>22389789.77</v>
      </c>
      <c r="N170" s="68">
        <f t="shared" si="67"/>
        <v>14856296.059999999</v>
      </c>
      <c r="O170" s="93">
        <f t="shared" si="53"/>
        <v>0.70873091307888803</v>
      </c>
      <c r="P170" s="68">
        <f t="shared" si="54"/>
        <v>-22737644.159999996</v>
      </c>
    </row>
    <row r="171" spans="1:17" s="9" customFormat="1" ht="46.8" x14ac:dyDescent="0.3">
      <c r="A171" s="8">
        <v>7</v>
      </c>
      <c r="B171" s="34"/>
      <c r="C171" s="34"/>
      <c r="D171" s="35"/>
      <c r="E171" s="20" t="s">
        <v>161</v>
      </c>
      <c r="F171" s="8" t="s">
        <v>173</v>
      </c>
      <c r="G171" s="68">
        <f t="shared" ref="G171:N171" si="68">G33+G54+G118+G127+G63+G132+G133+G136+G139+G140</f>
        <v>130356503.16000001</v>
      </c>
      <c r="H171" s="68">
        <f t="shared" si="68"/>
        <v>8225330</v>
      </c>
      <c r="I171" s="68">
        <f t="shared" si="68"/>
        <v>122131173.16</v>
      </c>
      <c r="J171" s="68">
        <f t="shared" si="68"/>
        <v>120496882.45</v>
      </c>
      <c r="K171" s="68">
        <f t="shared" si="68"/>
        <v>70436708.560000002</v>
      </c>
      <c r="L171" s="68">
        <f t="shared" si="68"/>
        <v>7265050.8999999994</v>
      </c>
      <c r="M171" s="68">
        <f t="shared" si="68"/>
        <v>63171657.659999996</v>
      </c>
      <c r="N171" s="68">
        <f t="shared" si="68"/>
        <v>63171657.659999996</v>
      </c>
      <c r="O171" s="93">
        <f t="shared" si="53"/>
        <v>0.54033904602017246</v>
      </c>
      <c r="P171" s="68">
        <f t="shared" si="54"/>
        <v>-59919794.600000009</v>
      </c>
    </row>
    <row r="172" spans="1:17" s="9" customFormat="1" ht="135.75" customHeight="1" x14ac:dyDescent="0.3">
      <c r="A172" s="8">
        <v>8</v>
      </c>
      <c r="B172" s="34"/>
      <c r="C172" s="34"/>
      <c r="D172" s="35"/>
      <c r="E172" s="45" t="s">
        <v>195</v>
      </c>
      <c r="F172" s="8" t="s">
        <v>196</v>
      </c>
      <c r="G172" s="68">
        <f t="shared" ref="G172:N172" si="69">G34</f>
        <v>233347</v>
      </c>
      <c r="H172" s="68">
        <f t="shared" si="69"/>
        <v>233347</v>
      </c>
      <c r="I172" s="68">
        <f t="shared" si="69"/>
        <v>0</v>
      </c>
      <c r="J172" s="68">
        <f t="shared" si="69"/>
        <v>0</v>
      </c>
      <c r="K172" s="68">
        <f t="shared" si="69"/>
        <v>233280</v>
      </c>
      <c r="L172" s="68">
        <f t="shared" si="69"/>
        <v>233280</v>
      </c>
      <c r="M172" s="68">
        <f t="shared" si="69"/>
        <v>0</v>
      </c>
      <c r="N172" s="68">
        <f t="shared" si="69"/>
        <v>0</v>
      </c>
      <c r="O172" s="93">
        <f t="shared" si="53"/>
        <v>0.99971287396023945</v>
      </c>
      <c r="P172" s="68">
        <f t="shared" si="54"/>
        <v>-67</v>
      </c>
    </row>
    <row r="173" spans="1:17" s="9" customFormat="1" ht="62.4" x14ac:dyDescent="0.3">
      <c r="A173" s="8">
        <v>9</v>
      </c>
      <c r="B173" s="34"/>
      <c r="C173" s="34"/>
      <c r="D173" s="35"/>
      <c r="E173" s="41" t="s">
        <v>305</v>
      </c>
      <c r="F173" s="8" t="s">
        <v>306</v>
      </c>
      <c r="G173" s="68">
        <f t="shared" ref="G173:N173" si="70">G134+G137</f>
        <v>13042588</v>
      </c>
      <c r="H173" s="68">
        <f t="shared" si="70"/>
        <v>0</v>
      </c>
      <c r="I173" s="68">
        <f t="shared" si="70"/>
        <v>13042588</v>
      </c>
      <c r="J173" s="68">
        <f t="shared" si="70"/>
        <v>13042588</v>
      </c>
      <c r="K173" s="68">
        <f t="shared" si="70"/>
        <v>12405372.140000001</v>
      </c>
      <c r="L173" s="68">
        <f t="shared" si="70"/>
        <v>0</v>
      </c>
      <c r="M173" s="68">
        <f t="shared" si="70"/>
        <v>12405372.140000001</v>
      </c>
      <c r="N173" s="68">
        <f t="shared" si="70"/>
        <v>12405372.140000001</v>
      </c>
      <c r="O173" s="93">
        <f t="shared" si="53"/>
        <v>0.95114344944423612</v>
      </c>
      <c r="P173" s="68">
        <f t="shared" si="54"/>
        <v>-637215.8599999994</v>
      </c>
    </row>
    <row r="174" spans="1:17" s="9" customFormat="1" ht="46.8" x14ac:dyDescent="0.3">
      <c r="A174" s="8">
        <v>10</v>
      </c>
      <c r="B174" s="34"/>
      <c r="C174" s="34"/>
      <c r="D174" s="35"/>
      <c r="E174" s="45" t="s">
        <v>157</v>
      </c>
      <c r="F174" s="8" t="s">
        <v>159</v>
      </c>
      <c r="G174" s="68">
        <f>G44</f>
        <v>200000</v>
      </c>
      <c r="H174" s="68">
        <f>H44</f>
        <v>200000</v>
      </c>
      <c r="I174" s="68"/>
      <c r="J174" s="68"/>
      <c r="K174" s="68">
        <f>K44</f>
        <v>0</v>
      </c>
      <c r="L174" s="68">
        <f>L44</f>
        <v>0</v>
      </c>
      <c r="M174" s="68"/>
      <c r="N174" s="68"/>
      <c r="O174" s="93">
        <f t="shared" si="53"/>
        <v>0</v>
      </c>
      <c r="P174" s="68">
        <f t="shared" si="54"/>
        <v>-200000</v>
      </c>
    </row>
    <row r="175" spans="1:17" s="9" customFormat="1" ht="46.8" x14ac:dyDescent="0.3">
      <c r="A175" s="8">
        <v>11</v>
      </c>
      <c r="B175" s="34"/>
      <c r="C175" s="34"/>
      <c r="D175" s="35"/>
      <c r="E175" s="20" t="s">
        <v>182</v>
      </c>
      <c r="F175" s="8" t="s">
        <v>206</v>
      </c>
      <c r="G175" s="68">
        <f>G58+G89+G73</f>
        <v>2334645.3199999998</v>
      </c>
      <c r="H175" s="68">
        <f>H58+H89+H73</f>
        <v>2334645.3199999998</v>
      </c>
      <c r="I175" s="68">
        <f>I58+I89</f>
        <v>0</v>
      </c>
      <c r="J175" s="68">
        <f>J58+J89</f>
        <v>0</v>
      </c>
      <c r="K175" s="68">
        <f>K58+K89+K73</f>
        <v>2333958.2000000002</v>
      </c>
      <c r="L175" s="68">
        <f>L58+L89+L73</f>
        <v>2333958.2000000002</v>
      </c>
      <c r="M175" s="68">
        <f>M58+M89</f>
        <v>0</v>
      </c>
      <c r="N175" s="68">
        <f>N58+N89</f>
        <v>0</v>
      </c>
      <c r="O175" s="93">
        <f t="shared" si="53"/>
        <v>0.99970568548716443</v>
      </c>
      <c r="P175" s="68">
        <f t="shared" si="54"/>
        <v>-687.1199999996461</v>
      </c>
    </row>
    <row r="176" spans="1:17" s="9" customFormat="1" ht="46.8" x14ac:dyDescent="0.3">
      <c r="A176" s="8">
        <v>12</v>
      </c>
      <c r="B176" s="34"/>
      <c r="C176" s="34"/>
      <c r="D176" s="35"/>
      <c r="E176" s="20" t="s">
        <v>147</v>
      </c>
      <c r="F176" s="12" t="s">
        <v>197</v>
      </c>
      <c r="G176" s="68">
        <f>G88+G90+G91+G92+G93</f>
        <v>4503526</v>
      </c>
      <c r="H176" s="68">
        <f>H88+H90+H91+H92+H93</f>
        <v>3808426</v>
      </c>
      <c r="I176" s="68">
        <f>I88+I90+I91+I92+I93</f>
        <v>695100</v>
      </c>
      <c r="J176" s="68">
        <f>J88+J90+J91+J92</f>
        <v>420100</v>
      </c>
      <c r="K176" s="68">
        <f>K88+K90+K91+K92+K93</f>
        <v>4277896.78</v>
      </c>
      <c r="L176" s="68">
        <f>L88+L90+L91+L92+L93</f>
        <v>3667150.7800000003</v>
      </c>
      <c r="M176" s="68">
        <f>M88+M90+M91+M92+M93</f>
        <v>610746</v>
      </c>
      <c r="N176" s="68">
        <f>N88+N90+N91+N92</f>
        <v>420062</v>
      </c>
      <c r="O176" s="93">
        <f t="shared" si="53"/>
        <v>0.94989942991336129</v>
      </c>
      <c r="P176" s="68">
        <f t="shared" si="54"/>
        <v>-225629.21999999974</v>
      </c>
    </row>
    <row r="177" spans="1:16" s="9" customFormat="1" ht="46.8" x14ac:dyDescent="0.3">
      <c r="A177" s="8">
        <v>13</v>
      </c>
      <c r="B177" s="34"/>
      <c r="C177" s="34"/>
      <c r="D177" s="35"/>
      <c r="E177" s="20" t="s">
        <v>169</v>
      </c>
      <c r="F177" s="8" t="s">
        <v>198</v>
      </c>
      <c r="G177" s="68">
        <f t="shared" ref="G177:N177" si="71">G71+G97</f>
        <v>1414500</v>
      </c>
      <c r="H177" s="68">
        <f t="shared" si="71"/>
        <v>1414500</v>
      </c>
      <c r="I177" s="68">
        <f t="shared" si="71"/>
        <v>0</v>
      </c>
      <c r="J177" s="68">
        <f t="shared" si="71"/>
        <v>0</v>
      </c>
      <c r="K177" s="68">
        <f t="shared" si="71"/>
        <v>1203698.74</v>
      </c>
      <c r="L177" s="68">
        <f t="shared" si="71"/>
        <v>1203698.74</v>
      </c>
      <c r="M177" s="68">
        <f t="shared" si="71"/>
        <v>0</v>
      </c>
      <c r="N177" s="68">
        <f t="shared" si="71"/>
        <v>0</v>
      </c>
      <c r="O177" s="93">
        <f t="shared" si="53"/>
        <v>0.85097118416401551</v>
      </c>
      <c r="P177" s="68">
        <f t="shared" si="54"/>
        <v>-210801.26</v>
      </c>
    </row>
    <row r="178" spans="1:16" s="9" customFormat="1" ht="46.8" x14ac:dyDescent="0.3">
      <c r="A178" s="8">
        <v>14</v>
      </c>
      <c r="B178" s="34"/>
      <c r="C178" s="34"/>
      <c r="D178" s="35"/>
      <c r="E178" s="20" t="s">
        <v>160</v>
      </c>
      <c r="F178" s="8" t="s">
        <v>186</v>
      </c>
      <c r="G178" s="68">
        <f t="shared" ref="G178:N178" si="72">G98+G99+G100+G101+G102+G104</f>
        <v>10094691</v>
      </c>
      <c r="H178" s="68">
        <f t="shared" si="72"/>
        <v>5736556</v>
      </c>
      <c r="I178" s="68">
        <f t="shared" si="72"/>
        <v>4358135</v>
      </c>
      <c r="J178" s="68">
        <f t="shared" si="72"/>
        <v>0</v>
      </c>
      <c r="K178" s="68">
        <f t="shared" si="72"/>
        <v>5297373.3900000006</v>
      </c>
      <c r="L178" s="68">
        <f t="shared" si="72"/>
        <v>5280234.24</v>
      </c>
      <c r="M178" s="68">
        <f t="shared" si="72"/>
        <v>17139.150000000001</v>
      </c>
      <c r="N178" s="68">
        <f t="shared" si="72"/>
        <v>0</v>
      </c>
      <c r="O178" s="93">
        <f t="shared" si="53"/>
        <v>0.52476825590798182</v>
      </c>
      <c r="P178" s="68">
        <f t="shared" si="54"/>
        <v>-4797317.6099999994</v>
      </c>
    </row>
    <row r="179" spans="1:16" s="9" customFormat="1" ht="62.4" x14ac:dyDescent="0.3">
      <c r="A179" s="8">
        <v>15</v>
      </c>
      <c r="B179" s="34"/>
      <c r="C179" s="34"/>
      <c r="D179" s="35"/>
      <c r="E179" s="20" t="s">
        <v>184</v>
      </c>
      <c r="F179" s="8" t="s">
        <v>183</v>
      </c>
      <c r="G179" s="68">
        <f t="shared" ref="G179:N179" si="73">G45</f>
        <v>15000</v>
      </c>
      <c r="H179" s="68">
        <f t="shared" si="73"/>
        <v>15000</v>
      </c>
      <c r="I179" s="68">
        <f t="shared" si="73"/>
        <v>0</v>
      </c>
      <c r="J179" s="68">
        <f t="shared" si="73"/>
        <v>0</v>
      </c>
      <c r="K179" s="68">
        <f t="shared" si="73"/>
        <v>12000</v>
      </c>
      <c r="L179" s="68">
        <f t="shared" si="73"/>
        <v>12000</v>
      </c>
      <c r="M179" s="68">
        <f t="shared" si="73"/>
        <v>0</v>
      </c>
      <c r="N179" s="68">
        <f t="shared" si="73"/>
        <v>0</v>
      </c>
      <c r="O179" s="93">
        <f t="shared" si="53"/>
        <v>0.8</v>
      </c>
      <c r="P179" s="68">
        <f t="shared" si="54"/>
        <v>-3000</v>
      </c>
    </row>
    <row r="180" spans="1:16" s="9" customFormat="1" ht="62.4" x14ac:dyDescent="0.3">
      <c r="A180" s="8">
        <v>16</v>
      </c>
      <c r="B180" s="34"/>
      <c r="C180" s="34"/>
      <c r="D180" s="35"/>
      <c r="E180" s="45" t="s">
        <v>187</v>
      </c>
      <c r="F180" s="8" t="s">
        <v>199</v>
      </c>
      <c r="G180" s="68">
        <f t="shared" ref="G180:N180" si="74">G35</f>
        <v>3310623</v>
      </c>
      <c r="H180" s="68">
        <f t="shared" si="74"/>
        <v>2270000</v>
      </c>
      <c r="I180" s="68">
        <f t="shared" si="74"/>
        <v>1040623</v>
      </c>
      <c r="J180" s="68">
        <f t="shared" si="74"/>
        <v>1040623</v>
      </c>
      <c r="K180" s="68">
        <f t="shared" si="74"/>
        <v>3295540</v>
      </c>
      <c r="L180" s="68">
        <f t="shared" si="74"/>
        <v>2258016</v>
      </c>
      <c r="M180" s="68">
        <f t="shared" si="74"/>
        <v>1037524</v>
      </c>
      <c r="N180" s="68">
        <f t="shared" si="74"/>
        <v>1037524</v>
      </c>
      <c r="O180" s="93">
        <f t="shared" si="53"/>
        <v>0.99544405992467277</v>
      </c>
      <c r="P180" s="68">
        <f t="shared" si="54"/>
        <v>-15083</v>
      </c>
    </row>
    <row r="181" spans="1:16" s="9" customFormat="1" ht="78" x14ac:dyDescent="0.3">
      <c r="A181" s="8">
        <v>17</v>
      </c>
      <c r="B181" s="34"/>
      <c r="C181" s="34"/>
      <c r="D181" s="35"/>
      <c r="E181" s="20" t="s">
        <v>282</v>
      </c>
      <c r="F181" s="8" t="s">
        <v>313</v>
      </c>
      <c r="G181" s="68">
        <f t="shared" ref="G181:N181" si="75">G108+G112+G117+G121+G124</f>
        <v>6131913.7300000004</v>
      </c>
      <c r="H181" s="68">
        <f t="shared" si="75"/>
        <v>0</v>
      </c>
      <c r="I181" s="68">
        <f t="shared" si="75"/>
        <v>6131913.7300000004</v>
      </c>
      <c r="J181" s="68">
        <f t="shared" si="75"/>
        <v>5518790</v>
      </c>
      <c r="K181" s="68">
        <f t="shared" si="75"/>
        <v>4828010.1099999994</v>
      </c>
      <c r="L181" s="68">
        <f t="shared" si="75"/>
        <v>0</v>
      </c>
      <c r="M181" s="68">
        <f t="shared" si="75"/>
        <v>4828010.1099999994</v>
      </c>
      <c r="N181" s="68">
        <f t="shared" si="75"/>
        <v>4345209.09</v>
      </c>
      <c r="O181" s="93">
        <f t="shared" si="53"/>
        <v>0.78735780093892471</v>
      </c>
      <c r="P181" s="68">
        <f t="shared" si="54"/>
        <v>-1303903.620000001</v>
      </c>
    </row>
    <row r="182" spans="1:16" s="9" customFormat="1" ht="109.2" x14ac:dyDescent="0.3">
      <c r="A182" s="8">
        <v>18</v>
      </c>
      <c r="B182" s="34"/>
      <c r="C182" s="34"/>
      <c r="D182" s="35"/>
      <c r="E182" s="10" t="s">
        <v>202</v>
      </c>
      <c r="F182" s="14" t="s">
        <v>262</v>
      </c>
      <c r="G182" s="68">
        <f>G143</f>
        <v>1500000</v>
      </c>
      <c r="H182" s="68">
        <f>H143</f>
        <v>1500000</v>
      </c>
      <c r="I182" s="68">
        <f>J182</f>
        <v>0</v>
      </c>
      <c r="J182" s="68"/>
      <c r="K182" s="68">
        <f>K143</f>
        <v>1494699</v>
      </c>
      <c r="L182" s="68">
        <f>L143</f>
        <v>1494699</v>
      </c>
      <c r="M182" s="68">
        <f>N182</f>
        <v>0</v>
      </c>
      <c r="N182" s="68"/>
      <c r="O182" s="93">
        <f t="shared" si="53"/>
        <v>0.99646599999999996</v>
      </c>
      <c r="P182" s="68">
        <f t="shared" si="54"/>
        <v>-5301</v>
      </c>
    </row>
    <row r="183" spans="1:16" s="9" customFormat="1" ht="46.8" x14ac:dyDescent="0.3">
      <c r="A183" s="8">
        <v>19</v>
      </c>
      <c r="B183" s="34"/>
      <c r="C183" s="34"/>
      <c r="D183" s="35"/>
      <c r="E183" s="20" t="s">
        <v>227</v>
      </c>
      <c r="F183" s="8" t="s">
        <v>228</v>
      </c>
      <c r="G183" s="68">
        <f>G107</f>
        <v>30000</v>
      </c>
      <c r="H183" s="68">
        <f>H107</f>
        <v>30000</v>
      </c>
      <c r="I183" s="68"/>
      <c r="J183" s="68"/>
      <c r="K183" s="68">
        <f>K107</f>
        <v>0</v>
      </c>
      <c r="L183" s="68">
        <f>L107</f>
        <v>0</v>
      </c>
      <c r="M183" s="68"/>
      <c r="N183" s="68"/>
      <c r="O183" s="93">
        <f t="shared" si="53"/>
        <v>0</v>
      </c>
      <c r="P183" s="68">
        <f t="shared" si="54"/>
        <v>-30000</v>
      </c>
    </row>
    <row r="184" spans="1:16" s="9" customFormat="1" ht="78" x14ac:dyDescent="0.3">
      <c r="A184" s="8">
        <v>20</v>
      </c>
      <c r="B184" s="38"/>
      <c r="C184" s="34"/>
      <c r="D184" s="35"/>
      <c r="E184" s="20" t="s">
        <v>214</v>
      </c>
      <c r="F184" s="8" t="s">
        <v>312</v>
      </c>
      <c r="G184" s="73">
        <f>H184+I184</f>
        <v>1671300</v>
      </c>
      <c r="H184" s="73"/>
      <c r="I184" s="73">
        <f>I38+I129</f>
        <v>1671300</v>
      </c>
      <c r="J184" s="73">
        <f>J38+J129</f>
        <v>0</v>
      </c>
      <c r="K184" s="73">
        <f>L184+M184</f>
        <v>1091856.8900000001</v>
      </c>
      <c r="L184" s="73"/>
      <c r="M184" s="73">
        <f>M38+M129</f>
        <v>1091856.8900000001</v>
      </c>
      <c r="N184" s="73">
        <f>N38+N129</f>
        <v>0</v>
      </c>
      <c r="O184" s="93">
        <f t="shared" si="53"/>
        <v>0.65329796565547782</v>
      </c>
      <c r="P184" s="68">
        <f t="shared" si="54"/>
        <v>-579443.10999999987</v>
      </c>
    </row>
    <row r="185" spans="1:16" s="9" customFormat="1" ht="78" x14ac:dyDescent="0.3">
      <c r="A185" s="12">
        <v>21</v>
      </c>
      <c r="B185" s="38"/>
      <c r="C185" s="38"/>
      <c r="D185" s="42"/>
      <c r="E185" s="19" t="s">
        <v>283</v>
      </c>
      <c r="F185" s="12" t="s">
        <v>284</v>
      </c>
      <c r="G185" s="73">
        <f t="shared" ref="G185:N185" si="76">G113</f>
        <v>1095000</v>
      </c>
      <c r="H185" s="73">
        <f t="shared" si="76"/>
        <v>0</v>
      </c>
      <c r="I185" s="73">
        <f t="shared" si="76"/>
        <v>1095000</v>
      </c>
      <c r="J185" s="73">
        <f t="shared" si="76"/>
        <v>1095000</v>
      </c>
      <c r="K185" s="73">
        <f t="shared" si="76"/>
        <v>70017.3</v>
      </c>
      <c r="L185" s="73">
        <f t="shared" si="76"/>
        <v>0</v>
      </c>
      <c r="M185" s="73">
        <f t="shared" si="76"/>
        <v>70017.3</v>
      </c>
      <c r="N185" s="73">
        <f t="shared" si="76"/>
        <v>70017.3</v>
      </c>
      <c r="O185" s="93">
        <f t="shared" si="53"/>
        <v>6.3942739726027403E-2</v>
      </c>
      <c r="P185" s="68">
        <f t="shared" si="54"/>
        <v>-1024982.7</v>
      </c>
    </row>
    <row r="186" spans="1:16" s="9" customFormat="1" ht="46.8" x14ac:dyDescent="0.3">
      <c r="A186" s="8">
        <v>22</v>
      </c>
      <c r="B186" s="34"/>
      <c r="C186" s="34"/>
      <c r="D186" s="35"/>
      <c r="E186" s="20" t="s">
        <v>260</v>
      </c>
      <c r="F186" s="8" t="s">
        <v>310</v>
      </c>
      <c r="G186" s="68">
        <f>H186+I186</f>
        <v>4835640</v>
      </c>
      <c r="H186" s="68">
        <f>H30+H62+H80+H85+H94+H103+H120+H138+H145+H151</f>
        <v>3752040</v>
      </c>
      <c r="I186" s="68">
        <f>I30+I62+I80+I85+I94+I103+I120+I138+I145+I151</f>
        <v>1083600</v>
      </c>
      <c r="J186" s="68">
        <f>J30+J62+J80+J85+J94+J103+J120+J138+J145+J151</f>
        <v>1083600</v>
      </c>
      <c r="K186" s="68">
        <f>L186+M186</f>
        <v>4265855.47</v>
      </c>
      <c r="L186" s="68">
        <f>L30+L62+L80+L85+L94+L103+L120+L138+L145+L151</f>
        <v>3444959.4699999997</v>
      </c>
      <c r="M186" s="68">
        <f>M30+M62+M80+M85+M94+M103+M120+M138+M145+M151</f>
        <v>820896</v>
      </c>
      <c r="N186" s="68">
        <f>N30+N62+N80+N85+N94+N103+N120+N138+N145+N151</f>
        <v>820896</v>
      </c>
      <c r="O186" s="93">
        <f t="shared" si="53"/>
        <v>0.88216977897444804</v>
      </c>
      <c r="P186" s="68">
        <f t="shared" si="54"/>
        <v>-569784.53000000026</v>
      </c>
    </row>
    <row r="187" spans="1:16" s="9" customFormat="1" ht="62.4" x14ac:dyDescent="0.3">
      <c r="A187" s="14">
        <v>23</v>
      </c>
      <c r="B187" s="43"/>
      <c r="C187" s="43"/>
      <c r="D187" s="44"/>
      <c r="E187" s="45" t="s">
        <v>253</v>
      </c>
      <c r="F187" s="14" t="s">
        <v>267</v>
      </c>
      <c r="G187" s="74">
        <f>G84</f>
        <v>14400</v>
      </c>
      <c r="H187" s="74">
        <f>H84</f>
        <v>14400</v>
      </c>
      <c r="I187" s="74"/>
      <c r="J187" s="74"/>
      <c r="K187" s="74">
        <f>K84</f>
        <v>7990</v>
      </c>
      <c r="L187" s="74">
        <f>L84</f>
        <v>7990</v>
      </c>
      <c r="M187" s="74"/>
      <c r="N187" s="74"/>
      <c r="O187" s="93">
        <f t="shared" si="53"/>
        <v>0.55486111111111114</v>
      </c>
      <c r="P187" s="68">
        <f t="shared" si="54"/>
        <v>-6410</v>
      </c>
    </row>
    <row r="188" spans="1:16" s="9" customFormat="1" ht="78" x14ac:dyDescent="0.3">
      <c r="A188" s="8">
        <v>24</v>
      </c>
      <c r="B188" s="34"/>
      <c r="C188" s="34"/>
      <c r="D188" s="35"/>
      <c r="E188" s="45" t="s">
        <v>259</v>
      </c>
      <c r="F188" s="8" t="s">
        <v>311</v>
      </c>
      <c r="G188" s="68">
        <f t="shared" ref="G188:N188" si="77">G36+G37+G128+G148+G155+G159</f>
        <v>103734075</v>
      </c>
      <c r="H188" s="68">
        <f t="shared" si="77"/>
        <v>53493893</v>
      </c>
      <c r="I188" s="68">
        <f t="shared" si="77"/>
        <v>50240182</v>
      </c>
      <c r="J188" s="68">
        <f t="shared" si="77"/>
        <v>50240182</v>
      </c>
      <c r="K188" s="68">
        <f t="shared" si="77"/>
        <v>100007952.84999999</v>
      </c>
      <c r="L188" s="68">
        <f t="shared" si="77"/>
        <v>52876588.25</v>
      </c>
      <c r="M188" s="68">
        <f t="shared" si="77"/>
        <v>47131364.600000001</v>
      </c>
      <c r="N188" s="68">
        <f t="shared" si="77"/>
        <v>47131364.600000001</v>
      </c>
      <c r="O188" s="93">
        <f t="shared" si="53"/>
        <v>0.96408005614355741</v>
      </c>
      <c r="P188" s="68">
        <f t="shared" si="54"/>
        <v>-3726122.150000006</v>
      </c>
    </row>
    <row r="189" spans="1:16" s="9" customFormat="1" ht="46.8" x14ac:dyDescent="0.3">
      <c r="A189" s="8">
        <v>25</v>
      </c>
      <c r="B189" s="34"/>
      <c r="C189" s="34"/>
      <c r="D189" s="35"/>
      <c r="E189" s="20" t="s">
        <v>234</v>
      </c>
      <c r="F189" s="8" t="s">
        <v>314</v>
      </c>
      <c r="G189" s="68">
        <f t="shared" ref="G189:N189" si="78">G123+G126+G147</f>
        <v>98918007.819999993</v>
      </c>
      <c r="H189" s="68">
        <f t="shared" si="78"/>
        <v>94664210</v>
      </c>
      <c r="I189" s="68">
        <f t="shared" si="78"/>
        <v>4253797.82</v>
      </c>
      <c r="J189" s="68">
        <f t="shared" si="78"/>
        <v>4253797.82</v>
      </c>
      <c r="K189" s="68">
        <f t="shared" si="78"/>
        <v>95996332.75</v>
      </c>
      <c r="L189" s="68">
        <f t="shared" si="78"/>
        <v>92570312.040000007</v>
      </c>
      <c r="M189" s="68">
        <f t="shared" si="78"/>
        <v>3426020.71</v>
      </c>
      <c r="N189" s="68">
        <f t="shared" si="78"/>
        <v>3426020.71</v>
      </c>
      <c r="O189" s="93">
        <f t="shared" si="53"/>
        <v>0.97046366850294308</v>
      </c>
      <c r="P189" s="68">
        <f t="shared" si="54"/>
        <v>-2921675.0699999928</v>
      </c>
    </row>
    <row r="190" spans="1:16" s="9" customFormat="1" ht="46.8" x14ac:dyDescent="0.3">
      <c r="A190" s="8">
        <v>26</v>
      </c>
      <c r="B190" s="34"/>
      <c r="C190" s="34"/>
      <c r="D190" s="35"/>
      <c r="E190" s="20" t="s">
        <v>258</v>
      </c>
      <c r="F190" s="8" t="s">
        <v>309</v>
      </c>
      <c r="G190" s="68">
        <f t="shared" ref="G190:N190" si="79">G26+G109+G110+G114+G115+G116+G119+G122+G125+G135+G157</f>
        <v>182349644.61000001</v>
      </c>
      <c r="H190" s="68">
        <f t="shared" si="79"/>
        <v>134805129</v>
      </c>
      <c r="I190" s="68">
        <f t="shared" si="79"/>
        <v>47544515.609999999</v>
      </c>
      <c r="J190" s="68">
        <f t="shared" si="79"/>
        <v>44556843.25</v>
      </c>
      <c r="K190" s="68">
        <f t="shared" si="79"/>
        <v>164966281.25</v>
      </c>
      <c r="L190" s="68">
        <f t="shared" si="79"/>
        <v>130634930.97</v>
      </c>
      <c r="M190" s="68">
        <f t="shared" si="79"/>
        <v>34331349.280000001</v>
      </c>
      <c r="N190" s="68">
        <f t="shared" si="79"/>
        <v>34331349.280000001</v>
      </c>
      <c r="O190" s="93">
        <f t="shared" si="53"/>
        <v>0.90467015498067649</v>
      </c>
      <c r="P190" s="68">
        <f t="shared" si="54"/>
        <v>-17383363.360000014</v>
      </c>
    </row>
    <row r="191" spans="1:16" s="9" customFormat="1" ht="46.8" x14ac:dyDescent="0.3">
      <c r="A191" s="8">
        <v>27</v>
      </c>
      <c r="B191" s="34"/>
      <c r="C191" s="34"/>
      <c r="D191" s="35"/>
      <c r="E191" s="58" t="s">
        <v>257</v>
      </c>
      <c r="F191" s="8" t="s">
        <v>268</v>
      </c>
      <c r="G191" s="68">
        <f t="shared" ref="G191:N191" si="80">G22</f>
        <v>478000</v>
      </c>
      <c r="H191" s="68">
        <f t="shared" si="80"/>
        <v>478000</v>
      </c>
      <c r="I191" s="68">
        <f t="shared" si="80"/>
        <v>0</v>
      </c>
      <c r="J191" s="68">
        <f t="shared" si="80"/>
        <v>0</v>
      </c>
      <c r="K191" s="68">
        <f t="shared" si="80"/>
        <v>478000</v>
      </c>
      <c r="L191" s="68">
        <f t="shared" si="80"/>
        <v>478000</v>
      </c>
      <c r="M191" s="68">
        <f t="shared" si="80"/>
        <v>0</v>
      </c>
      <c r="N191" s="68">
        <f t="shared" si="80"/>
        <v>0</v>
      </c>
      <c r="O191" s="93">
        <f t="shared" si="53"/>
        <v>1</v>
      </c>
      <c r="P191" s="68">
        <f t="shared" si="54"/>
        <v>0</v>
      </c>
    </row>
    <row r="192" spans="1:16" s="9" customFormat="1" ht="93.6" x14ac:dyDescent="0.3">
      <c r="A192" s="8">
        <v>28</v>
      </c>
      <c r="B192" s="34"/>
      <c r="C192" s="34"/>
      <c r="D192" s="35"/>
      <c r="E192" s="20" t="s">
        <v>222</v>
      </c>
      <c r="F192" s="8" t="s">
        <v>269</v>
      </c>
      <c r="G192" s="68">
        <f t="shared" ref="G192:J193" si="81">G153</f>
        <v>2053700</v>
      </c>
      <c r="H192" s="68">
        <f t="shared" si="81"/>
        <v>1753700</v>
      </c>
      <c r="I192" s="68">
        <f t="shared" si="81"/>
        <v>300000</v>
      </c>
      <c r="J192" s="68">
        <f t="shared" si="81"/>
        <v>300000</v>
      </c>
      <c r="K192" s="68">
        <f t="shared" ref="K192:N192" si="82">K153</f>
        <v>2053700</v>
      </c>
      <c r="L192" s="68">
        <f t="shared" si="82"/>
        <v>1753700</v>
      </c>
      <c r="M192" s="68">
        <f t="shared" si="82"/>
        <v>300000</v>
      </c>
      <c r="N192" s="68">
        <f t="shared" si="82"/>
        <v>300000</v>
      </c>
      <c r="O192" s="93">
        <f t="shared" si="53"/>
        <v>1</v>
      </c>
      <c r="P192" s="68">
        <f t="shared" si="54"/>
        <v>0</v>
      </c>
    </row>
    <row r="193" spans="1:16" s="9" customFormat="1" ht="31.2" x14ac:dyDescent="0.3">
      <c r="A193" s="8">
        <v>29</v>
      </c>
      <c r="B193" s="34"/>
      <c r="C193" s="34"/>
      <c r="D193" s="35"/>
      <c r="E193" s="10" t="s">
        <v>241</v>
      </c>
      <c r="F193" s="8" t="s">
        <v>270</v>
      </c>
      <c r="G193" s="68">
        <f t="shared" si="81"/>
        <v>500000</v>
      </c>
      <c r="H193" s="68">
        <f t="shared" si="81"/>
        <v>500000</v>
      </c>
      <c r="I193" s="68">
        <f t="shared" si="81"/>
        <v>0</v>
      </c>
      <c r="J193" s="68">
        <f t="shared" si="81"/>
        <v>0</v>
      </c>
      <c r="K193" s="68">
        <f t="shared" ref="K193:N193" si="83">K154</f>
        <v>500000</v>
      </c>
      <c r="L193" s="68">
        <f t="shared" si="83"/>
        <v>500000</v>
      </c>
      <c r="M193" s="68">
        <f t="shared" si="83"/>
        <v>0</v>
      </c>
      <c r="N193" s="68">
        <f t="shared" si="83"/>
        <v>0</v>
      </c>
      <c r="O193" s="93">
        <f t="shared" si="53"/>
        <v>1</v>
      </c>
      <c r="P193" s="68">
        <f t="shared" si="54"/>
        <v>0</v>
      </c>
    </row>
    <row r="194" spans="1:16" s="9" customFormat="1" ht="46.8" x14ac:dyDescent="0.3">
      <c r="A194" s="8">
        <v>30</v>
      </c>
      <c r="B194" s="34"/>
      <c r="C194" s="34"/>
      <c r="D194" s="35"/>
      <c r="E194" s="10" t="s">
        <v>271</v>
      </c>
      <c r="F194" s="8" t="s">
        <v>315</v>
      </c>
      <c r="G194" s="68">
        <f>G160</f>
        <v>3000000</v>
      </c>
      <c r="H194" s="68">
        <f t="shared" ref="H194:J194" si="84">H160</f>
        <v>1970000</v>
      </c>
      <c r="I194" s="68">
        <f t="shared" si="84"/>
        <v>1030000</v>
      </c>
      <c r="J194" s="68">
        <f t="shared" si="84"/>
        <v>1030000</v>
      </c>
      <c r="K194" s="68">
        <f>K160</f>
        <v>2987848.35</v>
      </c>
      <c r="L194" s="68">
        <f t="shared" ref="L194:N194" si="85">L160</f>
        <v>1965760.35</v>
      </c>
      <c r="M194" s="68">
        <f t="shared" si="85"/>
        <v>1022088</v>
      </c>
      <c r="N194" s="68">
        <f t="shared" si="85"/>
        <v>1022088</v>
      </c>
      <c r="O194" s="93">
        <f t="shared" si="53"/>
        <v>0.99594945000000001</v>
      </c>
      <c r="P194" s="68">
        <f t="shared" si="54"/>
        <v>-12151.649999999907</v>
      </c>
    </row>
    <row r="195" spans="1:16" s="9" customFormat="1" ht="46.8" x14ac:dyDescent="0.3">
      <c r="A195" s="8">
        <v>31</v>
      </c>
      <c r="B195" s="34"/>
      <c r="C195" s="34"/>
      <c r="D195" s="35"/>
      <c r="E195" s="20" t="s">
        <v>329</v>
      </c>
      <c r="F195" s="8" t="s">
        <v>332</v>
      </c>
      <c r="G195" s="68">
        <f t="shared" ref="G195:N195" si="86">G28+G29</f>
        <v>363400</v>
      </c>
      <c r="H195" s="68">
        <f t="shared" si="86"/>
        <v>80000</v>
      </c>
      <c r="I195" s="68">
        <f t="shared" si="86"/>
        <v>283400</v>
      </c>
      <c r="J195" s="68">
        <f t="shared" si="86"/>
        <v>283400</v>
      </c>
      <c r="K195" s="68">
        <f t="shared" si="86"/>
        <v>362923.33</v>
      </c>
      <c r="L195" s="68">
        <f t="shared" si="86"/>
        <v>79590</v>
      </c>
      <c r="M195" s="68">
        <f t="shared" si="86"/>
        <v>283333.33</v>
      </c>
      <c r="N195" s="68">
        <f t="shared" si="86"/>
        <v>283333.33</v>
      </c>
      <c r="O195" s="93">
        <f t="shared" si="53"/>
        <v>0.99868830489818383</v>
      </c>
      <c r="P195" s="68">
        <f t="shared" si="54"/>
        <v>-476.6699999999837</v>
      </c>
    </row>
    <row r="196" spans="1:16" s="9" customFormat="1" ht="46.8" x14ac:dyDescent="0.3">
      <c r="A196" s="8">
        <v>32</v>
      </c>
      <c r="B196" s="34"/>
      <c r="C196" s="34"/>
      <c r="D196" s="35"/>
      <c r="E196" s="20" t="s">
        <v>327</v>
      </c>
      <c r="F196" s="8" t="s">
        <v>330</v>
      </c>
      <c r="G196" s="68">
        <f>G161</f>
        <v>2000000</v>
      </c>
      <c r="H196" s="68">
        <f t="shared" ref="H196:J197" si="87">H161</f>
        <v>2000000</v>
      </c>
      <c r="I196" s="68">
        <f t="shared" si="87"/>
        <v>0</v>
      </c>
      <c r="J196" s="68">
        <f t="shared" si="87"/>
        <v>0</v>
      </c>
      <c r="K196" s="68">
        <f>K161</f>
        <v>2000000</v>
      </c>
      <c r="L196" s="68">
        <f t="shared" ref="L196:N196" si="88">L161</f>
        <v>2000000</v>
      </c>
      <c r="M196" s="68">
        <f t="shared" si="88"/>
        <v>0</v>
      </c>
      <c r="N196" s="68">
        <f t="shared" si="88"/>
        <v>0</v>
      </c>
      <c r="O196" s="93">
        <f t="shared" si="53"/>
        <v>1</v>
      </c>
      <c r="P196" s="68">
        <f t="shared" si="54"/>
        <v>0</v>
      </c>
    </row>
    <row r="197" spans="1:16" s="9" customFormat="1" ht="46.8" x14ac:dyDescent="0.3">
      <c r="A197" s="8">
        <v>33</v>
      </c>
      <c r="B197" s="34"/>
      <c r="C197" s="34"/>
      <c r="D197" s="35"/>
      <c r="E197" s="20" t="s">
        <v>328</v>
      </c>
      <c r="F197" s="8" t="s">
        <v>331</v>
      </c>
      <c r="G197" s="68">
        <f>G162</f>
        <v>1419600</v>
      </c>
      <c r="H197" s="68">
        <f t="shared" si="87"/>
        <v>124600</v>
      </c>
      <c r="I197" s="68">
        <f t="shared" si="87"/>
        <v>1295000</v>
      </c>
      <c r="J197" s="68">
        <f t="shared" si="87"/>
        <v>1295000</v>
      </c>
      <c r="K197" s="68">
        <f>K162</f>
        <v>1360169.7</v>
      </c>
      <c r="L197" s="68">
        <f t="shared" ref="L197:N197" si="89">L162</f>
        <v>118307.7</v>
      </c>
      <c r="M197" s="68">
        <f t="shared" si="89"/>
        <v>1241862</v>
      </c>
      <c r="N197" s="68">
        <f t="shared" si="89"/>
        <v>1241862</v>
      </c>
      <c r="O197" s="93">
        <f t="shared" si="53"/>
        <v>0.95813588334742172</v>
      </c>
      <c r="P197" s="68">
        <f t="shared" si="54"/>
        <v>-59430.300000000047</v>
      </c>
    </row>
    <row r="198" spans="1:16" s="9" customFormat="1" ht="57" customHeight="1" x14ac:dyDescent="0.3">
      <c r="A198" s="8">
        <v>34</v>
      </c>
      <c r="B198" s="34"/>
      <c r="C198" s="34"/>
      <c r="D198" s="35"/>
      <c r="E198" s="20" t="s">
        <v>340</v>
      </c>
      <c r="F198" s="8" t="s">
        <v>346</v>
      </c>
      <c r="G198" s="68">
        <f>H198+I198</f>
        <v>400000</v>
      </c>
      <c r="H198" s="68">
        <f>H144</f>
        <v>360000</v>
      </c>
      <c r="I198" s="68">
        <f>I144+I146</f>
        <v>40000</v>
      </c>
      <c r="J198" s="68">
        <f>J144+J146</f>
        <v>40000</v>
      </c>
      <c r="K198" s="68">
        <f>L198+M198</f>
        <v>389879.79</v>
      </c>
      <c r="L198" s="68">
        <f>L144</f>
        <v>349879.79</v>
      </c>
      <c r="M198" s="68">
        <f>M144+M146</f>
        <v>40000</v>
      </c>
      <c r="N198" s="68">
        <f>N144+N146</f>
        <v>40000</v>
      </c>
      <c r="O198" s="93">
        <f t="shared" si="53"/>
        <v>0.97469947499999998</v>
      </c>
      <c r="P198" s="68">
        <f t="shared" si="54"/>
        <v>-10120.210000000021</v>
      </c>
    </row>
    <row r="199" spans="1:16" s="9" customFormat="1" ht="124.8" x14ac:dyDescent="0.3">
      <c r="A199" s="8">
        <v>35</v>
      </c>
      <c r="B199" s="34"/>
      <c r="C199" s="34"/>
      <c r="D199" s="35"/>
      <c r="E199" s="20" t="s">
        <v>359</v>
      </c>
      <c r="F199" s="8" t="s">
        <v>367</v>
      </c>
      <c r="G199" s="68">
        <f>G156</f>
        <v>231812</v>
      </c>
      <c r="H199" s="68">
        <f>H156</f>
        <v>231812</v>
      </c>
      <c r="I199" s="68">
        <f t="shared" ref="I199:J199" si="90">I156</f>
        <v>0</v>
      </c>
      <c r="J199" s="68">
        <f t="shared" si="90"/>
        <v>0</v>
      </c>
      <c r="K199" s="68">
        <f>K156</f>
        <v>231812</v>
      </c>
      <c r="L199" s="68">
        <f>L156</f>
        <v>231812</v>
      </c>
      <c r="M199" s="68">
        <f t="shared" ref="M199:N199" si="91">M156</f>
        <v>0</v>
      </c>
      <c r="N199" s="68">
        <f t="shared" si="91"/>
        <v>0</v>
      </c>
      <c r="O199" s="93">
        <f t="shared" si="53"/>
        <v>1</v>
      </c>
      <c r="P199" s="68">
        <f t="shared" si="54"/>
        <v>0</v>
      </c>
    </row>
    <row r="200" spans="1:16" s="9" customFormat="1" ht="62.4" x14ac:dyDescent="0.3">
      <c r="A200" s="8">
        <v>36</v>
      </c>
      <c r="B200" s="34"/>
      <c r="C200" s="34"/>
      <c r="D200" s="35"/>
      <c r="E200" s="20" t="s">
        <v>366</v>
      </c>
      <c r="F200" s="8" t="s">
        <v>368</v>
      </c>
      <c r="G200" s="68">
        <f>G163</f>
        <v>1100000</v>
      </c>
      <c r="H200" s="68">
        <f t="shared" ref="H200:J200" si="92">H163</f>
        <v>0</v>
      </c>
      <c r="I200" s="68">
        <f t="shared" si="92"/>
        <v>1100000</v>
      </c>
      <c r="J200" s="68">
        <f t="shared" si="92"/>
        <v>1100000</v>
      </c>
      <c r="K200" s="68">
        <f>K163</f>
        <v>1100000</v>
      </c>
      <c r="L200" s="68">
        <f t="shared" ref="L200:N200" si="93">L163</f>
        <v>0</v>
      </c>
      <c r="M200" s="68">
        <f t="shared" si="93"/>
        <v>1100000</v>
      </c>
      <c r="N200" s="68">
        <f t="shared" si="93"/>
        <v>1100000</v>
      </c>
      <c r="O200" s="93">
        <f t="shared" si="53"/>
        <v>1</v>
      </c>
      <c r="P200" s="68">
        <f t="shared" si="54"/>
        <v>0</v>
      </c>
    </row>
    <row r="201" spans="1:16" s="37" customFormat="1" ht="17.399999999999999" x14ac:dyDescent="0.3">
      <c r="A201" s="77" t="s">
        <v>221</v>
      </c>
      <c r="B201" s="77"/>
      <c r="C201" s="77"/>
      <c r="D201" s="77"/>
      <c r="E201" s="77"/>
      <c r="F201" s="77"/>
      <c r="G201" s="67">
        <f>H201+I201</f>
        <v>822914235.71999991</v>
      </c>
      <c r="H201" s="67">
        <f>SUM(H165:H200)</f>
        <v>504432949.41999996</v>
      </c>
      <c r="I201" s="67">
        <f t="shared" ref="I201:J201" si="94">SUM(I165:I200)</f>
        <v>318481286.29999995</v>
      </c>
      <c r="J201" s="67">
        <f t="shared" si="94"/>
        <v>290245309.27999997</v>
      </c>
      <c r="K201" s="67">
        <f>L201+M201</f>
        <v>697474265.13000011</v>
      </c>
      <c r="L201" s="67">
        <f>SUM(L165:L200)</f>
        <v>474600915.18000007</v>
      </c>
      <c r="M201" s="67">
        <f t="shared" ref="M201:N201" si="95">SUM(M165:M200)</f>
        <v>222873349.95000002</v>
      </c>
      <c r="N201" s="67">
        <f t="shared" si="95"/>
        <v>211483219.96000001</v>
      </c>
      <c r="O201" s="75">
        <f t="shared" si="53"/>
        <v>0.84756616771825866</v>
      </c>
      <c r="P201" s="67">
        <f t="shared" si="54"/>
        <v>-125439970.58999979</v>
      </c>
    </row>
    <row r="202" spans="1:16" s="37" customFormat="1" ht="17.399999999999999" x14ac:dyDescent="0.3">
      <c r="A202" s="48"/>
      <c r="B202" s="48"/>
      <c r="C202" s="48"/>
      <c r="D202" s="48"/>
      <c r="E202" s="48"/>
      <c r="F202" s="48"/>
      <c r="G202" s="49">
        <f>G164-G201</f>
        <v>0</v>
      </c>
      <c r="H202" s="49">
        <f t="shared" ref="H202:J202" si="96">H164-H201</f>
        <v>0</v>
      </c>
      <c r="I202" s="49">
        <f t="shared" si="96"/>
        <v>0</v>
      </c>
      <c r="J202" s="49">
        <f t="shared" si="96"/>
        <v>0</v>
      </c>
    </row>
    <row r="203" spans="1:16" s="9" customFormat="1" ht="19.2" customHeight="1" x14ac:dyDescent="0.3">
      <c r="A203" s="22"/>
      <c r="B203" s="22"/>
      <c r="C203" s="22"/>
      <c r="D203" s="21"/>
      <c r="E203" s="26"/>
      <c r="F203" s="27"/>
      <c r="G203" s="28"/>
      <c r="H203" s="28"/>
      <c r="I203" s="28"/>
      <c r="J203" s="28"/>
    </row>
    <row r="204" spans="1:16" s="9" customFormat="1" ht="15.6" x14ac:dyDescent="0.3">
      <c r="A204" s="17"/>
      <c r="B204" s="22"/>
      <c r="C204" s="17"/>
      <c r="D204" s="9" t="s">
        <v>212</v>
      </c>
      <c r="E204" s="5"/>
      <c r="F204" s="22" t="s">
        <v>213</v>
      </c>
      <c r="G204" s="22"/>
      <c r="H204" s="22"/>
      <c r="I204" s="22"/>
      <c r="J204" s="22"/>
    </row>
    <row r="205" spans="1:16" x14ac:dyDescent="0.3">
      <c r="G205" s="47"/>
      <c r="H205" s="47"/>
      <c r="I205" s="47"/>
      <c r="J205" s="47"/>
      <c r="K205" s="46"/>
    </row>
    <row r="206" spans="1:16" x14ac:dyDescent="0.3">
      <c r="G206" s="46"/>
      <c r="H206" s="46"/>
      <c r="I206" s="46"/>
      <c r="J206" s="46"/>
    </row>
    <row r="207" spans="1:16" x14ac:dyDescent="0.3">
      <c r="G207" s="46"/>
      <c r="H207" s="46"/>
      <c r="I207" s="46"/>
      <c r="J207" s="46"/>
    </row>
  </sheetData>
  <autoFilter ref="A6:J201">
    <filterColumn colId="7" showButton="0"/>
    <filterColumn colId="8" showButton="0"/>
  </autoFilter>
  <mergeCells count="47">
    <mergeCell ref="A9:P11"/>
    <mergeCell ref="D82:E82"/>
    <mergeCell ref="A12:A14"/>
    <mergeCell ref="B12:B14"/>
    <mergeCell ref="C12:C14"/>
    <mergeCell ref="D12:D14"/>
    <mergeCell ref="E12:E14"/>
    <mergeCell ref="F12:F14"/>
    <mergeCell ref="G12:J12"/>
    <mergeCell ref="K12:N12"/>
    <mergeCell ref="O12:O14"/>
    <mergeCell ref="P12:P14"/>
    <mergeCell ref="D86:E86"/>
    <mergeCell ref="D87:E87"/>
    <mergeCell ref="D95:E95"/>
    <mergeCell ref="K13:K14"/>
    <mergeCell ref="L13:L14"/>
    <mergeCell ref="M13:N13"/>
    <mergeCell ref="H3:J3"/>
    <mergeCell ref="H4:J4"/>
    <mergeCell ref="D164:E164"/>
    <mergeCell ref="D150:E150"/>
    <mergeCell ref="D142:E142"/>
    <mergeCell ref="D141:E141"/>
    <mergeCell ref="D149:E149"/>
    <mergeCell ref="D130:E130"/>
    <mergeCell ref="D131:E131"/>
    <mergeCell ref="D40:E40"/>
    <mergeCell ref="D64:E64"/>
    <mergeCell ref="D65:E65"/>
    <mergeCell ref="D105:E105"/>
    <mergeCell ref="D96:E96"/>
    <mergeCell ref="D106:E106"/>
    <mergeCell ref="D81:E81"/>
    <mergeCell ref="M1:N1"/>
    <mergeCell ref="A201:F201"/>
    <mergeCell ref="H6:J6"/>
    <mergeCell ref="H7:J7"/>
    <mergeCell ref="H8:J8"/>
    <mergeCell ref="G13:G14"/>
    <mergeCell ref="H13:H14"/>
    <mergeCell ref="I13:J13"/>
    <mergeCell ref="D17:E17"/>
    <mergeCell ref="D39:E39"/>
    <mergeCell ref="D16:E16"/>
    <mergeCell ref="H1:J1"/>
    <mergeCell ref="H2:J2"/>
  </mergeCells>
  <pageMargins left="0.19685039370078741" right="0" top="0.19685039370078741" bottom="0" header="0.51181102362204722" footer="0.51181102362204722"/>
  <pageSetup paperSize="9" scale="38" fitToHeight="15" orientation="landscape"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2</vt:i4>
      </vt:variant>
    </vt:vector>
  </HeadingPairs>
  <TitlesOfParts>
    <vt:vector size="3" baseType="lpstr">
      <vt:lpstr>2025</vt:lpstr>
      <vt:lpstr>'2025'!Заголовки_для_друку</vt:lpstr>
      <vt:lpstr>'2025'!Область_друку</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2026-01-31T09:01:38Z</dcterms:modified>
</cp:coreProperties>
</file>