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15480" windowHeight="7875"/>
  </bookViews>
  <sheets>
    <sheet name="2025" sheetId="4" r:id="rId1"/>
  </sheets>
  <definedNames>
    <definedName name="Z_22648713_93C4_4BCC_9593_E6D578C36006_.wvu.PrintArea" localSheetId="0" hidden="1">'2025'!$A$1:$P$119</definedName>
    <definedName name="Z_22648713_93C4_4BCC_9593_E6D578C36006_.wvu.PrintTitles" localSheetId="0" hidden="1">'2025'!$10:$15</definedName>
    <definedName name="Z_22648713_93C4_4BCC_9593_E6D578C36006_.wvu.Rows" localSheetId="0" hidden="1">'2025'!$27:$27,'2025'!#REF!</definedName>
    <definedName name="_xlnm.Print_Titles" localSheetId="0">'2025'!$10:$15</definedName>
    <definedName name="_xlnm.Print_Area" localSheetId="0">'2025'!$A$1:$P$229</definedName>
  </definedNames>
  <calcPr calcId="152511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4" l="1"/>
  <c r="L219" i="4"/>
  <c r="F219" i="4"/>
  <c r="G219" i="4"/>
  <c r="H219" i="4"/>
  <c r="J219" i="4"/>
  <c r="K219" i="4"/>
  <c r="K111" i="4" l="1"/>
  <c r="K103" i="4"/>
  <c r="K73" i="4"/>
  <c r="K67" i="4"/>
  <c r="K66" i="4"/>
  <c r="K65" i="4"/>
  <c r="K21" i="4"/>
  <c r="K19" i="4"/>
  <c r="K137" i="4"/>
  <c r="K129" i="4"/>
  <c r="K102" i="4"/>
  <c r="K91" i="4"/>
  <c r="K20" i="4"/>
  <c r="K130" i="4"/>
  <c r="K128" i="4"/>
  <c r="K126" i="4"/>
  <c r="K182" i="4" l="1"/>
  <c r="L177" i="4"/>
  <c r="K177" i="4"/>
  <c r="K165" i="4"/>
  <c r="L160" i="4"/>
  <c r="K160" i="4"/>
  <c r="K159" i="4"/>
  <c r="L155" i="4"/>
  <c r="K155" i="4"/>
  <c r="L154" i="4"/>
  <c r="K154" i="4"/>
  <c r="L80" i="4"/>
  <c r="K80" i="4"/>
  <c r="L79" i="4"/>
  <c r="K79" i="4"/>
  <c r="L75" i="4"/>
  <c r="K75" i="4"/>
  <c r="L73" i="4"/>
  <c r="L67" i="4"/>
  <c r="L66" i="4"/>
  <c r="L65" i="4"/>
  <c r="J192" i="4" l="1"/>
  <c r="J163" i="4"/>
  <c r="J162" i="4"/>
  <c r="J154" i="4"/>
  <c r="J143" i="4"/>
  <c r="J137" i="4"/>
  <c r="J112" i="4"/>
  <c r="G113" i="4" l="1"/>
  <c r="H113" i="4"/>
  <c r="F113" i="4"/>
  <c r="K113" i="4"/>
  <c r="L113" i="4"/>
  <c r="J113" i="4"/>
  <c r="N19" i="4" l="1"/>
  <c r="P19" i="4"/>
  <c r="N20" i="4"/>
  <c r="N21" i="4"/>
  <c r="N22" i="4"/>
  <c r="N23" i="4"/>
  <c r="N24" i="4"/>
  <c r="N25" i="4"/>
  <c r="O25" i="4"/>
  <c r="P25" i="4"/>
  <c r="N26" i="4"/>
  <c r="O26" i="4"/>
  <c r="P26" i="4"/>
  <c r="N27" i="4"/>
  <c r="O27" i="4"/>
  <c r="P27" i="4"/>
  <c r="N29" i="4"/>
  <c r="N30" i="4"/>
  <c r="N31" i="4"/>
  <c r="O32" i="4"/>
  <c r="P32" i="4"/>
  <c r="N33" i="4"/>
  <c r="N35" i="4"/>
  <c r="N36" i="4"/>
  <c r="N37" i="4"/>
  <c r="O38" i="4"/>
  <c r="P38" i="4"/>
  <c r="O39" i="4"/>
  <c r="P39" i="4"/>
  <c r="N40" i="4"/>
  <c r="N42" i="4"/>
  <c r="O42" i="4"/>
  <c r="P42" i="4"/>
  <c r="N43" i="4"/>
  <c r="O43" i="4"/>
  <c r="P43" i="4"/>
  <c r="N44" i="4"/>
  <c r="N45" i="4"/>
  <c r="N46" i="4"/>
  <c r="O47" i="4"/>
  <c r="P47" i="4"/>
  <c r="N48" i="4"/>
  <c r="O48" i="4"/>
  <c r="P48" i="4"/>
  <c r="O49" i="4"/>
  <c r="P49" i="4"/>
  <c r="N50" i="4"/>
  <c r="O51" i="4"/>
  <c r="N53" i="4"/>
  <c r="N54" i="4"/>
  <c r="N55" i="4"/>
  <c r="N56" i="4"/>
  <c r="N57" i="4"/>
  <c r="N58" i="4"/>
  <c r="N59" i="4"/>
  <c r="O59" i="4"/>
  <c r="P59" i="4"/>
  <c r="N60" i="4"/>
  <c r="O60" i="4"/>
  <c r="P60" i="4"/>
  <c r="O61" i="4"/>
  <c r="N64" i="4"/>
  <c r="N65" i="4"/>
  <c r="O65" i="4"/>
  <c r="P65" i="4"/>
  <c r="N66" i="4"/>
  <c r="O66" i="4"/>
  <c r="P66" i="4"/>
  <c r="N67" i="4"/>
  <c r="O67" i="4"/>
  <c r="P67" i="4"/>
  <c r="N70" i="4"/>
  <c r="N71" i="4"/>
  <c r="N72" i="4"/>
  <c r="N73" i="4"/>
  <c r="O73" i="4"/>
  <c r="P73" i="4"/>
  <c r="N74" i="4"/>
  <c r="N75" i="4"/>
  <c r="O75" i="4"/>
  <c r="P75" i="4"/>
  <c r="N76" i="4"/>
  <c r="N77" i="4"/>
  <c r="N78" i="4"/>
  <c r="O79" i="4"/>
  <c r="P79" i="4"/>
  <c r="O80" i="4"/>
  <c r="P80" i="4"/>
  <c r="N81" i="4"/>
  <c r="O83" i="4"/>
  <c r="P83" i="4"/>
  <c r="O84" i="4"/>
  <c r="O85" i="4"/>
  <c r="N86" i="4"/>
  <c r="O87" i="4"/>
  <c r="N88" i="4"/>
  <c r="N89" i="4"/>
  <c r="N90" i="4"/>
  <c r="N91" i="4"/>
  <c r="O91" i="4"/>
  <c r="P91" i="4"/>
  <c r="N92" i="4"/>
  <c r="N93" i="4"/>
  <c r="O93" i="4"/>
  <c r="P93" i="4"/>
  <c r="N96" i="4"/>
  <c r="N97" i="4"/>
  <c r="N98" i="4"/>
  <c r="N99" i="4"/>
  <c r="N100" i="4"/>
  <c r="N101" i="4"/>
  <c r="N102" i="4"/>
  <c r="O102" i="4"/>
  <c r="N103" i="4"/>
  <c r="O103" i="4"/>
  <c r="P103" i="4"/>
  <c r="N104" i="4"/>
  <c r="N105" i="4"/>
  <c r="N106" i="4"/>
  <c r="N107" i="4"/>
  <c r="N108" i="4"/>
  <c r="N109" i="4"/>
  <c r="O110" i="4"/>
  <c r="P110" i="4"/>
  <c r="N111" i="4"/>
  <c r="N112" i="4"/>
  <c r="N113" i="4"/>
  <c r="N114" i="4"/>
  <c r="N115" i="4"/>
  <c r="N116" i="4"/>
  <c r="N119" i="4"/>
  <c r="N120" i="4"/>
  <c r="N121" i="4"/>
  <c r="N122" i="4"/>
  <c r="N125" i="4"/>
  <c r="N126" i="4"/>
  <c r="O126" i="4"/>
  <c r="N127" i="4"/>
  <c r="N128" i="4"/>
  <c r="O128" i="4"/>
  <c r="N129" i="4"/>
  <c r="O129" i="4"/>
  <c r="N130" i="4"/>
  <c r="O130" i="4"/>
  <c r="P130" i="4"/>
  <c r="N131" i="4"/>
  <c r="N132" i="4"/>
  <c r="N133" i="4"/>
  <c r="O133" i="4"/>
  <c r="P133" i="4"/>
  <c r="N136" i="4"/>
  <c r="O136" i="4"/>
  <c r="P136" i="4"/>
  <c r="N137" i="4"/>
  <c r="N138" i="4"/>
  <c r="N139" i="4"/>
  <c r="N140" i="4"/>
  <c r="N141" i="4"/>
  <c r="N142" i="4"/>
  <c r="N143" i="4"/>
  <c r="O144" i="4"/>
  <c r="N147" i="4"/>
  <c r="N148" i="4"/>
  <c r="N149" i="4"/>
  <c r="N150" i="4"/>
  <c r="O150" i="4"/>
  <c r="P150" i="4"/>
  <c r="N151" i="4"/>
  <c r="O151" i="4"/>
  <c r="P151" i="4"/>
  <c r="O152" i="4"/>
  <c r="P152" i="4"/>
  <c r="N153" i="4"/>
  <c r="O153" i="4"/>
  <c r="P153" i="4"/>
  <c r="N154" i="4"/>
  <c r="O154" i="4"/>
  <c r="P154" i="4"/>
  <c r="O155" i="4"/>
  <c r="P155" i="4"/>
  <c r="N156" i="4"/>
  <c r="N157" i="4"/>
  <c r="N158" i="4"/>
  <c r="O159" i="4"/>
  <c r="P159" i="4"/>
  <c r="O160" i="4"/>
  <c r="P160" i="4"/>
  <c r="O161" i="4"/>
  <c r="N162" i="4"/>
  <c r="N163" i="4"/>
  <c r="O163" i="4"/>
  <c r="P163" i="4"/>
  <c r="O164" i="4"/>
  <c r="P164" i="4"/>
  <c r="O165" i="4"/>
  <c r="N166" i="4"/>
  <c r="N167" i="4"/>
  <c r="N168" i="4"/>
  <c r="N169" i="4"/>
  <c r="O172" i="4"/>
  <c r="P172" i="4"/>
  <c r="N173" i="4"/>
  <c r="O174" i="4"/>
  <c r="P174" i="4"/>
  <c r="O175" i="4"/>
  <c r="P175" i="4"/>
  <c r="O176" i="4"/>
  <c r="P176" i="4"/>
  <c r="O177" i="4"/>
  <c r="P177" i="4"/>
  <c r="O178" i="4"/>
  <c r="P178" i="4"/>
  <c r="O179" i="4"/>
  <c r="P179" i="4"/>
  <c r="N180" i="4"/>
  <c r="O182" i="4"/>
  <c r="P182" i="4"/>
  <c r="N185" i="4"/>
  <c r="N186" i="4"/>
  <c r="N187" i="4"/>
  <c r="N188" i="4"/>
  <c r="N189" i="4"/>
  <c r="N190" i="4"/>
  <c r="O191" i="4"/>
  <c r="P191" i="4"/>
  <c r="N192" i="4"/>
  <c r="O192" i="4"/>
  <c r="P192" i="4"/>
  <c r="N193" i="4"/>
  <c r="N196" i="4"/>
  <c r="N197" i="4"/>
  <c r="O197" i="4"/>
  <c r="P197" i="4"/>
  <c r="N198" i="4"/>
  <c r="N199" i="4"/>
  <c r="N201" i="4"/>
  <c r="O201" i="4"/>
  <c r="P201" i="4"/>
  <c r="N202" i="4"/>
  <c r="N203" i="4"/>
  <c r="N204" i="4"/>
  <c r="O205" i="4"/>
  <c r="P205" i="4"/>
  <c r="N206" i="4"/>
  <c r="N208" i="4"/>
  <c r="O208" i="4"/>
  <c r="P208" i="4"/>
  <c r="N209" i="4"/>
  <c r="O209" i="4"/>
  <c r="P209" i="4"/>
  <c r="N210" i="4"/>
  <c r="N211" i="4"/>
  <c r="N212" i="4"/>
  <c r="O212" i="4"/>
  <c r="P212" i="4"/>
  <c r="O213" i="4"/>
  <c r="P213" i="4"/>
  <c r="L221" i="4"/>
  <c r="K221" i="4"/>
  <c r="J221" i="4"/>
  <c r="L220" i="4"/>
  <c r="K220" i="4"/>
  <c r="J220" i="4"/>
  <c r="N220" i="4" s="1"/>
  <c r="L217" i="4"/>
  <c r="K217" i="4"/>
  <c r="I215" i="4"/>
  <c r="I213" i="4"/>
  <c r="I212" i="4"/>
  <c r="I211" i="4"/>
  <c r="I210" i="4"/>
  <c r="I209" i="4"/>
  <c r="I208" i="4"/>
  <c r="L207" i="4"/>
  <c r="K207" i="4"/>
  <c r="J207" i="4"/>
  <c r="I206" i="4"/>
  <c r="I205" i="4"/>
  <c r="I204" i="4"/>
  <c r="I203" i="4"/>
  <c r="I202" i="4"/>
  <c r="I201" i="4"/>
  <c r="L200" i="4"/>
  <c r="K200" i="4"/>
  <c r="J200" i="4"/>
  <c r="I199" i="4"/>
  <c r="I198" i="4"/>
  <c r="I197" i="4"/>
  <c r="I196" i="4"/>
  <c r="I193" i="4"/>
  <c r="I192" i="4"/>
  <c r="I191" i="4"/>
  <c r="I190" i="4"/>
  <c r="I189" i="4"/>
  <c r="I188" i="4"/>
  <c r="I187" i="4"/>
  <c r="I186" i="4"/>
  <c r="I185" i="4"/>
  <c r="L184" i="4"/>
  <c r="K184" i="4"/>
  <c r="O184" i="4" s="1"/>
  <c r="J184" i="4"/>
  <c r="J183" i="4" s="1"/>
  <c r="I182" i="4"/>
  <c r="I181" i="4"/>
  <c r="I180" i="4"/>
  <c r="I179" i="4"/>
  <c r="I178" i="4"/>
  <c r="I177" i="4"/>
  <c r="I176" i="4"/>
  <c r="I175" i="4"/>
  <c r="I174" i="4"/>
  <c r="I173" i="4"/>
  <c r="I172" i="4"/>
  <c r="L171" i="4"/>
  <c r="K171" i="4"/>
  <c r="K170" i="4" s="1"/>
  <c r="J171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L146" i="4"/>
  <c r="L145" i="4" s="1"/>
  <c r="K146" i="4"/>
  <c r="K145" i="4" s="1"/>
  <c r="J146" i="4"/>
  <c r="J145" i="4" s="1"/>
  <c r="N145" i="4" s="1"/>
  <c r="I144" i="4"/>
  <c r="I143" i="4"/>
  <c r="I142" i="4"/>
  <c r="I141" i="4"/>
  <c r="I140" i="4"/>
  <c r="I139" i="4"/>
  <c r="I138" i="4"/>
  <c r="I137" i="4"/>
  <c r="I136" i="4"/>
  <c r="L135" i="4"/>
  <c r="L134" i="4" s="1"/>
  <c r="K135" i="4"/>
  <c r="K134" i="4" s="1"/>
  <c r="J135" i="4"/>
  <c r="I133" i="4"/>
  <c r="I132" i="4"/>
  <c r="I131" i="4"/>
  <c r="I130" i="4"/>
  <c r="I129" i="4"/>
  <c r="I128" i="4"/>
  <c r="I127" i="4"/>
  <c r="I126" i="4"/>
  <c r="I125" i="4"/>
  <c r="L124" i="4"/>
  <c r="L123" i="4" s="1"/>
  <c r="K124" i="4"/>
  <c r="K123" i="4" s="1"/>
  <c r="O123" i="4" s="1"/>
  <c r="J124" i="4"/>
  <c r="I122" i="4"/>
  <c r="I121" i="4"/>
  <c r="I120" i="4"/>
  <c r="I119" i="4"/>
  <c r="L118" i="4"/>
  <c r="K118" i="4"/>
  <c r="K117" i="4" s="1"/>
  <c r="J118" i="4"/>
  <c r="J117" i="4" s="1"/>
  <c r="N117" i="4" s="1"/>
  <c r="L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L95" i="4"/>
  <c r="L94" i="4" s="1"/>
  <c r="K95" i="4"/>
  <c r="J95" i="4"/>
  <c r="J94" i="4" s="1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J68" i="4"/>
  <c r="I68" i="4" s="1"/>
  <c r="I67" i="4"/>
  <c r="I66" i="4"/>
  <c r="I65" i="4"/>
  <c r="I64" i="4"/>
  <c r="L63" i="4"/>
  <c r="L62" i="4" s="1"/>
  <c r="P62" i="4" s="1"/>
  <c r="K63" i="4"/>
  <c r="O63" i="4" s="1"/>
  <c r="I61" i="4"/>
  <c r="I60" i="4"/>
  <c r="I59" i="4"/>
  <c r="I58" i="4"/>
  <c r="I57" i="4"/>
  <c r="I56" i="4"/>
  <c r="I55" i="4"/>
  <c r="I54" i="4"/>
  <c r="I53" i="4"/>
  <c r="L52" i="4"/>
  <c r="L224" i="4" s="1"/>
  <c r="K52" i="4"/>
  <c r="K224" i="4" s="1"/>
  <c r="J52" i="4"/>
  <c r="J224" i="4" s="1"/>
  <c r="I51" i="4"/>
  <c r="I50" i="4"/>
  <c r="I49" i="4"/>
  <c r="I48" i="4"/>
  <c r="I47" i="4"/>
  <c r="I46" i="4"/>
  <c r="I45" i="4"/>
  <c r="I44" i="4"/>
  <c r="I43" i="4"/>
  <c r="I42" i="4"/>
  <c r="L41" i="4"/>
  <c r="L223" i="4" s="1"/>
  <c r="K41" i="4"/>
  <c r="K223" i="4" s="1"/>
  <c r="J41" i="4"/>
  <c r="I40" i="4"/>
  <c r="I39" i="4"/>
  <c r="I38" i="4"/>
  <c r="I37" i="4"/>
  <c r="I36" i="4"/>
  <c r="I35" i="4"/>
  <c r="L34" i="4"/>
  <c r="L222" i="4" s="1"/>
  <c r="P222" i="4" s="1"/>
  <c r="K34" i="4"/>
  <c r="K222" i="4" s="1"/>
  <c r="J34" i="4"/>
  <c r="J222" i="4" s="1"/>
  <c r="I33" i="4"/>
  <c r="I32" i="4"/>
  <c r="I31" i="4"/>
  <c r="I30" i="4"/>
  <c r="I29" i="4"/>
  <c r="L28" i="4"/>
  <c r="L218" i="4" s="1"/>
  <c r="K28" i="4"/>
  <c r="K218" i="4" s="1"/>
  <c r="J28" i="4"/>
  <c r="J218" i="4" s="1"/>
  <c r="I27" i="4"/>
  <c r="I26" i="4"/>
  <c r="I25" i="4"/>
  <c r="I24" i="4"/>
  <c r="I23" i="4"/>
  <c r="I22" i="4"/>
  <c r="I21" i="4"/>
  <c r="I20" i="4"/>
  <c r="I19" i="4"/>
  <c r="L18" i="4"/>
  <c r="L216" i="4" s="1"/>
  <c r="K18" i="4"/>
  <c r="K216" i="4" s="1"/>
  <c r="J18" i="4"/>
  <c r="G217" i="4"/>
  <c r="H217" i="4"/>
  <c r="F223" i="4"/>
  <c r="G224" i="4"/>
  <c r="H222" i="4"/>
  <c r="F222" i="4"/>
  <c r="G221" i="4"/>
  <c r="H221" i="4"/>
  <c r="F221" i="4"/>
  <c r="G220" i="4"/>
  <c r="E220" i="4" s="1"/>
  <c r="H220" i="4"/>
  <c r="F220" i="4"/>
  <c r="G200" i="4"/>
  <c r="H200" i="4"/>
  <c r="F200" i="4"/>
  <c r="F225" i="4" s="1"/>
  <c r="G207" i="4"/>
  <c r="G225" i="4" s="1"/>
  <c r="H207" i="4"/>
  <c r="H225" i="4" s="1"/>
  <c r="F207" i="4"/>
  <c r="G183" i="4"/>
  <c r="G184" i="4"/>
  <c r="H184" i="4"/>
  <c r="H183" i="4" s="1"/>
  <c r="F184" i="4"/>
  <c r="F183" i="4" s="1"/>
  <c r="G170" i="4"/>
  <c r="H170" i="4"/>
  <c r="F170" i="4"/>
  <c r="G171" i="4"/>
  <c r="H171" i="4"/>
  <c r="F171" i="4"/>
  <c r="G145" i="4"/>
  <c r="H145" i="4"/>
  <c r="F145" i="4"/>
  <c r="G146" i="4"/>
  <c r="H146" i="4"/>
  <c r="F146" i="4"/>
  <c r="F135" i="4"/>
  <c r="F134" i="4" s="1"/>
  <c r="H134" i="4"/>
  <c r="G135" i="4"/>
  <c r="G134" i="4" s="1"/>
  <c r="H135" i="4"/>
  <c r="G123" i="4"/>
  <c r="H123" i="4"/>
  <c r="G124" i="4"/>
  <c r="H124" i="4"/>
  <c r="F124" i="4"/>
  <c r="F123" i="4" s="1"/>
  <c r="G117" i="4"/>
  <c r="H117" i="4"/>
  <c r="F117" i="4"/>
  <c r="G118" i="4"/>
  <c r="H118" i="4"/>
  <c r="F118" i="4"/>
  <c r="G95" i="4"/>
  <c r="G94" i="4" s="1"/>
  <c r="H95" i="4"/>
  <c r="H94" i="4" s="1"/>
  <c r="F95" i="4"/>
  <c r="F94" i="4" s="1"/>
  <c r="G62" i="4"/>
  <c r="H62" i="4"/>
  <c r="G63" i="4"/>
  <c r="H63" i="4"/>
  <c r="F68" i="4"/>
  <c r="F217" i="4" s="1"/>
  <c r="G52" i="4"/>
  <c r="H52" i="4"/>
  <c r="H224" i="4" s="1"/>
  <c r="F52" i="4"/>
  <c r="F224" i="4" s="1"/>
  <c r="G41" i="4"/>
  <c r="G223" i="4" s="1"/>
  <c r="H41" i="4"/>
  <c r="H223" i="4" s="1"/>
  <c r="F41" i="4"/>
  <c r="G34" i="4"/>
  <c r="G222" i="4" s="1"/>
  <c r="H34" i="4"/>
  <c r="F34" i="4"/>
  <c r="G28" i="4"/>
  <c r="G218" i="4" s="1"/>
  <c r="H28" i="4"/>
  <c r="H218" i="4" s="1"/>
  <c r="F28" i="4"/>
  <c r="F218" i="4" s="1"/>
  <c r="G18" i="4"/>
  <c r="G216" i="4" s="1"/>
  <c r="H18" i="4"/>
  <c r="H216" i="4" s="1"/>
  <c r="F18" i="4"/>
  <c r="F216" i="4" s="1"/>
  <c r="O145" i="4" l="1"/>
  <c r="F63" i="4"/>
  <c r="F62" i="4" s="1"/>
  <c r="F214" i="4" s="1"/>
  <c r="H195" i="4"/>
  <c r="H194" i="4" s="1"/>
  <c r="P123" i="4"/>
  <c r="P145" i="4"/>
  <c r="P184" i="4"/>
  <c r="O207" i="4"/>
  <c r="P220" i="4"/>
  <c r="F17" i="4"/>
  <c r="F16" i="4" s="1"/>
  <c r="G195" i="4"/>
  <c r="G194" i="4" s="1"/>
  <c r="O170" i="4"/>
  <c r="P207" i="4"/>
  <c r="O217" i="4"/>
  <c r="N221" i="4"/>
  <c r="P218" i="4"/>
  <c r="H17" i="4"/>
  <c r="H16" i="4" s="1"/>
  <c r="P216" i="4"/>
  <c r="N224" i="4"/>
  <c r="P171" i="4"/>
  <c r="P217" i="4"/>
  <c r="O221" i="4"/>
  <c r="G17" i="4"/>
  <c r="G16" i="4" s="1"/>
  <c r="G214" i="4" s="1"/>
  <c r="O224" i="4"/>
  <c r="O134" i="4"/>
  <c r="P221" i="4"/>
  <c r="N218" i="4"/>
  <c r="N222" i="4"/>
  <c r="P224" i="4"/>
  <c r="P134" i="4"/>
  <c r="O219" i="4"/>
  <c r="H214" i="4"/>
  <c r="E221" i="4"/>
  <c r="O218" i="4"/>
  <c r="O222" i="4"/>
  <c r="P219" i="4"/>
  <c r="I18" i="4"/>
  <c r="I124" i="4"/>
  <c r="I171" i="4"/>
  <c r="I219" i="4"/>
  <c r="I41" i="4"/>
  <c r="K225" i="4"/>
  <c r="O225" i="4" s="1"/>
  <c r="I207" i="4"/>
  <c r="L225" i="4"/>
  <c r="P225" i="4" s="1"/>
  <c r="I220" i="4"/>
  <c r="M220" i="4" s="1"/>
  <c r="N124" i="4"/>
  <c r="N34" i="4"/>
  <c r="N207" i="4"/>
  <c r="J225" i="4"/>
  <c r="N225" i="4" s="1"/>
  <c r="J195" i="4"/>
  <c r="J194" i="4" s="1"/>
  <c r="L195" i="4"/>
  <c r="L194" i="4" s="1"/>
  <c r="P194" i="4" s="1"/>
  <c r="P200" i="4"/>
  <c r="O200" i="4"/>
  <c r="N200" i="4"/>
  <c r="I200" i="4"/>
  <c r="K195" i="4"/>
  <c r="O195" i="4" s="1"/>
  <c r="K183" i="4"/>
  <c r="O183" i="4" s="1"/>
  <c r="L183" i="4"/>
  <c r="P183" i="4" s="1"/>
  <c r="I183" i="4"/>
  <c r="N183" i="4"/>
  <c r="N184" i="4"/>
  <c r="L170" i="4"/>
  <c r="P170" i="4" s="1"/>
  <c r="N171" i="4"/>
  <c r="O171" i="4"/>
  <c r="I146" i="4"/>
  <c r="O146" i="4"/>
  <c r="N146" i="4"/>
  <c r="I145" i="4"/>
  <c r="P146" i="4"/>
  <c r="P135" i="4"/>
  <c r="I135" i="4"/>
  <c r="N135" i="4"/>
  <c r="O135" i="4"/>
  <c r="J123" i="4"/>
  <c r="N123" i="4" s="1"/>
  <c r="P124" i="4"/>
  <c r="O220" i="4"/>
  <c r="O124" i="4"/>
  <c r="I117" i="4"/>
  <c r="N118" i="4"/>
  <c r="O223" i="4"/>
  <c r="P223" i="4"/>
  <c r="P94" i="4"/>
  <c r="N94" i="4"/>
  <c r="I95" i="4"/>
  <c r="N95" i="4"/>
  <c r="P95" i="4"/>
  <c r="O95" i="4"/>
  <c r="I221" i="4"/>
  <c r="J63" i="4"/>
  <c r="I63" i="4" s="1"/>
  <c r="N68" i="4"/>
  <c r="P63" i="4"/>
  <c r="K62" i="4"/>
  <c r="O62" i="4" s="1"/>
  <c r="N52" i="4"/>
  <c r="P41" i="4"/>
  <c r="O41" i="4"/>
  <c r="N41" i="4"/>
  <c r="N219" i="4"/>
  <c r="I28" i="4"/>
  <c r="N28" i="4"/>
  <c r="P18" i="4"/>
  <c r="N18" i="4"/>
  <c r="L226" i="4"/>
  <c r="I224" i="4"/>
  <c r="I218" i="4"/>
  <c r="I222" i="4"/>
  <c r="M222" i="4" s="1"/>
  <c r="J217" i="4"/>
  <c r="J223" i="4"/>
  <c r="K94" i="4"/>
  <c r="I118" i="4"/>
  <c r="I184" i="4"/>
  <c r="J17" i="4"/>
  <c r="K17" i="4"/>
  <c r="K16" i="4" s="1"/>
  <c r="I52" i="4"/>
  <c r="J134" i="4"/>
  <c r="J170" i="4"/>
  <c r="I34" i="4"/>
  <c r="L17" i="4"/>
  <c r="L16" i="4" s="1"/>
  <c r="J216" i="4"/>
  <c r="N216" i="4" s="1"/>
  <c r="F226" i="4"/>
  <c r="E225" i="4"/>
  <c r="E224" i="4"/>
  <c r="E223" i="4"/>
  <c r="H226" i="4"/>
  <c r="E222" i="4"/>
  <c r="E219" i="4"/>
  <c r="E218" i="4"/>
  <c r="G226" i="4"/>
  <c r="E217" i="4"/>
  <c r="F195" i="4"/>
  <c r="F194" i="4" s="1"/>
  <c r="N194" i="4" l="1"/>
  <c r="M218" i="4"/>
  <c r="M221" i="4"/>
  <c r="F227" i="4"/>
  <c r="M224" i="4"/>
  <c r="M219" i="4"/>
  <c r="K226" i="4"/>
  <c r="O226" i="4" s="1"/>
  <c r="I225" i="4"/>
  <c r="M225" i="4" s="1"/>
  <c r="L214" i="4"/>
  <c r="P214" i="4" s="1"/>
  <c r="I123" i="4"/>
  <c r="J62" i="4"/>
  <c r="I62" i="4" s="1"/>
  <c r="N195" i="4"/>
  <c r="P195" i="4"/>
  <c r="I195" i="4"/>
  <c r="K194" i="4"/>
  <c r="I170" i="4"/>
  <c r="N170" i="4"/>
  <c r="I134" i="4"/>
  <c r="N134" i="4"/>
  <c r="P226" i="4"/>
  <c r="I94" i="4"/>
  <c r="O94" i="4"/>
  <c r="N63" i="4"/>
  <c r="I217" i="4"/>
  <c r="M217" i="4" s="1"/>
  <c r="N217" i="4"/>
  <c r="I223" i="4"/>
  <c r="M223" i="4" s="1"/>
  <c r="N223" i="4"/>
  <c r="J226" i="4"/>
  <c r="N226" i="4" s="1"/>
  <c r="I216" i="4"/>
  <c r="J16" i="4"/>
  <c r="I17" i="4"/>
  <c r="I16" i="4" s="1"/>
  <c r="G227" i="4"/>
  <c r="H227" i="4"/>
  <c r="N62" i="4" l="1"/>
  <c r="J214" i="4"/>
  <c r="N214" i="4" s="1"/>
  <c r="O194" i="4"/>
  <c r="I194" i="4"/>
  <c r="K214" i="4"/>
  <c r="O214" i="4" s="1"/>
  <c r="I226" i="4"/>
  <c r="I214" i="4" l="1"/>
  <c r="E85" i="4" l="1"/>
  <c r="M85" i="4" s="1"/>
  <c r="E215" i="4" l="1"/>
  <c r="E34" i="4"/>
  <c r="M34" i="4" s="1"/>
  <c r="E213" i="4"/>
  <c r="M213" i="4" s="1"/>
  <c r="E19" i="4"/>
  <c r="M19" i="4" s="1"/>
  <c r="E20" i="4"/>
  <c r="M20" i="4" s="1"/>
  <c r="E21" i="4"/>
  <c r="M21" i="4" s="1"/>
  <c r="E22" i="4"/>
  <c r="M22" i="4" s="1"/>
  <c r="E23" i="4"/>
  <c r="M23" i="4" s="1"/>
  <c r="E24" i="4"/>
  <c r="M24" i="4" s="1"/>
  <c r="E25" i="4"/>
  <c r="M25" i="4" s="1"/>
  <c r="E26" i="4"/>
  <c r="M26" i="4" s="1"/>
  <c r="E27" i="4"/>
  <c r="M27" i="4" s="1"/>
  <c r="E28" i="4"/>
  <c r="M28" i="4" s="1"/>
  <c r="E29" i="4"/>
  <c r="M29" i="4" s="1"/>
  <c r="E30" i="4"/>
  <c r="M30" i="4" s="1"/>
  <c r="E31" i="4"/>
  <c r="M31" i="4" s="1"/>
  <c r="E32" i="4"/>
  <c r="M32" i="4" s="1"/>
  <c r="E33" i="4"/>
  <c r="M33" i="4" s="1"/>
  <c r="E35" i="4"/>
  <c r="M35" i="4" s="1"/>
  <c r="E36" i="4"/>
  <c r="M36" i="4" s="1"/>
  <c r="E37" i="4"/>
  <c r="M37" i="4" s="1"/>
  <c r="E38" i="4"/>
  <c r="M38" i="4" s="1"/>
  <c r="E39" i="4"/>
  <c r="M39" i="4" s="1"/>
  <c r="E40" i="4"/>
  <c r="M40" i="4" s="1"/>
  <c r="E42" i="4"/>
  <c r="M42" i="4" s="1"/>
  <c r="E43" i="4"/>
  <c r="M43" i="4" s="1"/>
  <c r="E44" i="4"/>
  <c r="M44" i="4" s="1"/>
  <c r="E45" i="4"/>
  <c r="M45" i="4" s="1"/>
  <c r="E46" i="4"/>
  <c r="M46" i="4" s="1"/>
  <c r="E47" i="4"/>
  <c r="M47" i="4" s="1"/>
  <c r="E48" i="4"/>
  <c r="M48" i="4" s="1"/>
  <c r="E49" i="4"/>
  <c r="M49" i="4" s="1"/>
  <c r="E50" i="4"/>
  <c r="M50" i="4" s="1"/>
  <c r="E51" i="4"/>
  <c r="M51" i="4" s="1"/>
  <c r="E52" i="4"/>
  <c r="M52" i="4" s="1"/>
  <c r="E53" i="4"/>
  <c r="M53" i="4" s="1"/>
  <c r="E54" i="4"/>
  <c r="M54" i="4" s="1"/>
  <c r="E55" i="4"/>
  <c r="M55" i="4" s="1"/>
  <c r="E56" i="4"/>
  <c r="M56" i="4" s="1"/>
  <c r="E57" i="4"/>
  <c r="M57" i="4" s="1"/>
  <c r="E58" i="4"/>
  <c r="M58" i="4" s="1"/>
  <c r="E61" i="4"/>
  <c r="M61" i="4" s="1"/>
  <c r="E62" i="4"/>
  <c r="M62" i="4" s="1"/>
  <c r="E63" i="4"/>
  <c r="M63" i="4" s="1"/>
  <c r="E64" i="4"/>
  <c r="M64" i="4" s="1"/>
  <c r="E66" i="4"/>
  <c r="M66" i="4" s="1"/>
  <c r="E67" i="4"/>
  <c r="M67" i="4" s="1"/>
  <c r="E68" i="4"/>
  <c r="M68" i="4" s="1"/>
  <c r="E69" i="4"/>
  <c r="E70" i="4"/>
  <c r="M70" i="4" s="1"/>
  <c r="E71" i="4"/>
  <c r="M71" i="4" s="1"/>
  <c r="E72" i="4"/>
  <c r="M72" i="4" s="1"/>
  <c r="E73" i="4"/>
  <c r="M73" i="4" s="1"/>
  <c r="E74" i="4"/>
  <c r="M74" i="4" s="1"/>
  <c r="E75" i="4"/>
  <c r="M75" i="4" s="1"/>
  <c r="E76" i="4"/>
  <c r="M76" i="4" s="1"/>
  <c r="E77" i="4"/>
  <c r="M77" i="4" s="1"/>
  <c r="E78" i="4"/>
  <c r="M78" i="4" s="1"/>
  <c r="E79" i="4"/>
  <c r="M79" i="4" s="1"/>
  <c r="E80" i="4"/>
  <c r="M80" i="4" s="1"/>
  <c r="E81" i="4"/>
  <c r="M81" i="4" s="1"/>
  <c r="E82" i="4"/>
  <c r="M82" i="4" s="1"/>
  <c r="E83" i="4"/>
  <c r="M83" i="4" s="1"/>
  <c r="E84" i="4"/>
  <c r="M84" i="4" s="1"/>
  <c r="E86" i="4"/>
  <c r="M86" i="4" s="1"/>
  <c r="E87" i="4"/>
  <c r="M87" i="4" s="1"/>
  <c r="E88" i="4"/>
  <c r="M88" i="4" s="1"/>
  <c r="E89" i="4"/>
  <c r="M89" i="4" s="1"/>
  <c r="E90" i="4"/>
  <c r="M90" i="4" s="1"/>
  <c r="E93" i="4"/>
  <c r="M93" i="4" s="1"/>
  <c r="E94" i="4"/>
  <c r="M94" i="4" s="1"/>
  <c r="E95" i="4"/>
  <c r="M95" i="4" s="1"/>
  <c r="E96" i="4"/>
  <c r="M96" i="4" s="1"/>
  <c r="E97" i="4"/>
  <c r="M97" i="4" s="1"/>
  <c r="E98" i="4"/>
  <c r="M98" i="4" s="1"/>
  <c r="E99" i="4"/>
  <c r="M99" i="4" s="1"/>
  <c r="E100" i="4"/>
  <c r="M100" i="4" s="1"/>
  <c r="E101" i="4"/>
  <c r="M101" i="4" s="1"/>
  <c r="E102" i="4"/>
  <c r="M102" i="4" s="1"/>
  <c r="E103" i="4"/>
  <c r="M103" i="4" s="1"/>
  <c r="E104" i="4"/>
  <c r="M104" i="4" s="1"/>
  <c r="E105" i="4"/>
  <c r="M105" i="4" s="1"/>
  <c r="E106" i="4"/>
  <c r="M106" i="4" s="1"/>
  <c r="E107" i="4"/>
  <c r="M107" i="4" s="1"/>
  <c r="E108" i="4"/>
  <c r="M108" i="4" s="1"/>
  <c r="E109" i="4"/>
  <c r="M109" i="4" s="1"/>
  <c r="E110" i="4"/>
  <c r="M110" i="4" s="1"/>
  <c r="E111" i="4"/>
  <c r="M111" i="4" s="1"/>
  <c r="E112" i="4"/>
  <c r="M112" i="4" s="1"/>
  <c r="E113" i="4"/>
  <c r="M113" i="4" s="1"/>
  <c r="E116" i="4"/>
  <c r="M116" i="4" s="1"/>
  <c r="E117" i="4"/>
  <c r="M117" i="4" s="1"/>
  <c r="E118" i="4"/>
  <c r="M118" i="4" s="1"/>
  <c r="E119" i="4"/>
  <c r="M119" i="4" s="1"/>
  <c r="E122" i="4"/>
  <c r="M122" i="4" s="1"/>
  <c r="E123" i="4"/>
  <c r="M123" i="4" s="1"/>
  <c r="E124" i="4"/>
  <c r="M124" i="4" s="1"/>
  <c r="E125" i="4"/>
  <c r="M125" i="4" s="1"/>
  <c r="E126" i="4"/>
  <c r="M126" i="4" s="1"/>
  <c r="E127" i="4"/>
  <c r="M127" i="4" s="1"/>
  <c r="E128" i="4"/>
  <c r="M128" i="4" s="1"/>
  <c r="E129" i="4"/>
  <c r="M129" i="4" s="1"/>
  <c r="E130" i="4"/>
  <c r="M130" i="4" s="1"/>
  <c r="E133" i="4"/>
  <c r="M133" i="4" s="1"/>
  <c r="E134" i="4"/>
  <c r="M134" i="4" s="1"/>
  <c r="E135" i="4"/>
  <c r="M135" i="4" s="1"/>
  <c r="E136" i="4"/>
  <c r="M136" i="4" s="1"/>
  <c r="E137" i="4"/>
  <c r="M137" i="4" s="1"/>
  <c r="E138" i="4"/>
  <c r="M138" i="4" s="1"/>
  <c r="E139" i="4"/>
  <c r="M139" i="4" s="1"/>
  <c r="E140" i="4"/>
  <c r="M140" i="4" s="1"/>
  <c r="E141" i="4"/>
  <c r="M141" i="4" s="1"/>
  <c r="E144" i="4"/>
  <c r="M144" i="4" s="1"/>
  <c r="E145" i="4"/>
  <c r="M145" i="4" s="1"/>
  <c r="E146" i="4"/>
  <c r="M146" i="4" s="1"/>
  <c r="E147" i="4"/>
  <c r="M147" i="4" s="1"/>
  <c r="E148" i="4"/>
  <c r="M148" i="4" s="1"/>
  <c r="E149" i="4"/>
  <c r="M149" i="4" s="1"/>
  <c r="E150" i="4"/>
  <c r="M150" i="4" s="1"/>
  <c r="E151" i="4"/>
  <c r="M151" i="4" s="1"/>
  <c r="E152" i="4"/>
  <c r="M152" i="4" s="1"/>
  <c r="E153" i="4"/>
  <c r="M153" i="4" s="1"/>
  <c r="E154" i="4"/>
  <c r="M154" i="4" s="1"/>
  <c r="E155" i="4"/>
  <c r="M155" i="4" s="1"/>
  <c r="E156" i="4"/>
  <c r="M156" i="4" s="1"/>
  <c r="E157" i="4"/>
  <c r="M157" i="4" s="1"/>
  <c r="E158" i="4"/>
  <c r="M158" i="4" s="1"/>
  <c r="E159" i="4"/>
  <c r="M159" i="4" s="1"/>
  <c r="E160" i="4"/>
  <c r="M160" i="4" s="1"/>
  <c r="E161" i="4"/>
  <c r="M161" i="4" s="1"/>
  <c r="E162" i="4"/>
  <c r="M162" i="4" s="1"/>
  <c r="E163" i="4"/>
  <c r="M163" i="4" s="1"/>
  <c r="E164" i="4"/>
  <c r="M164" i="4" s="1"/>
  <c r="E165" i="4"/>
  <c r="M165" i="4" s="1"/>
  <c r="E166" i="4"/>
  <c r="M166" i="4" s="1"/>
  <c r="E169" i="4"/>
  <c r="M169" i="4" s="1"/>
  <c r="E170" i="4"/>
  <c r="M170" i="4" s="1"/>
  <c r="E171" i="4"/>
  <c r="M171" i="4" s="1"/>
  <c r="E172" i="4"/>
  <c r="M172" i="4" s="1"/>
  <c r="E173" i="4"/>
  <c r="M173" i="4" s="1"/>
  <c r="E174" i="4"/>
  <c r="M174" i="4" s="1"/>
  <c r="E175" i="4"/>
  <c r="M175" i="4" s="1"/>
  <c r="E176" i="4"/>
  <c r="M176" i="4" s="1"/>
  <c r="E177" i="4"/>
  <c r="M177" i="4" s="1"/>
  <c r="E178" i="4"/>
  <c r="M178" i="4" s="1"/>
  <c r="E181" i="4"/>
  <c r="M181" i="4" s="1"/>
  <c r="E182" i="4"/>
  <c r="M182" i="4" s="1"/>
  <c r="E183" i="4"/>
  <c r="M183" i="4" s="1"/>
  <c r="E184" i="4"/>
  <c r="M184" i="4" s="1"/>
  <c r="E185" i="4"/>
  <c r="M185" i="4" s="1"/>
  <c r="E186" i="4"/>
  <c r="M186" i="4" s="1"/>
  <c r="E187" i="4"/>
  <c r="M187" i="4" s="1"/>
  <c r="E188" i="4"/>
  <c r="M188" i="4" s="1"/>
  <c r="E191" i="4"/>
  <c r="M191" i="4" s="1"/>
  <c r="E192" i="4"/>
  <c r="M192" i="4" s="1"/>
  <c r="E193" i="4"/>
  <c r="M193" i="4" s="1"/>
  <c r="E194" i="4"/>
  <c r="M194" i="4" s="1"/>
  <c r="E196" i="4"/>
  <c r="M196" i="4" s="1"/>
  <c r="E197" i="4"/>
  <c r="M197" i="4" s="1"/>
  <c r="E198" i="4"/>
  <c r="M198" i="4" s="1"/>
  <c r="E199" i="4"/>
  <c r="M199" i="4" s="1"/>
  <c r="E200" i="4"/>
  <c r="M200" i="4" s="1"/>
  <c r="E201" i="4"/>
  <c r="M201" i="4" s="1"/>
  <c r="E202" i="4"/>
  <c r="M202" i="4" s="1"/>
  <c r="E203" i="4"/>
  <c r="M203" i="4" s="1"/>
  <c r="E204" i="4"/>
  <c r="M204" i="4" s="1"/>
  <c r="E205" i="4"/>
  <c r="M205" i="4" s="1"/>
  <c r="E206" i="4"/>
  <c r="M206" i="4" s="1"/>
  <c r="E207" i="4"/>
  <c r="M207" i="4" s="1"/>
  <c r="E208" i="4"/>
  <c r="M208" i="4" s="1"/>
  <c r="E210" i="4"/>
  <c r="M210" i="4" s="1"/>
  <c r="E216" i="4"/>
  <c r="E226" i="4" l="1"/>
  <c r="M226" i="4" s="1"/>
  <c r="M216" i="4"/>
  <c r="E214" i="4"/>
  <c r="M214" i="4" s="1"/>
  <c r="E211" i="4"/>
  <c r="M211" i="4" s="1"/>
  <c r="E212" i="4"/>
  <c r="M212" i="4" s="1"/>
  <c r="E41" i="4"/>
  <c r="M41" i="4" s="1"/>
  <c r="E115" i="4"/>
  <c r="M115" i="4" s="1"/>
  <c r="E195" i="4"/>
  <c r="M195" i="4" s="1"/>
  <c r="E180" i="4"/>
  <c r="M180" i="4" s="1"/>
  <c r="E179" i="4"/>
  <c r="M179" i="4" s="1"/>
  <c r="E168" i="4"/>
  <c r="M168" i="4" s="1"/>
  <c r="E167" i="4"/>
  <c r="M167" i="4" s="1"/>
  <c r="E143" i="4"/>
  <c r="M143" i="4" s="1"/>
  <c r="E132" i="4"/>
  <c r="M132" i="4" s="1"/>
  <c r="E131" i="4"/>
  <c r="M131" i="4" s="1"/>
  <c r="E121" i="4"/>
  <c r="M121" i="4" s="1"/>
  <c r="E120" i="4"/>
  <c r="M120" i="4" s="1"/>
  <c r="E114" i="4"/>
  <c r="M114" i="4" s="1"/>
  <c r="E92" i="4"/>
  <c r="M92" i="4" s="1"/>
  <c r="E91" i="4"/>
  <c r="M91" i="4" s="1"/>
  <c r="E65" i="4"/>
  <c r="M65" i="4" s="1"/>
  <c r="E60" i="4"/>
  <c r="M60" i="4" s="1"/>
  <c r="E59" i="4"/>
  <c r="M59" i="4" s="1"/>
  <c r="E18" i="4"/>
  <c r="M18" i="4" s="1"/>
  <c r="E227" i="4" l="1"/>
  <c r="O17" i="4"/>
  <c r="N17" i="4"/>
  <c r="P17" i="4"/>
  <c r="E142" i="4"/>
  <c r="M142" i="4" s="1"/>
  <c r="E189" i="4"/>
  <c r="M189" i="4" s="1"/>
  <c r="E190" i="4"/>
  <c r="M190" i="4" s="1"/>
  <c r="E17" i="4"/>
  <c r="E16" i="4" s="1"/>
  <c r="M17" i="4" l="1"/>
  <c r="E209" i="4" l="1"/>
  <c r="M209" i="4" s="1"/>
  <c r="P16" i="4" l="1"/>
  <c r="O16" i="4"/>
  <c r="N16" i="4" l="1"/>
  <c r="M16" i="4" l="1"/>
  <c r="Q17" i="4"/>
</calcChain>
</file>

<file path=xl/sharedStrings.xml><?xml version="1.0" encoding="utf-8"?>
<sst xmlns="http://schemas.openxmlformats.org/spreadsheetml/2006/main" count="700" uniqueCount="444">
  <si>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</si>
  <si>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</si>
  <si>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</si>
  <si>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</si>
  <si>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</si>
  <si>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</si>
  <si>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</si>
  <si>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</si>
  <si>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</si>
  <si>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</si>
  <si>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</si>
  <si>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</si>
  <si>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</si>
  <si>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</si>
  <si>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</si>
  <si>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</si>
  <si>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</si>
  <si>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</si>
  <si>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</si>
  <si>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</si>
  <si>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</si>
  <si>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</si>
  <si>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</si>
  <si>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</si>
  <si>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</si>
  <si>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</si>
  <si>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</si>
  <si>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</si>
  <si>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</si>
  <si>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</si>
  <si>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</si>
  <si>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</si>
  <si>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</si>
  <si>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</si>
  <si>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</si>
  <si>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</si>
  <si>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</si>
  <si>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</si>
  <si>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</si>
  <si>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</si>
  <si>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</si>
  <si>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</si>
  <si>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</si>
  <si>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</si>
  <si>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</si>
  <si>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</si>
  <si>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</si>
  <si>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</si>
  <si>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</si>
  <si>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</si>
  <si>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</si>
  <si>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</si>
  <si>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</si>
  <si>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</si>
  <si>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</si>
  <si>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</si>
  <si>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</si>
  <si>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</si>
  <si>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</si>
  <si>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</si>
  <si>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</si>
  <si>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</si>
  <si>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</si>
  <si>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</si>
  <si>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</si>
  <si>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</si>
  <si>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</si>
  <si>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</si>
  <si>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</si>
  <si>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</si>
  <si>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</si>
  <si>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</si>
  <si>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</si>
  <si>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</si>
  <si>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</si>
  <si>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</si>
  <si>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</si>
  <si>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</si>
  <si>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</si>
  <si>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</si>
  <si>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</si>
  <si>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</si>
  <si>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</si>
  <si>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</si>
  <si>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</si>
  <si>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</si>
  <si>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</si>
  <si>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</si>
  <si>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</si>
  <si>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</si>
  <si>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</si>
  <si>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</si>
  <si>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</si>
  <si>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</si>
  <si>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</si>
  <si>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</si>
  <si>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</si>
  <si>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</si>
  <si>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</si>
  <si>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</si>
  <si>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</si>
  <si>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</si>
  <si>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</si>
  <si>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</si>
  <si>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</si>
  <si>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</si>
  <si>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</si>
  <si>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</si>
  <si>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</si>
  <si>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</si>
  <si>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</si>
  <si>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</si>
  <si>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</si>
  <si>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</si>
  <si>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</si>
  <si>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</si>
  <si>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</si>
  <si>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</si>
  <si>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</si>
  <si>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</si>
  <si>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Реалізація інших заходів щодо соціально-економічного розвитку територій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</si>
  <si>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</si>
  <si>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</si>
  <si>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</si>
  <si>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</si>
  <si>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</si>
  <si>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</si>
  <si>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</si>
  <si>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</si>
  <si>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</si>
  <si>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</si>
  <si>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</si>
  <si>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</si>
  <si>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</si>
  <si>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</si>
  <si>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</si>
  <si>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</si>
  <si>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</si>
  <si>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</si>
  <si>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</si>
  <si>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</si>
  <si>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</si>
  <si>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</si>
  <si>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</si>
  <si>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</si>
  <si>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</si>
  <si>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</si>
  <si>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</si>
  <si>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</si>
  <si>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</si>
  <si>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</si>
  <si>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</si>
  <si>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</si>
  <si>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</si>
  <si>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</si>
  <si>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</si>
  <si>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</si>
  <si>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</si>
  <si>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</si>
  <si>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</si>
  <si>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</si>
  <si>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</si>
  <si>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</si>
  <si>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</si>
  <si>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</si>
  <si>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</si>
  <si>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</si>
  <si>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</si>
  <si>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</si>
  <si>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</si>
  <si>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</si>
  <si>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</si>
  <si>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</si>
  <si>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</si>
  <si>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</si>
  <si>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</si>
  <si>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</si>
  <si>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</si>
  <si>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</si>
  <si>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</si>
  <si>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</si>
  <si>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</si>
  <si>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</si>
  <si>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</si>
  <si>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</si>
  <si>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</si>
  <si>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</si>
  <si>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</si>
  <si>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</si>
  <si>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</si>
  <si>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</si>
  <si>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</si>
  <si>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</si>
  <si>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</si>
  <si>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</si>
  <si>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</si>
  <si>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</si>
  <si>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</si>
  <si>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</si>
  <si>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</si>
  <si>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</si>
  <si>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</si>
  <si>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</si>
  <si>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</si>
  <si>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</si>
  <si>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</si>
  <si>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</si>
  <si>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</si>
  <si>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</si>
  <si>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</si>
  <si>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</si>
  <si>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</si>
  <si>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</si>
  <si>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</si>
  <si>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</si>
  <si>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</si>
  <si>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</si>
  <si>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</si>
  <si>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</si>
  <si>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</si>
  <si>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</si>
  <si>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</si>
  <si>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</si>
  <si>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</si>
  <si>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</si>
  <si>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</si>
  <si>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</si>
  <si>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</si>
  <si>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</si>
  <si>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</si>
  <si>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</si>
  <si>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</si>
  <si>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</si>
  <si>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</si>
  <si>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</si>
  <si>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</si>
  <si>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</si>
  <si>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</si>
  <si>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</si>
  <si>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</si>
  <si>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</si>
  <si>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</si>
  <si>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</si>
  <si>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</si>
  <si>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</si>
  <si>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</si>
  <si>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</si>
  <si>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</si>
  <si>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</si>
  <si>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</si>
  <si>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</si>
  <si>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</si>
  <si>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</si>
  <si>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</si>
  <si>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</si>
  <si>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</si>
  <si>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</si>
  <si>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</si>
  <si>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</si>
  <si>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</si>
  <si>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</si>
  <si>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</si>
  <si>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</si>
  <si>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</si>
  <si>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>1518110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</si>
  <si>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</si>
  <si>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</si>
  <si>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</si>
  <si>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</si>
  <si>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</si>
  <si>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</si>
  <si>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</si>
  <si>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</si>
  <si>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</si>
  <si>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</si>
  <si>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</si>
  <si>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</si>
  <si>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</si>
  <si>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</si>
  <si>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</si>
  <si>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</si>
  <si>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</si>
  <si>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</si>
  <si>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</si>
  <si>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</si>
  <si>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</si>
  <si>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</si>
  <si>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</si>
  <si>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</si>
  <si>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</si>
  <si>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</si>
  <si>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</si>
  <si>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Розроблення схем планування та забудови територій (містобудівної документації)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</si>
  <si>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</si>
  <si>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</si>
  <si>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</si>
  <si>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</si>
  <si>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</si>
  <si>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0217350</t>
  </si>
  <si>
    <t>7350</t>
  </si>
  <si>
    <t>0218240</t>
  </si>
  <si>
    <t>7368</t>
  </si>
  <si>
    <t>Виконання інвестиційних проектів за рахунок субвенцій з інших бюджетів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</si>
  <si>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</si>
  <si>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0217640</t>
  </si>
  <si>
    <t>Будівництво об'єктів житлово-комунального господарства</t>
  </si>
  <si>
    <t>Будівництво освітніх установ та закладів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</si>
  <si>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</si>
  <si>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</si>
  <si>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</si>
  <si>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</si>
  <si>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</si>
  <si>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</si>
  <si>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</si>
  <si>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</si>
  <si>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</si>
  <si>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</si>
  <si>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</si>
  <si>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</si>
  <si>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</si>
  <si>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</si>
  <si>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</si>
  <si>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</si>
  <si>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</si>
  <si>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</si>
  <si>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</si>
  <si>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</si>
  <si>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</si>
  <si>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</si>
  <si>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</si>
  <si>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</si>
  <si>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</si>
  <si>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</si>
  <si>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</si>
  <si>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</si>
  <si>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</si>
  <si>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</si>
  <si>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</si>
  <si>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</si>
  <si>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</si>
  <si>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</si>
  <si>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</si>
  <si>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</si>
  <si>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</si>
  <si>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</si>
  <si>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</si>
  <si>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</si>
  <si>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</si>
  <si>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</si>
  <si>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</si>
  <si>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</si>
  <si>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</si>
  <si>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</si>
  <si>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</si>
  <si>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</si>
  <si>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</si>
  <si>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</si>
  <si>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</si>
  <si>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</si>
  <si>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</si>
  <si>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</si>
  <si>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</si>
  <si>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1217670</t>
  </si>
  <si>
    <t>7670</t>
  </si>
  <si>
    <t>Внески до статутного капіталу суб'єктів господарювання</t>
  </si>
  <si>
    <t>1217691</t>
  </si>
  <si>
    <t>7691</t>
  </si>
  <si>
    <t>1217693</t>
  </si>
  <si>
    <t>1218110</t>
  </si>
  <si>
    <t>8110</t>
  </si>
  <si>
    <t>1218240</t>
  </si>
  <si>
    <t>1300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</si>
  <si>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</si>
  <si>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</si>
  <si>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</si>
  <si>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7370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</si>
  <si>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</si>
  <si>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</si>
  <si>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</si>
  <si>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</si>
  <si>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</si>
  <si>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</si>
  <si>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</si>
  <si>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</si>
  <si>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</si>
  <si>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</si>
  <si>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</si>
  <si>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</si>
  <si>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</si>
  <si>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</si>
  <si>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</si>
  <si>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</si>
  <si>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</si>
  <si>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</si>
  <si>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</si>
  <si>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</si>
  <si>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</si>
  <si>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</si>
  <si>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</si>
  <si>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</si>
  <si>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</si>
  <si>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</si>
  <si>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</si>
  <si>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</si>
  <si>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</si>
  <si>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</si>
  <si>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</si>
  <si>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</si>
  <si>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</si>
  <si>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</si>
  <si>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1217640</t>
  </si>
  <si>
    <t>Інша субвенція з місцевого бюджету бюджету Великодолинської селищної територіальної громади</t>
  </si>
  <si>
    <t>0217691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</si>
  <si>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</si>
  <si>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</si>
  <si>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</si>
  <si>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</si>
  <si>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</si>
  <si>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</si>
  <si>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</si>
  <si>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</si>
  <si>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0910180</t>
  </si>
  <si>
    <t>Підтримка спорту вищих досягнень та організацій, які здійснюють фізкультурно-спортивну діяльність в регіоні</t>
  </si>
  <si>
    <t>1117691</t>
  </si>
  <si>
    <t>Забезпечення діяльності водопровідно-каналізаційного господарства</t>
  </si>
  <si>
    <t>1218340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</si>
  <si>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</si>
  <si>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</si>
  <si>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</si>
  <si>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</si>
  <si>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</si>
  <si>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</si>
  <si>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</si>
  <si>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</si>
  <si>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</si>
  <si>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1517691</t>
  </si>
  <si>
    <t>3117650</t>
  </si>
  <si>
    <t>7650</t>
  </si>
  <si>
    <t>Проведення експертної грошової оцінки земельної ділянки чи права на неї</t>
  </si>
  <si>
    <t>Про виконання видатків бюджету  Чорноморської міської територіальної громади  за  2025 рік</t>
  </si>
  <si>
    <t>у 4 рази</t>
  </si>
  <si>
    <t>більше 100 %</t>
  </si>
  <si>
    <t>більше 100%</t>
  </si>
  <si>
    <t>від  ______.02.2026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</si>
</sst>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%"/>
    <numFmt numFmtId="166" formatCode="#,##0.00;\-#,##0.00;#,&quot;-&quot;"/>
    <numFmt numFmtId="167" formatCode="#,##0.00_ ;\-#,##0.00\ 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6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0" fontId="6" fillId="0" borderId="0" xfId="0" applyFont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65" fontId="7" fillId="0" borderId="1" xfId="2" applyNumberFormat="1" applyFont="1" applyBorder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2" applyFont="1" applyFill="1"/>
    <xf numFmtId="0" fontId="3" fillId="0" borderId="1" xfId="2" applyFont="1" applyFill="1" applyBorder="1" applyAlignment="1">
      <alignment horizontal="center" vertical="center" wrapText="1"/>
    </xf>
    <xf numFmtId="0" fontId="6" fillId="0" borderId="0" xfId="0" applyFont="1" applyFill="1"/>
    <xf numFmtId="0" fontId="23" fillId="2" borderId="0" xfId="0" applyFont="1" applyFill="1"/>
    <xf numFmtId="0" fontId="28" fillId="2" borderId="0" xfId="0" applyFont="1" applyFill="1" applyAlignment="1">
      <alignment vertical="center"/>
    </xf>
    <xf numFmtId="0" fontId="3" fillId="0" borderId="0" xfId="0" applyFont="1" applyFill="1"/>
    <xf numFmtId="0" fontId="3" fillId="2" borderId="0" xfId="0" applyFont="1" applyFill="1"/>
    <xf numFmtId="166" fontId="14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66" fontId="15" fillId="0" borderId="1" xfId="0" applyNumberFormat="1" applyFont="1" applyFill="1" applyBorder="1" applyAlignment="1">
      <alignment vertical="center"/>
    </xf>
    <xf numFmtId="166" fontId="16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/>
    </xf>
    <xf numFmtId="167" fontId="15" fillId="0" borderId="1" xfId="0" applyNumberFormat="1" applyFont="1" applyFill="1" applyBorder="1" applyAlignment="1">
      <alignment vertical="center"/>
    </xf>
    <xf numFmtId="167" fontId="16" fillId="0" borderId="1" xfId="0" applyNumberFormat="1" applyFont="1" applyFill="1" applyBorder="1" applyAlignment="1">
      <alignment vertical="center"/>
    </xf>
    <xf numFmtId="167" fontId="21" fillId="0" borderId="1" xfId="0" applyNumberFormat="1" applyFont="1" applyFill="1" applyBorder="1"/>
    <xf numFmtId="167" fontId="15" fillId="0" borderId="1" xfId="0" applyNumberFormat="1" applyFont="1" applyFill="1" applyBorder="1"/>
    <xf numFmtId="4" fontId="23" fillId="0" borderId="1" xfId="0" applyNumberFormat="1" applyFont="1" applyFill="1" applyBorder="1"/>
    <xf numFmtId="4" fontId="6" fillId="0" borderId="0" xfId="0" applyNumberFormat="1" applyFont="1" applyFill="1"/>
    <xf numFmtId="0" fontId="3" fillId="0" borderId="0" xfId="0" applyFont="1" applyFill="1" applyAlignment="1">
      <alignment horizontal="left"/>
    </xf>
    <xf numFmtId="4" fontId="19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left"/>
    </xf>
    <xf numFmtId="2" fontId="3" fillId="0" borderId="0" xfId="0" applyNumberFormat="1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3" fillId="0" borderId="0" xfId="2" applyFont="1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vertical="center" wrapText="1"/>
    </xf>
    <xf numFmtId="165" fontId="7" fillId="0" borderId="1" xfId="2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vertical="center" wrapText="1"/>
    </xf>
    <xf numFmtId="165" fontId="8" fillId="0" borderId="1" xfId="2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5" fontId="23" fillId="0" borderId="1" xfId="2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49" fontId="27" fillId="0" borderId="1" xfId="0" applyNumberFormat="1" applyFont="1" applyFill="1" applyBorder="1"/>
    <xf numFmtId="49" fontId="27" fillId="0" borderId="1" xfId="0" applyNumberFormat="1" applyFont="1" applyFill="1" applyBorder="1" applyAlignment="1">
      <alignment horizontal="center"/>
    </xf>
    <xf numFmtId="164" fontId="27" fillId="0" borderId="1" xfId="2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6" fillId="0" borderId="0" xfId="0" applyFont="1" applyFill="1"/>
    <xf numFmtId="0" fontId="6" fillId="0" borderId="0" xfId="0" applyFont="1" applyFill="1" applyAlignment="1">
      <alignment wrapText="1"/>
    </xf>
    <xf numFmtId="0" fontId="25" fillId="0" borderId="0" xfId="0" applyFont="1" applyFill="1"/>
    <xf numFmtId="0" fontId="10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">
    <cellStyle name="Звичайний" xfId="0" builtinId="0"/>
    <cellStyle name="Обычный 2" xfId="3"/>
    <cellStyle name="Обычный 3" xfId="1"/>
    <cellStyle name="Обычный_дод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229"/>
  <sheetViews>
    <sheetView showZeros="0" tabSelected="1" view="pageBreakPreview" zoomScale="59" zoomScaleNormal="50" zoomScaleSheetLayoutView="59" workbookViewId="0">
      <pane xSplit="4" ySplit="15" topLeftCell="H217" activePane="bottomRight" state="frozen"/>
      <selection pane="topRight" activeCell="E1" sqref="E1"/>
      <selection pane="bottomLeft" activeCell="A13" sqref="A13"/>
      <selection pane="bottomRight" activeCell="M3" sqref="M3:P3"/>
    </sheetView>
  </sheetViews>
  <sheetFormatPr defaultColWidth="9.140625" defaultRowHeight="15.75" x14ac:dyDescent="0.25"/>
  <cols>
    <col min="1" max="1" width="18" style="2" customWidth="1"/>
    <col min="2" max="2" width="15.140625" style="2" customWidth="1"/>
    <col min="3" max="3" width="18.42578125" style="2" customWidth="1"/>
    <col min="4" max="4" width="53.5703125" style="1" customWidth="1"/>
    <col min="5" max="5" width="24.85546875" style="4" customWidth="1"/>
    <col min="6" max="6" width="25.7109375" style="25" customWidth="1"/>
    <col min="7" max="7" width="23.42578125" style="25" customWidth="1"/>
    <col min="8" max="8" width="23" style="25" customWidth="1"/>
    <col min="9" max="9" width="24.7109375" style="25" customWidth="1"/>
    <col min="10" max="10" width="25.85546875" style="25" customWidth="1"/>
    <col min="11" max="12" width="22.85546875" style="25" customWidth="1"/>
    <col min="13" max="13" width="11.140625" style="10" customWidth="1"/>
    <col min="14" max="14" width="12.28515625" style="10" customWidth="1"/>
    <col min="15" max="15" width="13.85546875" style="10" customWidth="1"/>
    <col min="16" max="16" width="11" style="10" customWidth="1"/>
    <col min="17" max="17" width="12" style="1" hidden="1" customWidth="1"/>
    <col min="18" max="16384" width="9.140625" style="1"/>
  </cols>
  <sheetData>
    <row r="1" spans="1:16" x14ac:dyDescent="0.25">
      <c r="A1" s="46"/>
      <c r="B1" s="47"/>
      <c r="C1" s="47"/>
      <c r="D1" s="28"/>
      <c r="E1" s="21"/>
      <c r="F1" s="21"/>
      <c r="G1" s="21"/>
      <c r="H1" s="21"/>
      <c r="I1" s="21"/>
      <c r="J1" s="21"/>
      <c r="K1" s="21"/>
      <c r="L1" s="21"/>
      <c r="M1" s="100" t="s">
        <v>290</v>
      </c>
      <c r="N1" s="100"/>
      <c r="O1" s="100"/>
      <c r="P1" s="48"/>
    </row>
    <row r="2" spans="1:16" ht="15.6" customHeight="1" x14ac:dyDescent="0.25">
      <c r="A2" s="46"/>
      <c r="B2" s="47"/>
      <c r="C2" s="47"/>
      <c r="D2" s="28"/>
      <c r="E2" s="21"/>
      <c r="F2" s="21"/>
      <c r="G2" s="21"/>
      <c r="H2" s="21"/>
      <c r="I2" s="21"/>
      <c r="J2" s="21"/>
      <c r="K2" s="21"/>
      <c r="L2" s="21"/>
      <c r="M2" s="100" t="s">
        <v>291</v>
      </c>
      <c r="N2" s="100"/>
      <c r="O2" s="100"/>
      <c r="P2" s="100"/>
    </row>
    <row r="3" spans="1:16" ht="15.6" customHeight="1" x14ac:dyDescent="0.25">
      <c r="A3" s="46"/>
      <c r="B3" s="47"/>
      <c r="C3" s="49"/>
      <c r="D3" s="28"/>
      <c r="E3" s="21"/>
      <c r="F3" s="21"/>
      <c r="G3" s="21"/>
      <c r="H3" s="21"/>
      <c r="I3" s="21"/>
      <c r="J3" s="21"/>
      <c r="K3" s="41"/>
      <c r="L3" s="21"/>
      <c r="M3" s="100" t="s">
        <v>443</v>
      </c>
      <c r="N3" s="100"/>
      <c r="O3" s="100"/>
      <c r="P3" s="100"/>
    </row>
    <row r="4" spans="1:16" x14ac:dyDescent="0.25">
      <c r="A4" s="50"/>
      <c r="B4" s="49"/>
      <c r="C4" s="49"/>
      <c r="D4" s="28"/>
      <c r="E4" s="21"/>
      <c r="F4" s="21"/>
      <c r="G4" s="21"/>
      <c r="H4" s="21"/>
      <c r="I4" s="21"/>
      <c r="J4" s="21"/>
      <c r="K4" s="41"/>
      <c r="L4" s="21"/>
      <c r="M4" s="101"/>
      <c r="N4" s="101"/>
      <c r="O4" s="101"/>
      <c r="P4" s="51"/>
    </row>
    <row r="5" spans="1:16" s="3" customFormat="1" x14ac:dyDescent="0.25">
      <c r="A5" s="104" t="s">
        <v>168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s="3" customFormat="1" x14ac:dyDescent="0.25">
      <c r="A6" s="83" t="s">
        <v>439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s="3" customFormat="1" x14ac:dyDescent="0.25">
      <c r="A7" s="52">
        <v>1558900000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53"/>
      <c r="N7" s="53"/>
      <c r="O7" s="53"/>
      <c r="P7" s="53"/>
    </row>
    <row r="8" spans="1:16" s="3" customFormat="1" x14ac:dyDescent="0.25">
      <c r="A8" s="22" t="s">
        <v>207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53"/>
      <c r="N8" s="53"/>
      <c r="O8" s="53"/>
      <c r="P8" s="53"/>
    </row>
    <row r="9" spans="1:16" x14ac:dyDescent="0.25">
      <c r="A9" s="49"/>
      <c r="B9" s="49"/>
      <c r="C9" s="49"/>
      <c r="D9" s="23"/>
      <c r="E9" s="23"/>
      <c r="F9" s="23"/>
      <c r="G9" s="23"/>
      <c r="H9" s="23"/>
      <c r="I9" s="23"/>
      <c r="J9" s="23"/>
      <c r="K9" s="23"/>
      <c r="L9" s="23"/>
      <c r="M9" s="54"/>
      <c r="N9" s="54"/>
      <c r="O9" s="54"/>
      <c r="P9" s="54"/>
    </row>
    <row r="10" spans="1:16" ht="15.6" customHeight="1" x14ac:dyDescent="0.25">
      <c r="A10" s="87" t="s">
        <v>154</v>
      </c>
      <c r="B10" s="102" t="s">
        <v>155</v>
      </c>
      <c r="C10" s="87" t="s">
        <v>156</v>
      </c>
      <c r="D10" s="103" t="s">
        <v>157</v>
      </c>
      <c r="E10" s="88" t="s">
        <v>297</v>
      </c>
      <c r="F10" s="89"/>
      <c r="G10" s="89"/>
      <c r="H10" s="90"/>
      <c r="I10" s="88" t="s">
        <v>309</v>
      </c>
      <c r="J10" s="89"/>
      <c r="K10" s="89"/>
      <c r="L10" s="90"/>
      <c r="M10" s="88" t="s">
        <v>266</v>
      </c>
      <c r="N10" s="89"/>
      <c r="O10" s="89"/>
      <c r="P10" s="90"/>
    </row>
    <row r="11" spans="1:16" ht="15.6" customHeight="1" x14ac:dyDescent="0.25">
      <c r="A11" s="87"/>
      <c r="B11" s="102"/>
      <c r="C11" s="87"/>
      <c r="D11" s="103"/>
      <c r="E11" s="91" t="s">
        <v>307</v>
      </c>
      <c r="F11" s="97" t="s">
        <v>169</v>
      </c>
      <c r="G11" s="98"/>
      <c r="H11" s="99"/>
      <c r="I11" s="91" t="s">
        <v>307</v>
      </c>
      <c r="J11" s="97" t="s">
        <v>265</v>
      </c>
      <c r="K11" s="98"/>
      <c r="L11" s="99"/>
      <c r="M11" s="91" t="s">
        <v>307</v>
      </c>
      <c r="N11" s="94" t="s">
        <v>170</v>
      </c>
      <c r="O11" s="95"/>
      <c r="P11" s="96"/>
    </row>
    <row r="12" spans="1:16" x14ac:dyDescent="0.25">
      <c r="A12" s="87"/>
      <c r="B12" s="102"/>
      <c r="C12" s="87"/>
      <c r="D12" s="103"/>
      <c r="E12" s="92"/>
      <c r="F12" s="85" t="s">
        <v>171</v>
      </c>
      <c r="G12" s="85" t="s">
        <v>172</v>
      </c>
      <c r="H12" s="85"/>
      <c r="I12" s="92"/>
      <c r="J12" s="85" t="s">
        <v>173</v>
      </c>
      <c r="K12" s="85" t="s">
        <v>172</v>
      </c>
      <c r="L12" s="85"/>
      <c r="M12" s="92"/>
      <c r="N12" s="85" t="s">
        <v>171</v>
      </c>
      <c r="O12" s="85" t="s">
        <v>172</v>
      </c>
      <c r="P12" s="85"/>
    </row>
    <row r="13" spans="1:16" x14ac:dyDescent="0.25">
      <c r="A13" s="87"/>
      <c r="B13" s="102"/>
      <c r="C13" s="87"/>
      <c r="D13" s="103"/>
      <c r="E13" s="92"/>
      <c r="F13" s="86"/>
      <c r="G13" s="84" t="s">
        <v>308</v>
      </c>
      <c r="H13" s="45" t="s">
        <v>174</v>
      </c>
      <c r="I13" s="92"/>
      <c r="J13" s="86"/>
      <c r="K13" s="84" t="s">
        <v>308</v>
      </c>
      <c r="L13" s="45" t="s">
        <v>174</v>
      </c>
      <c r="M13" s="92"/>
      <c r="N13" s="86"/>
      <c r="O13" s="84" t="s">
        <v>308</v>
      </c>
      <c r="P13" s="45" t="s">
        <v>174</v>
      </c>
    </row>
    <row r="14" spans="1:16" ht="42.75" customHeight="1" x14ac:dyDescent="0.25">
      <c r="A14" s="87"/>
      <c r="B14" s="102"/>
      <c r="C14" s="87"/>
      <c r="D14" s="103"/>
      <c r="E14" s="93"/>
      <c r="F14" s="86"/>
      <c r="G14" s="84"/>
      <c r="H14" s="45" t="s">
        <v>0</v>
      </c>
      <c r="I14" s="93"/>
      <c r="J14" s="86"/>
      <c r="K14" s="84"/>
      <c r="L14" s="45" t="s">
        <v>0</v>
      </c>
      <c r="M14" s="93"/>
      <c r="N14" s="86"/>
      <c r="O14" s="84"/>
      <c r="P14" s="45" t="s">
        <v>0</v>
      </c>
    </row>
    <row r="15" spans="1:16" x14ac:dyDescent="0.25">
      <c r="A15" s="55">
        <v>1</v>
      </c>
      <c r="B15" s="55">
        <v>2</v>
      </c>
      <c r="C15" s="55">
        <v>3</v>
      </c>
      <c r="D15" s="24">
        <v>4</v>
      </c>
      <c r="E15" s="24">
        <v>5</v>
      </c>
      <c r="F15" s="24">
        <v>6</v>
      </c>
      <c r="G15" s="24">
        <v>7</v>
      </c>
      <c r="H15" s="24">
        <v>8</v>
      </c>
      <c r="I15" s="24">
        <v>9</v>
      </c>
      <c r="J15" s="24">
        <v>10</v>
      </c>
      <c r="K15" s="24">
        <v>11</v>
      </c>
      <c r="L15" s="24">
        <v>12</v>
      </c>
      <c r="M15" s="24">
        <v>13</v>
      </c>
      <c r="N15" s="24">
        <v>14</v>
      </c>
      <c r="O15" s="24">
        <v>15</v>
      </c>
      <c r="P15" s="24">
        <v>16</v>
      </c>
    </row>
    <row r="16" spans="1:16" s="8" customFormat="1" ht="56.25" x14ac:dyDescent="0.25">
      <c r="A16" s="56" t="s">
        <v>59</v>
      </c>
      <c r="B16" s="56" t="s">
        <v>223</v>
      </c>
      <c r="C16" s="56" t="s">
        <v>223</v>
      </c>
      <c r="D16" s="57" t="s">
        <v>224</v>
      </c>
      <c r="E16" s="30">
        <f>E17</f>
        <v>253731175.22</v>
      </c>
      <c r="F16" s="30">
        <f>F17</f>
        <v>226046681.09999999</v>
      </c>
      <c r="G16" s="30">
        <f t="shared" ref="G16:H16" si="0">G17</f>
        <v>27684494.119999997</v>
      </c>
      <c r="H16" s="30">
        <f t="shared" si="0"/>
        <v>25055138.899999999</v>
      </c>
      <c r="I16" s="30">
        <f>I17</f>
        <v>247540724.56</v>
      </c>
      <c r="J16" s="30">
        <f>J17</f>
        <v>218977581.81</v>
      </c>
      <c r="K16" s="30">
        <f t="shared" ref="K16" si="1">K17</f>
        <v>28563142.75</v>
      </c>
      <c r="L16" s="30">
        <f t="shared" ref="L16" si="2">L17</f>
        <v>21597172.709999997</v>
      </c>
      <c r="M16" s="58">
        <f>I16/E16</f>
        <v>0.97560232535622593</v>
      </c>
      <c r="N16" s="58">
        <f t="shared" ref="N16:P16" si="3">J16/F16</f>
        <v>0.96872725909710344</v>
      </c>
      <c r="O16" s="58">
        <f t="shared" si="3"/>
        <v>1.031737933378571</v>
      </c>
      <c r="P16" s="58">
        <f t="shared" si="3"/>
        <v>0.86198575055594673</v>
      </c>
    </row>
    <row r="17" spans="1:17" s="8" customFormat="1" ht="56.25" x14ac:dyDescent="0.25">
      <c r="A17" s="56" t="s">
        <v>60</v>
      </c>
      <c r="B17" s="56" t="s">
        <v>223</v>
      </c>
      <c r="C17" s="56" t="s">
        <v>223</v>
      </c>
      <c r="D17" s="57" t="s">
        <v>224</v>
      </c>
      <c r="E17" s="31">
        <f>F17+G17</f>
        <v>253731175.22</v>
      </c>
      <c r="F17" s="31">
        <f>F18+F23+F24+F25+F26+F27+F28+F32+F33+F34+F38+F39+F40+F41+F49+F50+F51+F52+F57+F58+F59+F60+F61</f>
        <v>226046681.09999999</v>
      </c>
      <c r="G17" s="31">
        <f t="shared" ref="G17:H17" si="4">G18+G23+G24+G25+G26+G27+G28+G32+G33+G34+G38+G39+G40+G41+G49+G50+G51+G52+G57+G58+G59+G60+G61</f>
        <v>27684494.119999997</v>
      </c>
      <c r="H17" s="31">
        <f t="shared" si="4"/>
        <v>25055138.899999999</v>
      </c>
      <c r="I17" s="31">
        <f>J17+K17</f>
        <v>247540724.56</v>
      </c>
      <c r="J17" s="31">
        <f>J18+J23+J24+J25+J26+J27+J28+J32+J33+J34+J38+J39+J40+J41+J49+J50+J51+J52+J57+J58+J59+J60+J61</f>
        <v>218977581.81</v>
      </c>
      <c r="K17" s="31">
        <f t="shared" ref="K17" si="5">K18+K23+K24+K25+K26+K27+K28+K32+K33+K34+K38+K39+K40+K41+K49+K50+K51+K52+K57+K58+K59+K60+K61</f>
        <v>28563142.75</v>
      </c>
      <c r="L17" s="31">
        <f t="shared" ref="L17" si="6">L18+L23+L24+L25+L26+L27+L28+L32+L33+L34+L38+L39+L40+L41+L49+L50+L51+L52+L57+L58+L59+L60+L61</f>
        <v>21597172.709999997</v>
      </c>
      <c r="M17" s="58">
        <f t="shared" ref="M17" si="7">I17/E17</f>
        <v>0.97560232535622593</v>
      </c>
      <c r="N17" s="58">
        <f t="shared" ref="N17" si="8">J17/F17</f>
        <v>0.96872725909710344</v>
      </c>
      <c r="O17" s="58">
        <f t="shared" ref="O17:O22" si="9">K17/G17</f>
        <v>1.031737933378571</v>
      </c>
      <c r="P17" s="58">
        <f t="shared" ref="P17" si="10">L17/H17</f>
        <v>0.86198575055594673</v>
      </c>
      <c r="Q17" s="14">
        <f t="shared" ref="Q17" si="11">IF(I17,M17/I17,0)</f>
        <v>3.9411790811000682E-9</v>
      </c>
    </row>
    <row r="18" spans="1:17" s="6" customFormat="1" ht="93.75" x14ac:dyDescent="0.25">
      <c r="A18" s="59" t="s">
        <v>61</v>
      </c>
      <c r="B18" s="59" t="s">
        <v>50</v>
      </c>
      <c r="C18" s="59" t="s">
        <v>2</v>
      </c>
      <c r="D18" s="60" t="s">
        <v>225</v>
      </c>
      <c r="E18" s="34">
        <f>F18+G18</f>
        <v>102408941</v>
      </c>
      <c r="F18" s="32">
        <f>F19+F20+F21+F22</f>
        <v>102239341</v>
      </c>
      <c r="G18" s="32">
        <f t="shared" ref="G18:H18" si="12">G19+G20+G21+G22</f>
        <v>169600</v>
      </c>
      <c r="H18" s="32">
        <f t="shared" si="12"/>
        <v>52000</v>
      </c>
      <c r="I18" s="34">
        <f>J18+K18</f>
        <v>103120819.11</v>
      </c>
      <c r="J18" s="32">
        <f>J19+J20+J21+J22</f>
        <v>98294071.890000001</v>
      </c>
      <c r="K18" s="32">
        <f t="shared" ref="K18" si="13">K19+K20+K21+K22</f>
        <v>4826747.2200000007</v>
      </c>
      <c r="L18" s="32">
        <f t="shared" ref="L18" si="14">L19+L20+L21+L22</f>
        <v>25000</v>
      </c>
      <c r="M18" s="61">
        <f t="shared" ref="M18:M81" si="15">I18/E18</f>
        <v>1.0069513277165907</v>
      </c>
      <c r="N18" s="61">
        <f t="shared" ref="N18:N81" si="16">J18/F18</f>
        <v>0.96141143838163046</v>
      </c>
      <c r="O18" s="62" t="s">
        <v>441</v>
      </c>
      <c r="P18" s="61">
        <f t="shared" ref="P18:P80" si="17">L18/H18</f>
        <v>0.48076923076923078</v>
      </c>
    </row>
    <row r="19" spans="1:17" s="5" customFormat="1" ht="56.25" x14ac:dyDescent="0.25">
      <c r="A19" s="63"/>
      <c r="B19" s="63"/>
      <c r="C19" s="63"/>
      <c r="D19" s="64" t="s">
        <v>224</v>
      </c>
      <c r="E19" s="42">
        <f t="shared" ref="E19:E82" si="18">F19+G19</f>
        <v>91068139</v>
      </c>
      <c r="F19" s="33">
        <v>90898541</v>
      </c>
      <c r="G19" s="33">
        <v>169598</v>
      </c>
      <c r="H19" s="33">
        <v>52000</v>
      </c>
      <c r="I19" s="42">
        <f t="shared" ref="I19:I82" si="19">J19+K19</f>
        <v>91914027.689999998</v>
      </c>
      <c r="J19" s="33">
        <v>87097563.090000004</v>
      </c>
      <c r="K19" s="33">
        <f>25000+51584.69+4739879.91</f>
        <v>4816464.6000000006</v>
      </c>
      <c r="L19" s="33">
        <v>25000</v>
      </c>
      <c r="M19" s="65">
        <f t="shared" si="15"/>
        <v>1.0092885250460646</v>
      </c>
      <c r="N19" s="65">
        <f t="shared" si="16"/>
        <v>0.95818439033031344</v>
      </c>
      <c r="O19" s="62" t="s">
        <v>441</v>
      </c>
      <c r="P19" s="65">
        <f t="shared" si="17"/>
        <v>0.48076923076923078</v>
      </c>
    </row>
    <row r="20" spans="1:17" s="5" customFormat="1" ht="56.25" x14ac:dyDescent="0.25">
      <c r="A20" s="63"/>
      <c r="B20" s="63"/>
      <c r="C20" s="63"/>
      <c r="D20" s="64" t="s">
        <v>204</v>
      </c>
      <c r="E20" s="42">
        <f t="shared" si="18"/>
        <v>4349701</v>
      </c>
      <c r="F20" s="33">
        <v>4349700</v>
      </c>
      <c r="G20" s="33">
        <v>1</v>
      </c>
      <c r="H20" s="33"/>
      <c r="I20" s="42">
        <f t="shared" si="19"/>
        <v>4294257.5</v>
      </c>
      <c r="J20" s="33">
        <v>4293874.88</v>
      </c>
      <c r="K20" s="33">
        <f>382.62</f>
        <v>382.62</v>
      </c>
      <c r="L20" s="33"/>
      <c r="M20" s="65">
        <f t="shared" si="15"/>
        <v>0.98725349167678422</v>
      </c>
      <c r="N20" s="65">
        <f t="shared" si="16"/>
        <v>0.98716575396004325</v>
      </c>
      <c r="O20" s="62" t="s">
        <v>441</v>
      </c>
      <c r="P20" s="65"/>
    </row>
    <row r="21" spans="1:17" s="5" customFormat="1" ht="56.25" x14ac:dyDescent="0.25">
      <c r="A21" s="63"/>
      <c r="B21" s="63"/>
      <c r="C21" s="63"/>
      <c r="D21" s="64" t="s">
        <v>206</v>
      </c>
      <c r="E21" s="42">
        <f t="shared" si="18"/>
        <v>3249600</v>
      </c>
      <c r="F21" s="33">
        <v>3249600</v>
      </c>
      <c r="G21" s="33">
        <v>0</v>
      </c>
      <c r="H21" s="33"/>
      <c r="I21" s="42">
        <f t="shared" si="19"/>
        <v>3223292.48</v>
      </c>
      <c r="J21" s="33">
        <v>3213392.48</v>
      </c>
      <c r="K21" s="33">
        <f>9900</f>
        <v>9900</v>
      </c>
      <c r="L21" s="33"/>
      <c r="M21" s="65">
        <f t="shared" si="15"/>
        <v>0.99190438207779419</v>
      </c>
      <c r="N21" s="65">
        <f t="shared" si="16"/>
        <v>0.98885785327424913</v>
      </c>
      <c r="O21" s="62" t="s">
        <v>441</v>
      </c>
      <c r="P21" s="65"/>
    </row>
    <row r="22" spans="1:17" s="5" customFormat="1" ht="56.25" x14ac:dyDescent="0.25">
      <c r="A22" s="63"/>
      <c r="B22" s="63"/>
      <c r="C22" s="63"/>
      <c r="D22" s="64" t="s">
        <v>205</v>
      </c>
      <c r="E22" s="42">
        <f t="shared" si="18"/>
        <v>3741501</v>
      </c>
      <c r="F22" s="33">
        <v>3741500</v>
      </c>
      <c r="G22" s="33">
        <v>1</v>
      </c>
      <c r="H22" s="33"/>
      <c r="I22" s="42">
        <f t="shared" si="19"/>
        <v>3689241.44</v>
      </c>
      <c r="J22" s="33">
        <v>3689241.44</v>
      </c>
      <c r="K22" s="33"/>
      <c r="L22" s="33"/>
      <c r="M22" s="65">
        <f t="shared" si="15"/>
        <v>0.98603246130363187</v>
      </c>
      <c r="N22" s="65">
        <f t="shared" si="16"/>
        <v>0.98603272484297744</v>
      </c>
      <c r="O22" s="61">
        <f t="shared" si="9"/>
        <v>0</v>
      </c>
      <c r="P22" s="65"/>
    </row>
    <row r="23" spans="1:17" s="6" customFormat="1" ht="56.25" x14ac:dyDescent="0.25">
      <c r="A23" s="59" t="s">
        <v>104</v>
      </c>
      <c r="B23" s="59" t="s">
        <v>105</v>
      </c>
      <c r="C23" s="59" t="s">
        <v>106</v>
      </c>
      <c r="D23" s="60" t="s">
        <v>107</v>
      </c>
      <c r="E23" s="34">
        <f t="shared" si="18"/>
        <v>50000</v>
      </c>
      <c r="F23" s="32">
        <v>50000</v>
      </c>
      <c r="G23" s="32">
        <v>0</v>
      </c>
      <c r="H23" s="32">
        <v>0</v>
      </c>
      <c r="I23" s="34">
        <f t="shared" si="19"/>
        <v>36980</v>
      </c>
      <c r="J23" s="32">
        <v>36980</v>
      </c>
      <c r="K23" s="32"/>
      <c r="L23" s="32"/>
      <c r="M23" s="61">
        <f t="shared" si="15"/>
        <v>0.73960000000000004</v>
      </c>
      <c r="N23" s="61">
        <f t="shared" si="16"/>
        <v>0.73960000000000004</v>
      </c>
      <c r="O23" s="61"/>
      <c r="P23" s="61"/>
    </row>
    <row r="24" spans="1:17" s="6" customFormat="1" ht="37.5" x14ac:dyDescent="0.25">
      <c r="A24" s="59" t="s">
        <v>111</v>
      </c>
      <c r="B24" s="59" t="s">
        <v>9</v>
      </c>
      <c r="C24" s="59" t="s">
        <v>5</v>
      </c>
      <c r="D24" s="60" t="s">
        <v>99</v>
      </c>
      <c r="E24" s="34">
        <f t="shared" si="18"/>
        <v>2317819</v>
      </c>
      <c r="F24" s="32">
        <v>2317819</v>
      </c>
      <c r="G24" s="32">
        <v>0</v>
      </c>
      <c r="H24" s="32">
        <v>0</v>
      </c>
      <c r="I24" s="34">
        <f t="shared" si="19"/>
        <v>2000899.41</v>
      </c>
      <c r="J24" s="32">
        <v>2000899.41</v>
      </c>
      <c r="K24" s="32"/>
      <c r="L24" s="32"/>
      <c r="M24" s="61">
        <f t="shared" si="15"/>
        <v>0.86326818875848366</v>
      </c>
      <c r="N24" s="61">
        <f t="shared" si="16"/>
        <v>0.86326818875848366</v>
      </c>
      <c r="O24" s="61"/>
      <c r="P24" s="61"/>
    </row>
    <row r="25" spans="1:17" s="6" customFormat="1" ht="37.5" x14ac:dyDescent="0.25">
      <c r="A25" s="59" t="s">
        <v>62</v>
      </c>
      <c r="B25" s="59" t="s">
        <v>29</v>
      </c>
      <c r="C25" s="59" t="s">
        <v>30</v>
      </c>
      <c r="D25" s="60" t="s">
        <v>149</v>
      </c>
      <c r="E25" s="34">
        <f t="shared" si="18"/>
        <v>57524527</v>
      </c>
      <c r="F25" s="32">
        <v>39124506.100000001</v>
      </c>
      <c r="G25" s="32">
        <v>18400020.899999999</v>
      </c>
      <c r="H25" s="32">
        <v>18400020.899999999</v>
      </c>
      <c r="I25" s="34">
        <f t="shared" si="19"/>
        <v>53513820.759999998</v>
      </c>
      <c r="J25" s="32">
        <v>37694074.859999999</v>
      </c>
      <c r="K25" s="32">
        <v>15819745.9</v>
      </c>
      <c r="L25" s="32">
        <v>15819745.9</v>
      </c>
      <c r="M25" s="61">
        <f t="shared" si="15"/>
        <v>0.93027832736460392</v>
      </c>
      <c r="N25" s="61">
        <f t="shared" si="16"/>
        <v>0.96343899559156343</v>
      </c>
      <c r="O25" s="61">
        <f t="shared" ref="O25:O80" si="20">K25/G25</f>
        <v>0.859767822328941</v>
      </c>
      <c r="P25" s="61">
        <f t="shared" si="17"/>
        <v>0.859767822328941</v>
      </c>
    </row>
    <row r="26" spans="1:17" s="6" customFormat="1" ht="18.75" x14ac:dyDescent="0.25">
      <c r="A26" s="59" t="s">
        <v>63</v>
      </c>
      <c r="B26" s="59" t="s">
        <v>51</v>
      </c>
      <c r="C26" s="59" t="s">
        <v>31</v>
      </c>
      <c r="D26" s="60" t="s">
        <v>226</v>
      </c>
      <c r="E26" s="34">
        <f t="shared" si="18"/>
        <v>10723300</v>
      </c>
      <c r="F26" s="32">
        <v>9074200</v>
      </c>
      <c r="G26" s="32">
        <v>1649100</v>
      </c>
      <c r="H26" s="32">
        <v>1649100</v>
      </c>
      <c r="I26" s="34">
        <f t="shared" si="19"/>
        <v>10690759.880000001</v>
      </c>
      <c r="J26" s="32">
        <v>9041659.8800000008</v>
      </c>
      <c r="K26" s="32">
        <v>1649100</v>
      </c>
      <c r="L26" s="32">
        <v>1649100</v>
      </c>
      <c r="M26" s="61">
        <f t="shared" si="15"/>
        <v>0.99696547518021517</v>
      </c>
      <c r="N26" s="61">
        <f t="shared" si="16"/>
        <v>0.99641399572414102</v>
      </c>
      <c r="O26" s="61">
        <f t="shared" si="20"/>
        <v>1</v>
      </c>
      <c r="P26" s="61">
        <f t="shared" si="17"/>
        <v>1</v>
      </c>
    </row>
    <row r="27" spans="1:17" s="6" customFormat="1" ht="56.25" x14ac:dyDescent="0.25">
      <c r="A27" s="59" t="s">
        <v>227</v>
      </c>
      <c r="B27" s="59" t="s">
        <v>310</v>
      </c>
      <c r="C27" s="59" t="s">
        <v>228</v>
      </c>
      <c r="D27" s="60" t="s">
        <v>229</v>
      </c>
      <c r="E27" s="34">
        <f t="shared" si="18"/>
        <v>4942313</v>
      </c>
      <c r="F27" s="32">
        <v>4134918</v>
      </c>
      <c r="G27" s="32">
        <v>807395</v>
      </c>
      <c r="H27" s="32">
        <v>807395</v>
      </c>
      <c r="I27" s="34">
        <f t="shared" si="19"/>
        <v>4854145.62</v>
      </c>
      <c r="J27" s="32">
        <v>4060003.06</v>
      </c>
      <c r="K27" s="32">
        <v>794142.56</v>
      </c>
      <c r="L27" s="32">
        <v>794142.56</v>
      </c>
      <c r="M27" s="61">
        <f t="shared" si="15"/>
        <v>0.98216070491690832</v>
      </c>
      <c r="N27" s="61">
        <f t="shared" si="16"/>
        <v>0.98188236380987481</v>
      </c>
      <c r="O27" s="61">
        <f t="shared" si="20"/>
        <v>0.98358617529214332</v>
      </c>
      <c r="P27" s="61">
        <f t="shared" si="17"/>
        <v>0.98358617529214332</v>
      </c>
    </row>
    <row r="28" spans="1:17" s="6" customFormat="1" ht="37.5" x14ac:dyDescent="0.25">
      <c r="A28" s="59" t="s">
        <v>230</v>
      </c>
      <c r="B28" s="59" t="s">
        <v>179</v>
      </c>
      <c r="C28" s="59" t="s">
        <v>123</v>
      </c>
      <c r="D28" s="60" t="s">
        <v>231</v>
      </c>
      <c r="E28" s="34">
        <f t="shared" si="18"/>
        <v>14104337</v>
      </c>
      <c r="F28" s="32">
        <f>F29+F30+F31</f>
        <v>14104337</v>
      </c>
      <c r="G28" s="32">
        <f t="shared" ref="G28:H28" si="21">G29+G30+G31</f>
        <v>0</v>
      </c>
      <c r="H28" s="32">
        <f t="shared" si="21"/>
        <v>0</v>
      </c>
      <c r="I28" s="34">
        <f t="shared" si="19"/>
        <v>13312520.350000001</v>
      </c>
      <c r="J28" s="32">
        <f>J29+J30+J31</f>
        <v>13312520.350000001</v>
      </c>
      <c r="K28" s="32">
        <f t="shared" ref="K28" si="22">K29+K30+K31</f>
        <v>0</v>
      </c>
      <c r="L28" s="32">
        <f t="shared" ref="L28" si="23">L29+L30+L31</f>
        <v>0</v>
      </c>
      <c r="M28" s="61">
        <f t="shared" si="15"/>
        <v>0.94386005878900947</v>
      </c>
      <c r="N28" s="61">
        <f t="shared" si="16"/>
        <v>0.94386005878900947</v>
      </c>
      <c r="O28" s="61"/>
      <c r="P28" s="61"/>
    </row>
    <row r="29" spans="1:17" s="5" customFormat="1" ht="56.25" x14ac:dyDescent="0.25">
      <c r="A29" s="63"/>
      <c r="B29" s="63"/>
      <c r="C29" s="63"/>
      <c r="D29" s="64" t="s">
        <v>311</v>
      </c>
      <c r="E29" s="42">
        <f t="shared" si="18"/>
        <v>930910</v>
      </c>
      <c r="F29" s="33">
        <v>930910</v>
      </c>
      <c r="G29" s="33"/>
      <c r="H29" s="33"/>
      <c r="I29" s="42">
        <f t="shared" si="19"/>
        <v>700309.41</v>
      </c>
      <c r="J29" s="33">
        <v>700309.41</v>
      </c>
      <c r="K29" s="33"/>
      <c r="L29" s="33"/>
      <c r="M29" s="65">
        <f t="shared" si="15"/>
        <v>0.7522847643703473</v>
      </c>
      <c r="N29" s="65">
        <f t="shared" si="16"/>
        <v>0.7522847643703473</v>
      </c>
      <c r="O29" s="65"/>
      <c r="P29" s="65"/>
    </row>
    <row r="30" spans="1:17" s="5" customFormat="1" ht="75" x14ac:dyDescent="0.25">
      <c r="A30" s="63"/>
      <c r="B30" s="63"/>
      <c r="C30" s="63"/>
      <c r="D30" s="64" t="s">
        <v>312</v>
      </c>
      <c r="E30" s="42">
        <f t="shared" si="18"/>
        <v>10862827</v>
      </c>
      <c r="F30" s="33">
        <v>10862827</v>
      </c>
      <c r="G30" s="33"/>
      <c r="H30" s="33"/>
      <c r="I30" s="42">
        <f t="shared" si="19"/>
        <v>10302332.800000001</v>
      </c>
      <c r="J30" s="33">
        <v>10302332.800000001</v>
      </c>
      <c r="K30" s="33"/>
      <c r="L30" s="33"/>
      <c r="M30" s="65">
        <f t="shared" si="15"/>
        <v>0.9484025475136445</v>
      </c>
      <c r="N30" s="65">
        <f t="shared" si="16"/>
        <v>0.9484025475136445</v>
      </c>
      <c r="O30" s="65"/>
      <c r="P30" s="65"/>
    </row>
    <row r="31" spans="1:17" s="5" customFormat="1" ht="56.25" x14ac:dyDescent="0.25">
      <c r="A31" s="63"/>
      <c r="B31" s="63"/>
      <c r="C31" s="63"/>
      <c r="D31" s="64" t="s">
        <v>313</v>
      </c>
      <c r="E31" s="42">
        <f t="shared" si="18"/>
        <v>2310600</v>
      </c>
      <c r="F31" s="33">
        <v>2310600</v>
      </c>
      <c r="G31" s="33"/>
      <c r="H31" s="33"/>
      <c r="I31" s="42">
        <f t="shared" si="19"/>
        <v>2309878.14</v>
      </c>
      <c r="J31" s="33">
        <v>2309878.14</v>
      </c>
      <c r="K31" s="33"/>
      <c r="L31" s="33"/>
      <c r="M31" s="65">
        <f t="shared" si="15"/>
        <v>0.99968758763957422</v>
      </c>
      <c r="N31" s="65">
        <f t="shared" si="16"/>
        <v>0.99968758763957422</v>
      </c>
      <c r="O31" s="65"/>
      <c r="P31" s="65"/>
    </row>
    <row r="32" spans="1:17" s="6" customFormat="1" ht="18.75" x14ac:dyDescent="0.25">
      <c r="A32" s="66" t="s">
        <v>395</v>
      </c>
      <c r="B32" s="59">
        <v>2170</v>
      </c>
      <c r="C32" s="66" t="s">
        <v>123</v>
      </c>
      <c r="D32" s="60" t="s">
        <v>396</v>
      </c>
      <c r="E32" s="34">
        <f t="shared" si="18"/>
        <v>197300</v>
      </c>
      <c r="F32" s="32">
        <v>0</v>
      </c>
      <c r="G32" s="32">
        <v>197300</v>
      </c>
      <c r="H32" s="32">
        <v>197300</v>
      </c>
      <c r="I32" s="34">
        <f t="shared" si="19"/>
        <v>0</v>
      </c>
      <c r="J32" s="32"/>
      <c r="K32" s="32"/>
      <c r="L32" s="32"/>
      <c r="M32" s="61">
        <f t="shared" si="15"/>
        <v>0</v>
      </c>
      <c r="N32" s="61"/>
      <c r="O32" s="61">
        <f t="shared" si="20"/>
        <v>0</v>
      </c>
      <c r="P32" s="61">
        <f t="shared" si="17"/>
        <v>0</v>
      </c>
    </row>
    <row r="33" spans="1:18" s="6" customFormat="1" ht="37.5" x14ac:dyDescent="0.25">
      <c r="A33" s="59" t="s">
        <v>142</v>
      </c>
      <c r="B33" s="59" t="s">
        <v>140</v>
      </c>
      <c r="C33" s="59" t="s">
        <v>3</v>
      </c>
      <c r="D33" s="60" t="s">
        <v>141</v>
      </c>
      <c r="E33" s="34">
        <f t="shared" si="18"/>
        <v>3500000</v>
      </c>
      <c r="F33" s="32">
        <v>3500000</v>
      </c>
      <c r="G33" s="32">
        <v>0</v>
      </c>
      <c r="H33" s="32">
        <v>0</v>
      </c>
      <c r="I33" s="34">
        <f t="shared" si="19"/>
        <v>3492415</v>
      </c>
      <c r="J33" s="32">
        <v>3492415</v>
      </c>
      <c r="K33" s="32"/>
      <c r="L33" s="32"/>
      <c r="M33" s="61">
        <f t="shared" si="15"/>
        <v>0.99783285714285719</v>
      </c>
      <c r="N33" s="61">
        <f t="shared" si="16"/>
        <v>0.99783285714285719</v>
      </c>
      <c r="O33" s="61"/>
      <c r="P33" s="61"/>
    </row>
    <row r="34" spans="1:18" s="6" customFormat="1" ht="37.5" x14ac:dyDescent="0.25">
      <c r="A34" s="59" t="s">
        <v>64</v>
      </c>
      <c r="B34" s="59" t="s">
        <v>39</v>
      </c>
      <c r="C34" s="59" t="s">
        <v>8</v>
      </c>
      <c r="D34" s="60" t="s">
        <v>232</v>
      </c>
      <c r="E34" s="34">
        <f t="shared" si="18"/>
        <v>15359700</v>
      </c>
      <c r="F34" s="32">
        <f>F35+F36+F37</f>
        <v>15359700</v>
      </c>
      <c r="G34" s="32">
        <f t="shared" ref="G34:H34" si="24">G35+G36+G37</f>
        <v>0</v>
      </c>
      <c r="H34" s="32">
        <f t="shared" si="24"/>
        <v>0</v>
      </c>
      <c r="I34" s="34">
        <f t="shared" si="19"/>
        <v>15268094.780000001</v>
      </c>
      <c r="J34" s="32">
        <f>J35+J36+J37</f>
        <v>15268094.780000001</v>
      </c>
      <c r="K34" s="32">
        <f t="shared" ref="K34" si="25">K35+K36+K37</f>
        <v>0</v>
      </c>
      <c r="L34" s="32">
        <f t="shared" ref="L34" si="26">L35+L36+L37</f>
        <v>0</v>
      </c>
      <c r="M34" s="61">
        <f t="shared" si="15"/>
        <v>0.99403600200524755</v>
      </c>
      <c r="N34" s="61">
        <f t="shared" si="16"/>
        <v>0.99403600200524755</v>
      </c>
      <c r="O34" s="61"/>
      <c r="P34" s="61"/>
    </row>
    <row r="35" spans="1:18" s="5" customFormat="1" ht="56.25" x14ac:dyDescent="0.25">
      <c r="A35" s="63"/>
      <c r="B35" s="63"/>
      <c r="C35" s="63"/>
      <c r="D35" s="64" t="s">
        <v>204</v>
      </c>
      <c r="E35" s="42">
        <f t="shared" si="18"/>
        <v>9950600</v>
      </c>
      <c r="F35" s="33">
        <v>9950600</v>
      </c>
      <c r="G35" s="33">
        <v>0</v>
      </c>
      <c r="H35" s="33"/>
      <c r="I35" s="42">
        <f t="shared" si="19"/>
        <v>9947866.0700000003</v>
      </c>
      <c r="J35" s="33">
        <v>9947866.0700000003</v>
      </c>
      <c r="K35" s="33"/>
      <c r="L35" s="33"/>
      <c r="M35" s="65">
        <f t="shared" si="15"/>
        <v>0.99972524973368448</v>
      </c>
      <c r="N35" s="65">
        <f t="shared" si="16"/>
        <v>0.99972524973368448</v>
      </c>
      <c r="O35" s="65"/>
      <c r="P35" s="65"/>
    </row>
    <row r="36" spans="1:18" s="5" customFormat="1" ht="56.25" x14ac:dyDescent="0.25">
      <c r="A36" s="63"/>
      <c r="B36" s="63"/>
      <c r="C36" s="63"/>
      <c r="D36" s="64" t="s">
        <v>206</v>
      </c>
      <c r="E36" s="42">
        <f t="shared" si="18"/>
        <v>1634200</v>
      </c>
      <c r="F36" s="33">
        <v>1634200</v>
      </c>
      <c r="G36" s="33">
        <v>0</v>
      </c>
      <c r="H36" s="33"/>
      <c r="I36" s="42">
        <f t="shared" si="19"/>
        <v>1576766.92</v>
      </c>
      <c r="J36" s="33">
        <v>1576766.92</v>
      </c>
      <c r="K36" s="33"/>
      <c r="L36" s="33"/>
      <c r="M36" s="65">
        <f t="shared" si="15"/>
        <v>0.96485553787786071</v>
      </c>
      <c r="N36" s="65">
        <f t="shared" si="16"/>
        <v>0.96485553787786071</v>
      </c>
      <c r="O36" s="65"/>
      <c r="P36" s="65"/>
    </row>
    <row r="37" spans="1:18" s="5" customFormat="1" ht="56.25" x14ac:dyDescent="0.25">
      <c r="A37" s="63"/>
      <c r="B37" s="63"/>
      <c r="C37" s="63"/>
      <c r="D37" s="64" t="s">
        <v>205</v>
      </c>
      <c r="E37" s="42">
        <f t="shared" si="18"/>
        <v>3774900</v>
      </c>
      <c r="F37" s="33">
        <v>3774900</v>
      </c>
      <c r="G37" s="33">
        <v>0</v>
      </c>
      <c r="H37" s="33"/>
      <c r="I37" s="42">
        <f t="shared" si="19"/>
        <v>3743461.79</v>
      </c>
      <c r="J37" s="33">
        <v>3743461.79</v>
      </c>
      <c r="K37" s="33"/>
      <c r="L37" s="33"/>
      <c r="M37" s="65">
        <f t="shared" si="15"/>
        <v>0.99167177673580753</v>
      </c>
      <c r="N37" s="65">
        <f t="shared" si="16"/>
        <v>0.99167177673580753</v>
      </c>
      <c r="O37" s="65"/>
      <c r="P37" s="65"/>
    </row>
    <row r="38" spans="1:18" s="6" customFormat="1" ht="37.5" x14ac:dyDescent="0.25">
      <c r="A38" s="66" t="s">
        <v>397</v>
      </c>
      <c r="B38" s="66" t="s">
        <v>398</v>
      </c>
      <c r="C38" s="66" t="s">
        <v>121</v>
      </c>
      <c r="D38" s="60" t="s">
        <v>399</v>
      </c>
      <c r="E38" s="34">
        <f t="shared" si="18"/>
        <v>90000</v>
      </c>
      <c r="F38" s="32">
        <v>0</v>
      </c>
      <c r="G38" s="32">
        <v>90000</v>
      </c>
      <c r="H38" s="32">
        <v>90000</v>
      </c>
      <c r="I38" s="34">
        <f t="shared" si="19"/>
        <v>89999.98</v>
      </c>
      <c r="J38" s="32"/>
      <c r="K38" s="32">
        <v>89999.98</v>
      </c>
      <c r="L38" s="32">
        <v>89999.98</v>
      </c>
      <c r="M38" s="61">
        <f t="shared" si="15"/>
        <v>0.99999977777777771</v>
      </c>
      <c r="N38" s="61"/>
      <c r="O38" s="61">
        <f t="shared" si="20"/>
        <v>0.99999977777777771</v>
      </c>
      <c r="P38" s="61">
        <f t="shared" si="17"/>
        <v>0.99999977777777771</v>
      </c>
      <c r="Q38" s="7"/>
    </row>
    <row r="39" spans="1:18" s="6" customFormat="1" ht="37.5" x14ac:dyDescent="0.25">
      <c r="A39" s="66" t="s">
        <v>298</v>
      </c>
      <c r="B39" s="66" t="s">
        <v>299</v>
      </c>
      <c r="C39" s="66" t="s">
        <v>121</v>
      </c>
      <c r="D39" s="60" t="s">
        <v>292</v>
      </c>
      <c r="E39" s="34">
        <f t="shared" si="18"/>
        <v>283400</v>
      </c>
      <c r="F39" s="32">
        <v>0</v>
      </c>
      <c r="G39" s="32">
        <v>283400</v>
      </c>
      <c r="H39" s="32">
        <v>283400</v>
      </c>
      <c r="I39" s="34">
        <f t="shared" si="19"/>
        <v>283333.33</v>
      </c>
      <c r="J39" s="32"/>
      <c r="K39" s="32">
        <v>283333.33</v>
      </c>
      <c r="L39" s="32">
        <v>283333.33</v>
      </c>
      <c r="M39" s="61">
        <f t="shared" si="15"/>
        <v>0.99976474947071281</v>
      </c>
      <c r="N39" s="61"/>
      <c r="O39" s="61">
        <f t="shared" si="20"/>
        <v>0.99976474947071281</v>
      </c>
      <c r="P39" s="61">
        <f t="shared" si="17"/>
        <v>0.99976474947071281</v>
      </c>
      <c r="Q39" s="7"/>
    </row>
    <row r="40" spans="1:18" s="6" customFormat="1" ht="56.25" x14ac:dyDescent="0.25">
      <c r="A40" s="66" t="s">
        <v>400</v>
      </c>
      <c r="B40" s="66" t="s">
        <v>401</v>
      </c>
      <c r="C40" s="66" t="s">
        <v>121</v>
      </c>
      <c r="D40" s="60" t="s">
        <v>402</v>
      </c>
      <c r="E40" s="34">
        <f t="shared" si="18"/>
        <v>80000</v>
      </c>
      <c r="F40" s="32">
        <v>80000</v>
      </c>
      <c r="G40" s="32">
        <v>0</v>
      </c>
      <c r="H40" s="32">
        <v>0</v>
      </c>
      <c r="I40" s="34">
        <f t="shared" si="19"/>
        <v>79590</v>
      </c>
      <c r="J40" s="32">
        <v>79590</v>
      </c>
      <c r="K40" s="32"/>
      <c r="L40" s="32"/>
      <c r="M40" s="61">
        <f t="shared" si="15"/>
        <v>0.99487499999999995</v>
      </c>
      <c r="N40" s="61">
        <f t="shared" si="16"/>
        <v>0.99487499999999995</v>
      </c>
      <c r="O40" s="61"/>
      <c r="P40" s="61"/>
      <c r="Q40" s="7"/>
    </row>
    <row r="41" spans="1:18" s="6" customFormat="1" ht="37.5" x14ac:dyDescent="0.25">
      <c r="A41" s="66" t="s">
        <v>314</v>
      </c>
      <c r="B41" s="66" t="s">
        <v>315</v>
      </c>
      <c r="C41" s="66" t="s">
        <v>316</v>
      </c>
      <c r="D41" s="60" t="s">
        <v>317</v>
      </c>
      <c r="E41" s="34">
        <f t="shared" si="18"/>
        <v>2579940</v>
      </c>
      <c r="F41" s="32">
        <f>F42+F43+F44+F45+F46+F47+F48</f>
        <v>1601340</v>
      </c>
      <c r="G41" s="32">
        <f t="shared" ref="G41:H41" si="27">G42+G43+G44+G45+G46+G47+G48</f>
        <v>978600</v>
      </c>
      <c r="H41" s="32">
        <f t="shared" si="27"/>
        <v>978600</v>
      </c>
      <c r="I41" s="34">
        <f t="shared" si="19"/>
        <v>2118294.7999999998</v>
      </c>
      <c r="J41" s="32">
        <f>J42+J43+J44+J45+J46+J47+J48</f>
        <v>1402394.8</v>
      </c>
      <c r="K41" s="32">
        <f t="shared" ref="K41" si="28">K42+K43+K44+K45+K46+K47+K48</f>
        <v>715900</v>
      </c>
      <c r="L41" s="32">
        <f t="shared" ref="L41" si="29">L42+L43+L44+L45+L46+L47+L48</f>
        <v>715900</v>
      </c>
      <c r="M41" s="61">
        <f t="shared" si="15"/>
        <v>0.82106359062613854</v>
      </c>
      <c r="N41" s="61">
        <f t="shared" si="16"/>
        <v>0.87576329823772592</v>
      </c>
      <c r="O41" s="61">
        <f t="shared" si="20"/>
        <v>0.73155528305742901</v>
      </c>
      <c r="P41" s="61">
        <f t="shared" si="17"/>
        <v>0.73155528305742901</v>
      </c>
      <c r="Q41" s="7"/>
    </row>
    <row r="42" spans="1:18" s="5" customFormat="1" ht="56.25" x14ac:dyDescent="0.25">
      <c r="A42" s="67"/>
      <c r="B42" s="67"/>
      <c r="C42" s="67"/>
      <c r="D42" s="64" t="s">
        <v>224</v>
      </c>
      <c r="E42" s="42">
        <f t="shared" si="18"/>
        <v>1688200</v>
      </c>
      <c r="F42" s="33">
        <v>1296600</v>
      </c>
      <c r="G42" s="33">
        <v>391600</v>
      </c>
      <c r="H42" s="33">
        <v>391600</v>
      </c>
      <c r="I42" s="42">
        <f t="shared" si="19"/>
        <v>1235660.8</v>
      </c>
      <c r="J42" s="33">
        <v>1106660.8</v>
      </c>
      <c r="K42" s="33">
        <v>129000</v>
      </c>
      <c r="L42" s="33">
        <v>129000</v>
      </c>
      <c r="M42" s="65">
        <f t="shared" si="15"/>
        <v>0.73193981755716153</v>
      </c>
      <c r="N42" s="65">
        <f t="shared" si="16"/>
        <v>0.85350979484806422</v>
      </c>
      <c r="O42" s="65">
        <f t="shared" si="20"/>
        <v>0.32941777323799798</v>
      </c>
      <c r="P42" s="65">
        <f t="shared" si="17"/>
        <v>0.32941777323799798</v>
      </c>
      <c r="R42" s="16"/>
    </row>
    <row r="43" spans="1:18" s="13" customFormat="1" ht="56.25" x14ac:dyDescent="0.25">
      <c r="A43" s="67"/>
      <c r="B43" s="67"/>
      <c r="C43" s="67"/>
      <c r="D43" s="64" t="s">
        <v>204</v>
      </c>
      <c r="E43" s="42">
        <f t="shared" si="18"/>
        <v>39400</v>
      </c>
      <c r="F43" s="33">
        <v>10400</v>
      </c>
      <c r="G43" s="33">
        <v>29000</v>
      </c>
      <c r="H43" s="33">
        <v>29000</v>
      </c>
      <c r="I43" s="42">
        <f t="shared" si="19"/>
        <v>37586</v>
      </c>
      <c r="J43" s="33">
        <v>8586</v>
      </c>
      <c r="K43" s="33">
        <v>29000</v>
      </c>
      <c r="L43" s="33">
        <v>29000</v>
      </c>
      <c r="M43" s="65">
        <f t="shared" si="15"/>
        <v>0.95395939086294412</v>
      </c>
      <c r="N43" s="65">
        <f t="shared" si="16"/>
        <v>0.8255769230769231</v>
      </c>
      <c r="O43" s="65">
        <f t="shared" si="20"/>
        <v>1</v>
      </c>
      <c r="P43" s="65">
        <f t="shared" si="17"/>
        <v>1</v>
      </c>
      <c r="R43" s="17"/>
    </row>
    <row r="44" spans="1:18" s="13" customFormat="1" ht="56.25" x14ac:dyDescent="0.25">
      <c r="A44" s="67"/>
      <c r="B44" s="67"/>
      <c r="C44" s="67"/>
      <c r="D44" s="64" t="s">
        <v>206</v>
      </c>
      <c r="E44" s="42">
        <f t="shared" si="18"/>
        <v>18800</v>
      </c>
      <c r="F44" s="33">
        <v>18800</v>
      </c>
      <c r="G44" s="33"/>
      <c r="H44" s="33"/>
      <c r="I44" s="42">
        <f t="shared" si="19"/>
        <v>17748</v>
      </c>
      <c r="J44" s="33">
        <v>17748</v>
      </c>
      <c r="K44" s="33"/>
      <c r="L44" s="33"/>
      <c r="M44" s="65">
        <f t="shared" si="15"/>
        <v>0.94404255319148933</v>
      </c>
      <c r="N44" s="65">
        <f t="shared" si="16"/>
        <v>0.94404255319148933</v>
      </c>
      <c r="O44" s="65"/>
      <c r="P44" s="65"/>
    </row>
    <row r="45" spans="1:18" s="5" customFormat="1" ht="56.25" x14ac:dyDescent="0.25">
      <c r="A45" s="67"/>
      <c r="B45" s="67"/>
      <c r="C45" s="67"/>
      <c r="D45" s="64" t="s">
        <v>205</v>
      </c>
      <c r="E45" s="42">
        <f t="shared" si="18"/>
        <v>10400</v>
      </c>
      <c r="F45" s="33">
        <v>10400</v>
      </c>
      <c r="G45" s="33">
        <v>0</v>
      </c>
      <c r="H45" s="33"/>
      <c r="I45" s="42">
        <f t="shared" si="19"/>
        <v>8586</v>
      </c>
      <c r="J45" s="33">
        <v>8586</v>
      </c>
      <c r="K45" s="33"/>
      <c r="L45" s="33"/>
      <c r="M45" s="65">
        <f t="shared" si="15"/>
        <v>0.8255769230769231</v>
      </c>
      <c r="N45" s="65">
        <f t="shared" si="16"/>
        <v>0.8255769230769231</v>
      </c>
      <c r="O45" s="65"/>
      <c r="P45" s="65"/>
    </row>
    <row r="46" spans="1:18" s="5" customFormat="1" ht="75" x14ac:dyDescent="0.25">
      <c r="A46" s="67"/>
      <c r="B46" s="67"/>
      <c r="C46" s="67"/>
      <c r="D46" s="64" t="s">
        <v>312</v>
      </c>
      <c r="E46" s="42">
        <f t="shared" si="18"/>
        <v>142000</v>
      </c>
      <c r="F46" s="33">
        <v>142000</v>
      </c>
      <c r="G46" s="33">
        <v>0</v>
      </c>
      <c r="H46" s="33"/>
      <c r="I46" s="42">
        <f t="shared" si="19"/>
        <v>142000</v>
      </c>
      <c r="J46" s="33">
        <v>142000</v>
      </c>
      <c r="K46" s="33"/>
      <c r="L46" s="33"/>
      <c r="M46" s="65">
        <f t="shared" si="15"/>
        <v>1</v>
      </c>
      <c r="N46" s="65">
        <f t="shared" si="16"/>
        <v>1</v>
      </c>
      <c r="O46" s="65"/>
      <c r="P46" s="65"/>
    </row>
    <row r="47" spans="1:18" s="5" customFormat="1" ht="56.25" x14ac:dyDescent="0.25">
      <c r="A47" s="67"/>
      <c r="B47" s="67"/>
      <c r="C47" s="67"/>
      <c r="D47" s="64" t="s">
        <v>311</v>
      </c>
      <c r="E47" s="42">
        <f t="shared" si="18"/>
        <v>534000</v>
      </c>
      <c r="F47" s="33"/>
      <c r="G47" s="33">
        <v>534000</v>
      </c>
      <c r="H47" s="33">
        <v>534000</v>
      </c>
      <c r="I47" s="42">
        <f t="shared" si="19"/>
        <v>534000</v>
      </c>
      <c r="J47" s="33"/>
      <c r="K47" s="33">
        <v>534000</v>
      </c>
      <c r="L47" s="33">
        <v>534000</v>
      </c>
      <c r="M47" s="65">
        <f t="shared" si="15"/>
        <v>1</v>
      </c>
      <c r="N47" s="65"/>
      <c r="O47" s="65">
        <f t="shared" si="20"/>
        <v>1</v>
      </c>
      <c r="P47" s="65">
        <f t="shared" si="17"/>
        <v>1</v>
      </c>
    </row>
    <row r="48" spans="1:18" s="5" customFormat="1" ht="56.25" x14ac:dyDescent="0.25">
      <c r="A48" s="67"/>
      <c r="B48" s="67"/>
      <c r="C48" s="67"/>
      <c r="D48" s="64" t="s">
        <v>318</v>
      </c>
      <c r="E48" s="42">
        <f t="shared" si="18"/>
        <v>147140</v>
      </c>
      <c r="F48" s="33">
        <v>123140</v>
      </c>
      <c r="G48" s="33">
        <v>24000</v>
      </c>
      <c r="H48" s="33">
        <v>24000</v>
      </c>
      <c r="I48" s="42">
        <f t="shared" si="19"/>
        <v>142714</v>
      </c>
      <c r="J48" s="33">
        <v>118814</v>
      </c>
      <c r="K48" s="33">
        <v>23900</v>
      </c>
      <c r="L48" s="33">
        <v>23900</v>
      </c>
      <c r="M48" s="65">
        <f t="shared" si="15"/>
        <v>0.96991980426804403</v>
      </c>
      <c r="N48" s="65">
        <f t="shared" si="16"/>
        <v>0.96486925450706518</v>
      </c>
      <c r="O48" s="65">
        <f t="shared" si="20"/>
        <v>0.99583333333333335</v>
      </c>
      <c r="P48" s="65">
        <f t="shared" si="17"/>
        <v>0.99583333333333335</v>
      </c>
    </row>
    <row r="49" spans="1:16" s="6" customFormat="1" ht="18.75" x14ac:dyDescent="0.25">
      <c r="A49" s="66" t="s">
        <v>304</v>
      </c>
      <c r="B49" s="66" t="s">
        <v>319</v>
      </c>
      <c r="C49" s="66" t="s">
        <v>6</v>
      </c>
      <c r="D49" s="60" t="s">
        <v>7</v>
      </c>
      <c r="E49" s="34">
        <f t="shared" si="18"/>
        <v>1500000</v>
      </c>
      <c r="F49" s="32">
        <v>0</v>
      </c>
      <c r="G49" s="32">
        <v>1500000</v>
      </c>
      <c r="H49" s="32">
        <v>1500000</v>
      </c>
      <c r="I49" s="34">
        <f t="shared" si="19"/>
        <v>1125771.3400000001</v>
      </c>
      <c r="J49" s="32"/>
      <c r="K49" s="32">
        <v>1125771.3400000001</v>
      </c>
      <c r="L49" s="32">
        <v>1125771.3400000001</v>
      </c>
      <c r="M49" s="61">
        <f t="shared" si="15"/>
        <v>0.75051422666666667</v>
      </c>
      <c r="N49" s="61"/>
      <c r="O49" s="61">
        <f t="shared" si="20"/>
        <v>0.75051422666666667</v>
      </c>
      <c r="P49" s="61">
        <f t="shared" si="17"/>
        <v>0.75051422666666667</v>
      </c>
    </row>
    <row r="50" spans="1:16" s="6" customFormat="1" ht="37.5" x14ac:dyDescent="0.25">
      <c r="A50" s="59" t="s">
        <v>109</v>
      </c>
      <c r="B50" s="59" t="s">
        <v>108</v>
      </c>
      <c r="C50" s="59" t="s">
        <v>21</v>
      </c>
      <c r="D50" s="60" t="s">
        <v>110</v>
      </c>
      <c r="E50" s="34">
        <f t="shared" si="18"/>
        <v>180588</v>
      </c>
      <c r="F50" s="32">
        <v>180588</v>
      </c>
      <c r="G50" s="32">
        <v>0</v>
      </c>
      <c r="H50" s="32">
        <v>0</v>
      </c>
      <c r="I50" s="34">
        <f t="shared" si="19"/>
        <v>180578</v>
      </c>
      <c r="J50" s="32">
        <v>180578</v>
      </c>
      <c r="K50" s="32"/>
      <c r="L50" s="32"/>
      <c r="M50" s="61">
        <f t="shared" si="15"/>
        <v>0.99994462533501671</v>
      </c>
      <c r="N50" s="61">
        <f t="shared" si="16"/>
        <v>0.99994462533501671</v>
      </c>
      <c r="O50" s="61"/>
      <c r="P50" s="61"/>
    </row>
    <row r="51" spans="1:16" s="6" customFormat="1" ht="168.75" x14ac:dyDescent="0.25">
      <c r="A51" s="66" t="s">
        <v>412</v>
      </c>
      <c r="B51" s="66" t="s">
        <v>366</v>
      </c>
      <c r="C51" s="66" t="s">
        <v>21</v>
      </c>
      <c r="D51" s="60" t="s">
        <v>150</v>
      </c>
      <c r="E51" s="34">
        <f t="shared" si="18"/>
        <v>2074155.22</v>
      </c>
      <c r="F51" s="32">
        <v>0</v>
      </c>
      <c r="G51" s="32">
        <v>2074155.22</v>
      </c>
      <c r="H51" s="32"/>
      <c r="I51" s="34">
        <f t="shared" si="19"/>
        <v>2074155.22</v>
      </c>
      <c r="J51" s="32"/>
      <c r="K51" s="32">
        <v>2074155.22</v>
      </c>
      <c r="L51" s="32"/>
      <c r="M51" s="61">
        <f t="shared" si="15"/>
        <v>1</v>
      </c>
      <c r="N51" s="61"/>
      <c r="O51" s="61">
        <f t="shared" si="20"/>
        <v>1</v>
      </c>
      <c r="P51" s="61"/>
    </row>
    <row r="52" spans="1:16" s="6" customFormat="1" ht="56.25" x14ac:dyDescent="0.25">
      <c r="A52" s="66" t="s">
        <v>320</v>
      </c>
      <c r="B52" s="66">
        <v>8110</v>
      </c>
      <c r="C52" s="66" t="s">
        <v>4</v>
      </c>
      <c r="D52" s="60" t="s">
        <v>131</v>
      </c>
      <c r="E52" s="34">
        <f t="shared" si="18"/>
        <v>357660</v>
      </c>
      <c r="F52" s="32">
        <f>F53+F54+F55+F56</f>
        <v>357660</v>
      </c>
      <c r="G52" s="32">
        <f t="shared" ref="G52:H52" si="30">G53+G54+G55+G56</f>
        <v>0</v>
      </c>
      <c r="H52" s="32">
        <f t="shared" si="30"/>
        <v>0</v>
      </c>
      <c r="I52" s="34">
        <f t="shared" si="19"/>
        <v>351533.20999999996</v>
      </c>
      <c r="J52" s="32">
        <f>J53+J54+J55+J56</f>
        <v>351533.20999999996</v>
      </c>
      <c r="K52" s="32">
        <f t="shared" ref="K52" si="31">K53+K54+K55+K56</f>
        <v>0</v>
      </c>
      <c r="L52" s="32">
        <f t="shared" ref="L52" si="32">L53+L54+L55+L56</f>
        <v>0</v>
      </c>
      <c r="M52" s="61">
        <f t="shared" si="15"/>
        <v>0.98286979254040141</v>
      </c>
      <c r="N52" s="61">
        <f t="shared" si="16"/>
        <v>0.98286979254040141</v>
      </c>
      <c r="O52" s="61"/>
      <c r="P52" s="61"/>
    </row>
    <row r="53" spans="1:16" s="5" customFormat="1" ht="56.25" x14ac:dyDescent="0.25">
      <c r="A53" s="67"/>
      <c r="B53" s="67"/>
      <c r="C53" s="67"/>
      <c r="D53" s="64" t="s">
        <v>224</v>
      </c>
      <c r="E53" s="42">
        <f t="shared" si="18"/>
        <v>72000</v>
      </c>
      <c r="F53" s="33">
        <v>72000</v>
      </c>
      <c r="G53" s="33"/>
      <c r="H53" s="33"/>
      <c r="I53" s="42">
        <f t="shared" si="19"/>
        <v>68697.36</v>
      </c>
      <c r="J53" s="33">
        <v>68697.36</v>
      </c>
      <c r="K53" s="33"/>
      <c r="L53" s="33"/>
      <c r="M53" s="65">
        <f t="shared" si="15"/>
        <v>0.95413000000000003</v>
      </c>
      <c r="N53" s="65">
        <f t="shared" si="16"/>
        <v>0.95413000000000003</v>
      </c>
      <c r="O53" s="65"/>
      <c r="P53" s="65"/>
    </row>
    <row r="54" spans="1:16" s="13" customFormat="1" ht="56.25" x14ac:dyDescent="0.25">
      <c r="A54" s="67"/>
      <c r="B54" s="67"/>
      <c r="C54" s="67"/>
      <c r="D54" s="64" t="s">
        <v>204</v>
      </c>
      <c r="E54" s="42">
        <f t="shared" si="18"/>
        <v>33000</v>
      </c>
      <c r="F54" s="33">
        <v>33000</v>
      </c>
      <c r="G54" s="33"/>
      <c r="H54" s="33"/>
      <c r="I54" s="42">
        <f t="shared" si="19"/>
        <v>30386.05</v>
      </c>
      <c r="J54" s="33">
        <v>30386.05</v>
      </c>
      <c r="K54" s="33"/>
      <c r="L54" s="33"/>
      <c r="M54" s="65">
        <f t="shared" si="15"/>
        <v>0.92078939393939396</v>
      </c>
      <c r="N54" s="65">
        <f t="shared" si="16"/>
        <v>0.92078939393939396</v>
      </c>
      <c r="O54" s="65"/>
      <c r="P54" s="65"/>
    </row>
    <row r="55" spans="1:16" s="13" customFormat="1" ht="75" x14ac:dyDescent="0.25">
      <c r="A55" s="67"/>
      <c r="B55" s="67"/>
      <c r="C55" s="67"/>
      <c r="D55" s="64" t="s">
        <v>312</v>
      </c>
      <c r="E55" s="42">
        <f t="shared" si="18"/>
        <v>154660</v>
      </c>
      <c r="F55" s="33">
        <v>154660</v>
      </c>
      <c r="G55" s="33"/>
      <c r="H55" s="33"/>
      <c r="I55" s="42">
        <f t="shared" si="19"/>
        <v>154659.79999999999</v>
      </c>
      <c r="J55" s="33">
        <v>154659.79999999999</v>
      </c>
      <c r="K55" s="33"/>
      <c r="L55" s="33"/>
      <c r="M55" s="65">
        <f t="shared" si="15"/>
        <v>0.99999870684081205</v>
      </c>
      <c r="N55" s="65">
        <f t="shared" si="16"/>
        <v>0.99999870684081205</v>
      </c>
      <c r="O55" s="65"/>
      <c r="P55" s="65"/>
    </row>
    <row r="56" spans="1:16" s="5" customFormat="1" ht="56.25" x14ac:dyDescent="0.25">
      <c r="A56" s="67"/>
      <c r="B56" s="67"/>
      <c r="C56" s="67"/>
      <c r="D56" s="64" t="s">
        <v>313</v>
      </c>
      <c r="E56" s="42">
        <f t="shared" si="18"/>
        <v>98000</v>
      </c>
      <c r="F56" s="33">
        <v>98000</v>
      </c>
      <c r="G56" s="33"/>
      <c r="H56" s="33"/>
      <c r="I56" s="42">
        <f t="shared" si="19"/>
        <v>97790</v>
      </c>
      <c r="J56" s="33">
        <v>97790</v>
      </c>
      <c r="K56" s="33"/>
      <c r="L56" s="33"/>
      <c r="M56" s="65">
        <f t="shared" si="15"/>
        <v>0.99785714285714289</v>
      </c>
      <c r="N56" s="65">
        <f t="shared" si="16"/>
        <v>0.99785714285714289</v>
      </c>
      <c r="O56" s="65"/>
      <c r="P56" s="65"/>
    </row>
    <row r="57" spans="1:16" s="6" customFormat="1" ht="37.5" x14ac:dyDescent="0.25">
      <c r="A57" s="59" t="s">
        <v>175</v>
      </c>
      <c r="B57" s="59" t="s">
        <v>176</v>
      </c>
      <c r="C57" s="59" t="s">
        <v>153</v>
      </c>
      <c r="D57" s="60" t="s">
        <v>177</v>
      </c>
      <c r="E57" s="34">
        <f t="shared" si="18"/>
        <v>28020550</v>
      </c>
      <c r="F57" s="32">
        <v>28020550</v>
      </c>
      <c r="G57" s="32">
        <v>0</v>
      </c>
      <c r="H57" s="32">
        <v>0</v>
      </c>
      <c r="I57" s="34">
        <f t="shared" si="19"/>
        <v>27943402.57</v>
      </c>
      <c r="J57" s="32">
        <v>27943402.57</v>
      </c>
      <c r="K57" s="32"/>
      <c r="L57" s="32"/>
      <c r="M57" s="61">
        <f t="shared" si="15"/>
        <v>0.99724675532778617</v>
      </c>
      <c r="N57" s="61">
        <f t="shared" si="16"/>
        <v>0.99724675532778617</v>
      </c>
      <c r="O57" s="61"/>
      <c r="P57" s="61"/>
    </row>
    <row r="58" spans="1:16" s="6" customFormat="1" ht="37.5" x14ac:dyDescent="0.25">
      <c r="A58" s="59" t="s">
        <v>233</v>
      </c>
      <c r="B58" s="59" t="s">
        <v>321</v>
      </c>
      <c r="C58" s="59" t="s">
        <v>153</v>
      </c>
      <c r="D58" s="60" t="s">
        <v>234</v>
      </c>
      <c r="E58" s="34">
        <f t="shared" si="18"/>
        <v>233347</v>
      </c>
      <c r="F58" s="34">
        <v>233347</v>
      </c>
      <c r="G58" s="34">
        <v>0</v>
      </c>
      <c r="H58" s="34">
        <v>0</v>
      </c>
      <c r="I58" s="34">
        <f t="shared" si="19"/>
        <v>233280</v>
      </c>
      <c r="J58" s="34">
        <v>233280</v>
      </c>
      <c r="K58" s="34"/>
      <c r="L58" s="34"/>
      <c r="M58" s="61">
        <f t="shared" si="15"/>
        <v>0.99971287396023945</v>
      </c>
      <c r="N58" s="61">
        <f t="shared" si="16"/>
        <v>0.99971287396023945</v>
      </c>
      <c r="O58" s="61"/>
      <c r="P58" s="61"/>
    </row>
    <row r="59" spans="1:16" s="6" customFormat="1" ht="37.5" x14ac:dyDescent="0.25">
      <c r="A59" s="59" t="s">
        <v>235</v>
      </c>
      <c r="B59" s="59" t="s">
        <v>236</v>
      </c>
      <c r="C59" s="59" t="s">
        <v>153</v>
      </c>
      <c r="D59" s="60" t="s">
        <v>237</v>
      </c>
      <c r="E59" s="34">
        <f t="shared" si="18"/>
        <v>5243300</v>
      </c>
      <c r="F59" s="32">
        <v>4202677</v>
      </c>
      <c r="G59" s="32">
        <v>1040623</v>
      </c>
      <c r="H59" s="32">
        <v>1040623</v>
      </c>
      <c r="I59" s="34">
        <f t="shared" si="19"/>
        <v>5227441.5999999996</v>
      </c>
      <c r="J59" s="32">
        <v>4189917.6</v>
      </c>
      <c r="K59" s="32">
        <v>1037524</v>
      </c>
      <c r="L59" s="32">
        <v>1037524</v>
      </c>
      <c r="M59" s="61">
        <f t="shared" si="15"/>
        <v>0.99697549253332818</v>
      </c>
      <c r="N59" s="61">
        <f t="shared" si="16"/>
        <v>0.99696398271863385</v>
      </c>
      <c r="O59" s="61">
        <f t="shared" si="20"/>
        <v>0.9970219762584529</v>
      </c>
      <c r="P59" s="61">
        <f t="shared" si="17"/>
        <v>0.9970219762584529</v>
      </c>
    </row>
    <row r="60" spans="1:16" s="6" customFormat="1" ht="37.5" x14ac:dyDescent="0.25">
      <c r="A60" s="66" t="s">
        <v>300</v>
      </c>
      <c r="B60" s="59">
        <v>8240</v>
      </c>
      <c r="C60" s="66" t="s">
        <v>153</v>
      </c>
      <c r="D60" s="60" t="s">
        <v>239</v>
      </c>
      <c r="E60" s="34">
        <f t="shared" si="18"/>
        <v>1522398</v>
      </c>
      <c r="F60" s="32">
        <v>1465698</v>
      </c>
      <c r="G60" s="32">
        <v>56700</v>
      </c>
      <c r="H60" s="32">
        <v>56700</v>
      </c>
      <c r="I60" s="34">
        <f t="shared" si="19"/>
        <v>1452822</v>
      </c>
      <c r="J60" s="32">
        <v>1396166.4</v>
      </c>
      <c r="K60" s="32">
        <v>56655.6</v>
      </c>
      <c r="L60" s="32">
        <v>56655.6</v>
      </c>
      <c r="M60" s="61">
        <f t="shared" si="15"/>
        <v>0.95429841605151877</v>
      </c>
      <c r="N60" s="61">
        <f t="shared" si="16"/>
        <v>0.95256075944703478</v>
      </c>
      <c r="O60" s="61">
        <f t="shared" si="20"/>
        <v>0.99921693121693123</v>
      </c>
      <c r="P60" s="61">
        <f t="shared" si="17"/>
        <v>0.99921693121693123</v>
      </c>
    </row>
    <row r="61" spans="1:16" s="6" customFormat="1" ht="37.5" x14ac:dyDescent="0.25">
      <c r="A61" s="66" t="s">
        <v>122</v>
      </c>
      <c r="B61" s="59">
        <v>8340</v>
      </c>
      <c r="C61" s="59" t="s">
        <v>41</v>
      </c>
      <c r="D61" s="60" t="s">
        <v>129</v>
      </c>
      <c r="E61" s="34">
        <f t="shared" si="18"/>
        <v>437600</v>
      </c>
      <c r="F61" s="32">
        <v>0</v>
      </c>
      <c r="G61" s="32">
        <v>437600</v>
      </c>
      <c r="H61" s="32"/>
      <c r="I61" s="34">
        <f t="shared" si="19"/>
        <v>90067.6</v>
      </c>
      <c r="J61" s="32"/>
      <c r="K61" s="32">
        <v>90067.6</v>
      </c>
      <c r="L61" s="32"/>
      <c r="M61" s="61">
        <f t="shared" si="15"/>
        <v>0.20582175502742231</v>
      </c>
      <c r="N61" s="61"/>
      <c r="O61" s="61">
        <f t="shared" si="20"/>
        <v>0.20582175502742231</v>
      </c>
      <c r="P61" s="61"/>
    </row>
    <row r="62" spans="1:16" s="13" customFormat="1" ht="56.25" x14ac:dyDescent="0.25">
      <c r="A62" s="56" t="s">
        <v>52</v>
      </c>
      <c r="B62" s="56" t="s">
        <v>223</v>
      </c>
      <c r="C62" s="56" t="s">
        <v>223</v>
      </c>
      <c r="D62" s="57" t="s">
        <v>322</v>
      </c>
      <c r="E62" s="31">
        <f t="shared" si="18"/>
        <v>534665211.18000001</v>
      </c>
      <c r="F62" s="30">
        <f>F63</f>
        <v>489465929.25</v>
      </c>
      <c r="G62" s="30">
        <f t="shared" ref="G62:H62" si="33">G63</f>
        <v>45199281.929999992</v>
      </c>
      <c r="H62" s="30">
        <f t="shared" si="33"/>
        <v>20537781.93</v>
      </c>
      <c r="I62" s="31">
        <f t="shared" si="19"/>
        <v>504051678.29000002</v>
      </c>
      <c r="J62" s="30">
        <f>J63</f>
        <v>467491130.90000004</v>
      </c>
      <c r="K62" s="30">
        <f t="shared" ref="K62" si="34">K63</f>
        <v>36560547.390000001</v>
      </c>
      <c r="L62" s="30">
        <f t="shared" ref="L62" si="35">L63</f>
        <v>19555303.41</v>
      </c>
      <c r="M62" s="58">
        <f t="shared" si="15"/>
        <v>0.94274261304109108</v>
      </c>
      <c r="N62" s="58">
        <f t="shared" si="16"/>
        <v>0.95510453938301376</v>
      </c>
      <c r="O62" s="58">
        <f t="shared" si="20"/>
        <v>0.80887451810896516</v>
      </c>
      <c r="P62" s="58">
        <f t="shared" si="17"/>
        <v>0.95216238426580668</v>
      </c>
    </row>
    <row r="63" spans="1:16" s="13" customFormat="1" ht="56.25" x14ac:dyDescent="0.25">
      <c r="A63" s="56" t="s">
        <v>53</v>
      </c>
      <c r="B63" s="56" t="s">
        <v>223</v>
      </c>
      <c r="C63" s="56" t="s">
        <v>223</v>
      </c>
      <c r="D63" s="57" t="s">
        <v>322</v>
      </c>
      <c r="E63" s="31">
        <f t="shared" si="18"/>
        <v>534665211.18000001</v>
      </c>
      <c r="F63" s="30">
        <f>SUM(F64:F93)-F68</f>
        <v>489465929.25</v>
      </c>
      <c r="G63" s="30">
        <f t="shared" ref="G63:H63" si="36">SUM(G64:G93)-G68</f>
        <v>45199281.929999992</v>
      </c>
      <c r="H63" s="30">
        <f t="shared" si="36"/>
        <v>20537781.93</v>
      </c>
      <c r="I63" s="31">
        <f t="shared" si="19"/>
        <v>504051678.29000002</v>
      </c>
      <c r="J63" s="30">
        <f>SUM(J64:J93)-J68</f>
        <v>467491130.90000004</v>
      </c>
      <c r="K63" s="30">
        <f t="shared" ref="K63" si="37">SUM(K64:K93)-K68</f>
        <v>36560547.390000001</v>
      </c>
      <c r="L63" s="30">
        <f t="shared" ref="L63" si="38">SUM(L64:L93)-L68</f>
        <v>19555303.41</v>
      </c>
      <c r="M63" s="58">
        <f t="shared" si="15"/>
        <v>0.94274261304109108</v>
      </c>
      <c r="N63" s="58">
        <f t="shared" si="16"/>
        <v>0.95510453938301376</v>
      </c>
      <c r="O63" s="58">
        <f t="shared" si="20"/>
        <v>0.80887451810896516</v>
      </c>
      <c r="P63" s="58">
        <f t="shared" si="17"/>
        <v>0.95216238426580668</v>
      </c>
    </row>
    <row r="64" spans="1:16" s="6" customFormat="1" ht="56.25" x14ac:dyDescent="0.25">
      <c r="A64" s="59" t="s">
        <v>55</v>
      </c>
      <c r="B64" s="59" t="s">
        <v>54</v>
      </c>
      <c r="C64" s="59" t="s">
        <v>2</v>
      </c>
      <c r="D64" s="60" t="s">
        <v>240</v>
      </c>
      <c r="E64" s="34">
        <f t="shared" si="18"/>
        <v>6484725.8799999999</v>
      </c>
      <c r="F64" s="32">
        <v>6484725.8799999999</v>
      </c>
      <c r="G64" s="32">
        <v>0</v>
      </c>
      <c r="H64" s="32">
        <v>0</v>
      </c>
      <c r="I64" s="34">
        <f t="shared" si="19"/>
        <v>6422285.6399999997</v>
      </c>
      <c r="J64" s="32">
        <v>6422285.6399999997</v>
      </c>
      <c r="K64" s="32"/>
      <c r="L64" s="32"/>
      <c r="M64" s="61">
        <f t="shared" si="15"/>
        <v>0.99037118281397574</v>
      </c>
      <c r="N64" s="61">
        <f t="shared" si="16"/>
        <v>0.99037118281397574</v>
      </c>
      <c r="O64" s="61"/>
      <c r="P64" s="61"/>
    </row>
    <row r="65" spans="1:16" s="6" customFormat="1" ht="18.75" x14ac:dyDescent="0.25">
      <c r="A65" s="59" t="s">
        <v>56</v>
      </c>
      <c r="B65" s="59" t="s">
        <v>10</v>
      </c>
      <c r="C65" s="59" t="s">
        <v>11</v>
      </c>
      <c r="D65" s="60" t="s">
        <v>57</v>
      </c>
      <c r="E65" s="34">
        <f t="shared" si="18"/>
        <v>105217816</v>
      </c>
      <c r="F65" s="32">
        <v>94830126</v>
      </c>
      <c r="G65" s="32">
        <v>10387690</v>
      </c>
      <c r="H65" s="32">
        <v>1000040</v>
      </c>
      <c r="I65" s="34">
        <f t="shared" si="19"/>
        <v>98018438.900000006</v>
      </c>
      <c r="J65" s="32">
        <v>93577282.560000002</v>
      </c>
      <c r="K65" s="32">
        <f>1000039.97+3272116.66+168999.71</f>
        <v>4441156.34</v>
      </c>
      <c r="L65" s="32">
        <f>1000039.97</f>
        <v>1000039.97</v>
      </c>
      <c r="M65" s="61">
        <f t="shared" si="15"/>
        <v>0.93157644424020358</v>
      </c>
      <c r="N65" s="61">
        <f t="shared" si="16"/>
        <v>0.9867885502967696</v>
      </c>
      <c r="O65" s="61">
        <f t="shared" si="20"/>
        <v>0.4275403232094912</v>
      </c>
      <c r="P65" s="61">
        <f t="shared" si="17"/>
        <v>0.99999997000119989</v>
      </c>
    </row>
    <row r="66" spans="1:16" s="6" customFormat="1" ht="56.25" x14ac:dyDescent="0.25">
      <c r="A66" s="59" t="s">
        <v>181</v>
      </c>
      <c r="B66" s="59" t="s">
        <v>182</v>
      </c>
      <c r="C66" s="59" t="s">
        <v>13</v>
      </c>
      <c r="D66" s="60" t="s">
        <v>286</v>
      </c>
      <c r="E66" s="34">
        <f t="shared" si="18"/>
        <v>118196418.98</v>
      </c>
      <c r="F66" s="32">
        <v>112457143.37</v>
      </c>
      <c r="G66" s="32">
        <v>5739275.6100000003</v>
      </c>
      <c r="H66" s="32">
        <v>5531586.6100000003</v>
      </c>
      <c r="I66" s="34">
        <f t="shared" si="19"/>
        <v>117462414.28999999</v>
      </c>
      <c r="J66" s="32">
        <v>107477362.34999999</v>
      </c>
      <c r="K66" s="32">
        <f>4669495.43+382335.35+4933221.16</f>
        <v>9985051.9399999995</v>
      </c>
      <c r="L66" s="32">
        <f>4669495.43</f>
        <v>4669495.43</v>
      </c>
      <c r="M66" s="61">
        <f t="shared" si="15"/>
        <v>0.99378995830555394</v>
      </c>
      <c r="N66" s="61">
        <f t="shared" si="16"/>
        <v>0.95571841084726983</v>
      </c>
      <c r="O66" s="61">
        <f t="shared" si="20"/>
        <v>1.7397756474009094</v>
      </c>
      <c r="P66" s="61">
        <f t="shared" si="17"/>
        <v>0.84415119191273036</v>
      </c>
    </row>
    <row r="67" spans="1:16" s="6" customFormat="1" ht="112.5" x14ac:dyDescent="0.25">
      <c r="A67" s="59" t="s">
        <v>183</v>
      </c>
      <c r="B67" s="59" t="s">
        <v>184</v>
      </c>
      <c r="C67" s="59" t="s">
        <v>15</v>
      </c>
      <c r="D67" s="60" t="s">
        <v>287</v>
      </c>
      <c r="E67" s="34">
        <f t="shared" si="18"/>
        <v>15423857</v>
      </c>
      <c r="F67" s="32">
        <v>14739788</v>
      </c>
      <c r="G67" s="32">
        <v>684069</v>
      </c>
      <c r="H67" s="32">
        <v>684069</v>
      </c>
      <c r="I67" s="34">
        <f t="shared" si="19"/>
        <v>15056000.85</v>
      </c>
      <c r="J67" s="32">
        <v>14022461.1</v>
      </c>
      <c r="K67" s="32">
        <f>639068.64+4354.16+390116.95</f>
        <v>1033539.75</v>
      </c>
      <c r="L67" s="32">
        <f>639068.64</f>
        <v>639068.64</v>
      </c>
      <c r="M67" s="61">
        <f t="shared" si="15"/>
        <v>0.9761501840946788</v>
      </c>
      <c r="N67" s="61">
        <f t="shared" si="16"/>
        <v>0.95133397440994405</v>
      </c>
      <c r="O67" s="61">
        <f t="shared" si="20"/>
        <v>1.5108706139292967</v>
      </c>
      <c r="P67" s="61">
        <f t="shared" si="17"/>
        <v>0.93421663604110117</v>
      </c>
    </row>
    <row r="68" spans="1:16" s="6" customFormat="1" ht="56.25" x14ac:dyDescent="0.25">
      <c r="A68" s="59" t="s">
        <v>185</v>
      </c>
      <c r="B68" s="59" t="s">
        <v>186</v>
      </c>
      <c r="C68" s="59" t="s">
        <v>13</v>
      </c>
      <c r="D68" s="60" t="s">
        <v>288</v>
      </c>
      <c r="E68" s="34">
        <f t="shared" si="18"/>
        <v>141649486</v>
      </c>
      <c r="F68" s="32">
        <f>F70+F71</f>
        <v>141649486</v>
      </c>
      <c r="G68" s="32">
        <v>0</v>
      </c>
      <c r="H68" s="32">
        <v>0</v>
      </c>
      <c r="I68" s="34">
        <f t="shared" si="19"/>
        <v>141574214.19999999</v>
      </c>
      <c r="J68" s="32">
        <f>J70+J71</f>
        <v>141574214.19999999</v>
      </c>
      <c r="K68" s="32">
        <v>0</v>
      </c>
      <c r="L68" s="32">
        <v>0</v>
      </c>
      <c r="M68" s="61">
        <f t="shared" si="15"/>
        <v>0.99946860520199832</v>
      </c>
      <c r="N68" s="61">
        <f t="shared" si="16"/>
        <v>0.99946860520199832</v>
      </c>
      <c r="O68" s="61"/>
      <c r="P68" s="61"/>
    </row>
    <row r="69" spans="1:16" s="5" customFormat="1" ht="18.75" x14ac:dyDescent="0.25">
      <c r="A69" s="63"/>
      <c r="B69" s="63"/>
      <c r="C69" s="63"/>
      <c r="D69" s="64" t="s">
        <v>323</v>
      </c>
      <c r="E69" s="42">
        <f t="shared" si="18"/>
        <v>0</v>
      </c>
      <c r="F69" s="33"/>
      <c r="G69" s="33"/>
      <c r="H69" s="33"/>
      <c r="I69" s="42">
        <f t="shared" si="19"/>
        <v>0</v>
      </c>
      <c r="J69" s="33"/>
      <c r="K69" s="33"/>
      <c r="L69" s="33"/>
      <c r="M69" s="65"/>
      <c r="N69" s="65"/>
      <c r="O69" s="65"/>
      <c r="P69" s="65"/>
    </row>
    <row r="70" spans="1:16" s="5" customFormat="1" ht="37.5" x14ac:dyDescent="0.25">
      <c r="A70" s="63"/>
      <c r="B70" s="63"/>
      <c r="C70" s="63"/>
      <c r="D70" s="64" t="s">
        <v>324</v>
      </c>
      <c r="E70" s="42">
        <f t="shared" si="18"/>
        <v>141296600</v>
      </c>
      <c r="F70" s="33">
        <v>141296600</v>
      </c>
      <c r="G70" s="33"/>
      <c r="H70" s="33"/>
      <c r="I70" s="42">
        <f t="shared" si="19"/>
        <v>141296600</v>
      </c>
      <c r="J70" s="33">
        <v>141296600</v>
      </c>
      <c r="K70" s="33"/>
      <c r="L70" s="33"/>
      <c r="M70" s="65">
        <f t="shared" si="15"/>
        <v>1</v>
      </c>
      <c r="N70" s="65">
        <f t="shared" si="16"/>
        <v>1</v>
      </c>
      <c r="O70" s="65"/>
      <c r="P70" s="65"/>
    </row>
    <row r="71" spans="1:16" s="5" customFormat="1" ht="37.5" x14ac:dyDescent="0.25">
      <c r="A71" s="63"/>
      <c r="B71" s="63"/>
      <c r="C71" s="63"/>
      <c r="D71" s="64" t="s">
        <v>325</v>
      </c>
      <c r="E71" s="42">
        <f t="shared" si="18"/>
        <v>352886</v>
      </c>
      <c r="F71" s="33">
        <v>352886</v>
      </c>
      <c r="G71" s="33"/>
      <c r="H71" s="33"/>
      <c r="I71" s="42">
        <f t="shared" si="19"/>
        <v>277614.2</v>
      </c>
      <c r="J71" s="33">
        <v>277614.2</v>
      </c>
      <c r="K71" s="33"/>
      <c r="L71" s="33"/>
      <c r="M71" s="65">
        <f t="shared" si="15"/>
        <v>0.78669655356120671</v>
      </c>
      <c r="N71" s="65">
        <f t="shared" si="16"/>
        <v>0.78669655356120671</v>
      </c>
      <c r="O71" s="65"/>
      <c r="P71" s="65"/>
    </row>
    <row r="72" spans="1:16" s="6" customFormat="1" ht="93.75" x14ac:dyDescent="0.25">
      <c r="A72" s="59" t="s">
        <v>187</v>
      </c>
      <c r="B72" s="59" t="s">
        <v>188</v>
      </c>
      <c r="C72" s="59" t="s">
        <v>15</v>
      </c>
      <c r="D72" s="60" t="s">
        <v>289</v>
      </c>
      <c r="E72" s="34">
        <f t="shared" si="18"/>
        <v>13104200</v>
      </c>
      <c r="F72" s="32">
        <v>13104200</v>
      </c>
      <c r="G72" s="32">
        <v>0</v>
      </c>
      <c r="H72" s="32">
        <v>0</v>
      </c>
      <c r="I72" s="34">
        <f t="shared" si="19"/>
        <v>13104200</v>
      </c>
      <c r="J72" s="32">
        <v>13104200</v>
      </c>
      <c r="K72" s="32"/>
      <c r="L72" s="32"/>
      <c r="M72" s="61">
        <f t="shared" si="15"/>
        <v>1</v>
      </c>
      <c r="N72" s="61">
        <f t="shared" si="16"/>
        <v>1</v>
      </c>
      <c r="O72" s="61"/>
      <c r="P72" s="61"/>
    </row>
    <row r="73" spans="1:16" s="6" customFormat="1" ht="56.25" x14ac:dyDescent="0.25">
      <c r="A73" s="59" t="s">
        <v>58</v>
      </c>
      <c r="B73" s="59" t="s">
        <v>33</v>
      </c>
      <c r="C73" s="59" t="s">
        <v>16</v>
      </c>
      <c r="D73" s="60" t="s">
        <v>189</v>
      </c>
      <c r="E73" s="34">
        <f t="shared" si="18"/>
        <v>22552696</v>
      </c>
      <c r="F73" s="32">
        <v>22359853</v>
      </c>
      <c r="G73" s="32">
        <v>192843</v>
      </c>
      <c r="H73" s="32">
        <v>3483</v>
      </c>
      <c r="I73" s="34">
        <f t="shared" si="19"/>
        <v>21786553.920000002</v>
      </c>
      <c r="J73" s="32">
        <v>21725151.300000001</v>
      </c>
      <c r="K73" s="32">
        <f>3482.02+43569+14351.6</f>
        <v>61402.619999999995</v>
      </c>
      <c r="L73" s="32">
        <f>3482.02</f>
        <v>3482.02</v>
      </c>
      <c r="M73" s="61">
        <f t="shared" si="15"/>
        <v>0.96602880294222926</v>
      </c>
      <c r="N73" s="61">
        <f t="shared" si="16"/>
        <v>0.97161422751750648</v>
      </c>
      <c r="O73" s="61">
        <f t="shared" si="20"/>
        <v>0.31840730542461998</v>
      </c>
      <c r="P73" s="61">
        <f t="shared" si="17"/>
        <v>0.99971863336204425</v>
      </c>
    </row>
    <row r="74" spans="1:16" s="6" customFormat="1" ht="37.5" x14ac:dyDescent="0.25">
      <c r="A74" s="59" t="s">
        <v>190</v>
      </c>
      <c r="B74" s="59" t="s">
        <v>191</v>
      </c>
      <c r="C74" s="59" t="s">
        <v>17</v>
      </c>
      <c r="D74" s="60" t="s">
        <v>192</v>
      </c>
      <c r="E74" s="34">
        <f t="shared" si="18"/>
        <v>18000</v>
      </c>
      <c r="F74" s="32">
        <v>18000</v>
      </c>
      <c r="G74" s="32">
        <v>0</v>
      </c>
      <c r="H74" s="32">
        <v>0</v>
      </c>
      <c r="I74" s="34">
        <f t="shared" si="19"/>
        <v>18000</v>
      </c>
      <c r="J74" s="32">
        <v>18000</v>
      </c>
      <c r="K74" s="32"/>
      <c r="L74" s="32"/>
      <c r="M74" s="61">
        <f t="shared" si="15"/>
        <v>1</v>
      </c>
      <c r="N74" s="61">
        <f t="shared" si="16"/>
        <v>1</v>
      </c>
      <c r="O74" s="61"/>
      <c r="P74" s="61"/>
    </row>
    <row r="75" spans="1:16" s="6" customFormat="1" ht="37.5" x14ac:dyDescent="0.25">
      <c r="A75" s="59" t="s">
        <v>193</v>
      </c>
      <c r="B75" s="59" t="s">
        <v>194</v>
      </c>
      <c r="C75" s="59" t="s">
        <v>18</v>
      </c>
      <c r="D75" s="60" t="s">
        <v>146</v>
      </c>
      <c r="E75" s="34">
        <f t="shared" si="18"/>
        <v>28485864</v>
      </c>
      <c r="F75" s="32">
        <v>24652873</v>
      </c>
      <c r="G75" s="32">
        <v>3832991</v>
      </c>
      <c r="H75" s="32">
        <v>3832990</v>
      </c>
      <c r="I75" s="34">
        <f t="shared" si="19"/>
        <v>26515383.43</v>
      </c>
      <c r="J75" s="32">
        <v>22682883.43</v>
      </c>
      <c r="K75" s="32">
        <f>3832500</f>
        <v>3832500</v>
      </c>
      <c r="L75" s="32">
        <f>3832500</f>
        <v>3832500</v>
      </c>
      <c r="M75" s="61">
        <f t="shared" si="15"/>
        <v>0.93082602058340236</v>
      </c>
      <c r="N75" s="61">
        <f t="shared" si="16"/>
        <v>0.92009087257294508</v>
      </c>
      <c r="O75" s="61">
        <f t="shared" si="20"/>
        <v>0.99987190160373451</v>
      </c>
      <c r="P75" s="61">
        <f t="shared" si="17"/>
        <v>0.99987216246324673</v>
      </c>
    </row>
    <row r="76" spans="1:16" s="6" customFormat="1" ht="56.25" x14ac:dyDescent="0.25">
      <c r="A76" s="59" t="s">
        <v>195</v>
      </c>
      <c r="B76" s="59" t="s">
        <v>196</v>
      </c>
      <c r="C76" s="59" t="s">
        <v>18</v>
      </c>
      <c r="D76" s="60" t="s">
        <v>197</v>
      </c>
      <c r="E76" s="34">
        <f t="shared" si="18"/>
        <v>711515</v>
      </c>
      <c r="F76" s="32">
        <v>711515</v>
      </c>
      <c r="G76" s="32">
        <v>0</v>
      </c>
      <c r="H76" s="32">
        <v>0</v>
      </c>
      <c r="I76" s="34">
        <f t="shared" si="19"/>
        <v>628734.31999999995</v>
      </c>
      <c r="J76" s="32">
        <v>628734.31999999995</v>
      </c>
      <c r="K76" s="32"/>
      <c r="L76" s="32"/>
      <c r="M76" s="61">
        <f t="shared" si="15"/>
        <v>0.88365574864900942</v>
      </c>
      <c r="N76" s="61">
        <f t="shared" si="16"/>
        <v>0.88365574864900942</v>
      </c>
      <c r="O76" s="61"/>
      <c r="P76" s="61"/>
    </row>
    <row r="77" spans="1:16" s="6" customFormat="1" ht="56.25" x14ac:dyDescent="0.25">
      <c r="A77" s="66" t="s">
        <v>198</v>
      </c>
      <c r="B77" s="59">
        <v>1152</v>
      </c>
      <c r="C77" s="59" t="s">
        <v>18</v>
      </c>
      <c r="D77" s="60" t="s">
        <v>199</v>
      </c>
      <c r="E77" s="34">
        <f t="shared" si="18"/>
        <v>2782950</v>
      </c>
      <c r="F77" s="32">
        <v>2782950</v>
      </c>
      <c r="G77" s="32"/>
      <c r="H77" s="32"/>
      <c r="I77" s="34">
        <f t="shared" si="19"/>
        <v>1844168.22</v>
      </c>
      <c r="J77" s="32">
        <v>1844168.22</v>
      </c>
      <c r="K77" s="32"/>
      <c r="L77" s="32"/>
      <c r="M77" s="61">
        <f t="shared" si="15"/>
        <v>0.66266667385328515</v>
      </c>
      <c r="N77" s="61">
        <f t="shared" si="16"/>
        <v>0.66266667385328515</v>
      </c>
      <c r="O77" s="61"/>
      <c r="P77" s="61"/>
    </row>
    <row r="78" spans="1:16" s="6" customFormat="1" ht="56.25" x14ac:dyDescent="0.25">
      <c r="A78" s="59" t="s">
        <v>270</v>
      </c>
      <c r="B78" s="59" t="s">
        <v>271</v>
      </c>
      <c r="C78" s="59" t="s">
        <v>18</v>
      </c>
      <c r="D78" s="60" t="s">
        <v>272</v>
      </c>
      <c r="E78" s="34">
        <f t="shared" si="18"/>
        <v>4507894</v>
      </c>
      <c r="F78" s="32">
        <v>4507894</v>
      </c>
      <c r="G78" s="32">
        <v>0</v>
      </c>
      <c r="H78" s="32">
        <v>0</v>
      </c>
      <c r="I78" s="34">
        <f t="shared" si="19"/>
        <v>4464331.03</v>
      </c>
      <c r="J78" s="32">
        <v>4464331.03</v>
      </c>
      <c r="K78" s="32"/>
      <c r="L78" s="32"/>
      <c r="M78" s="61">
        <f t="shared" si="15"/>
        <v>0.99033629229081255</v>
      </c>
      <c r="N78" s="61">
        <f t="shared" si="16"/>
        <v>0.99033629229081255</v>
      </c>
      <c r="O78" s="61"/>
      <c r="P78" s="61"/>
    </row>
    <row r="79" spans="1:16" s="6" customFormat="1" ht="131.25" x14ac:dyDescent="0.25">
      <c r="A79" s="66" t="s">
        <v>326</v>
      </c>
      <c r="B79" s="66" t="s">
        <v>327</v>
      </c>
      <c r="C79" s="66" t="s">
        <v>18</v>
      </c>
      <c r="D79" s="60" t="s">
        <v>328</v>
      </c>
      <c r="E79" s="34">
        <f t="shared" si="18"/>
        <v>1291800</v>
      </c>
      <c r="F79" s="32">
        <v>0</v>
      </c>
      <c r="G79" s="32">
        <v>1291800</v>
      </c>
      <c r="H79" s="32">
        <v>1291800</v>
      </c>
      <c r="I79" s="34">
        <f t="shared" si="19"/>
        <v>1291800</v>
      </c>
      <c r="J79" s="32"/>
      <c r="K79" s="32">
        <f>1291800</f>
        <v>1291800</v>
      </c>
      <c r="L79" s="32">
        <f>1291800</f>
        <v>1291800</v>
      </c>
      <c r="M79" s="61">
        <f t="shared" si="15"/>
        <v>1</v>
      </c>
      <c r="N79" s="61"/>
      <c r="O79" s="61">
        <f t="shared" si="20"/>
        <v>1</v>
      </c>
      <c r="P79" s="61">
        <f t="shared" si="17"/>
        <v>1</v>
      </c>
    </row>
    <row r="80" spans="1:16" s="6" customFormat="1" ht="131.25" x14ac:dyDescent="0.25">
      <c r="A80" s="66" t="s">
        <v>329</v>
      </c>
      <c r="B80" s="66" t="s">
        <v>330</v>
      </c>
      <c r="C80" s="66" t="s">
        <v>18</v>
      </c>
      <c r="D80" s="60" t="s">
        <v>331</v>
      </c>
      <c r="E80" s="34">
        <f t="shared" si="18"/>
        <v>3043200</v>
      </c>
      <c r="F80" s="32">
        <v>0</v>
      </c>
      <c r="G80" s="32">
        <v>3043200</v>
      </c>
      <c r="H80" s="32">
        <v>3043200</v>
      </c>
      <c r="I80" s="34">
        <f t="shared" si="19"/>
        <v>3043200</v>
      </c>
      <c r="J80" s="32"/>
      <c r="K80" s="32">
        <f>3043200</f>
        <v>3043200</v>
      </c>
      <c r="L80" s="32">
        <f>3043200</f>
        <v>3043200</v>
      </c>
      <c r="M80" s="61">
        <f t="shared" si="15"/>
        <v>1</v>
      </c>
      <c r="N80" s="61"/>
      <c r="O80" s="61">
        <f t="shared" si="20"/>
        <v>1</v>
      </c>
      <c r="P80" s="61">
        <f t="shared" si="17"/>
        <v>1</v>
      </c>
    </row>
    <row r="81" spans="1:16" s="8" customFormat="1" ht="131.25" x14ac:dyDescent="0.25">
      <c r="A81" s="66" t="s">
        <v>332</v>
      </c>
      <c r="B81" s="66" t="s">
        <v>333</v>
      </c>
      <c r="C81" s="66" t="s">
        <v>18</v>
      </c>
      <c r="D81" s="60" t="s">
        <v>334</v>
      </c>
      <c r="E81" s="34">
        <f t="shared" si="18"/>
        <v>330900</v>
      </c>
      <c r="F81" s="32">
        <v>330900</v>
      </c>
      <c r="G81" s="32">
        <v>0</v>
      </c>
      <c r="H81" s="32"/>
      <c r="I81" s="34">
        <f t="shared" si="19"/>
        <v>330900</v>
      </c>
      <c r="J81" s="32">
        <v>330900</v>
      </c>
      <c r="K81" s="32"/>
      <c r="L81" s="32"/>
      <c r="M81" s="61">
        <f t="shared" si="15"/>
        <v>1</v>
      </c>
      <c r="N81" s="61">
        <f t="shared" si="16"/>
        <v>1</v>
      </c>
      <c r="O81" s="61"/>
      <c r="P81" s="61"/>
    </row>
    <row r="82" spans="1:16" s="8" customFormat="1" ht="112.5" x14ac:dyDescent="0.25">
      <c r="A82" s="66" t="s">
        <v>413</v>
      </c>
      <c r="B82" s="66" t="s">
        <v>414</v>
      </c>
      <c r="C82" s="66" t="s">
        <v>18</v>
      </c>
      <c r="D82" s="60" t="s">
        <v>415</v>
      </c>
      <c r="E82" s="34">
        <f t="shared" si="18"/>
        <v>4508100</v>
      </c>
      <c r="F82" s="32">
        <v>0</v>
      </c>
      <c r="G82" s="32">
        <v>4508100</v>
      </c>
      <c r="H82" s="32"/>
      <c r="I82" s="34">
        <f t="shared" si="19"/>
        <v>0</v>
      </c>
      <c r="J82" s="32"/>
      <c r="K82" s="32"/>
      <c r="L82" s="32"/>
      <c r="M82" s="61">
        <f t="shared" ref="M82:M144" si="39">I82/E82</f>
        <v>0</v>
      </c>
      <c r="N82" s="61"/>
      <c r="O82" s="61"/>
      <c r="P82" s="61"/>
    </row>
    <row r="83" spans="1:16" s="6" customFormat="1" ht="93.75" x14ac:dyDescent="0.25">
      <c r="A83" s="66" t="s">
        <v>403</v>
      </c>
      <c r="B83" s="66" t="s">
        <v>404</v>
      </c>
      <c r="C83" s="66" t="s">
        <v>18</v>
      </c>
      <c r="D83" s="60" t="s">
        <v>405</v>
      </c>
      <c r="E83" s="34">
        <f t="shared" ref="E83:E146" si="40">F83+G83</f>
        <v>964613.8</v>
      </c>
      <c r="F83" s="32">
        <v>0</v>
      </c>
      <c r="G83" s="32">
        <v>964613.8</v>
      </c>
      <c r="H83" s="32">
        <v>964613.8</v>
      </c>
      <c r="I83" s="34">
        <f t="shared" ref="I83:I146" si="41">J83+K83</f>
        <v>964613.8</v>
      </c>
      <c r="J83" s="32"/>
      <c r="K83" s="32">
        <v>964613.8</v>
      </c>
      <c r="L83" s="32">
        <v>964613.8</v>
      </c>
      <c r="M83" s="61">
        <f t="shared" si="39"/>
        <v>1</v>
      </c>
      <c r="N83" s="61"/>
      <c r="O83" s="61">
        <f t="shared" ref="O83:O144" si="42">K83/G83</f>
        <v>1</v>
      </c>
      <c r="P83" s="61">
        <f t="shared" ref="P83:P136" si="43">L83/H83</f>
        <v>1</v>
      </c>
    </row>
    <row r="84" spans="1:16" s="6" customFormat="1" ht="75" x14ac:dyDescent="0.25">
      <c r="A84" s="66" t="s">
        <v>335</v>
      </c>
      <c r="B84" s="66" t="s">
        <v>336</v>
      </c>
      <c r="C84" s="66" t="s">
        <v>18</v>
      </c>
      <c r="D84" s="60" t="s">
        <v>337</v>
      </c>
      <c r="E84" s="34">
        <f t="shared" si="40"/>
        <v>7220800</v>
      </c>
      <c r="F84" s="32">
        <v>0</v>
      </c>
      <c r="G84" s="32">
        <v>7220800</v>
      </c>
      <c r="H84" s="32"/>
      <c r="I84" s="34">
        <f t="shared" si="41"/>
        <v>7153423.71</v>
      </c>
      <c r="J84" s="32"/>
      <c r="K84" s="32">
        <v>7153423.71</v>
      </c>
      <c r="L84" s="32"/>
      <c r="M84" s="61">
        <f t="shared" si="39"/>
        <v>0.99066913776866827</v>
      </c>
      <c r="N84" s="61"/>
      <c r="O84" s="61">
        <f t="shared" si="42"/>
        <v>0.99066913776866827</v>
      </c>
      <c r="P84" s="61"/>
    </row>
    <row r="85" spans="1:16" s="6" customFormat="1" ht="150" x14ac:dyDescent="0.25">
      <c r="A85" s="66" t="s">
        <v>416</v>
      </c>
      <c r="B85" s="66" t="s">
        <v>417</v>
      </c>
      <c r="C85" s="66" t="s">
        <v>18</v>
      </c>
      <c r="D85" s="60" t="s">
        <v>418</v>
      </c>
      <c r="E85" s="34">
        <f t="shared" si="40"/>
        <v>254500</v>
      </c>
      <c r="F85" s="32">
        <v>0</v>
      </c>
      <c r="G85" s="32">
        <v>254500</v>
      </c>
      <c r="H85" s="32"/>
      <c r="I85" s="34">
        <f t="shared" si="41"/>
        <v>212695.67999999999</v>
      </c>
      <c r="J85" s="32"/>
      <c r="K85" s="32">
        <v>212695.67999999999</v>
      </c>
      <c r="L85" s="32"/>
      <c r="M85" s="61">
        <f t="shared" si="39"/>
        <v>0.83573941060903734</v>
      </c>
      <c r="N85" s="61"/>
      <c r="O85" s="61">
        <f t="shared" si="42"/>
        <v>0.83573941060903734</v>
      </c>
      <c r="P85" s="61"/>
    </row>
    <row r="86" spans="1:16" s="8" customFormat="1" ht="75" x14ac:dyDescent="0.25">
      <c r="A86" s="66" t="s">
        <v>338</v>
      </c>
      <c r="B86" s="66" t="s">
        <v>339</v>
      </c>
      <c r="C86" s="66" t="s">
        <v>18</v>
      </c>
      <c r="D86" s="60" t="s">
        <v>340</v>
      </c>
      <c r="E86" s="34">
        <f t="shared" si="40"/>
        <v>17981800</v>
      </c>
      <c r="F86" s="32">
        <v>17981800</v>
      </c>
      <c r="G86" s="32">
        <v>0</v>
      </c>
      <c r="H86" s="32"/>
      <c r="I86" s="34">
        <f t="shared" si="41"/>
        <v>16835661.16</v>
      </c>
      <c r="J86" s="32">
        <v>16835661.16</v>
      </c>
      <c r="K86" s="32"/>
      <c r="L86" s="32"/>
      <c r="M86" s="61">
        <f t="shared" si="39"/>
        <v>0.93626117296377454</v>
      </c>
      <c r="N86" s="61">
        <f t="shared" ref="N86:N143" si="44">J86/F86</f>
        <v>0.93626117296377454</v>
      </c>
      <c r="O86" s="61"/>
      <c r="P86" s="61"/>
    </row>
    <row r="87" spans="1:16" s="8" customFormat="1" ht="112.5" x14ac:dyDescent="0.25">
      <c r="A87" s="66" t="s">
        <v>419</v>
      </c>
      <c r="B87" s="59">
        <v>1700</v>
      </c>
      <c r="C87" s="59" t="s">
        <v>18</v>
      </c>
      <c r="D87" s="68" t="s">
        <v>420</v>
      </c>
      <c r="E87" s="34">
        <f t="shared" si="40"/>
        <v>2893400</v>
      </c>
      <c r="F87" s="32">
        <v>0</v>
      </c>
      <c r="G87" s="32">
        <v>2893400</v>
      </c>
      <c r="H87" s="32"/>
      <c r="I87" s="34">
        <f t="shared" si="41"/>
        <v>380070</v>
      </c>
      <c r="J87" s="32"/>
      <c r="K87" s="32">
        <v>380070</v>
      </c>
      <c r="L87" s="32"/>
      <c r="M87" s="61">
        <f t="shared" si="39"/>
        <v>0.13135757240616575</v>
      </c>
      <c r="N87" s="61"/>
      <c r="O87" s="61">
        <f t="shared" si="42"/>
        <v>0.13135757240616575</v>
      </c>
      <c r="P87" s="61"/>
    </row>
    <row r="88" spans="1:16" s="6" customFormat="1" ht="75" x14ac:dyDescent="0.25">
      <c r="A88" s="66" t="s">
        <v>431</v>
      </c>
      <c r="B88" s="59">
        <v>1702</v>
      </c>
      <c r="C88" s="59" t="s">
        <v>18</v>
      </c>
      <c r="D88" s="68" t="s">
        <v>432</v>
      </c>
      <c r="E88" s="34">
        <f t="shared" si="40"/>
        <v>12957600</v>
      </c>
      <c r="F88" s="32">
        <v>12957600</v>
      </c>
      <c r="G88" s="32">
        <v>0</v>
      </c>
      <c r="H88" s="32"/>
      <c r="I88" s="34">
        <f t="shared" si="41"/>
        <v>3119339.86</v>
      </c>
      <c r="J88" s="32">
        <v>3119339.86</v>
      </c>
      <c r="K88" s="32"/>
      <c r="L88" s="32"/>
      <c r="M88" s="61">
        <f t="shared" si="39"/>
        <v>0.24073438445391121</v>
      </c>
      <c r="N88" s="61">
        <f t="shared" si="44"/>
        <v>0.24073438445391121</v>
      </c>
      <c r="O88" s="61"/>
      <c r="P88" s="61"/>
    </row>
    <row r="89" spans="1:16" s="6" customFormat="1" ht="93.75" x14ac:dyDescent="0.25">
      <c r="A89" s="59" t="s">
        <v>273</v>
      </c>
      <c r="B89" s="59" t="s">
        <v>274</v>
      </c>
      <c r="C89" s="59" t="s">
        <v>19</v>
      </c>
      <c r="D89" s="60" t="s">
        <v>275</v>
      </c>
      <c r="E89" s="34">
        <f t="shared" si="40"/>
        <v>2184645.3199999998</v>
      </c>
      <c r="F89" s="32">
        <v>2184645.3199999998</v>
      </c>
      <c r="G89" s="32">
        <v>0</v>
      </c>
      <c r="H89" s="32">
        <v>0</v>
      </c>
      <c r="I89" s="34">
        <f t="shared" si="41"/>
        <v>2184638.2000000002</v>
      </c>
      <c r="J89" s="32">
        <v>2184638.2000000002</v>
      </c>
      <c r="K89" s="32"/>
      <c r="L89" s="32"/>
      <c r="M89" s="61">
        <f t="shared" si="39"/>
        <v>0.99999674088972956</v>
      </c>
      <c r="N89" s="61">
        <f t="shared" si="44"/>
        <v>0.99999674088972956</v>
      </c>
      <c r="O89" s="61"/>
      <c r="P89" s="61"/>
    </row>
    <row r="90" spans="1:16" s="6" customFormat="1" ht="37.5" x14ac:dyDescent="0.25">
      <c r="A90" s="59" t="s">
        <v>143</v>
      </c>
      <c r="B90" s="59" t="s">
        <v>140</v>
      </c>
      <c r="C90" s="59" t="s">
        <v>3</v>
      </c>
      <c r="D90" s="60" t="s">
        <v>141</v>
      </c>
      <c r="E90" s="34">
        <f t="shared" si="40"/>
        <v>3512500</v>
      </c>
      <c r="F90" s="34">
        <v>3512500</v>
      </c>
      <c r="G90" s="34">
        <v>0</v>
      </c>
      <c r="H90" s="34">
        <v>0</v>
      </c>
      <c r="I90" s="34">
        <f t="shared" si="41"/>
        <v>3448086.12</v>
      </c>
      <c r="J90" s="34">
        <v>3448086.12</v>
      </c>
      <c r="K90" s="34"/>
      <c r="L90" s="34"/>
      <c r="M90" s="61">
        <f t="shared" si="39"/>
        <v>0.98166152882562285</v>
      </c>
      <c r="N90" s="61">
        <f t="shared" si="44"/>
        <v>0.98166152882562285</v>
      </c>
      <c r="O90" s="61"/>
      <c r="P90" s="61"/>
    </row>
    <row r="91" spans="1:16" s="6" customFormat="1" ht="75" x14ac:dyDescent="0.25">
      <c r="A91" s="59" t="s">
        <v>65</v>
      </c>
      <c r="B91" s="59" t="s">
        <v>47</v>
      </c>
      <c r="C91" s="59" t="s">
        <v>20</v>
      </c>
      <c r="D91" s="60" t="s">
        <v>341</v>
      </c>
      <c r="E91" s="34">
        <f t="shared" si="40"/>
        <v>12396584.68</v>
      </c>
      <c r="F91" s="32">
        <v>11919314.68</v>
      </c>
      <c r="G91" s="32">
        <v>477270</v>
      </c>
      <c r="H91" s="32">
        <v>477270</v>
      </c>
      <c r="I91" s="34">
        <f t="shared" si="41"/>
        <v>12336750.029999999</v>
      </c>
      <c r="J91" s="32">
        <v>11810550.029999999</v>
      </c>
      <c r="K91" s="32">
        <f>476210+49990</f>
        <v>526200</v>
      </c>
      <c r="L91" s="32">
        <v>476210</v>
      </c>
      <c r="M91" s="61">
        <f t="shared" si="39"/>
        <v>0.99517329558547407</v>
      </c>
      <c r="N91" s="61">
        <f t="shared" si="44"/>
        <v>0.99087492419488665</v>
      </c>
      <c r="O91" s="61">
        <f t="shared" si="42"/>
        <v>1.1025205858319191</v>
      </c>
      <c r="P91" s="61">
        <f t="shared" si="43"/>
        <v>0.99777903492781861</v>
      </c>
    </row>
    <row r="92" spans="1:16" s="6" customFormat="1" ht="37.5" x14ac:dyDescent="0.25">
      <c r="A92" s="66" t="s">
        <v>342</v>
      </c>
      <c r="B92" s="66" t="s">
        <v>315</v>
      </c>
      <c r="C92" s="66" t="s">
        <v>316</v>
      </c>
      <c r="D92" s="60" t="s">
        <v>317</v>
      </c>
      <c r="E92" s="34">
        <f t="shared" si="40"/>
        <v>1153000</v>
      </c>
      <c r="F92" s="32">
        <v>1153000</v>
      </c>
      <c r="G92" s="32">
        <v>0</v>
      </c>
      <c r="H92" s="32"/>
      <c r="I92" s="34">
        <f t="shared" si="41"/>
        <v>1147543</v>
      </c>
      <c r="J92" s="32">
        <v>1147543</v>
      </c>
      <c r="K92" s="32"/>
      <c r="L92" s="32"/>
      <c r="M92" s="61">
        <f t="shared" si="39"/>
        <v>0.99526712922810057</v>
      </c>
      <c r="N92" s="61">
        <f t="shared" si="44"/>
        <v>0.99526712922810057</v>
      </c>
      <c r="O92" s="61"/>
      <c r="P92" s="61"/>
    </row>
    <row r="93" spans="1:16" s="6" customFormat="1" ht="56.25" x14ac:dyDescent="0.25">
      <c r="A93" s="66" t="s">
        <v>267</v>
      </c>
      <c r="B93" s="66">
        <v>8110</v>
      </c>
      <c r="C93" s="66" t="s">
        <v>4</v>
      </c>
      <c r="D93" s="60" t="s">
        <v>131</v>
      </c>
      <c r="E93" s="34">
        <f t="shared" si="40"/>
        <v>4836344.5199999996</v>
      </c>
      <c r="F93" s="32">
        <v>1127615</v>
      </c>
      <c r="G93" s="32">
        <v>3708729.5199999996</v>
      </c>
      <c r="H93" s="32">
        <v>3708729.5199999996</v>
      </c>
      <c r="I93" s="34">
        <f t="shared" si="41"/>
        <v>4708231.93</v>
      </c>
      <c r="J93" s="32">
        <v>1073338.3799999999</v>
      </c>
      <c r="K93" s="32">
        <v>3634893.55</v>
      </c>
      <c r="L93" s="32">
        <v>3634893.55</v>
      </c>
      <c r="M93" s="61">
        <f t="shared" si="39"/>
        <v>0.97351044999581626</v>
      </c>
      <c r="N93" s="61">
        <f t="shared" si="44"/>
        <v>0.95186600036359914</v>
      </c>
      <c r="O93" s="61">
        <f t="shared" si="42"/>
        <v>0.9800913036117016</v>
      </c>
      <c r="P93" s="61">
        <f t="shared" si="43"/>
        <v>0.9800913036117016</v>
      </c>
    </row>
    <row r="94" spans="1:16" s="8" customFormat="1" ht="56.25" x14ac:dyDescent="0.25">
      <c r="A94" s="56" t="s">
        <v>66</v>
      </c>
      <c r="B94" s="56" t="s">
        <v>223</v>
      </c>
      <c r="C94" s="56" t="s">
        <v>223</v>
      </c>
      <c r="D94" s="57" t="s">
        <v>241</v>
      </c>
      <c r="E94" s="31">
        <f t="shared" si="40"/>
        <v>129198301.87</v>
      </c>
      <c r="F94" s="30">
        <f>F95</f>
        <v>113439947.87</v>
      </c>
      <c r="G94" s="30">
        <f t="shared" ref="G94:H94" si="45">G95</f>
        <v>15758354</v>
      </c>
      <c r="H94" s="30">
        <f t="shared" si="45"/>
        <v>15576354</v>
      </c>
      <c r="I94" s="31">
        <f t="shared" si="41"/>
        <v>123695010.91</v>
      </c>
      <c r="J94" s="30">
        <f>J95</f>
        <v>107834777</v>
      </c>
      <c r="K94" s="30">
        <f t="shared" ref="K94" si="46">K95</f>
        <v>15860233.91</v>
      </c>
      <c r="L94" s="30">
        <f t="shared" ref="L94" si="47">L95</f>
        <v>15537527.359999999</v>
      </c>
      <c r="M94" s="58">
        <f t="shared" si="39"/>
        <v>0.95740430887754668</v>
      </c>
      <c r="N94" s="58">
        <f t="shared" si="44"/>
        <v>0.95058909162737426</v>
      </c>
      <c r="O94" s="58">
        <f t="shared" si="42"/>
        <v>1.0064651365237764</v>
      </c>
      <c r="P94" s="58">
        <f t="shared" si="43"/>
        <v>0.99750733451486784</v>
      </c>
    </row>
    <row r="95" spans="1:16" s="8" customFormat="1" ht="56.25" x14ac:dyDescent="0.25">
      <c r="A95" s="56" t="s">
        <v>67</v>
      </c>
      <c r="B95" s="56" t="s">
        <v>223</v>
      </c>
      <c r="C95" s="56" t="s">
        <v>223</v>
      </c>
      <c r="D95" s="57" t="s">
        <v>241</v>
      </c>
      <c r="E95" s="31">
        <f t="shared" si="40"/>
        <v>129198301.87</v>
      </c>
      <c r="F95" s="30">
        <f>SUM(F96:F113)</f>
        <v>113439947.87</v>
      </c>
      <c r="G95" s="30">
        <f>SUM(G96:G113)</f>
        <v>15758354</v>
      </c>
      <c r="H95" s="30">
        <f>SUM(H96:H113)</f>
        <v>15576354</v>
      </c>
      <c r="I95" s="31">
        <f t="shared" si="41"/>
        <v>123695010.91</v>
      </c>
      <c r="J95" s="30">
        <f>SUM(J96:J113)</f>
        <v>107834777</v>
      </c>
      <c r="K95" s="30">
        <f>SUM(K96:K113)</f>
        <v>15860233.91</v>
      </c>
      <c r="L95" s="30">
        <f>SUM(L96:L113)</f>
        <v>15537527.359999999</v>
      </c>
      <c r="M95" s="58">
        <f t="shared" si="39"/>
        <v>0.95740430887754668</v>
      </c>
      <c r="N95" s="58">
        <f t="shared" si="44"/>
        <v>0.95058909162737426</v>
      </c>
      <c r="O95" s="58">
        <f t="shared" si="42"/>
        <v>1.0064651365237764</v>
      </c>
      <c r="P95" s="58">
        <f t="shared" si="43"/>
        <v>0.99750733451486784</v>
      </c>
    </row>
    <row r="96" spans="1:16" s="6" customFormat="1" ht="56.25" x14ac:dyDescent="0.25">
      <c r="A96" s="59" t="s">
        <v>68</v>
      </c>
      <c r="B96" s="59" t="s">
        <v>54</v>
      </c>
      <c r="C96" s="59" t="s">
        <v>2</v>
      </c>
      <c r="D96" s="60" t="s">
        <v>240</v>
      </c>
      <c r="E96" s="34">
        <f t="shared" si="40"/>
        <v>22512700</v>
      </c>
      <c r="F96" s="32">
        <v>22512700</v>
      </c>
      <c r="G96" s="32">
        <v>0</v>
      </c>
      <c r="H96" s="32">
        <v>0</v>
      </c>
      <c r="I96" s="34">
        <f t="shared" si="41"/>
        <v>21084027.260000002</v>
      </c>
      <c r="J96" s="32">
        <v>21084027.260000002</v>
      </c>
      <c r="K96" s="32"/>
      <c r="L96" s="32"/>
      <c r="M96" s="61">
        <f t="shared" si="39"/>
        <v>0.93653925384338621</v>
      </c>
      <c r="N96" s="61">
        <f t="shared" si="44"/>
        <v>0.93653925384338621</v>
      </c>
      <c r="O96" s="61"/>
      <c r="P96" s="61"/>
    </row>
    <row r="97" spans="1:16" s="8" customFormat="1" ht="37.5" x14ac:dyDescent="0.25">
      <c r="A97" s="59" t="s">
        <v>152</v>
      </c>
      <c r="B97" s="59" t="s">
        <v>9</v>
      </c>
      <c r="C97" s="59" t="s">
        <v>5</v>
      </c>
      <c r="D97" s="60" t="s">
        <v>99</v>
      </c>
      <c r="E97" s="34">
        <f t="shared" si="40"/>
        <v>155200</v>
      </c>
      <c r="F97" s="32">
        <v>155200</v>
      </c>
      <c r="G97" s="32">
        <v>0</v>
      </c>
      <c r="H97" s="32">
        <v>0</v>
      </c>
      <c r="I97" s="34">
        <f t="shared" si="41"/>
        <v>89321.8</v>
      </c>
      <c r="J97" s="32">
        <v>89321.8</v>
      </c>
      <c r="K97" s="32"/>
      <c r="L97" s="32"/>
      <c r="M97" s="61">
        <f t="shared" si="39"/>
        <v>0.57552706185567015</v>
      </c>
      <c r="N97" s="61">
        <f t="shared" si="44"/>
        <v>0.57552706185567015</v>
      </c>
      <c r="O97" s="61"/>
      <c r="P97" s="61"/>
    </row>
    <row r="98" spans="1:16" s="8" customFormat="1" ht="37.5" x14ac:dyDescent="0.25">
      <c r="A98" s="59" t="s">
        <v>101</v>
      </c>
      <c r="B98" s="59" t="s">
        <v>32</v>
      </c>
      <c r="C98" s="59" t="s">
        <v>14</v>
      </c>
      <c r="D98" s="60" t="s">
        <v>100</v>
      </c>
      <c r="E98" s="34">
        <f t="shared" si="40"/>
        <v>1726000</v>
      </c>
      <c r="F98" s="32">
        <v>1726000</v>
      </c>
      <c r="G98" s="32">
        <v>0</v>
      </c>
      <c r="H98" s="32">
        <v>0</v>
      </c>
      <c r="I98" s="34">
        <f t="shared" si="41"/>
        <v>1661291.63</v>
      </c>
      <c r="J98" s="32">
        <v>1661291.63</v>
      </c>
      <c r="K98" s="32"/>
      <c r="L98" s="32"/>
      <c r="M98" s="61">
        <f t="shared" si="39"/>
        <v>0.96250963499420616</v>
      </c>
      <c r="N98" s="61">
        <f t="shared" si="44"/>
        <v>0.96250963499420616</v>
      </c>
      <c r="O98" s="61"/>
      <c r="P98" s="61"/>
    </row>
    <row r="99" spans="1:16" s="6" customFormat="1" ht="37.5" x14ac:dyDescent="0.25">
      <c r="A99" s="59" t="s">
        <v>102</v>
      </c>
      <c r="B99" s="59" t="s">
        <v>103</v>
      </c>
      <c r="C99" s="59" t="s">
        <v>33</v>
      </c>
      <c r="D99" s="60" t="s">
        <v>242</v>
      </c>
      <c r="E99" s="34">
        <f t="shared" si="40"/>
        <v>5000</v>
      </c>
      <c r="F99" s="32">
        <v>5000</v>
      </c>
      <c r="G99" s="32">
        <v>0</v>
      </c>
      <c r="H99" s="32">
        <v>0</v>
      </c>
      <c r="I99" s="34">
        <f t="shared" si="41"/>
        <v>3698.71</v>
      </c>
      <c r="J99" s="32">
        <v>3698.71</v>
      </c>
      <c r="K99" s="32"/>
      <c r="L99" s="32"/>
      <c r="M99" s="61">
        <f t="shared" si="39"/>
        <v>0.73974200000000001</v>
      </c>
      <c r="N99" s="61">
        <f t="shared" si="44"/>
        <v>0.73974200000000001</v>
      </c>
      <c r="O99" s="61"/>
      <c r="P99" s="61"/>
    </row>
    <row r="100" spans="1:16" s="6" customFormat="1" ht="56.25" x14ac:dyDescent="0.25">
      <c r="A100" s="59" t="s">
        <v>160</v>
      </c>
      <c r="B100" s="59" t="s">
        <v>158</v>
      </c>
      <c r="C100" s="59" t="s">
        <v>33</v>
      </c>
      <c r="D100" s="60" t="s">
        <v>159</v>
      </c>
      <c r="E100" s="34">
        <f t="shared" si="40"/>
        <v>444119</v>
      </c>
      <c r="F100" s="32">
        <v>444119</v>
      </c>
      <c r="G100" s="32">
        <v>0</v>
      </c>
      <c r="H100" s="32">
        <v>0</v>
      </c>
      <c r="I100" s="34">
        <f t="shared" si="41"/>
        <v>444119</v>
      </c>
      <c r="J100" s="32">
        <v>444119</v>
      </c>
      <c r="K100" s="32"/>
      <c r="L100" s="32"/>
      <c r="M100" s="61">
        <f t="shared" si="39"/>
        <v>1</v>
      </c>
      <c r="N100" s="61">
        <f t="shared" si="44"/>
        <v>1</v>
      </c>
      <c r="O100" s="61"/>
      <c r="P100" s="61"/>
    </row>
    <row r="101" spans="1:16" s="6" customFormat="1" ht="36" customHeight="1" x14ac:dyDescent="0.25">
      <c r="A101" s="59" t="s">
        <v>161</v>
      </c>
      <c r="B101" s="59" t="s">
        <v>162</v>
      </c>
      <c r="C101" s="59" t="s">
        <v>14</v>
      </c>
      <c r="D101" s="60" t="s">
        <v>163</v>
      </c>
      <c r="E101" s="34">
        <f t="shared" si="40"/>
        <v>139516</v>
      </c>
      <c r="F101" s="32">
        <v>139516</v>
      </c>
      <c r="G101" s="32">
        <v>0</v>
      </c>
      <c r="H101" s="32">
        <v>0</v>
      </c>
      <c r="I101" s="34">
        <f t="shared" si="41"/>
        <v>100344</v>
      </c>
      <c r="J101" s="32">
        <v>100344</v>
      </c>
      <c r="K101" s="32"/>
      <c r="L101" s="32"/>
      <c r="M101" s="61">
        <f t="shared" si="39"/>
        <v>0.71922933570343184</v>
      </c>
      <c r="N101" s="61">
        <f t="shared" si="44"/>
        <v>0.71922933570343184</v>
      </c>
      <c r="O101" s="61"/>
      <c r="P101" s="61"/>
    </row>
    <row r="102" spans="1:16" s="6" customFormat="1" ht="75" x14ac:dyDescent="0.25">
      <c r="A102" s="59" t="s">
        <v>113</v>
      </c>
      <c r="B102" s="59" t="s">
        <v>112</v>
      </c>
      <c r="C102" s="59" t="s">
        <v>12</v>
      </c>
      <c r="D102" s="60" t="s">
        <v>243</v>
      </c>
      <c r="E102" s="34">
        <f t="shared" si="40"/>
        <v>18657774.870000001</v>
      </c>
      <c r="F102" s="32">
        <v>18475774.870000001</v>
      </c>
      <c r="G102" s="32">
        <v>182000</v>
      </c>
      <c r="H102" s="32">
        <v>0</v>
      </c>
      <c r="I102" s="34">
        <f t="shared" si="41"/>
        <v>17845144.399999999</v>
      </c>
      <c r="J102" s="32">
        <v>17731154.399999999</v>
      </c>
      <c r="K102" s="32">
        <f>113990</f>
        <v>113990</v>
      </c>
      <c r="L102" s="32"/>
      <c r="M102" s="61">
        <f t="shared" si="39"/>
        <v>0.95644547778810229</v>
      </c>
      <c r="N102" s="61">
        <f t="shared" si="44"/>
        <v>0.95969747005257799</v>
      </c>
      <c r="O102" s="61">
        <f t="shared" si="42"/>
        <v>0.62631868131868129</v>
      </c>
      <c r="P102" s="61"/>
    </row>
    <row r="103" spans="1:16" s="6" customFormat="1" ht="131.25" x14ac:dyDescent="0.25">
      <c r="A103" s="59" t="s">
        <v>70</v>
      </c>
      <c r="B103" s="59" t="s">
        <v>69</v>
      </c>
      <c r="C103" s="59" t="s">
        <v>19</v>
      </c>
      <c r="D103" s="60" t="s">
        <v>343</v>
      </c>
      <c r="E103" s="34">
        <f t="shared" si="40"/>
        <v>11914125</v>
      </c>
      <c r="F103" s="32">
        <v>10922500</v>
      </c>
      <c r="G103" s="32">
        <v>991625</v>
      </c>
      <c r="H103" s="32">
        <v>991625</v>
      </c>
      <c r="I103" s="34">
        <f t="shared" si="41"/>
        <v>11970058.549999999</v>
      </c>
      <c r="J103" s="32">
        <v>10868568.289999999</v>
      </c>
      <c r="K103" s="32">
        <f>952798.71+109.7+148581.85</f>
        <v>1101490.26</v>
      </c>
      <c r="L103" s="32">
        <v>952798.71</v>
      </c>
      <c r="M103" s="61">
        <f t="shared" si="39"/>
        <v>1.0046947257981595</v>
      </c>
      <c r="N103" s="61">
        <f t="shared" si="44"/>
        <v>0.99506232913710224</v>
      </c>
      <c r="O103" s="61">
        <f t="shared" si="42"/>
        <v>1.1107931526534729</v>
      </c>
      <c r="P103" s="61">
        <f t="shared" si="43"/>
        <v>0.96084579352073618</v>
      </c>
    </row>
    <row r="104" spans="1:16" s="8" customFormat="1" ht="41.45" customHeight="1" x14ac:dyDescent="0.25">
      <c r="A104" s="59" t="s">
        <v>244</v>
      </c>
      <c r="B104" s="59" t="s">
        <v>81</v>
      </c>
      <c r="C104" s="59" t="s">
        <v>19</v>
      </c>
      <c r="D104" s="60" t="s">
        <v>245</v>
      </c>
      <c r="E104" s="34">
        <f t="shared" si="40"/>
        <v>353500</v>
      </c>
      <c r="F104" s="32">
        <v>353500</v>
      </c>
      <c r="G104" s="32">
        <v>0</v>
      </c>
      <c r="H104" s="32">
        <v>0</v>
      </c>
      <c r="I104" s="34">
        <f t="shared" si="41"/>
        <v>352940</v>
      </c>
      <c r="J104" s="32">
        <v>352940</v>
      </c>
      <c r="K104" s="32"/>
      <c r="L104" s="32"/>
      <c r="M104" s="61">
        <f t="shared" si="39"/>
        <v>0.99841584158415841</v>
      </c>
      <c r="N104" s="61">
        <f t="shared" si="44"/>
        <v>0.99841584158415841</v>
      </c>
      <c r="O104" s="61"/>
      <c r="P104" s="61"/>
    </row>
    <row r="105" spans="1:16" s="8" customFormat="1" ht="112.5" x14ac:dyDescent="0.25">
      <c r="A105" s="59" t="s">
        <v>134</v>
      </c>
      <c r="B105" s="59" t="s">
        <v>135</v>
      </c>
      <c r="C105" s="59" t="s">
        <v>10</v>
      </c>
      <c r="D105" s="60" t="s">
        <v>246</v>
      </c>
      <c r="E105" s="34">
        <f t="shared" si="40"/>
        <v>2236000</v>
      </c>
      <c r="F105" s="32">
        <v>2236000</v>
      </c>
      <c r="G105" s="32">
        <v>0</v>
      </c>
      <c r="H105" s="32">
        <v>0</v>
      </c>
      <c r="I105" s="34">
        <f t="shared" si="41"/>
        <v>2173644.65</v>
      </c>
      <c r="J105" s="32">
        <v>2173644.65</v>
      </c>
      <c r="K105" s="32"/>
      <c r="L105" s="32"/>
      <c r="M105" s="61">
        <f t="shared" si="39"/>
        <v>0.97211299194991052</v>
      </c>
      <c r="N105" s="61">
        <f t="shared" si="44"/>
        <v>0.97211299194991052</v>
      </c>
      <c r="O105" s="61"/>
      <c r="P105" s="61"/>
    </row>
    <row r="106" spans="1:16" s="6" customFormat="1" ht="75" x14ac:dyDescent="0.25">
      <c r="A106" s="59" t="s">
        <v>164</v>
      </c>
      <c r="B106" s="59" t="s">
        <v>165</v>
      </c>
      <c r="C106" s="59" t="s">
        <v>10</v>
      </c>
      <c r="D106" s="60" t="s">
        <v>166</v>
      </c>
      <c r="E106" s="34">
        <f t="shared" si="40"/>
        <v>28720</v>
      </c>
      <c r="F106" s="32">
        <v>28720</v>
      </c>
      <c r="G106" s="32">
        <v>0</v>
      </c>
      <c r="H106" s="32">
        <v>0</v>
      </c>
      <c r="I106" s="34">
        <f t="shared" si="41"/>
        <v>11113.03</v>
      </c>
      <c r="J106" s="32">
        <v>11113.03</v>
      </c>
      <c r="K106" s="32"/>
      <c r="L106" s="32"/>
      <c r="M106" s="61">
        <f t="shared" si="39"/>
        <v>0.38694394150417827</v>
      </c>
      <c r="N106" s="61">
        <f t="shared" si="44"/>
        <v>0.38694394150417827</v>
      </c>
      <c r="O106" s="61"/>
      <c r="P106" s="61"/>
    </row>
    <row r="107" spans="1:16" s="6" customFormat="1" ht="112.5" x14ac:dyDescent="0.25">
      <c r="A107" s="59" t="s">
        <v>136</v>
      </c>
      <c r="B107" s="59" t="s">
        <v>137</v>
      </c>
      <c r="C107" s="59" t="s">
        <v>28</v>
      </c>
      <c r="D107" s="60" t="s">
        <v>247</v>
      </c>
      <c r="E107" s="34">
        <f t="shared" si="40"/>
        <v>760000</v>
      </c>
      <c r="F107" s="32">
        <v>760000</v>
      </c>
      <c r="G107" s="32">
        <v>0</v>
      </c>
      <c r="H107" s="32">
        <v>0</v>
      </c>
      <c r="I107" s="34">
        <f t="shared" si="41"/>
        <v>718953.71</v>
      </c>
      <c r="J107" s="32">
        <v>718953.71</v>
      </c>
      <c r="K107" s="32"/>
      <c r="L107" s="32"/>
      <c r="M107" s="61">
        <f t="shared" si="39"/>
        <v>0.94599172368421047</v>
      </c>
      <c r="N107" s="61">
        <f t="shared" si="44"/>
        <v>0.94599172368421047</v>
      </c>
      <c r="O107" s="61"/>
      <c r="P107" s="61"/>
    </row>
    <row r="108" spans="1:16" s="6" customFormat="1" ht="75" x14ac:dyDescent="0.25">
      <c r="A108" s="59" t="s">
        <v>138</v>
      </c>
      <c r="B108" s="59" t="s">
        <v>139</v>
      </c>
      <c r="C108" s="59" t="s">
        <v>14</v>
      </c>
      <c r="D108" s="60" t="s">
        <v>248</v>
      </c>
      <c r="E108" s="34">
        <f t="shared" si="40"/>
        <v>71000</v>
      </c>
      <c r="F108" s="32">
        <v>71000</v>
      </c>
      <c r="G108" s="32">
        <v>0</v>
      </c>
      <c r="H108" s="32">
        <v>0</v>
      </c>
      <c r="I108" s="34">
        <f t="shared" si="41"/>
        <v>69148.17</v>
      </c>
      <c r="J108" s="32">
        <v>69148.17</v>
      </c>
      <c r="K108" s="32"/>
      <c r="L108" s="32"/>
      <c r="M108" s="61">
        <f t="shared" si="39"/>
        <v>0.97391788732394369</v>
      </c>
      <c r="N108" s="61">
        <f t="shared" si="44"/>
        <v>0.97391788732394369</v>
      </c>
      <c r="O108" s="61"/>
      <c r="P108" s="61"/>
    </row>
    <row r="109" spans="1:16" s="8" customFormat="1" ht="112.5" x14ac:dyDescent="0.25">
      <c r="A109" s="66" t="s">
        <v>344</v>
      </c>
      <c r="B109" s="59">
        <v>3193</v>
      </c>
      <c r="C109" s="59">
        <v>1030</v>
      </c>
      <c r="D109" s="60" t="s">
        <v>345</v>
      </c>
      <c r="E109" s="34">
        <f t="shared" si="40"/>
        <v>738118</v>
      </c>
      <c r="F109" s="32">
        <v>738118</v>
      </c>
      <c r="G109" s="32">
        <v>0</v>
      </c>
      <c r="H109" s="32"/>
      <c r="I109" s="34">
        <f t="shared" si="41"/>
        <v>646781.29</v>
      </c>
      <c r="J109" s="32">
        <v>646781.29</v>
      </c>
      <c r="K109" s="32"/>
      <c r="L109" s="32"/>
      <c r="M109" s="61">
        <f t="shared" si="39"/>
        <v>0.87625730574244232</v>
      </c>
      <c r="N109" s="61">
        <f t="shared" si="44"/>
        <v>0.87625730574244232</v>
      </c>
      <c r="O109" s="61"/>
      <c r="P109" s="61"/>
    </row>
    <row r="110" spans="1:16" s="8" customFormat="1" ht="409.5" x14ac:dyDescent="0.25">
      <c r="A110" s="66" t="s">
        <v>406</v>
      </c>
      <c r="B110" s="59">
        <v>3225</v>
      </c>
      <c r="C110" s="59">
        <v>1060</v>
      </c>
      <c r="D110" s="60" t="s">
        <v>407</v>
      </c>
      <c r="E110" s="34">
        <f t="shared" si="40"/>
        <v>14584729</v>
      </c>
      <c r="F110" s="32">
        <v>0</v>
      </c>
      <c r="G110" s="32">
        <v>14584729</v>
      </c>
      <c r="H110" s="32">
        <v>14584729</v>
      </c>
      <c r="I110" s="34">
        <f t="shared" si="41"/>
        <v>14584728.65</v>
      </c>
      <c r="J110" s="32"/>
      <c r="K110" s="32">
        <v>14584728.65</v>
      </c>
      <c r="L110" s="32">
        <v>14584728.65</v>
      </c>
      <c r="M110" s="61">
        <f t="shared" si="39"/>
        <v>0.99999997600229662</v>
      </c>
      <c r="N110" s="61"/>
      <c r="O110" s="61">
        <f t="shared" si="42"/>
        <v>0.99999997600229662</v>
      </c>
      <c r="P110" s="61">
        <f t="shared" si="43"/>
        <v>0.99999997600229662</v>
      </c>
    </row>
    <row r="111" spans="1:16" s="6" customFormat="1" ht="75" x14ac:dyDescent="0.25">
      <c r="A111" s="59" t="s">
        <v>262</v>
      </c>
      <c r="B111" s="59" t="s">
        <v>346</v>
      </c>
      <c r="C111" s="59" t="s">
        <v>33</v>
      </c>
      <c r="D111" s="60" t="s">
        <v>347</v>
      </c>
      <c r="E111" s="34">
        <f t="shared" si="40"/>
        <v>371600</v>
      </c>
      <c r="F111" s="32">
        <v>371600</v>
      </c>
      <c r="G111" s="32">
        <v>0</v>
      </c>
      <c r="H111" s="32">
        <v>0</v>
      </c>
      <c r="I111" s="34">
        <f t="shared" si="41"/>
        <v>271272.5</v>
      </c>
      <c r="J111" s="32">
        <v>271260</v>
      </c>
      <c r="K111" s="32">
        <f>12.5</f>
        <v>12.5</v>
      </c>
      <c r="L111" s="32"/>
      <c r="M111" s="61">
        <f t="shared" si="39"/>
        <v>0.73001210979547904</v>
      </c>
      <c r="N111" s="61">
        <f t="shared" si="44"/>
        <v>0.72997847147470396</v>
      </c>
      <c r="O111" s="61"/>
      <c r="P111" s="61"/>
    </row>
    <row r="112" spans="1:16" s="6" customFormat="1" ht="37.5" x14ac:dyDescent="0.25">
      <c r="A112" s="59" t="s">
        <v>144</v>
      </c>
      <c r="B112" s="59" t="s">
        <v>140</v>
      </c>
      <c r="C112" s="59" t="s">
        <v>3</v>
      </c>
      <c r="D112" s="60" t="s">
        <v>141</v>
      </c>
      <c r="E112" s="34">
        <f t="shared" si="40"/>
        <v>54116400</v>
      </c>
      <c r="F112" s="32">
        <v>54116400</v>
      </c>
      <c r="G112" s="32">
        <v>0</v>
      </c>
      <c r="H112" s="32">
        <v>0</v>
      </c>
      <c r="I112" s="34">
        <f t="shared" si="41"/>
        <v>51330514.560000002</v>
      </c>
      <c r="J112" s="32">
        <f>50083089.99+1187412.07</f>
        <v>51270502.060000002</v>
      </c>
      <c r="K112" s="32">
        <v>60012.5</v>
      </c>
      <c r="L112" s="32"/>
      <c r="M112" s="61">
        <f t="shared" si="39"/>
        <v>0.9485204958201211</v>
      </c>
      <c r="N112" s="61">
        <f t="shared" si="44"/>
        <v>0.94741154363557079</v>
      </c>
      <c r="O112" s="61"/>
      <c r="P112" s="61"/>
    </row>
    <row r="113" spans="1:18" s="6" customFormat="1" ht="37.5" x14ac:dyDescent="0.25">
      <c r="A113" s="66" t="s">
        <v>348</v>
      </c>
      <c r="B113" s="66" t="s">
        <v>315</v>
      </c>
      <c r="C113" s="66" t="s">
        <v>316</v>
      </c>
      <c r="D113" s="60" t="s">
        <v>317</v>
      </c>
      <c r="E113" s="34">
        <f t="shared" si="40"/>
        <v>383800</v>
      </c>
      <c r="F113" s="34">
        <f>SUM(F114:F116)</f>
        <v>383800</v>
      </c>
      <c r="G113" s="34">
        <f t="shared" ref="G113:H113" si="48">SUM(G114:G116)</f>
        <v>0</v>
      </c>
      <c r="H113" s="34">
        <f t="shared" si="48"/>
        <v>0</v>
      </c>
      <c r="I113" s="34">
        <f t="shared" si="41"/>
        <v>337909</v>
      </c>
      <c r="J113" s="34">
        <f>SUM(J114:J116)</f>
        <v>337909</v>
      </c>
      <c r="K113" s="34">
        <f t="shared" ref="K113:L113" si="49">SUM(K114:K116)</f>
        <v>0</v>
      </c>
      <c r="L113" s="34">
        <f t="shared" si="49"/>
        <v>0</v>
      </c>
      <c r="M113" s="61">
        <f t="shared" si="39"/>
        <v>0.88042991141219384</v>
      </c>
      <c r="N113" s="61">
        <f t="shared" si="44"/>
        <v>0.88042991141219384</v>
      </c>
      <c r="O113" s="61"/>
      <c r="P113" s="61"/>
    </row>
    <row r="114" spans="1:18" s="5" customFormat="1" ht="56.25" x14ac:dyDescent="0.25">
      <c r="A114" s="67"/>
      <c r="B114" s="67"/>
      <c r="C114" s="67"/>
      <c r="D114" s="64" t="s">
        <v>349</v>
      </c>
      <c r="E114" s="42">
        <f t="shared" si="40"/>
        <v>96200</v>
      </c>
      <c r="F114" s="33">
        <v>96200</v>
      </c>
      <c r="G114" s="33"/>
      <c r="H114" s="33"/>
      <c r="I114" s="42">
        <f t="shared" si="41"/>
        <v>80606</v>
      </c>
      <c r="J114" s="33">
        <v>80606</v>
      </c>
      <c r="K114" s="33"/>
      <c r="L114" s="33"/>
      <c r="M114" s="65">
        <f t="shared" si="39"/>
        <v>0.83790020790020792</v>
      </c>
      <c r="N114" s="65">
        <f t="shared" si="44"/>
        <v>0.83790020790020792</v>
      </c>
      <c r="O114" s="65"/>
      <c r="P114" s="65"/>
    </row>
    <row r="115" spans="1:18" s="5" customFormat="1" ht="56.25" x14ac:dyDescent="0.25">
      <c r="A115" s="67"/>
      <c r="B115" s="67"/>
      <c r="C115" s="67"/>
      <c r="D115" s="64" t="s">
        <v>350</v>
      </c>
      <c r="E115" s="42">
        <f t="shared" si="40"/>
        <v>232200</v>
      </c>
      <c r="F115" s="33">
        <v>232200</v>
      </c>
      <c r="G115" s="33"/>
      <c r="H115" s="33"/>
      <c r="I115" s="42">
        <f t="shared" si="41"/>
        <v>231931</v>
      </c>
      <c r="J115" s="33">
        <v>231931</v>
      </c>
      <c r="K115" s="33"/>
      <c r="L115" s="33"/>
      <c r="M115" s="65">
        <f t="shared" si="39"/>
        <v>0.99884151593453918</v>
      </c>
      <c r="N115" s="65">
        <f t="shared" si="44"/>
        <v>0.99884151593453918</v>
      </c>
      <c r="O115" s="65"/>
      <c r="P115" s="65"/>
    </row>
    <row r="116" spans="1:18" s="5" customFormat="1" ht="93.75" x14ac:dyDescent="0.25">
      <c r="A116" s="67"/>
      <c r="B116" s="67"/>
      <c r="C116" s="67"/>
      <c r="D116" s="64" t="s">
        <v>351</v>
      </c>
      <c r="E116" s="42">
        <f t="shared" si="40"/>
        <v>55400</v>
      </c>
      <c r="F116" s="33">
        <v>55400</v>
      </c>
      <c r="G116" s="33"/>
      <c r="H116" s="33"/>
      <c r="I116" s="42">
        <f t="shared" si="41"/>
        <v>25372</v>
      </c>
      <c r="J116" s="33">
        <v>25372</v>
      </c>
      <c r="K116" s="33"/>
      <c r="L116" s="33"/>
      <c r="M116" s="65">
        <f t="shared" si="39"/>
        <v>0.45797833935018051</v>
      </c>
      <c r="N116" s="65">
        <f t="shared" si="44"/>
        <v>0.45797833935018051</v>
      </c>
      <c r="O116" s="65"/>
      <c r="P116" s="65"/>
    </row>
    <row r="117" spans="1:18" s="8" customFormat="1" ht="56.25" x14ac:dyDescent="0.25">
      <c r="A117" s="56" t="s">
        <v>293</v>
      </c>
      <c r="B117" s="56" t="s">
        <v>223</v>
      </c>
      <c r="C117" s="56" t="s">
        <v>223</v>
      </c>
      <c r="D117" s="57" t="s">
        <v>352</v>
      </c>
      <c r="E117" s="31">
        <f t="shared" si="40"/>
        <v>3922800</v>
      </c>
      <c r="F117" s="30">
        <f>F118</f>
        <v>3922800</v>
      </c>
      <c r="G117" s="30">
        <f t="shared" ref="G117:H117" si="50">G118</f>
        <v>0</v>
      </c>
      <c r="H117" s="30">
        <f t="shared" si="50"/>
        <v>0</v>
      </c>
      <c r="I117" s="31">
        <f t="shared" si="41"/>
        <v>3865281.11</v>
      </c>
      <c r="J117" s="30">
        <f>J118</f>
        <v>3865281.11</v>
      </c>
      <c r="K117" s="30">
        <f t="shared" ref="K117" si="51">K118</f>
        <v>0</v>
      </c>
      <c r="L117" s="30">
        <f t="shared" ref="L117" si="52">L118</f>
        <v>0</v>
      </c>
      <c r="M117" s="58">
        <f t="shared" si="39"/>
        <v>0.98533728714183744</v>
      </c>
      <c r="N117" s="58">
        <f t="shared" si="44"/>
        <v>0.98533728714183744</v>
      </c>
      <c r="O117" s="58"/>
      <c r="P117" s="58"/>
    </row>
    <row r="118" spans="1:18" s="8" customFormat="1" ht="56.25" x14ac:dyDescent="0.25">
      <c r="A118" s="56" t="s">
        <v>294</v>
      </c>
      <c r="B118" s="56" t="s">
        <v>223</v>
      </c>
      <c r="C118" s="56" t="s">
        <v>223</v>
      </c>
      <c r="D118" s="57" t="s">
        <v>352</v>
      </c>
      <c r="E118" s="31">
        <f t="shared" si="40"/>
        <v>3922800</v>
      </c>
      <c r="F118" s="31">
        <f>SUM(F119:F122)</f>
        <v>3922800</v>
      </c>
      <c r="G118" s="31">
        <f t="shared" ref="G118:H118" si="53">SUM(G119:G122)</f>
        <v>0</v>
      </c>
      <c r="H118" s="31">
        <f t="shared" si="53"/>
        <v>0</v>
      </c>
      <c r="I118" s="31">
        <f t="shared" si="41"/>
        <v>3865281.11</v>
      </c>
      <c r="J118" s="31">
        <f>SUM(J119:J122)</f>
        <v>3865281.11</v>
      </c>
      <c r="K118" s="31">
        <f t="shared" ref="K118" si="54">SUM(K119:K122)</f>
        <v>0</v>
      </c>
      <c r="L118" s="31">
        <f t="shared" ref="L118" si="55">SUM(L119:L122)</f>
        <v>0</v>
      </c>
      <c r="M118" s="58">
        <f t="shared" si="39"/>
        <v>0.98533728714183744</v>
      </c>
      <c r="N118" s="58">
        <f t="shared" si="44"/>
        <v>0.98533728714183744</v>
      </c>
      <c r="O118" s="58"/>
      <c r="P118" s="58"/>
    </row>
    <row r="119" spans="1:18" s="6" customFormat="1" ht="56.25" x14ac:dyDescent="0.25">
      <c r="A119" s="59" t="s">
        <v>295</v>
      </c>
      <c r="B119" s="59" t="s">
        <v>54</v>
      </c>
      <c r="C119" s="59" t="s">
        <v>2</v>
      </c>
      <c r="D119" s="60" t="s">
        <v>240</v>
      </c>
      <c r="E119" s="34">
        <f t="shared" si="40"/>
        <v>3485600</v>
      </c>
      <c r="F119" s="32">
        <v>3485600</v>
      </c>
      <c r="G119" s="32">
        <v>0</v>
      </c>
      <c r="H119" s="32">
        <v>0</v>
      </c>
      <c r="I119" s="34">
        <f t="shared" si="41"/>
        <v>3473814.21</v>
      </c>
      <c r="J119" s="32">
        <v>3473814.21</v>
      </c>
      <c r="K119" s="32"/>
      <c r="L119" s="32"/>
      <c r="M119" s="61">
        <f t="shared" si="39"/>
        <v>0.99661871987606154</v>
      </c>
      <c r="N119" s="61">
        <f t="shared" si="44"/>
        <v>0.99661871987606154</v>
      </c>
      <c r="O119" s="61"/>
      <c r="P119" s="61"/>
    </row>
    <row r="120" spans="1:18" s="6" customFormat="1" ht="37.5" x14ac:dyDescent="0.25">
      <c r="A120" s="66" t="s">
        <v>421</v>
      </c>
      <c r="B120" s="66" t="s">
        <v>9</v>
      </c>
      <c r="C120" s="59" t="s">
        <v>2</v>
      </c>
      <c r="D120" s="60" t="s">
        <v>99</v>
      </c>
      <c r="E120" s="34">
        <f t="shared" si="40"/>
        <v>49000</v>
      </c>
      <c r="F120" s="32">
        <v>49000</v>
      </c>
      <c r="G120" s="32"/>
      <c r="H120" s="32"/>
      <c r="I120" s="34">
        <f t="shared" si="41"/>
        <v>48706</v>
      </c>
      <c r="J120" s="32">
        <v>48706</v>
      </c>
      <c r="K120" s="32"/>
      <c r="L120" s="32"/>
      <c r="M120" s="61">
        <f t="shared" si="39"/>
        <v>0.99399999999999999</v>
      </c>
      <c r="N120" s="61">
        <f t="shared" si="44"/>
        <v>0.99399999999999999</v>
      </c>
      <c r="O120" s="61"/>
      <c r="P120" s="61"/>
      <c r="R120" s="19"/>
    </row>
    <row r="121" spans="1:18" s="6" customFormat="1" ht="37.5" x14ac:dyDescent="0.25">
      <c r="A121" s="59" t="s">
        <v>296</v>
      </c>
      <c r="B121" s="59" t="s">
        <v>34</v>
      </c>
      <c r="C121" s="59" t="s">
        <v>19</v>
      </c>
      <c r="D121" s="60" t="s">
        <v>43</v>
      </c>
      <c r="E121" s="34">
        <f t="shared" si="40"/>
        <v>278000</v>
      </c>
      <c r="F121" s="32">
        <v>278000</v>
      </c>
      <c r="G121" s="32">
        <v>0</v>
      </c>
      <c r="H121" s="32">
        <v>0</v>
      </c>
      <c r="I121" s="34">
        <f t="shared" si="41"/>
        <v>232574.9</v>
      </c>
      <c r="J121" s="32">
        <v>232574.9</v>
      </c>
      <c r="K121" s="32"/>
      <c r="L121" s="32"/>
      <c r="M121" s="61">
        <f t="shared" si="39"/>
        <v>0.83660035971223023</v>
      </c>
      <c r="N121" s="61">
        <f t="shared" si="44"/>
        <v>0.83660035971223023</v>
      </c>
      <c r="O121" s="61"/>
      <c r="P121" s="61"/>
      <c r="R121" s="19"/>
    </row>
    <row r="122" spans="1:18" s="6" customFormat="1" ht="37.5" x14ac:dyDescent="0.25">
      <c r="A122" s="66" t="s">
        <v>353</v>
      </c>
      <c r="B122" s="66" t="s">
        <v>315</v>
      </c>
      <c r="C122" s="66" t="s">
        <v>316</v>
      </c>
      <c r="D122" s="60" t="s">
        <v>317</v>
      </c>
      <c r="E122" s="34">
        <f t="shared" si="40"/>
        <v>110200</v>
      </c>
      <c r="F122" s="32">
        <v>110200</v>
      </c>
      <c r="G122" s="32">
        <v>0</v>
      </c>
      <c r="H122" s="32"/>
      <c r="I122" s="34">
        <f t="shared" si="41"/>
        <v>110186</v>
      </c>
      <c r="J122" s="32">
        <v>110186</v>
      </c>
      <c r="K122" s="32"/>
      <c r="L122" s="32"/>
      <c r="M122" s="61">
        <f t="shared" si="39"/>
        <v>0.99987295825771327</v>
      </c>
      <c r="N122" s="61">
        <f t="shared" si="44"/>
        <v>0.99987295825771327</v>
      </c>
      <c r="O122" s="61"/>
      <c r="P122" s="61"/>
      <c r="Q122" s="8"/>
      <c r="R122" s="9"/>
    </row>
    <row r="123" spans="1:18" s="8" customFormat="1" ht="56.25" x14ac:dyDescent="0.25">
      <c r="A123" s="56" t="s">
        <v>71</v>
      </c>
      <c r="B123" s="56" t="s">
        <v>223</v>
      </c>
      <c r="C123" s="56" t="s">
        <v>223</v>
      </c>
      <c r="D123" s="57" t="s">
        <v>249</v>
      </c>
      <c r="E123" s="31">
        <f t="shared" si="40"/>
        <v>60012900</v>
      </c>
      <c r="F123" s="30">
        <f>F124</f>
        <v>58146800</v>
      </c>
      <c r="G123" s="30">
        <f t="shared" ref="G123:H123" si="56">G124</f>
        <v>1866100</v>
      </c>
      <c r="H123" s="30">
        <f t="shared" si="56"/>
        <v>500100</v>
      </c>
      <c r="I123" s="31">
        <f t="shared" si="41"/>
        <v>56935255.399999999</v>
      </c>
      <c r="J123" s="30">
        <f>J124</f>
        <v>55524521.729999997</v>
      </c>
      <c r="K123" s="30">
        <f t="shared" ref="K123" si="57">K124</f>
        <v>1410733.67</v>
      </c>
      <c r="L123" s="30">
        <f t="shared" ref="L123" si="58">L124</f>
        <v>500062</v>
      </c>
      <c r="M123" s="58">
        <f t="shared" si="39"/>
        <v>0.94871694918925764</v>
      </c>
      <c r="N123" s="58">
        <f t="shared" si="44"/>
        <v>0.95490244914595468</v>
      </c>
      <c r="O123" s="58">
        <f t="shared" si="42"/>
        <v>0.75597967418680667</v>
      </c>
      <c r="P123" s="58">
        <f t="shared" si="43"/>
        <v>0.99992401519696061</v>
      </c>
      <c r="R123" s="9"/>
    </row>
    <row r="124" spans="1:18" s="8" customFormat="1" ht="56.25" x14ac:dyDescent="0.25">
      <c r="A124" s="56" t="s">
        <v>72</v>
      </c>
      <c r="B124" s="56" t="s">
        <v>223</v>
      </c>
      <c r="C124" s="56" t="s">
        <v>223</v>
      </c>
      <c r="D124" s="57" t="s">
        <v>249</v>
      </c>
      <c r="E124" s="31">
        <f t="shared" si="40"/>
        <v>60012900</v>
      </c>
      <c r="F124" s="30">
        <f>SUM(F125:F133)</f>
        <v>58146800</v>
      </c>
      <c r="G124" s="30">
        <f t="shared" ref="G124:H124" si="59">SUM(G125:G133)</f>
        <v>1866100</v>
      </c>
      <c r="H124" s="30">
        <f t="shared" si="59"/>
        <v>500100</v>
      </c>
      <c r="I124" s="31">
        <f t="shared" si="41"/>
        <v>56935255.399999999</v>
      </c>
      <c r="J124" s="30">
        <f>SUM(J125:J133)</f>
        <v>55524521.729999997</v>
      </c>
      <c r="K124" s="30">
        <f t="shared" ref="K124" si="60">SUM(K125:K133)</f>
        <v>1410733.67</v>
      </c>
      <c r="L124" s="30">
        <f t="shared" ref="L124" si="61">SUM(L125:L133)</f>
        <v>500062</v>
      </c>
      <c r="M124" s="58">
        <f t="shared" si="39"/>
        <v>0.94871694918925764</v>
      </c>
      <c r="N124" s="58">
        <f t="shared" si="44"/>
        <v>0.95490244914595468</v>
      </c>
      <c r="O124" s="58">
        <f t="shared" si="42"/>
        <v>0.75597967418680667</v>
      </c>
      <c r="P124" s="58">
        <f t="shared" si="43"/>
        <v>0.99992401519696061</v>
      </c>
      <c r="R124" s="9"/>
    </row>
    <row r="125" spans="1:18" s="6" customFormat="1" ht="56.25" x14ac:dyDescent="0.25">
      <c r="A125" s="59" t="s">
        <v>73</v>
      </c>
      <c r="B125" s="59" t="s">
        <v>54</v>
      </c>
      <c r="C125" s="59" t="s">
        <v>2</v>
      </c>
      <c r="D125" s="60" t="s">
        <v>240</v>
      </c>
      <c r="E125" s="34">
        <f t="shared" si="40"/>
        <v>1448000</v>
      </c>
      <c r="F125" s="32">
        <v>1448000</v>
      </c>
      <c r="G125" s="32">
        <v>0</v>
      </c>
      <c r="H125" s="32">
        <v>0</v>
      </c>
      <c r="I125" s="34">
        <f t="shared" si="41"/>
        <v>1447862.36</v>
      </c>
      <c r="J125" s="32">
        <v>1447862.36</v>
      </c>
      <c r="K125" s="32"/>
      <c r="L125" s="32"/>
      <c r="M125" s="61">
        <f t="shared" si="39"/>
        <v>0.99990494475138125</v>
      </c>
      <c r="N125" s="61">
        <f t="shared" si="44"/>
        <v>0.99990494475138125</v>
      </c>
      <c r="O125" s="61"/>
      <c r="P125" s="61"/>
      <c r="Q125" s="8"/>
      <c r="R125" s="9"/>
    </row>
    <row r="126" spans="1:18" s="6" customFormat="1" ht="37.5" x14ac:dyDescent="0.25">
      <c r="A126" s="59" t="s">
        <v>200</v>
      </c>
      <c r="B126" s="59" t="s">
        <v>201</v>
      </c>
      <c r="C126" s="59" t="s">
        <v>16</v>
      </c>
      <c r="D126" s="60" t="s">
        <v>250</v>
      </c>
      <c r="E126" s="34">
        <f t="shared" si="40"/>
        <v>26522400</v>
      </c>
      <c r="F126" s="32">
        <v>25436400</v>
      </c>
      <c r="G126" s="32">
        <v>1086000</v>
      </c>
      <c r="H126" s="32">
        <v>0</v>
      </c>
      <c r="I126" s="34">
        <f t="shared" si="41"/>
        <v>25522910.099999998</v>
      </c>
      <c r="J126" s="32">
        <v>24912879.289999999</v>
      </c>
      <c r="K126" s="32">
        <f>610030.81</f>
        <v>610030.81000000006</v>
      </c>
      <c r="L126" s="32"/>
      <c r="M126" s="61">
        <f t="shared" si="39"/>
        <v>0.96231525427563103</v>
      </c>
      <c r="N126" s="61">
        <f t="shared" si="44"/>
        <v>0.97941844325454852</v>
      </c>
      <c r="O126" s="61">
        <f t="shared" si="42"/>
        <v>0.5617226611418048</v>
      </c>
      <c r="P126" s="61"/>
      <c r="Q126" s="8"/>
      <c r="R126" s="9"/>
    </row>
    <row r="127" spans="1:18" s="6" customFormat="1" ht="93.75" x14ac:dyDescent="0.25">
      <c r="A127" s="59" t="s">
        <v>354</v>
      </c>
      <c r="B127" s="59" t="s">
        <v>274</v>
      </c>
      <c r="C127" s="59" t="s">
        <v>19</v>
      </c>
      <c r="D127" s="60" t="s">
        <v>275</v>
      </c>
      <c r="E127" s="34">
        <f t="shared" si="40"/>
        <v>150000</v>
      </c>
      <c r="F127" s="32">
        <v>150000</v>
      </c>
      <c r="G127" s="32">
        <v>0</v>
      </c>
      <c r="H127" s="32">
        <v>0</v>
      </c>
      <c r="I127" s="34">
        <f t="shared" si="41"/>
        <v>149320</v>
      </c>
      <c r="J127" s="32">
        <v>149320</v>
      </c>
      <c r="K127" s="32"/>
      <c r="L127" s="32"/>
      <c r="M127" s="61">
        <f t="shared" si="39"/>
        <v>0.99546666666666672</v>
      </c>
      <c r="N127" s="61">
        <f t="shared" si="44"/>
        <v>0.99546666666666672</v>
      </c>
      <c r="O127" s="61"/>
      <c r="P127" s="61"/>
      <c r="Q127" s="8"/>
      <c r="R127" s="9"/>
    </row>
    <row r="128" spans="1:18" s="8" customFormat="1" ht="18.75" x14ac:dyDescent="0.25">
      <c r="A128" s="59" t="s">
        <v>75</v>
      </c>
      <c r="B128" s="59" t="s">
        <v>74</v>
      </c>
      <c r="C128" s="59" t="s">
        <v>36</v>
      </c>
      <c r="D128" s="60" t="s">
        <v>76</v>
      </c>
      <c r="E128" s="34">
        <f t="shared" si="40"/>
        <v>9545700</v>
      </c>
      <c r="F128" s="32">
        <v>9465700</v>
      </c>
      <c r="G128" s="32">
        <v>80000</v>
      </c>
      <c r="H128" s="32">
        <v>0</v>
      </c>
      <c r="I128" s="34">
        <f t="shared" si="41"/>
        <v>8869599.1400000006</v>
      </c>
      <c r="J128" s="32">
        <v>8807804.6400000006</v>
      </c>
      <c r="K128" s="32">
        <f>61794.5</f>
        <v>61794.5</v>
      </c>
      <c r="L128" s="32"/>
      <c r="M128" s="61">
        <f t="shared" si="39"/>
        <v>0.9291722073813341</v>
      </c>
      <c r="N128" s="61">
        <f t="shared" si="44"/>
        <v>0.93049691412151248</v>
      </c>
      <c r="O128" s="61">
        <f t="shared" si="42"/>
        <v>0.77243125000000001</v>
      </c>
      <c r="P128" s="61"/>
      <c r="R128" s="9"/>
    </row>
    <row r="129" spans="1:18" s="6" customFormat="1" ht="18.75" x14ac:dyDescent="0.25">
      <c r="A129" s="59" t="s">
        <v>78</v>
      </c>
      <c r="B129" s="59" t="s">
        <v>77</v>
      </c>
      <c r="C129" s="59" t="s">
        <v>36</v>
      </c>
      <c r="D129" s="60" t="s">
        <v>251</v>
      </c>
      <c r="E129" s="34">
        <f t="shared" si="40"/>
        <v>4368000</v>
      </c>
      <c r="F129" s="32">
        <v>4328000</v>
      </c>
      <c r="G129" s="32">
        <v>40000</v>
      </c>
      <c r="H129" s="32">
        <v>0</v>
      </c>
      <c r="I129" s="34">
        <f t="shared" si="41"/>
        <v>4072237.73</v>
      </c>
      <c r="J129" s="32">
        <v>4044053.47</v>
      </c>
      <c r="K129" s="32">
        <f>22384.26+5800</f>
        <v>28184.26</v>
      </c>
      <c r="L129" s="32"/>
      <c r="M129" s="61">
        <f t="shared" si="39"/>
        <v>0.93228885760073255</v>
      </c>
      <c r="N129" s="61">
        <f t="shared" si="44"/>
        <v>0.93439313077634012</v>
      </c>
      <c r="O129" s="61">
        <f t="shared" si="42"/>
        <v>0.70460649999999991</v>
      </c>
      <c r="P129" s="61"/>
      <c r="R129" s="19"/>
    </row>
    <row r="130" spans="1:18" s="6" customFormat="1" ht="56.25" x14ac:dyDescent="0.25">
      <c r="A130" s="59" t="s">
        <v>79</v>
      </c>
      <c r="B130" s="59" t="s">
        <v>35</v>
      </c>
      <c r="C130" s="59" t="s">
        <v>37</v>
      </c>
      <c r="D130" s="60" t="s">
        <v>252</v>
      </c>
      <c r="E130" s="34">
        <f t="shared" si="40"/>
        <v>14275500</v>
      </c>
      <c r="F130" s="32">
        <v>13695400</v>
      </c>
      <c r="G130" s="32">
        <v>580100</v>
      </c>
      <c r="H130" s="32">
        <v>420100</v>
      </c>
      <c r="I130" s="34">
        <f t="shared" si="41"/>
        <v>13230064.189999999</v>
      </c>
      <c r="J130" s="32">
        <v>12599340.09</v>
      </c>
      <c r="K130" s="32">
        <f>420062+210662.1</f>
        <v>630724.1</v>
      </c>
      <c r="L130" s="32">
        <v>420062</v>
      </c>
      <c r="M130" s="61">
        <f t="shared" si="39"/>
        <v>0.92676713179923642</v>
      </c>
      <c r="N130" s="61">
        <f t="shared" si="44"/>
        <v>0.91996875520247678</v>
      </c>
      <c r="O130" s="61">
        <f t="shared" si="42"/>
        <v>1.08726788484744</v>
      </c>
      <c r="P130" s="61">
        <f t="shared" si="43"/>
        <v>0.99990954534634613</v>
      </c>
      <c r="R130" s="19"/>
    </row>
    <row r="131" spans="1:18" s="6" customFormat="1" ht="37.5" x14ac:dyDescent="0.25">
      <c r="A131" s="59" t="s">
        <v>145</v>
      </c>
      <c r="B131" s="59" t="s">
        <v>126</v>
      </c>
      <c r="C131" s="59" t="s">
        <v>38</v>
      </c>
      <c r="D131" s="60" t="s">
        <v>127</v>
      </c>
      <c r="E131" s="34">
        <f t="shared" si="40"/>
        <v>2686800</v>
      </c>
      <c r="F131" s="32">
        <v>2686800</v>
      </c>
      <c r="G131" s="32">
        <v>0</v>
      </c>
      <c r="H131" s="32">
        <v>0</v>
      </c>
      <c r="I131" s="34">
        <f t="shared" si="41"/>
        <v>2659286.63</v>
      </c>
      <c r="J131" s="32">
        <v>2659286.63</v>
      </c>
      <c r="K131" s="32"/>
      <c r="L131" s="32"/>
      <c r="M131" s="61">
        <f t="shared" si="39"/>
        <v>0.9897597997617984</v>
      </c>
      <c r="N131" s="61">
        <f t="shared" si="44"/>
        <v>0.9897597997617984</v>
      </c>
      <c r="O131" s="61"/>
      <c r="P131" s="61"/>
      <c r="R131" s="19"/>
    </row>
    <row r="132" spans="1:18" s="6" customFormat="1" ht="18.75" x14ac:dyDescent="0.25">
      <c r="A132" s="59" t="s">
        <v>124</v>
      </c>
      <c r="B132" s="59" t="s">
        <v>125</v>
      </c>
      <c r="C132" s="59" t="s">
        <v>38</v>
      </c>
      <c r="D132" s="60" t="s">
        <v>128</v>
      </c>
      <c r="E132" s="34">
        <f t="shared" si="40"/>
        <v>760000</v>
      </c>
      <c r="F132" s="32">
        <v>760000</v>
      </c>
      <c r="G132" s="32">
        <v>0</v>
      </c>
      <c r="H132" s="32">
        <v>0</v>
      </c>
      <c r="I132" s="34">
        <f t="shared" si="41"/>
        <v>744312</v>
      </c>
      <c r="J132" s="32">
        <v>744312</v>
      </c>
      <c r="K132" s="32"/>
      <c r="L132" s="32"/>
      <c r="M132" s="61">
        <f t="shared" si="39"/>
        <v>0.97935789473684209</v>
      </c>
      <c r="N132" s="61">
        <f t="shared" si="44"/>
        <v>0.97935789473684209</v>
      </c>
      <c r="O132" s="61"/>
      <c r="P132" s="61"/>
      <c r="R132" s="19"/>
    </row>
    <row r="133" spans="1:18" s="6" customFormat="1" ht="37.5" x14ac:dyDescent="0.25">
      <c r="A133" s="66" t="s">
        <v>355</v>
      </c>
      <c r="B133" s="66" t="s">
        <v>315</v>
      </c>
      <c r="C133" s="66" t="s">
        <v>316</v>
      </c>
      <c r="D133" s="60" t="s">
        <v>317</v>
      </c>
      <c r="E133" s="34">
        <f t="shared" si="40"/>
        <v>256500</v>
      </c>
      <c r="F133" s="32">
        <v>176500</v>
      </c>
      <c r="G133" s="32">
        <v>80000</v>
      </c>
      <c r="H133" s="32">
        <v>80000</v>
      </c>
      <c r="I133" s="34">
        <f t="shared" si="41"/>
        <v>239663.25</v>
      </c>
      <c r="J133" s="32">
        <v>159663.25</v>
      </c>
      <c r="K133" s="32">
        <v>80000</v>
      </c>
      <c r="L133" s="32">
        <v>80000</v>
      </c>
      <c r="M133" s="61">
        <f t="shared" si="39"/>
        <v>0.934359649122807</v>
      </c>
      <c r="N133" s="61">
        <f t="shared" si="44"/>
        <v>0.90460764872521249</v>
      </c>
      <c r="O133" s="61">
        <f t="shared" si="42"/>
        <v>1</v>
      </c>
      <c r="P133" s="61">
        <f t="shared" si="43"/>
        <v>1</v>
      </c>
      <c r="Q133" s="8"/>
      <c r="R133" s="9"/>
    </row>
    <row r="134" spans="1:18" s="8" customFormat="1" ht="56.25" x14ac:dyDescent="0.25">
      <c r="A134" s="56" t="s">
        <v>22</v>
      </c>
      <c r="B134" s="56" t="s">
        <v>223</v>
      </c>
      <c r="C134" s="56" t="s">
        <v>223</v>
      </c>
      <c r="D134" s="57" t="s">
        <v>356</v>
      </c>
      <c r="E134" s="31">
        <f t="shared" si="40"/>
        <v>15194891</v>
      </c>
      <c r="F134" s="30">
        <f>F135</f>
        <v>10801756</v>
      </c>
      <c r="G134" s="30">
        <f t="shared" ref="G134:H134" si="62">G135</f>
        <v>4393135</v>
      </c>
      <c r="H134" s="30">
        <f t="shared" si="62"/>
        <v>35000</v>
      </c>
      <c r="I134" s="31">
        <f t="shared" si="41"/>
        <v>10190941.51</v>
      </c>
      <c r="J134" s="30">
        <f>J135</f>
        <v>10019203.67</v>
      </c>
      <c r="K134" s="30">
        <f t="shared" ref="K134" si="63">K135</f>
        <v>171737.84</v>
      </c>
      <c r="L134" s="30">
        <f t="shared" ref="L134" si="64">L135</f>
        <v>35000</v>
      </c>
      <c r="M134" s="58">
        <f t="shared" si="39"/>
        <v>0.67068210690027319</v>
      </c>
      <c r="N134" s="58">
        <f t="shared" si="44"/>
        <v>0.92755323023404712</v>
      </c>
      <c r="O134" s="58">
        <f t="shared" si="42"/>
        <v>3.9092320176821335E-2</v>
      </c>
      <c r="P134" s="58">
        <f t="shared" si="43"/>
        <v>1</v>
      </c>
    </row>
    <row r="135" spans="1:18" s="8" customFormat="1" ht="56.25" x14ac:dyDescent="0.25">
      <c r="A135" s="56" t="s">
        <v>23</v>
      </c>
      <c r="B135" s="56" t="s">
        <v>223</v>
      </c>
      <c r="C135" s="56" t="s">
        <v>223</v>
      </c>
      <c r="D135" s="57" t="s">
        <v>356</v>
      </c>
      <c r="E135" s="31">
        <f t="shared" si="40"/>
        <v>15194891</v>
      </c>
      <c r="F135" s="30">
        <f>SUM(F136:F144)</f>
        <v>10801756</v>
      </c>
      <c r="G135" s="30">
        <f t="shared" ref="G135:H135" si="65">SUM(G136:G144)</f>
        <v>4393135</v>
      </c>
      <c r="H135" s="30">
        <f t="shared" si="65"/>
        <v>35000</v>
      </c>
      <c r="I135" s="31">
        <f t="shared" si="41"/>
        <v>10190941.51</v>
      </c>
      <c r="J135" s="30">
        <f>SUM(J136:J144)</f>
        <v>10019203.67</v>
      </c>
      <c r="K135" s="30">
        <f t="shared" ref="K135" si="66">SUM(K136:K144)</f>
        <v>171737.84</v>
      </c>
      <c r="L135" s="30">
        <f t="shared" ref="L135" si="67">SUM(L136:L144)</f>
        <v>35000</v>
      </c>
      <c r="M135" s="58">
        <f t="shared" si="39"/>
        <v>0.67068210690027319</v>
      </c>
      <c r="N135" s="58">
        <f t="shared" si="44"/>
        <v>0.92755323023404712</v>
      </c>
      <c r="O135" s="58">
        <f t="shared" si="42"/>
        <v>3.9092320176821335E-2</v>
      </c>
      <c r="P135" s="58">
        <f t="shared" si="43"/>
        <v>1</v>
      </c>
    </row>
    <row r="136" spans="1:18" s="6" customFormat="1" ht="56.25" x14ac:dyDescent="0.25">
      <c r="A136" s="59" t="s">
        <v>80</v>
      </c>
      <c r="B136" s="59" t="s">
        <v>54</v>
      </c>
      <c r="C136" s="59" t="s">
        <v>2</v>
      </c>
      <c r="D136" s="60" t="s">
        <v>240</v>
      </c>
      <c r="E136" s="34">
        <f t="shared" si="40"/>
        <v>2991100</v>
      </c>
      <c r="F136" s="32">
        <v>2956100</v>
      </c>
      <c r="G136" s="32">
        <v>35000</v>
      </c>
      <c r="H136" s="32">
        <v>35000</v>
      </c>
      <c r="I136" s="34">
        <f t="shared" si="41"/>
        <v>2983162.58</v>
      </c>
      <c r="J136" s="32">
        <v>2948162.58</v>
      </c>
      <c r="K136" s="32">
        <v>35000</v>
      </c>
      <c r="L136" s="32">
        <v>35000</v>
      </c>
      <c r="M136" s="61">
        <f t="shared" si="39"/>
        <v>0.99734632075156304</v>
      </c>
      <c r="N136" s="61">
        <f t="shared" si="44"/>
        <v>0.9973149013903454</v>
      </c>
      <c r="O136" s="61">
        <f t="shared" si="42"/>
        <v>1</v>
      </c>
      <c r="P136" s="61">
        <f t="shared" si="43"/>
        <v>1</v>
      </c>
    </row>
    <row r="137" spans="1:18" s="8" customFormat="1" ht="75" x14ac:dyDescent="0.25">
      <c r="A137" s="59" t="s">
        <v>83</v>
      </c>
      <c r="B137" s="59" t="s">
        <v>82</v>
      </c>
      <c r="C137" s="59" t="s">
        <v>19</v>
      </c>
      <c r="D137" s="60" t="s">
        <v>357</v>
      </c>
      <c r="E137" s="34">
        <f t="shared" si="40"/>
        <v>2036600</v>
      </c>
      <c r="F137" s="32">
        <v>2036600</v>
      </c>
      <c r="G137" s="32">
        <v>0</v>
      </c>
      <c r="H137" s="32">
        <v>0</v>
      </c>
      <c r="I137" s="34">
        <f t="shared" si="41"/>
        <v>1847463.54</v>
      </c>
      <c r="J137" s="32">
        <f>784266.8+943598.05</f>
        <v>1727864.85</v>
      </c>
      <c r="K137" s="32">
        <f>119598.69</f>
        <v>119598.69</v>
      </c>
      <c r="L137" s="32"/>
      <c r="M137" s="61">
        <f t="shared" si="39"/>
        <v>0.90713126779927333</v>
      </c>
      <c r="N137" s="61">
        <f t="shared" si="44"/>
        <v>0.84840658450358442</v>
      </c>
      <c r="O137" s="62" t="s">
        <v>442</v>
      </c>
      <c r="P137" s="61"/>
    </row>
    <row r="138" spans="1:18" s="6" customFormat="1" ht="56.25" x14ac:dyDescent="0.25">
      <c r="A138" s="59" t="s">
        <v>25</v>
      </c>
      <c r="B138" s="59" t="s">
        <v>24</v>
      </c>
      <c r="C138" s="59" t="s">
        <v>20</v>
      </c>
      <c r="D138" s="60" t="s">
        <v>42</v>
      </c>
      <c r="E138" s="34">
        <f t="shared" si="40"/>
        <v>1498900</v>
      </c>
      <c r="F138" s="32">
        <v>1498900</v>
      </c>
      <c r="G138" s="32">
        <v>0</v>
      </c>
      <c r="H138" s="32">
        <v>0</v>
      </c>
      <c r="I138" s="34">
        <f t="shared" si="41"/>
        <v>1245942.72</v>
      </c>
      <c r="J138" s="32">
        <v>1245942.72</v>
      </c>
      <c r="K138" s="32"/>
      <c r="L138" s="32"/>
      <c r="M138" s="61">
        <f t="shared" si="39"/>
        <v>0.83123805457335376</v>
      </c>
      <c r="N138" s="61">
        <f t="shared" si="44"/>
        <v>0.83123805457335376</v>
      </c>
      <c r="O138" s="61"/>
      <c r="P138" s="61"/>
    </row>
    <row r="139" spans="1:18" s="6" customFormat="1" ht="56.25" x14ac:dyDescent="0.25">
      <c r="A139" s="59" t="s">
        <v>44</v>
      </c>
      <c r="B139" s="59" t="s">
        <v>45</v>
      </c>
      <c r="C139" s="59" t="s">
        <v>20</v>
      </c>
      <c r="D139" s="60" t="s">
        <v>46</v>
      </c>
      <c r="E139" s="34">
        <f t="shared" si="40"/>
        <v>1193600</v>
      </c>
      <c r="F139" s="32">
        <v>1193600</v>
      </c>
      <c r="G139" s="32">
        <v>0</v>
      </c>
      <c r="H139" s="32">
        <v>0</v>
      </c>
      <c r="I139" s="34">
        <f t="shared" si="41"/>
        <v>1162800.8400000001</v>
      </c>
      <c r="J139" s="32">
        <v>1162800.8400000001</v>
      </c>
      <c r="K139" s="32"/>
      <c r="L139" s="32"/>
      <c r="M139" s="61">
        <f t="shared" si="39"/>
        <v>0.9741964142091154</v>
      </c>
      <c r="N139" s="61">
        <f t="shared" si="44"/>
        <v>0.9741964142091154</v>
      </c>
      <c r="O139" s="61"/>
      <c r="P139" s="61"/>
    </row>
    <row r="140" spans="1:18" s="8" customFormat="1" ht="56.25" x14ac:dyDescent="0.25">
      <c r="A140" s="59">
        <v>1115049</v>
      </c>
      <c r="B140" s="59">
        <v>5049</v>
      </c>
      <c r="C140" s="59" t="s">
        <v>20</v>
      </c>
      <c r="D140" s="60" t="s">
        <v>408</v>
      </c>
      <c r="E140" s="34">
        <f t="shared" si="40"/>
        <v>114192</v>
      </c>
      <c r="F140" s="32">
        <v>114192</v>
      </c>
      <c r="G140" s="32"/>
      <c r="H140" s="32"/>
      <c r="I140" s="34">
        <f t="shared" si="41"/>
        <v>81984</v>
      </c>
      <c r="J140" s="32">
        <v>81984</v>
      </c>
      <c r="K140" s="32"/>
      <c r="L140" s="32"/>
      <c r="M140" s="61">
        <f t="shared" si="39"/>
        <v>0.71794871794871795</v>
      </c>
      <c r="N140" s="61">
        <f t="shared" si="44"/>
        <v>0.71794871794871795</v>
      </c>
      <c r="O140" s="61"/>
      <c r="P140" s="61"/>
    </row>
    <row r="141" spans="1:18" s="6" customFormat="1" ht="75" x14ac:dyDescent="0.25">
      <c r="A141" s="59" t="s">
        <v>48</v>
      </c>
      <c r="B141" s="59" t="s">
        <v>49</v>
      </c>
      <c r="C141" s="59" t="s">
        <v>20</v>
      </c>
      <c r="D141" s="60" t="s">
        <v>409</v>
      </c>
      <c r="E141" s="34">
        <f t="shared" si="40"/>
        <v>2749864</v>
      </c>
      <c r="F141" s="32">
        <v>2749864</v>
      </c>
      <c r="G141" s="32">
        <v>0</v>
      </c>
      <c r="H141" s="32">
        <v>0</v>
      </c>
      <c r="I141" s="34">
        <f t="shared" si="41"/>
        <v>2624046.6</v>
      </c>
      <c r="J141" s="32">
        <v>2624046.6</v>
      </c>
      <c r="K141" s="32"/>
      <c r="L141" s="32"/>
      <c r="M141" s="61">
        <f t="shared" si="39"/>
        <v>0.95424595543634161</v>
      </c>
      <c r="N141" s="61">
        <f t="shared" si="44"/>
        <v>0.95424595543634161</v>
      </c>
      <c r="O141" s="61"/>
      <c r="P141" s="61"/>
    </row>
    <row r="142" spans="1:18" s="6" customFormat="1" ht="56.25" x14ac:dyDescent="0.25">
      <c r="A142" s="59">
        <v>1115062</v>
      </c>
      <c r="B142" s="59">
        <v>5062</v>
      </c>
      <c r="C142" s="66" t="s">
        <v>20</v>
      </c>
      <c r="D142" s="60" t="s">
        <v>422</v>
      </c>
      <c r="E142" s="34">
        <f t="shared" si="40"/>
        <v>180000</v>
      </c>
      <c r="F142" s="32">
        <v>180000</v>
      </c>
      <c r="G142" s="32"/>
      <c r="H142" s="32"/>
      <c r="I142" s="34">
        <f t="shared" si="41"/>
        <v>165460.07999999999</v>
      </c>
      <c r="J142" s="32">
        <v>165460.07999999999</v>
      </c>
      <c r="K142" s="32"/>
      <c r="L142" s="32"/>
      <c r="M142" s="61">
        <f t="shared" si="39"/>
        <v>0.91922266666666663</v>
      </c>
      <c r="N142" s="61">
        <f t="shared" si="44"/>
        <v>0.91922266666666663</v>
      </c>
      <c r="O142" s="61"/>
      <c r="P142" s="61"/>
    </row>
    <row r="143" spans="1:18" s="6" customFormat="1" ht="37.5" x14ac:dyDescent="0.25">
      <c r="A143" s="66" t="s">
        <v>358</v>
      </c>
      <c r="B143" s="66" t="s">
        <v>315</v>
      </c>
      <c r="C143" s="66" t="s">
        <v>316</v>
      </c>
      <c r="D143" s="60" t="s">
        <v>317</v>
      </c>
      <c r="E143" s="34">
        <f t="shared" si="40"/>
        <v>72500</v>
      </c>
      <c r="F143" s="32">
        <v>72500</v>
      </c>
      <c r="G143" s="32">
        <v>0</v>
      </c>
      <c r="H143" s="32"/>
      <c r="I143" s="34">
        <f t="shared" si="41"/>
        <v>62942</v>
      </c>
      <c r="J143" s="32">
        <f>30542+32400</f>
        <v>62942</v>
      </c>
      <c r="K143" s="32"/>
      <c r="L143" s="32"/>
      <c r="M143" s="61">
        <f t="shared" si="39"/>
        <v>0.86816551724137936</v>
      </c>
      <c r="N143" s="61">
        <f t="shared" si="44"/>
        <v>0.86816551724137936</v>
      </c>
      <c r="O143" s="61"/>
      <c r="P143" s="61"/>
    </row>
    <row r="144" spans="1:18" s="6" customFormat="1" ht="168.75" x14ac:dyDescent="0.25">
      <c r="A144" s="66" t="s">
        <v>423</v>
      </c>
      <c r="B144" s="66" t="s">
        <v>366</v>
      </c>
      <c r="C144" s="66" t="s">
        <v>21</v>
      </c>
      <c r="D144" s="60" t="s">
        <v>150</v>
      </c>
      <c r="E144" s="34">
        <f t="shared" si="40"/>
        <v>4358135</v>
      </c>
      <c r="F144" s="32">
        <v>0</v>
      </c>
      <c r="G144" s="32">
        <v>4358135</v>
      </c>
      <c r="H144" s="32"/>
      <c r="I144" s="34">
        <f t="shared" si="41"/>
        <v>17139.150000000001</v>
      </c>
      <c r="J144" s="32"/>
      <c r="K144" s="32">
        <v>17139.150000000001</v>
      </c>
      <c r="L144" s="32"/>
      <c r="M144" s="61">
        <f t="shared" si="39"/>
        <v>3.9326799192773978E-3</v>
      </c>
      <c r="N144" s="61"/>
      <c r="O144" s="61">
        <f t="shared" si="42"/>
        <v>3.9326799192773978E-3</v>
      </c>
      <c r="P144" s="61"/>
    </row>
    <row r="145" spans="1:17" s="13" customFormat="1" ht="75" x14ac:dyDescent="0.25">
      <c r="A145" s="56" t="s">
        <v>84</v>
      </c>
      <c r="B145" s="56" t="s">
        <v>223</v>
      </c>
      <c r="C145" s="56" t="s">
        <v>223</v>
      </c>
      <c r="D145" s="57" t="s">
        <v>253</v>
      </c>
      <c r="E145" s="31">
        <f t="shared" si="40"/>
        <v>243702164.91</v>
      </c>
      <c r="F145" s="30">
        <f>F146</f>
        <v>207801653</v>
      </c>
      <c r="G145" s="30">
        <f t="shared" ref="G145:H145" si="68">G146</f>
        <v>35900511.909999996</v>
      </c>
      <c r="H145" s="30">
        <f t="shared" si="68"/>
        <v>31066015.82</v>
      </c>
      <c r="I145" s="31">
        <f t="shared" si="41"/>
        <v>230988874.22000003</v>
      </c>
      <c r="J145" s="30">
        <f>J146</f>
        <v>202319565.18000004</v>
      </c>
      <c r="K145" s="30">
        <f t="shared" ref="K145" si="69">K146</f>
        <v>28669309.039999999</v>
      </c>
      <c r="L145" s="30">
        <f t="shared" ref="L145" si="70">L146</f>
        <v>27184718.73</v>
      </c>
      <c r="M145" s="58">
        <f t="shared" ref="M145:M208" si="71">I145/E145</f>
        <v>0.94783267233307089</v>
      </c>
      <c r="N145" s="58">
        <f t="shared" ref="N145:N208" si="72">J145/F145</f>
        <v>0.97361865153209359</v>
      </c>
      <c r="O145" s="58">
        <f t="shared" ref="O145:O208" si="73">K145/G145</f>
        <v>0.79857660837460753</v>
      </c>
      <c r="P145" s="58">
        <f t="shared" ref="P145:P208" si="74">L145/H145</f>
        <v>0.8750629268816229</v>
      </c>
    </row>
    <row r="146" spans="1:17" s="8" customFormat="1" ht="75" x14ac:dyDescent="0.25">
      <c r="A146" s="56" t="s">
        <v>85</v>
      </c>
      <c r="B146" s="56" t="s">
        <v>223</v>
      </c>
      <c r="C146" s="56" t="s">
        <v>223</v>
      </c>
      <c r="D146" s="57" t="s">
        <v>253</v>
      </c>
      <c r="E146" s="31">
        <f t="shared" si="40"/>
        <v>243702164.91</v>
      </c>
      <c r="F146" s="30">
        <f>SUM(F147:F169)</f>
        <v>207801653</v>
      </c>
      <c r="G146" s="30">
        <f t="shared" ref="G146:H146" si="75">SUM(G147:G169)</f>
        <v>35900511.909999996</v>
      </c>
      <c r="H146" s="30">
        <f t="shared" si="75"/>
        <v>31066015.82</v>
      </c>
      <c r="I146" s="31">
        <f t="shared" si="41"/>
        <v>230988874.22000003</v>
      </c>
      <c r="J146" s="30">
        <f>SUM(J147:J169)</f>
        <v>202319565.18000004</v>
      </c>
      <c r="K146" s="30">
        <f t="shared" ref="K146" si="76">SUM(K147:K169)</f>
        <v>28669309.039999999</v>
      </c>
      <c r="L146" s="30">
        <f t="shared" ref="L146" si="77">SUM(L147:L169)</f>
        <v>27184718.73</v>
      </c>
      <c r="M146" s="58">
        <f t="shared" si="71"/>
        <v>0.94783267233307089</v>
      </c>
      <c r="N146" s="58">
        <f t="shared" si="72"/>
        <v>0.97361865153209359</v>
      </c>
      <c r="O146" s="58">
        <f t="shared" si="73"/>
        <v>0.79857660837460753</v>
      </c>
      <c r="P146" s="58">
        <f t="shared" si="74"/>
        <v>0.8750629268816229</v>
      </c>
    </row>
    <row r="147" spans="1:17" s="6" customFormat="1" ht="56.25" x14ac:dyDescent="0.25">
      <c r="A147" s="59" t="s">
        <v>86</v>
      </c>
      <c r="B147" s="59" t="s">
        <v>54</v>
      </c>
      <c r="C147" s="59" t="s">
        <v>2</v>
      </c>
      <c r="D147" s="60" t="s">
        <v>240</v>
      </c>
      <c r="E147" s="34">
        <f t="shared" ref="E147:E210" si="78">F147+G147</f>
        <v>5665100</v>
      </c>
      <c r="F147" s="32">
        <v>5665100</v>
      </c>
      <c r="G147" s="32">
        <v>0</v>
      </c>
      <c r="H147" s="32">
        <v>0</v>
      </c>
      <c r="I147" s="34">
        <f t="shared" ref="I147:I210" si="79">J147+K147</f>
        <v>5378261.1200000001</v>
      </c>
      <c r="J147" s="32">
        <v>5378261.1200000001</v>
      </c>
      <c r="K147" s="32"/>
      <c r="L147" s="32"/>
      <c r="M147" s="61">
        <f t="shared" si="71"/>
        <v>0.94936737568621921</v>
      </c>
      <c r="N147" s="61">
        <f t="shared" si="72"/>
        <v>0.94936737568621921</v>
      </c>
      <c r="O147" s="61"/>
      <c r="P147" s="61"/>
      <c r="Q147" s="18"/>
    </row>
    <row r="148" spans="1:17" s="6" customFormat="1" ht="56.25" x14ac:dyDescent="0.25">
      <c r="A148" s="59" t="s">
        <v>180</v>
      </c>
      <c r="B148" s="59" t="s">
        <v>105</v>
      </c>
      <c r="C148" s="59" t="s">
        <v>106</v>
      </c>
      <c r="D148" s="60" t="s">
        <v>107</v>
      </c>
      <c r="E148" s="34">
        <f t="shared" si="78"/>
        <v>10000</v>
      </c>
      <c r="F148" s="32">
        <v>10000</v>
      </c>
      <c r="G148" s="32">
        <v>0</v>
      </c>
      <c r="H148" s="32">
        <v>0</v>
      </c>
      <c r="I148" s="34">
        <f t="shared" si="79"/>
        <v>4490</v>
      </c>
      <c r="J148" s="32">
        <v>4490</v>
      </c>
      <c r="K148" s="32"/>
      <c r="L148" s="32"/>
      <c r="M148" s="61">
        <f t="shared" si="71"/>
        <v>0.44900000000000001</v>
      </c>
      <c r="N148" s="61">
        <f t="shared" si="72"/>
        <v>0.44900000000000001</v>
      </c>
      <c r="O148" s="61"/>
      <c r="P148" s="61"/>
      <c r="Q148" s="18"/>
    </row>
    <row r="149" spans="1:17" s="8" customFormat="1" ht="37.5" x14ac:dyDescent="0.25">
      <c r="A149" s="59" t="s">
        <v>133</v>
      </c>
      <c r="B149" s="59" t="s">
        <v>132</v>
      </c>
      <c r="C149" s="59" t="s">
        <v>114</v>
      </c>
      <c r="D149" s="60" t="s">
        <v>115</v>
      </c>
      <c r="E149" s="34">
        <f t="shared" si="78"/>
        <v>30000</v>
      </c>
      <c r="F149" s="32">
        <v>30000</v>
      </c>
      <c r="G149" s="32">
        <v>0</v>
      </c>
      <c r="H149" s="32">
        <v>0</v>
      </c>
      <c r="I149" s="34">
        <f t="shared" si="79"/>
        <v>0</v>
      </c>
      <c r="J149" s="32"/>
      <c r="K149" s="32"/>
      <c r="L149" s="32"/>
      <c r="M149" s="61">
        <f t="shared" si="71"/>
        <v>0</v>
      </c>
      <c r="N149" s="61">
        <f t="shared" si="72"/>
        <v>0</v>
      </c>
      <c r="O149" s="61"/>
      <c r="P149" s="61"/>
    </row>
    <row r="150" spans="1:17" s="8" customFormat="1" ht="37.5" x14ac:dyDescent="0.25">
      <c r="A150" s="59">
        <v>1216011</v>
      </c>
      <c r="B150" s="59">
        <v>6011</v>
      </c>
      <c r="C150" s="66" t="s">
        <v>268</v>
      </c>
      <c r="D150" s="60" t="s">
        <v>97</v>
      </c>
      <c r="E150" s="34">
        <f t="shared" si="78"/>
        <v>4936942.75</v>
      </c>
      <c r="F150" s="32">
        <v>227819</v>
      </c>
      <c r="G150" s="32">
        <v>4709123.75</v>
      </c>
      <c r="H150" s="32">
        <v>4709123.75</v>
      </c>
      <c r="I150" s="34">
        <f t="shared" si="79"/>
        <v>2898913.11</v>
      </c>
      <c r="J150" s="32"/>
      <c r="K150" s="32">
        <v>2898913.11</v>
      </c>
      <c r="L150" s="32">
        <v>2898913.11</v>
      </c>
      <c r="M150" s="61">
        <f t="shared" si="71"/>
        <v>0.58718791300547279</v>
      </c>
      <c r="N150" s="61">
        <f t="shared" si="72"/>
        <v>0</v>
      </c>
      <c r="O150" s="61">
        <f t="shared" si="73"/>
        <v>0.61559501595174682</v>
      </c>
      <c r="P150" s="61">
        <f t="shared" si="74"/>
        <v>0.61559501595174682</v>
      </c>
    </row>
    <row r="151" spans="1:17" s="6" customFormat="1" ht="37.5" x14ac:dyDescent="0.25">
      <c r="A151" s="59">
        <v>1216013</v>
      </c>
      <c r="B151" s="59">
        <v>6013</v>
      </c>
      <c r="C151" s="66" t="s">
        <v>8</v>
      </c>
      <c r="D151" s="60" t="s">
        <v>424</v>
      </c>
      <c r="E151" s="34">
        <f t="shared" si="78"/>
        <v>2411223</v>
      </c>
      <c r="F151" s="32">
        <v>2274106</v>
      </c>
      <c r="G151" s="32">
        <v>137117</v>
      </c>
      <c r="H151" s="32">
        <v>137117</v>
      </c>
      <c r="I151" s="34">
        <f t="shared" si="79"/>
        <v>2411222.4</v>
      </c>
      <c r="J151" s="32">
        <v>2274105.6</v>
      </c>
      <c r="K151" s="32">
        <v>137116.79999999999</v>
      </c>
      <c r="L151" s="32">
        <v>137116.79999999999</v>
      </c>
      <c r="M151" s="61">
        <f t="shared" si="71"/>
        <v>0.99999975116362105</v>
      </c>
      <c r="N151" s="61">
        <f t="shared" si="72"/>
        <v>0.99999982410670396</v>
      </c>
      <c r="O151" s="61">
        <f t="shared" si="73"/>
        <v>0.99999854139165811</v>
      </c>
      <c r="P151" s="61">
        <f t="shared" si="74"/>
        <v>0.99999854139165811</v>
      </c>
    </row>
    <row r="152" spans="1:17" s="12" customFormat="1" ht="37.5" x14ac:dyDescent="0.25">
      <c r="A152" s="59" t="s">
        <v>117</v>
      </c>
      <c r="B152" s="59" t="s">
        <v>116</v>
      </c>
      <c r="C152" s="59" t="s">
        <v>8</v>
      </c>
      <c r="D152" s="60" t="s">
        <v>118</v>
      </c>
      <c r="E152" s="34">
        <f t="shared" si="78"/>
        <v>6754192.25</v>
      </c>
      <c r="F152" s="32">
        <v>0</v>
      </c>
      <c r="G152" s="32">
        <v>6754192.25</v>
      </c>
      <c r="H152" s="32">
        <v>6754192.25</v>
      </c>
      <c r="I152" s="34">
        <f t="shared" si="79"/>
        <v>6754187.6799999997</v>
      </c>
      <c r="J152" s="32"/>
      <c r="K152" s="32">
        <v>6754187.6799999997</v>
      </c>
      <c r="L152" s="32">
        <v>6754187.6799999997</v>
      </c>
      <c r="M152" s="61">
        <f t="shared" si="71"/>
        <v>0.99999932338319208</v>
      </c>
      <c r="N152" s="61"/>
      <c r="O152" s="61">
        <f t="shared" si="73"/>
        <v>0.99999932338319208</v>
      </c>
      <c r="P152" s="61">
        <f t="shared" si="74"/>
        <v>0.99999932338319208</v>
      </c>
    </row>
    <row r="153" spans="1:17" s="12" customFormat="1" ht="56.25" x14ac:dyDescent="0.25">
      <c r="A153" s="59" t="s">
        <v>147</v>
      </c>
      <c r="B153" s="59" t="s">
        <v>148</v>
      </c>
      <c r="C153" s="59" t="s">
        <v>8</v>
      </c>
      <c r="D153" s="60" t="s">
        <v>254</v>
      </c>
      <c r="E153" s="34">
        <f t="shared" si="78"/>
        <v>3146830</v>
      </c>
      <c r="F153" s="32">
        <v>2051830</v>
      </c>
      <c r="G153" s="32">
        <v>1095000</v>
      </c>
      <c r="H153" s="32">
        <v>1095000</v>
      </c>
      <c r="I153" s="34">
        <f t="shared" si="79"/>
        <v>1915375.51</v>
      </c>
      <c r="J153" s="32">
        <v>1845358.21</v>
      </c>
      <c r="K153" s="32">
        <v>70017.3</v>
      </c>
      <c r="L153" s="32">
        <v>70017.3</v>
      </c>
      <c r="M153" s="61">
        <f t="shared" si="71"/>
        <v>0.60866825027090754</v>
      </c>
      <c r="N153" s="61">
        <f t="shared" si="72"/>
        <v>0.89937188266084422</v>
      </c>
      <c r="O153" s="61">
        <f t="shared" si="73"/>
        <v>6.3942739726027403E-2</v>
      </c>
      <c r="P153" s="61">
        <f t="shared" si="74"/>
        <v>6.3942739726027403E-2</v>
      </c>
    </row>
    <row r="154" spans="1:17" s="12" customFormat="1" ht="37.5" x14ac:dyDescent="0.25">
      <c r="A154" s="59" t="s">
        <v>87</v>
      </c>
      <c r="B154" s="59" t="s">
        <v>39</v>
      </c>
      <c r="C154" s="59" t="s">
        <v>8</v>
      </c>
      <c r="D154" s="60" t="s">
        <v>232</v>
      </c>
      <c r="E154" s="34">
        <f t="shared" si="78"/>
        <v>92133353</v>
      </c>
      <c r="F154" s="32">
        <v>84891674</v>
      </c>
      <c r="G154" s="32">
        <v>7241679</v>
      </c>
      <c r="H154" s="32">
        <v>7241679</v>
      </c>
      <c r="I154" s="34">
        <f t="shared" si="79"/>
        <v>88015071.530000001</v>
      </c>
      <c r="J154" s="32">
        <f>43490102.33+20013121+18129717.45</f>
        <v>81632940.780000001</v>
      </c>
      <c r="K154" s="32">
        <f>33971.76+6096579+251579.99</f>
        <v>6382130.75</v>
      </c>
      <c r="L154" s="32">
        <f>33971.76+6096579+251579.99</f>
        <v>6382130.75</v>
      </c>
      <c r="M154" s="61">
        <f t="shared" si="71"/>
        <v>0.95530086189308661</v>
      </c>
      <c r="N154" s="61">
        <f t="shared" si="72"/>
        <v>0.96161304087371402</v>
      </c>
      <c r="O154" s="61">
        <f t="shared" si="73"/>
        <v>0.8813053920230377</v>
      </c>
      <c r="P154" s="61">
        <f t="shared" si="74"/>
        <v>0.8813053920230377</v>
      </c>
    </row>
    <row r="155" spans="1:17" s="12" customFormat="1" ht="37.5" x14ac:dyDescent="0.25">
      <c r="A155" s="59">
        <v>1216091</v>
      </c>
      <c r="B155" s="59">
        <v>6091</v>
      </c>
      <c r="C155" s="66" t="s">
        <v>359</v>
      </c>
      <c r="D155" s="60" t="s">
        <v>305</v>
      </c>
      <c r="E155" s="34">
        <f t="shared" si="78"/>
        <v>6559841</v>
      </c>
      <c r="F155" s="32">
        <v>0</v>
      </c>
      <c r="G155" s="32">
        <v>6559841</v>
      </c>
      <c r="H155" s="32">
        <v>6559841</v>
      </c>
      <c r="I155" s="34">
        <f t="shared" si="79"/>
        <v>6559840.9100000001</v>
      </c>
      <c r="J155" s="32"/>
      <c r="K155" s="32">
        <f>159840.91+6400000</f>
        <v>6559840.9100000001</v>
      </c>
      <c r="L155" s="32">
        <f>159840.91+6400000</f>
        <v>6559840.9100000001</v>
      </c>
      <c r="M155" s="61">
        <f t="shared" si="71"/>
        <v>0.9999999862801553</v>
      </c>
      <c r="N155" s="61"/>
      <c r="O155" s="61">
        <f t="shared" si="73"/>
        <v>0.9999999862801553</v>
      </c>
      <c r="P155" s="61">
        <f t="shared" si="74"/>
        <v>0.9999999862801553</v>
      </c>
    </row>
    <row r="156" spans="1:17" s="12" customFormat="1" ht="93.75" x14ac:dyDescent="0.25">
      <c r="A156" s="59">
        <v>1216093</v>
      </c>
      <c r="B156" s="59">
        <v>6093</v>
      </c>
      <c r="C156" s="66" t="s">
        <v>359</v>
      </c>
      <c r="D156" s="60" t="s">
        <v>360</v>
      </c>
      <c r="E156" s="34">
        <f t="shared" si="78"/>
        <v>37755</v>
      </c>
      <c r="F156" s="32">
        <v>37755</v>
      </c>
      <c r="G156" s="32">
        <v>0</v>
      </c>
      <c r="H156" s="32"/>
      <c r="I156" s="34">
        <f t="shared" si="79"/>
        <v>37754.870000000003</v>
      </c>
      <c r="J156" s="32">
        <v>37754.870000000003</v>
      </c>
      <c r="K156" s="32"/>
      <c r="L156" s="32"/>
      <c r="M156" s="61">
        <f t="shared" si="71"/>
        <v>0.99999655674745069</v>
      </c>
      <c r="N156" s="61">
        <f t="shared" si="72"/>
        <v>0.99999655674745069</v>
      </c>
      <c r="O156" s="61"/>
      <c r="P156" s="61"/>
    </row>
    <row r="157" spans="1:17" s="12" customFormat="1" ht="56.25" x14ac:dyDescent="0.25">
      <c r="A157" s="59" t="s">
        <v>119</v>
      </c>
      <c r="B157" s="59" t="s">
        <v>95</v>
      </c>
      <c r="C157" s="59" t="s">
        <v>40</v>
      </c>
      <c r="D157" s="60" t="s">
        <v>96</v>
      </c>
      <c r="E157" s="34">
        <f t="shared" si="78"/>
        <v>30000000</v>
      </c>
      <c r="F157" s="32">
        <v>30000000</v>
      </c>
      <c r="G157" s="32">
        <v>0</v>
      </c>
      <c r="H157" s="32">
        <v>0</v>
      </c>
      <c r="I157" s="34">
        <f t="shared" si="79"/>
        <v>29614431.600000001</v>
      </c>
      <c r="J157" s="32">
        <v>29614431.600000001</v>
      </c>
      <c r="K157" s="32"/>
      <c r="L157" s="32"/>
      <c r="M157" s="61">
        <f t="shared" si="71"/>
        <v>0.98714772000000006</v>
      </c>
      <c r="N157" s="61">
        <f t="shared" si="72"/>
        <v>0.98714772000000006</v>
      </c>
      <c r="O157" s="61"/>
      <c r="P157" s="61"/>
    </row>
    <row r="158" spans="1:17" s="11" customFormat="1" ht="37.5" x14ac:dyDescent="0.25">
      <c r="A158" s="66" t="s">
        <v>361</v>
      </c>
      <c r="B158" s="66" t="s">
        <v>315</v>
      </c>
      <c r="C158" s="66" t="s">
        <v>316</v>
      </c>
      <c r="D158" s="60" t="s">
        <v>317</v>
      </c>
      <c r="E158" s="34">
        <f t="shared" si="78"/>
        <v>58300</v>
      </c>
      <c r="F158" s="32">
        <v>58300</v>
      </c>
      <c r="G158" s="32">
        <v>0</v>
      </c>
      <c r="H158" s="32">
        <v>0</v>
      </c>
      <c r="I158" s="34">
        <f t="shared" si="79"/>
        <v>36058</v>
      </c>
      <c r="J158" s="32">
        <v>36058</v>
      </c>
      <c r="K158" s="32"/>
      <c r="L158" s="32"/>
      <c r="M158" s="61">
        <f t="shared" si="71"/>
        <v>0.61849056603773589</v>
      </c>
      <c r="N158" s="61">
        <f t="shared" si="72"/>
        <v>0.61849056603773589</v>
      </c>
      <c r="O158" s="61"/>
      <c r="P158" s="61"/>
    </row>
    <row r="159" spans="1:17" s="11" customFormat="1" ht="18.75" x14ac:dyDescent="0.25">
      <c r="A159" s="66" t="s">
        <v>410</v>
      </c>
      <c r="B159" s="66" t="s">
        <v>319</v>
      </c>
      <c r="C159" s="66" t="s">
        <v>6</v>
      </c>
      <c r="D159" s="60" t="s">
        <v>7</v>
      </c>
      <c r="E159" s="34">
        <f t="shared" si="78"/>
        <v>742900</v>
      </c>
      <c r="F159" s="32">
        <v>0</v>
      </c>
      <c r="G159" s="32">
        <v>742900</v>
      </c>
      <c r="H159" s="32">
        <v>742900</v>
      </c>
      <c r="I159" s="34">
        <f t="shared" si="79"/>
        <v>556408.52</v>
      </c>
      <c r="J159" s="32"/>
      <c r="K159" s="32">
        <f>556408.52</f>
        <v>556408.52</v>
      </c>
      <c r="L159" s="32">
        <v>556408.52</v>
      </c>
      <c r="M159" s="61">
        <f t="shared" si="71"/>
        <v>0.748968259523489</v>
      </c>
      <c r="N159" s="61"/>
      <c r="O159" s="61">
        <f t="shared" si="73"/>
        <v>0.748968259523489</v>
      </c>
      <c r="P159" s="61">
        <f t="shared" si="74"/>
        <v>0.748968259523489</v>
      </c>
    </row>
    <row r="160" spans="1:17" s="12" customFormat="1" ht="37.5" x14ac:dyDescent="0.25">
      <c r="A160" s="66" t="s">
        <v>362</v>
      </c>
      <c r="B160" s="66" t="s">
        <v>363</v>
      </c>
      <c r="C160" s="66" t="s">
        <v>21</v>
      </c>
      <c r="D160" s="60" t="s">
        <v>364</v>
      </c>
      <c r="E160" s="34">
        <f t="shared" si="78"/>
        <v>3403797.82</v>
      </c>
      <c r="F160" s="32">
        <v>0</v>
      </c>
      <c r="G160" s="32">
        <v>3403797.82</v>
      </c>
      <c r="H160" s="32">
        <v>3403797.82</v>
      </c>
      <c r="I160" s="34">
        <f t="shared" si="79"/>
        <v>3403794.3600000003</v>
      </c>
      <c r="J160" s="32"/>
      <c r="K160" s="32">
        <f>1459999.8+590506.8+1353287.76</f>
        <v>3403794.3600000003</v>
      </c>
      <c r="L160" s="32">
        <f>1459999.8+590506.8+1353287.76</f>
        <v>3403794.3600000003</v>
      </c>
      <c r="M160" s="61">
        <f t="shared" si="71"/>
        <v>0.99999898348839078</v>
      </c>
      <c r="N160" s="61"/>
      <c r="O160" s="61">
        <f t="shared" si="73"/>
        <v>0.99999898348839078</v>
      </c>
      <c r="P160" s="61">
        <f t="shared" si="74"/>
        <v>0.99999898348839078</v>
      </c>
    </row>
    <row r="161" spans="1:16" s="12" customFormat="1" ht="168.75" x14ac:dyDescent="0.25">
      <c r="A161" s="66" t="s">
        <v>365</v>
      </c>
      <c r="B161" s="66" t="s">
        <v>366</v>
      </c>
      <c r="C161" s="66" t="s">
        <v>21</v>
      </c>
      <c r="D161" s="60" t="s">
        <v>150</v>
      </c>
      <c r="E161" s="34">
        <f t="shared" si="78"/>
        <v>3600796.09</v>
      </c>
      <c r="F161" s="32">
        <v>0</v>
      </c>
      <c r="G161" s="32">
        <v>3600796.09</v>
      </c>
      <c r="H161" s="32"/>
      <c r="I161" s="34">
        <f t="shared" si="79"/>
        <v>482801.02</v>
      </c>
      <c r="J161" s="32"/>
      <c r="K161" s="32">
        <v>482801.02</v>
      </c>
      <c r="L161" s="32"/>
      <c r="M161" s="61">
        <f t="shared" si="71"/>
        <v>0.13408174412897678</v>
      </c>
      <c r="N161" s="61"/>
      <c r="O161" s="61">
        <f t="shared" si="73"/>
        <v>0.13408174412897678</v>
      </c>
      <c r="P161" s="61"/>
    </row>
    <row r="162" spans="1:16" s="11" customFormat="1" ht="37.5" x14ac:dyDescent="0.25">
      <c r="A162" s="59" t="s">
        <v>367</v>
      </c>
      <c r="B162" s="59" t="s">
        <v>130</v>
      </c>
      <c r="C162" s="59" t="s">
        <v>21</v>
      </c>
      <c r="D162" s="60" t="s">
        <v>255</v>
      </c>
      <c r="E162" s="34">
        <f t="shared" si="78"/>
        <v>74305110</v>
      </c>
      <c r="F162" s="32">
        <v>74305110</v>
      </c>
      <c r="G162" s="32">
        <v>0</v>
      </c>
      <c r="H162" s="32">
        <v>0</v>
      </c>
      <c r="I162" s="34">
        <f t="shared" si="79"/>
        <v>74231564.730000004</v>
      </c>
      <c r="J162" s="32">
        <f>5211564.73+37000000+32020000</f>
        <v>74231564.730000004</v>
      </c>
      <c r="K162" s="32"/>
      <c r="L162" s="32"/>
      <c r="M162" s="61">
        <f t="shared" si="71"/>
        <v>0.99901022594542965</v>
      </c>
      <c r="N162" s="61">
        <f t="shared" si="72"/>
        <v>0.99901022594542965</v>
      </c>
      <c r="O162" s="61"/>
      <c r="P162" s="61"/>
    </row>
    <row r="163" spans="1:16" s="12" customFormat="1" ht="56.25" x14ac:dyDescent="0.25">
      <c r="A163" s="59" t="s">
        <v>368</v>
      </c>
      <c r="B163" s="59" t="s">
        <v>369</v>
      </c>
      <c r="C163" s="59" t="s">
        <v>4</v>
      </c>
      <c r="D163" s="60" t="s">
        <v>131</v>
      </c>
      <c r="E163" s="34">
        <f t="shared" si="78"/>
        <v>7030665</v>
      </c>
      <c r="F163" s="32">
        <v>6702300</v>
      </c>
      <c r="G163" s="32">
        <v>328365</v>
      </c>
      <c r="H163" s="32">
        <v>328365</v>
      </c>
      <c r="I163" s="34">
        <f t="shared" si="79"/>
        <v>6130788.7399999993</v>
      </c>
      <c r="J163" s="32">
        <f>2177907.65+1301390.13+2323126.66</f>
        <v>5802424.4399999995</v>
      </c>
      <c r="K163" s="32">
        <v>328364.3</v>
      </c>
      <c r="L163" s="32">
        <v>328364.3</v>
      </c>
      <c r="M163" s="61">
        <f t="shared" si="71"/>
        <v>0.87200694955598068</v>
      </c>
      <c r="N163" s="61">
        <f t="shared" si="72"/>
        <v>0.86573630544738367</v>
      </c>
      <c r="O163" s="61">
        <f t="shared" si="73"/>
        <v>0.99999786822590708</v>
      </c>
      <c r="P163" s="61">
        <f t="shared" si="74"/>
        <v>0.99999786822590708</v>
      </c>
    </row>
    <row r="164" spans="1:16" s="12" customFormat="1" ht="37.5" x14ac:dyDescent="0.25">
      <c r="A164" s="66" t="s">
        <v>370</v>
      </c>
      <c r="B164" s="59">
        <v>8240</v>
      </c>
      <c r="C164" s="66" t="s">
        <v>153</v>
      </c>
      <c r="D164" s="60" t="s">
        <v>239</v>
      </c>
      <c r="E164" s="34">
        <f t="shared" si="78"/>
        <v>94000</v>
      </c>
      <c r="F164" s="32">
        <v>0</v>
      </c>
      <c r="G164" s="32">
        <v>94000</v>
      </c>
      <c r="H164" s="32">
        <v>94000</v>
      </c>
      <c r="I164" s="34">
        <f t="shared" si="79"/>
        <v>93945</v>
      </c>
      <c r="J164" s="32"/>
      <c r="K164" s="32">
        <v>93945</v>
      </c>
      <c r="L164" s="32">
        <v>93945</v>
      </c>
      <c r="M164" s="61">
        <f t="shared" si="71"/>
        <v>0.99941489361702129</v>
      </c>
      <c r="N164" s="61"/>
      <c r="O164" s="61">
        <f t="shared" si="73"/>
        <v>0.99941489361702129</v>
      </c>
      <c r="P164" s="61">
        <f t="shared" si="74"/>
        <v>0.99941489361702129</v>
      </c>
    </row>
    <row r="165" spans="1:16" s="12" customFormat="1" ht="37.5" x14ac:dyDescent="0.25">
      <c r="A165" s="66" t="s">
        <v>425</v>
      </c>
      <c r="B165" s="59">
        <v>8340</v>
      </c>
      <c r="C165" s="59" t="s">
        <v>41</v>
      </c>
      <c r="D165" s="60" t="s">
        <v>129</v>
      </c>
      <c r="E165" s="34">
        <f t="shared" si="78"/>
        <v>1233700</v>
      </c>
      <c r="F165" s="32">
        <v>0</v>
      </c>
      <c r="G165" s="32">
        <v>1233700</v>
      </c>
      <c r="H165" s="32"/>
      <c r="I165" s="34">
        <f t="shared" si="79"/>
        <v>1001789.29</v>
      </c>
      <c r="J165" s="32"/>
      <c r="K165" s="32">
        <f>99900+901889.29</f>
        <v>1001789.29</v>
      </c>
      <c r="L165" s="32"/>
      <c r="M165" s="61">
        <f t="shared" si="71"/>
        <v>0.81202017508308344</v>
      </c>
      <c r="N165" s="61"/>
      <c r="O165" s="61">
        <f t="shared" si="73"/>
        <v>0.81202017508308344</v>
      </c>
      <c r="P165" s="61"/>
    </row>
    <row r="166" spans="1:16" s="12" customFormat="1" ht="93.75" x14ac:dyDescent="0.25">
      <c r="A166" s="66" t="s">
        <v>391</v>
      </c>
      <c r="B166" s="59">
        <v>8733</v>
      </c>
      <c r="C166" s="66" t="s">
        <v>40</v>
      </c>
      <c r="D166" s="60" t="s">
        <v>392</v>
      </c>
      <c r="E166" s="34">
        <f t="shared" si="78"/>
        <v>123659</v>
      </c>
      <c r="F166" s="32">
        <v>123659</v>
      </c>
      <c r="G166" s="32">
        <v>0</v>
      </c>
      <c r="H166" s="32"/>
      <c r="I166" s="34">
        <f t="shared" si="79"/>
        <v>123658.8</v>
      </c>
      <c r="J166" s="32">
        <v>123658.8</v>
      </c>
      <c r="K166" s="32"/>
      <c r="L166" s="32"/>
      <c r="M166" s="61">
        <f t="shared" si="71"/>
        <v>0.99999838264905916</v>
      </c>
      <c r="N166" s="61">
        <f t="shared" si="72"/>
        <v>0.99999838264905916</v>
      </c>
      <c r="O166" s="61"/>
      <c r="P166" s="61"/>
    </row>
    <row r="167" spans="1:16" s="12" customFormat="1" ht="93.75" x14ac:dyDescent="0.25">
      <c r="A167" s="66" t="s">
        <v>393</v>
      </c>
      <c r="B167" s="59">
        <v>8741</v>
      </c>
      <c r="C167" s="66" t="s">
        <v>268</v>
      </c>
      <c r="D167" s="60" t="s">
        <v>394</v>
      </c>
      <c r="E167" s="34">
        <f t="shared" si="78"/>
        <v>400000</v>
      </c>
      <c r="F167" s="32">
        <v>400000</v>
      </c>
      <c r="G167" s="32">
        <v>0</v>
      </c>
      <c r="H167" s="32"/>
      <c r="I167" s="34">
        <f t="shared" si="79"/>
        <v>393972.33</v>
      </c>
      <c r="J167" s="32">
        <v>393972.33</v>
      </c>
      <c r="K167" s="32"/>
      <c r="L167" s="32"/>
      <c r="M167" s="61">
        <f t="shared" si="71"/>
        <v>0.98493082500000007</v>
      </c>
      <c r="N167" s="61">
        <f t="shared" si="72"/>
        <v>0.98493082500000007</v>
      </c>
      <c r="O167" s="61"/>
      <c r="P167" s="61"/>
    </row>
    <row r="168" spans="1:16" s="12" customFormat="1" ht="93.75" x14ac:dyDescent="0.25">
      <c r="A168" s="66" t="s">
        <v>426</v>
      </c>
      <c r="B168" s="59">
        <v>8745</v>
      </c>
      <c r="C168" s="66" t="s">
        <v>359</v>
      </c>
      <c r="D168" s="60" t="s">
        <v>427</v>
      </c>
      <c r="E168" s="34">
        <f t="shared" si="78"/>
        <v>624000</v>
      </c>
      <c r="F168" s="32">
        <v>624000</v>
      </c>
      <c r="G168" s="32"/>
      <c r="H168" s="32"/>
      <c r="I168" s="34">
        <f t="shared" si="79"/>
        <v>546875</v>
      </c>
      <c r="J168" s="32">
        <v>546875</v>
      </c>
      <c r="K168" s="32"/>
      <c r="L168" s="32"/>
      <c r="M168" s="61">
        <f t="shared" si="71"/>
        <v>0.87640224358974361</v>
      </c>
      <c r="N168" s="61">
        <f t="shared" si="72"/>
        <v>0.87640224358974361</v>
      </c>
      <c r="O168" s="61"/>
      <c r="P168" s="61"/>
    </row>
    <row r="169" spans="1:16" s="12" customFormat="1" ht="93.75" x14ac:dyDescent="0.25">
      <c r="A169" s="66" t="s">
        <v>433</v>
      </c>
      <c r="B169" s="59">
        <v>8746</v>
      </c>
      <c r="C169" s="66" t="s">
        <v>359</v>
      </c>
      <c r="D169" s="60" t="s">
        <v>434</v>
      </c>
      <c r="E169" s="34">
        <f t="shared" si="78"/>
        <v>400000</v>
      </c>
      <c r="F169" s="32">
        <v>400000</v>
      </c>
      <c r="G169" s="32"/>
      <c r="H169" s="32"/>
      <c r="I169" s="34">
        <f t="shared" si="79"/>
        <v>397669.7</v>
      </c>
      <c r="J169" s="32">
        <v>397669.7</v>
      </c>
      <c r="K169" s="32"/>
      <c r="L169" s="32"/>
      <c r="M169" s="61">
        <f t="shared" si="71"/>
        <v>0.99417425000000004</v>
      </c>
      <c r="N169" s="61">
        <f t="shared" si="72"/>
        <v>0.99417425000000004</v>
      </c>
      <c r="O169" s="61"/>
      <c r="P169" s="61"/>
    </row>
    <row r="170" spans="1:16" s="11" customFormat="1" ht="56.25" x14ac:dyDescent="0.25">
      <c r="A170" s="56" t="s">
        <v>26</v>
      </c>
      <c r="B170" s="56" t="s">
        <v>223</v>
      </c>
      <c r="C170" s="56" t="s">
        <v>223</v>
      </c>
      <c r="D170" s="57" t="s">
        <v>256</v>
      </c>
      <c r="E170" s="31">
        <f t="shared" si="78"/>
        <v>165737830.34</v>
      </c>
      <c r="F170" s="30">
        <f>F171</f>
        <v>6407684</v>
      </c>
      <c r="G170" s="30">
        <f t="shared" ref="G170:H170" si="80">G171</f>
        <v>159330146.34</v>
      </c>
      <c r="H170" s="30">
        <f t="shared" si="80"/>
        <v>157695855.63</v>
      </c>
      <c r="I170" s="31">
        <f t="shared" si="79"/>
        <v>97360708.960000008</v>
      </c>
      <c r="J170" s="30">
        <f>J171</f>
        <v>6256789.1200000001</v>
      </c>
      <c r="K170" s="30">
        <f t="shared" ref="K170" si="81">K171</f>
        <v>91103919.840000004</v>
      </c>
      <c r="L170" s="30">
        <f t="shared" ref="L170" si="82">L171</f>
        <v>91103919.840000004</v>
      </c>
      <c r="M170" s="58">
        <f t="shared" si="71"/>
        <v>0.58743805659981829</v>
      </c>
      <c r="N170" s="58">
        <f t="shared" si="72"/>
        <v>0.97645094857986137</v>
      </c>
      <c r="O170" s="58">
        <f t="shared" si="73"/>
        <v>0.57179336072151887</v>
      </c>
      <c r="P170" s="58">
        <f t="shared" si="74"/>
        <v>0.57771917642373627</v>
      </c>
    </row>
    <row r="171" spans="1:16" s="11" customFormat="1" ht="56.25" x14ac:dyDescent="0.25">
      <c r="A171" s="56" t="s">
        <v>27</v>
      </c>
      <c r="B171" s="56" t="s">
        <v>223</v>
      </c>
      <c r="C171" s="56" t="s">
        <v>223</v>
      </c>
      <c r="D171" s="57" t="s">
        <v>256</v>
      </c>
      <c r="E171" s="31">
        <f t="shared" si="78"/>
        <v>165737830.34</v>
      </c>
      <c r="F171" s="30">
        <f>SUM(F172:F182)</f>
        <v>6407684</v>
      </c>
      <c r="G171" s="30">
        <f t="shared" ref="G171:H171" si="83">SUM(G172:G182)</f>
        <v>159330146.34</v>
      </c>
      <c r="H171" s="30">
        <f t="shared" si="83"/>
        <v>157695855.63</v>
      </c>
      <c r="I171" s="31">
        <f t="shared" si="79"/>
        <v>97360708.960000008</v>
      </c>
      <c r="J171" s="30">
        <f>SUM(J172:J182)</f>
        <v>6256789.1200000001</v>
      </c>
      <c r="K171" s="30">
        <f t="shared" ref="K171" si="84">SUM(K172:K182)</f>
        <v>91103919.840000004</v>
      </c>
      <c r="L171" s="30">
        <f t="shared" ref="L171" si="85">SUM(L172:L182)</f>
        <v>91103919.840000004</v>
      </c>
      <c r="M171" s="58">
        <f t="shared" si="71"/>
        <v>0.58743805659981829</v>
      </c>
      <c r="N171" s="58">
        <f t="shared" si="72"/>
        <v>0.97645094857986137</v>
      </c>
      <c r="O171" s="58">
        <f t="shared" si="73"/>
        <v>0.57179336072151887</v>
      </c>
      <c r="P171" s="58">
        <f t="shared" si="74"/>
        <v>0.57771917642373627</v>
      </c>
    </row>
    <row r="172" spans="1:16" s="12" customFormat="1" ht="93.75" x14ac:dyDescent="0.25">
      <c r="A172" s="59">
        <v>1510150</v>
      </c>
      <c r="B172" s="66" t="s">
        <v>50</v>
      </c>
      <c r="C172" s="66" t="s">
        <v>2</v>
      </c>
      <c r="D172" s="60" t="s">
        <v>225</v>
      </c>
      <c r="E172" s="34">
        <f t="shared" si="78"/>
        <v>1220000</v>
      </c>
      <c r="F172" s="32">
        <v>0</v>
      </c>
      <c r="G172" s="32">
        <v>1220000</v>
      </c>
      <c r="H172" s="32">
        <v>1220000</v>
      </c>
      <c r="I172" s="34">
        <f t="shared" si="79"/>
        <v>1059491.79</v>
      </c>
      <c r="J172" s="32"/>
      <c r="K172" s="32">
        <v>1059491.79</v>
      </c>
      <c r="L172" s="32">
        <v>1059491.79</v>
      </c>
      <c r="M172" s="61">
        <f t="shared" si="71"/>
        <v>0.86843589344262295</v>
      </c>
      <c r="N172" s="61"/>
      <c r="O172" s="61">
        <f t="shared" si="73"/>
        <v>0.86843589344262295</v>
      </c>
      <c r="P172" s="61">
        <f t="shared" si="74"/>
        <v>0.86843589344262295</v>
      </c>
    </row>
    <row r="173" spans="1:16" s="6" customFormat="1" ht="56.25" x14ac:dyDescent="0.25">
      <c r="A173" s="59" t="s">
        <v>88</v>
      </c>
      <c r="B173" s="59" t="s">
        <v>54</v>
      </c>
      <c r="C173" s="59" t="s">
        <v>2</v>
      </c>
      <c r="D173" s="60" t="s">
        <v>240</v>
      </c>
      <c r="E173" s="34">
        <f t="shared" si="78"/>
        <v>6327384</v>
      </c>
      <c r="F173" s="32">
        <v>6327384</v>
      </c>
      <c r="G173" s="32">
        <v>0</v>
      </c>
      <c r="H173" s="32">
        <v>0</v>
      </c>
      <c r="I173" s="34">
        <f t="shared" si="79"/>
        <v>6183061.7000000002</v>
      </c>
      <c r="J173" s="32">
        <v>6183061.7000000002</v>
      </c>
      <c r="K173" s="32"/>
      <c r="L173" s="32"/>
      <c r="M173" s="61">
        <f t="shared" si="71"/>
        <v>0.97719084221852193</v>
      </c>
      <c r="N173" s="61">
        <f t="shared" si="72"/>
        <v>0.97719084221852193</v>
      </c>
      <c r="O173" s="61"/>
      <c r="P173" s="61"/>
    </row>
    <row r="174" spans="1:16" s="6" customFormat="1" ht="18.75" x14ac:dyDescent="0.25">
      <c r="A174" s="59">
        <v>1511300</v>
      </c>
      <c r="B174" s="66" t="s">
        <v>371</v>
      </c>
      <c r="C174" s="66" t="s">
        <v>18</v>
      </c>
      <c r="D174" s="60" t="s">
        <v>306</v>
      </c>
      <c r="E174" s="34">
        <f t="shared" si="78"/>
        <v>90138146.510000005</v>
      </c>
      <c r="F174" s="32">
        <v>0</v>
      </c>
      <c r="G174" s="32">
        <v>90138146.510000005</v>
      </c>
      <c r="H174" s="32">
        <v>90138146.510000005</v>
      </c>
      <c r="I174" s="34">
        <f t="shared" si="79"/>
        <v>40404093.020000003</v>
      </c>
      <c r="J174" s="32"/>
      <c r="K174" s="32">
        <v>40404093.020000003</v>
      </c>
      <c r="L174" s="32">
        <v>40404093.020000003</v>
      </c>
      <c r="M174" s="61">
        <f t="shared" si="71"/>
        <v>0.44824632616022936</v>
      </c>
      <c r="N174" s="61"/>
      <c r="O174" s="61">
        <f t="shared" si="73"/>
        <v>0.44824632616022936</v>
      </c>
      <c r="P174" s="61">
        <f t="shared" si="74"/>
        <v>0.44824632616022936</v>
      </c>
    </row>
    <row r="175" spans="1:16" s="6" customFormat="1" ht="93.75" x14ac:dyDescent="0.25">
      <c r="A175" s="59">
        <v>1512171</v>
      </c>
      <c r="B175" s="66" t="s">
        <v>372</v>
      </c>
      <c r="C175" s="66" t="s">
        <v>123</v>
      </c>
      <c r="D175" s="60" t="s">
        <v>373</v>
      </c>
      <c r="E175" s="34">
        <f t="shared" si="78"/>
        <v>7550000</v>
      </c>
      <c r="F175" s="32">
        <v>0</v>
      </c>
      <c r="G175" s="32">
        <v>7550000</v>
      </c>
      <c r="H175" s="32">
        <v>7550000</v>
      </c>
      <c r="I175" s="34">
        <f t="shared" si="79"/>
        <v>499270.91</v>
      </c>
      <c r="J175" s="32"/>
      <c r="K175" s="32">
        <v>499270.91</v>
      </c>
      <c r="L175" s="32">
        <v>499270.91</v>
      </c>
      <c r="M175" s="61">
        <f t="shared" si="71"/>
        <v>6.6128597350993371E-2</v>
      </c>
      <c r="N175" s="61"/>
      <c r="O175" s="61">
        <f t="shared" si="73"/>
        <v>6.6128597350993371E-2</v>
      </c>
      <c r="P175" s="61">
        <f t="shared" si="74"/>
        <v>6.6128597350993371E-2</v>
      </c>
    </row>
    <row r="176" spans="1:16" s="15" customFormat="1" ht="37.5" x14ac:dyDescent="0.25">
      <c r="A176" s="59">
        <v>1516015</v>
      </c>
      <c r="B176" s="66" t="s">
        <v>116</v>
      </c>
      <c r="C176" s="66" t="s">
        <v>8</v>
      </c>
      <c r="D176" s="60" t="s">
        <v>118</v>
      </c>
      <c r="E176" s="34">
        <f t="shared" si="78"/>
        <v>1122000</v>
      </c>
      <c r="F176" s="32">
        <v>0</v>
      </c>
      <c r="G176" s="32">
        <v>1122000</v>
      </c>
      <c r="H176" s="32">
        <v>1122000</v>
      </c>
      <c r="I176" s="34">
        <f t="shared" si="79"/>
        <v>1122000</v>
      </c>
      <c r="J176" s="32"/>
      <c r="K176" s="32">
        <v>1122000</v>
      </c>
      <c r="L176" s="32">
        <v>1122000</v>
      </c>
      <c r="M176" s="61">
        <f t="shared" si="71"/>
        <v>1</v>
      </c>
      <c r="N176" s="61"/>
      <c r="O176" s="61">
        <f t="shared" si="73"/>
        <v>1</v>
      </c>
      <c r="P176" s="61">
        <f t="shared" si="74"/>
        <v>1</v>
      </c>
    </row>
    <row r="177" spans="1:16" s="6" customFormat="1" ht="37.5" x14ac:dyDescent="0.25">
      <c r="A177" s="59">
        <v>1516091</v>
      </c>
      <c r="B177" s="66" t="s">
        <v>374</v>
      </c>
      <c r="C177" s="66" t="s">
        <v>359</v>
      </c>
      <c r="D177" s="60" t="s">
        <v>305</v>
      </c>
      <c r="E177" s="34">
        <f t="shared" si="78"/>
        <v>27938093.499999996</v>
      </c>
      <c r="F177" s="32">
        <v>0</v>
      </c>
      <c r="G177" s="32">
        <v>27938093.499999996</v>
      </c>
      <c r="H177" s="32">
        <v>27938093.499999996</v>
      </c>
      <c r="I177" s="34">
        <f t="shared" si="79"/>
        <v>19395269.899999999</v>
      </c>
      <c r="J177" s="32"/>
      <c r="K177" s="32">
        <f>6352530+1034575.8+12008164.1</f>
        <v>19395269.899999999</v>
      </c>
      <c r="L177" s="32">
        <f>6352530+1034575.8+12008164.1</f>
        <v>19395269.899999999</v>
      </c>
      <c r="M177" s="61">
        <f t="shared" si="71"/>
        <v>0.69422310079963045</v>
      </c>
      <c r="N177" s="61"/>
      <c r="O177" s="61">
        <f t="shared" si="73"/>
        <v>0.69422310079963045</v>
      </c>
      <c r="P177" s="61">
        <f t="shared" si="74"/>
        <v>0.69422310079963045</v>
      </c>
    </row>
    <row r="178" spans="1:16" s="6" customFormat="1" ht="37.5" x14ac:dyDescent="0.25">
      <c r="A178" s="59">
        <v>1517368</v>
      </c>
      <c r="B178" s="66" t="s">
        <v>301</v>
      </c>
      <c r="C178" s="66" t="s">
        <v>21</v>
      </c>
      <c r="D178" s="60" t="s">
        <v>302</v>
      </c>
      <c r="E178" s="34">
        <f t="shared" si="78"/>
        <v>15815727.619999999</v>
      </c>
      <c r="F178" s="32">
        <v>0</v>
      </c>
      <c r="G178" s="32">
        <v>15815727.619999999</v>
      </c>
      <c r="H178" s="32">
        <v>15815727.619999999</v>
      </c>
      <c r="I178" s="34">
        <f t="shared" si="79"/>
        <v>15806403.9</v>
      </c>
      <c r="J178" s="32"/>
      <c r="K178" s="32">
        <v>15806403.9</v>
      </c>
      <c r="L178" s="32">
        <v>15806403.9</v>
      </c>
      <c r="M178" s="61">
        <f t="shared" si="71"/>
        <v>0.99941047796067195</v>
      </c>
      <c r="N178" s="61"/>
      <c r="O178" s="61">
        <f t="shared" si="73"/>
        <v>0.99941047796067195</v>
      </c>
      <c r="P178" s="61">
        <f t="shared" si="74"/>
        <v>0.99941047796067195</v>
      </c>
    </row>
    <row r="179" spans="1:16" s="6" customFormat="1" ht="37.5" x14ac:dyDescent="0.25">
      <c r="A179" s="59">
        <v>1517370</v>
      </c>
      <c r="B179" s="66" t="s">
        <v>375</v>
      </c>
      <c r="C179" s="66" t="s">
        <v>21</v>
      </c>
      <c r="D179" s="60" t="s">
        <v>120</v>
      </c>
      <c r="E179" s="34">
        <f t="shared" si="78"/>
        <v>11920588</v>
      </c>
      <c r="F179" s="32">
        <v>0</v>
      </c>
      <c r="G179" s="32">
        <v>11920588</v>
      </c>
      <c r="H179" s="32">
        <v>11920588</v>
      </c>
      <c r="I179" s="34">
        <f t="shared" si="79"/>
        <v>11283372.140000001</v>
      </c>
      <c r="J179" s="32"/>
      <c r="K179" s="32">
        <v>11283372.140000001</v>
      </c>
      <c r="L179" s="32">
        <v>11283372.140000001</v>
      </c>
      <c r="M179" s="61">
        <f t="shared" si="71"/>
        <v>0.94654493050175048</v>
      </c>
      <c r="N179" s="61"/>
      <c r="O179" s="61">
        <f t="shared" si="73"/>
        <v>0.94654493050175048</v>
      </c>
      <c r="P179" s="61">
        <f t="shared" si="74"/>
        <v>0.94654493050175048</v>
      </c>
    </row>
    <row r="180" spans="1:16" s="6" customFormat="1" ht="37.5" x14ac:dyDescent="0.25">
      <c r="A180" s="66" t="s">
        <v>376</v>
      </c>
      <c r="B180" s="66" t="s">
        <v>315</v>
      </c>
      <c r="C180" s="66" t="s">
        <v>316</v>
      </c>
      <c r="D180" s="60" t="s">
        <v>317</v>
      </c>
      <c r="E180" s="34">
        <f t="shared" si="78"/>
        <v>80300</v>
      </c>
      <c r="F180" s="32">
        <v>80300</v>
      </c>
      <c r="G180" s="32">
        <v>0</v>
      </c>
      <c r="H180" s="32"/>
      <c r="I180" s="34">
        <f t="shared" si="79"/>
        <v>73727.42</v>
      </c>
      <c r="J180" s="32">
        <v>73727.42</v>
      </c>
      <c r="K180" s="32"/>
      <c r="L180" s="32"/>
      <c r="M180" s="61">
        <f t="shared" si="71"/>
        <v>0.91814968866749691</v>
      </c>
      <c r="N180" s="61">
        <f t="shared" si="72"/>
        <v>0.91814968866749691</v>
      </c>
      <c r="O180" s="61"/>
      <c r="P180" s="61"/>
    </row>
    <row r="181" spans="1:16" s="6" customFormat="1" ht="168.75" x14ac:dyDescent="0.25">
      <c r="A181" s="66" t="s">
        <v>435</v>
      </c>
      <c r="B181" s="66" t="s">
        <v>366</v>
      </c>
      <c r="C181" s="66" t="s">
        <v>21</v>
      </c>
      <c r="D181" s="60" t="s">
        <v>150</v>
      </c>
      <c r="E181" s="34">
        <f t="shared" si="78"/>
        <v>1634290.71</v>
      </c>
      <c r="F181" s="32">
        <v>0</v>
      </c>
      <c r="G181" s="32">
        <v>1634290.71</v>
      </c>
      <c r="H181" s="32"/>
      <c r="I181" s="34">
        <f t="shared" si="79"/>
        <v>0</v>
      </c>
      <c r="J181" s="32"/>
      <c r="K181" s="32"/>
      <c r="L181" s="32"/>
      <c r="M181" s="61">
        <f t="shared" si="71"/>
        <v>0</v>
      </c>
      <c r="N181" s="61"/>
      <c r="O181" s="61"/>
      <c r="P181" s="61"/>
    </row>
    <row r="182" spans="1:16" s="6" customFormat="1" ht="56.25" x14ac:dyDescent="0.25">
      <c r="A182" s="66" t="s">
        <v>264</v>
      </c>
      <c r="B182" s="66" t="s">
        <v>369</v>
      </c>
      <c r="C182" s="66" t="s">
        <v>4</v>
      </c>
      <c r="D182" s="60" t="s">
        <v>131</v>
      </c>
      <c r="E182" s="34">
        <f t="shared" si="78"/>
        <v>1991300</v>
      </c>
      <c r="F182" s="32">
        <v>0</v>
      </c>
      <c r="G182" s="32">
        <v>1991300</v>
      </c>
      <c r="H182" s="32">
        <v>1991300</v>
      </c>
      <c r="I182" s="34">
        <f t="shared" si="79"/>
        <v>1534018.18</v>
      </c>
      <c r="J182" s="32"/>
      <c r="K182" s="32">
        <f>1534018.18</f>
        <v>1534018.18</v>
      </c>
      <c r="L182" s="32">
        <v>1534018.18</v>
      </c>
      <c r="M182" s="61">
        <f t="shared" si="71"/>
        <v>0.77036015668156477</v>
      </c>
      <c r="N182" s="61"/>
      <c r="O182" s="61">
        <f t="shared" si="73"/>
        <v>0.77036015668156477</v>
      </c>
      <c r="P182" s="61">
        <f t="shared" si="74"/>
        <v>0.77036015668156477</v>
      </c>
    </row>
    <row r="183" spans="1:16" s="13" customFormat="1" ht="75" x14ac:dyDescent="0.25">
      <c r="A183" s="56" t="s">
        <v>89</v>
      </c>
      <c r="B183" s="56" t="s">
        <v>223</v>
      </c>
      <c r="C183" s="56" t="s">
        <v>223</v>
      </c>
      <c r="D183" s="57" t="s">
        <v>257</v>
      </c>
      <c r="E183" s="31">
        <f t="shared" si="78"/>
        <v>28819400</v>
      </c>
      <c r="F183" s="30">
        <f>F184</f>
        <v>27929400</v>
      </c>
      <c r="G183" s="30">
        <f t="shared" ref="G183:H183" si="86">G184</f>
        <v>890000</v>
      </c>
      <c r="H183" s="30">
        <f t="shared" si="86"/>
        <v>890000</v>
      </c>
      <c r="I183" s="31">
        <f t="shared" si="79"/>
        <v>25692389.930000003</v>
      </c>
      <c r="J183" s="30">
        <f>J184</f>
        <v>25630163.580000002</v>
      </c>
      <c r="K183" s="30">
        <f t="shared" ref="K183" si="87">K184</f>
        <v>62226.35</v>
      </c>
      <c r="L183" s="30">
        <f t="shared" ref="L183" si="88">L184</f>
        <v>62226.35</v>
      </c>
      <c r="M183" s="58">
        <f t="shared" si="71"/>
        <v>0.89149635072208311</v>
      </c>
      <c r="N183" s="58">
        <f t="shared" si="72"/>
        <v>0.91767684160776819</v>
      </c>
      <c r="O183" s="58">
        <f t="shared" si="73"/>
        <v>6.9917247191011236E-2</v>
      </c>
      <c r="P183" s="58">
        <f t="shared" si="74"/>
        <v>6.9917247191011236E-2</v>
      </c>
    </row>
    <row r="184" spans="1:16" s="13" customFormat="1" ht="75" x14ac:dyDescent="0.25">
      <c r="A184" s="56" t="s">
        <v>90</v>
      </c>
      <c r="B184" s="56" t="s">
        <v>223</v>
      </c>
      <c r="C184" s="56" t="s">
        <v>223</v>
      </c>
      <c r="D184" s="57" t="s">
        <v>257</v>
      </c>
      <c r="E184" s="31">
        <f t="shared" si="78"/>
        <v>28819400</v>
      </c>
      <c r="F184" s="30">
        <f>SUM(F185:F193)</f>
        <v>27929400</v>
      </c>
      <c r="G184" s="30">
        <f t="shared" ref="G184:H184" si="89">SUM(G185:G193)</f>
        <v>890000</v>
      </c>
      <c r="H184" s="30">
        <f t="shared" si="89"/>
        <v>890000</v>
      </c>
      <c r="I184" s="31">
        <f t="shared" si="79"/>
        <v>25692389.930000003</v>
      </c>
      <c r="J184" s="30">
        <f>SUM(J185:J193)</f>
        <v>25630163.580000002</v>
      </c>
      <c r="K184" s="30">
        <f t="shared" ref="K184" si="90">SUM(K185:K193)</f>
        <v>62226.35</v>
      </c>
      <c r="L184" s="30">
        <f t="shared" ref="L184" si="91">SUM(L185:L193)</f>
        <v>62226.35</v>
      </c>
      <c r="M184" s="58">
        <f t="shared" si="71"/>
        <v>0.89149635072208311</v>
      </c>
      <c r="N184" s="58">
        <f t="shared" si="72"/>
        <v>0.91767684160776819</v>
      </c>
      <c r="O184" s="58">
        <f t="shared" si="73"/>
        <v>6.9917247191011236E-2</v>
      </c>
      <c r="P184" s="58">
        <f t="shared" si="74"/>
        <v>6.9917247191011236E-2</v>
      </c>
    </row>
    <row r="185" spans="1:16" s="6" customFormat="1" ht="56.25" x14ac:dyDescent="0.25">
      <c r="A185" s="59" t="s">
        <v>91</v>
      </c>
      <c r="B185" s="59" t="s">
        <v>54</v>
      </c>
      <c r="C185" s="59" t="s">
        <v>2</v>
      </c>
      <c r="D185" s="60" t="s">
        <v>240</v>
      </c>
      <c r="E185" s="34">
        <f t="shared" si="78"/>
        <v>5201700</v>
      </c>
      <c r="F185" s="32">
        <v>5201700</v>
      </c>
      <c r="G185" s="32">
        <v>0</v>
      </c>
      <c r="H185" s="32">
        <v>0</v>
      </c>
      <c r="I185" s="34">
        <f t="shared" si="79"/>
        <v>5019478.2300000004</v>
      </c>
      <c r="J185" s="32">
        <v>5019478.2300000004</v>
      </c>
      <c r="K185" s="32"/>
      <c r="L185" s="32"/>
      <c r="M185" s="61">
        <f t="shared" si="71"/>
        <v>0.96496880442932131</v>
      </c>
      <c r="N185" s="61">
        <f t="shared" si="72"/>
        <v>0.96496880442932131</v>
      </c>
      <c r="O185" s="61"/>
      <c r="P185" s="61"/>
    </row>
    <row r="186" spans="1:16" s="6" customFormat="1" ht="37.5" x14ac:dyDescent="0.25">
      <c r="A186" s="59" t="s">
        <v>98</v>
      </c>
      <c r="B186" s="59" t="s">
        <v>9</v>
      </c>
      <c r="C186" s="59" t="s">
        <v>5</v>
      </c>
      <c r="D186" s="60" t="s">
        <v>99</v>
      </c>
      <c r="E186" s="34">
        <f t="shared" si="78"/>
        <v>75000</v>
      </c>
      <c r="F186" s="32">
        <v>75000</v>
      </c>
      <c r="G186" s="32">
        <v>0</v>
      </c>
      <c r="H186" s="32">
        <v>0</v>
      </c>
      <c r="I186" s="34">
        <f t="shared" si="79"/>
        <v>12000</v>
      </c>
      <c r="J186" s="32">
        <v>12000</v>
      </c>
      <c r="K186" s="32"/>
      <c r="L186" s="32"/>
      <c r="M186" s="61">
        <f t="shared" si="71"/>
        <v>0.16</v>
      </c>
      <c r="N186" s="61">
        <f t="shared" si="72"/>
        <v>0.16</v>
      </c>
      <c r="O186" s="61"/>
      <c r="P186" s="61"/>
    </row>
    <row r="187" spans="1:16" s="8" customFormat="1" ht="56.25" x14ac:dyDescent="0.25">
      <c r="A187" s="59" t="s">
        <v>178</v>
      </c>
      <c r="B187" s="59" t="s">
        <v>148</v>
      </c>
      <c r="C187" s="59" t="s">
        <v>8</v>
      </c>
      <c r="D187" s="60" t="s">
        <v>254</v>
      </c>
      <c r="E187" s="34">
        <f t="shared" si="78"/>
        <v>200000</v>
      </c>
      <c r="F187" s="32">
        <v>200000</v>
      </c>
      <c r="G187" s="32">
        <v>0</v>
      </c>
      <c r="H187" s="32">
        <v>0</v>
      </c>
      <c r="I187" s="34">
        <f t="shared" si="79"/>
        <v>200000</v>
      </c>
      <c r="J187" s="32">
        <v>200000</v>
      </c>
      <c r="K187" s="32"/>
      <c r="L187" s="32"/>
      <c r="M187" s="61">
        <f t="shared" si="71"/>
        <v>1</v>
      </c>
      <c r="N187" s="61">
        <f t="shared" si="72"/>
        <v>1</v>
      </c>
      <c r="O187" s="61"/>
      <c r="P187" s="61"/>
    </row>
    <row r="188" spans="1:16" s="6" customFormat="1" ht="37.5" x14ac:dyDescent="0.25">
      <c r="A188" s="66" t="s">
        <v>377</v>
      </c>
      <c r="B188" s="59">
        <v>6090</v>
      </c>
      <c r="C188" s="66" t="s">
        <v>359</v>
      </c>
      <c r="D188" s="60" t="s">
        <v>378</v>
      </c>
      <c r="E188" s="34">
        <f t="shared" si="78"/>
        <v>1500000</v>
      </c>
      <c r="F188" s="32">
        <v>1500000</v>
      </c>
      <c r="G188" s="32">
        <v>0</v>
      </c>
      <c r="H188" s="32">
        <v>0</v>
      </c>
      <c r="I188" s="34">
        <f t="shared" si="79"/>
        <v>1494699</v>
      </c>
      <c r="J188" s="32">
        <v>1494699</v>
      </c>
      <c r="K188" s="32"/>
      <c r="L188" s="32"/>
      <c r="M188" s="61">
        <f t="shared" si="71"/>
        <v>0.99646599999999996</v>
      </c>
      <c r="N188" s="61">
        <f t="shared" si="72"/>
        <v>0.99646599999999996</v>
      </c>
      <c r="O188" s="61"/>
      <c r="P188" s="61"/>
    </row>
    <row r="189" spans="1:16" s="6" customFormat="1" ht="18.75" x14ac:dyDescent="0.25">
      <c r="A189" s="59" t="s">
        <v>276</v>
      </c>
      <c r="B189" s="59" t="s">
        <v>277</v>
      </c>
      <c r="C189" s="59" t="s">
        <v>278</v>
      </c>
      <c r="D189" s="60" t="s">
        <v>279</v>
      </c>
      <c r="E189" s="34">
        <f t="shared" si="78"/>
        <v>360000</v>
      </c>
      <c r="F189" s="32">
        <v>360000</v>
      </c>
      <c r="G189" s="32">
        <v>0</v>
      </c>
      <c r="H189" s="32">
        <v>0</v>
      </c>
      <c r="I189" s="34">
        <f t="shared" si="79"/>
        <v>349879.79</v>
      </c>
      <c r="J189" s="32">
        <v>349879.79</v>
      </c>
      <c r="K189" s="32"/>
      <c r="L189" s="32"/>
      <c r="M189" s="61">
        <f t="shared" si="71"/>
        <v>0.9718883055555555</v>
      </c>
      <c r="N189" s="61">
        <f t="shared" si="72"/>
        <v>0.9718883055555555</v>
      </c>
      <c r="O189" s="61"/>
      <c r="P189" s="61"/>
    </row>
    <row r="190" spans="1:16" s="6" customFormat="1" ht="37.5" x14ac:dyDescent="0.25">
      <c r="A190" s="66" t="s">
        <v>379</v>
      </c>
      <c r="B190" s="66" t="s">
        <v>315</v>
      </c>
      <c r="C190" s="66" t="s">
        <v>316</v>
      </c>
      <c r="D190" s="60" t="s">
        <v>317</v>
      </c>
      <c r="E190" s="34">
        <f t="shared" si="78"/>
        <v>48600</v>
      </c>
      <c r="F190" s="35">
        <v>48600</v>
      </c>
      <c r="G190" s="35">
        <v>0</v>
      </c>
      <c r="H190" s="35"/>
      <c r="I190" s="34">
        <f t="shared" si="79"/>
        <v>48446</v>
      </c>
      <c r="J190" s="35">
        <v>48446</v>
      </c>
      <c r="K190" s="35"/>
      <c r="L190" s="35"/>
      <c r="M190" s="61">
        <f t="shared" si="71"/>
        <v>0.99683127572016461</v>
      </c>
      <c r="N190" s="61">
        <f t="shared" si="72"/>
        <v>0.99683127572016461</v>
      </c>
      <c r="O190" s="61"/>
      <c r="P190" s="61"/>
    </row>
    <row r="191" spans="1:16" s="6" customFormat="1" ht="37.5" x14ac:dyDescent="0.25">
      <c r="A191" s="66" t="s">
        <v>436</v>
      </c>
      <c r="B191" s="66" t="s">
        <v>437</v>
      </c>
      <c r="C191" s="66" t="s">
        <v>21</v>
      </c>
      <c r="D191" s="60" t="s">
        <v>438</v>
      </c>
      <c r="E191" s="34">
        <f t="shared" si="78"/>
        <v>40000</v>
      </c>
      <c r="F191" s="32">
        <v>0</v>
      </c>
      <c r="G191" s="32">
        <v>40000</v>
      </c>
      <c r="H191" s="32">
        <v>40000</v>
      </c>
      <c r="I191" s="34">
        <f t="shared" si="79"/>
        <v>40000</v>
      </c>
      <c r="J191" s="32"/>
      <c r="K191" s="32">
        <v>40000</v>
      </c>
      <c r="L191" s="32">
        <v>40000</v>
      </c>
      <c r="M191" s="61">
        <f t="shared" si="71"/>
        <v>1</v>
      </c>
      <c r="N191" s="61"/>
      <c r="O191" s="61">
        <f t="shared" si="73"/>
        <v>1</v>
      </c>
      <c r="P191" s="61">
        <f t="shared" si="74"/>
        <v>1</v>
      </c>
    </row>
    <row r="192" spans="1:16" s="6" customFormat="1" ht="37.5" x14ac:dyDescent="0.25">
      <c r="A192" s="59" t="s">
        <v>167</v>
      </c>
      <c r="B192" s="59" t="s">
        <v>130</v>
      </c>
      <c r="C192" s="59" t="s">
        <v>21</v>
      </c>
      <c r="D192" s="60" t="s">
        <v>255</v>
      </c>
      <c r="E192" s="34">
        <f t="shared" si="78"/>
        <v>21209100</v>
      </c>
      <c r="F192" s="32">
        <v>20359100</v>
      </c>
      <c r="G192" s="32">
        <v>850000</v>
      </c>
      <c r="H192" s="32">
        <v>850000</v>
      </c>
      <c r="I192" s="34">
        <f t="shared" si="79"/>
        <v>18360973.660000004</v>
      </c>
      <c r="J192" s="32">
        <f>2882937.25+15455810.06</f>
        <v>18338747.310000002</v>
      </c>
      <c r="K192" s="32">
        <v>22226.35</v>
      </c>
      <c r="L192" s="32">
        <v>22226.35</v>
      </c>
      <c r="M192" s="61">
        <f t="shared" si="71"/>
        <v>0.8657120603891727</v>
      </c>
      <c r="N192" s="61">
        <f t="shared" si="72"/>
        <v>0.90076414527164772</v>
      </c>
      <c r="O192" s="61">
        <f t="shared" si="73"/>
        <v>2.6148647058823526E-2</v>
      </c>
      <c r="P192" s="61">
        <f t="shared" si="74"/>
        <v>2.6148647058823526E-2</v>
      </c>
    </row>
    <row r="193" spans="1:16" s="6" customFormat="1" ht="37.5" x14ac:dyDescent="0.25">
      <c r="A193" s="59" t="s">
        <v>263</v>
      </c>
      <c r="B193" s="59" t="s">
        <v>238</v>
      </c>
      <c r="C193" s="59" t="s">
        <v>153</v>
      </c>
      <c r="D193" s="60" t="s">
        <v>239</v>
      </c>
      <c r="E193" s="34">
        <f t="shared" si="78"/>
        <v>185000</v>
      </c>
      <c r="F193" s="32">
        <v>185000</v>
      </c>
      <c r="G193" s="32">
        <v>0</v>
      </c>
      <c r="H193" s="32">
        <v>0</v>
      </c>
      <c r="I193" s="34">
        <f t="shared" si="79"/>
        <v>166913.25</v>
      </c>
      <c r="J193" s="32">
        <v>166913.25</v>
      </c>
      <c r="K193" s="32"/>
      <c r="L193" s="32"/>
      <c r="M193" s="61">
        <f t="shared" si="71"/>
        <v>0.90223378378378383</v>
      </c>
      <c r="N193" s="61">
        <f t="shared" si="72"/>
        <v>0.90223378378378383</v>
      </c>
      <c r="O193" s="61"/>
      <c r="P193" s="61"/>
    </row>
    <row r="194" spans="1:16" s="13" customFormat="1" ht="56.25" x14ac:dyDescent="0.25">
      <c r="A194" s="56" t="s">
        <v>92</v>
      </c>
      <c r="B194" s="56" t="s">
        <v>223</v>
      </c>
      <c r="C194" s="56" t="s">
        <v>223</v>
      </c>
      <c r="D194" s="57" t="s">
        <v>258</v>
      </c>
      <c r="E194" s="31">
        <f t="shared" si="78"/>
        <v>187607512</v>
      </c>
      <c r="F194" s="30">
        <f>F195</f>
        <v>132726730</v>
      </c>
      <c r="G194" s="30">
        <f t="shared" ref="G194:H194" si="92">G195</f>
        <v>54880782</v>
      </c>
      <c r="H194" s="30">
        <f t="shared" si="92"/>
        <v>54880782</v>
      </c>
      <c r="I194" s="31">
        <f t="shared" si="79"/>
        <v>182105276.87</v>
      </c>
      <c r="J194" s="30">
        <f>J195</f>
        <v>130394266.87</v>
      </c>
      <c r="K194" s="30">
        <f t="shared" ref="K194" si="93">K195</f>
        <v>51711010</v>
      </c>
      <c r="L194" s="30">
        <f t="shared" ref="L194" si="94">L195</f>
        <v>51711010</v>
      </c>
      <c r="M194" s="58">
        <f t="shared" si="71"/>
        <v>0.97067156282100264</v>
      </c>
      <c r="N194" s="58">
        <f t="shared" si="72"/>
        <v>0.98242657579223114</v>
      </c>
      <c r="O194" s="58">
        <f t="shared" si="73"/>
        <v>0.94224258684943663</v>
      </c>
      <c r="P194" s="58">
        <f t="shared" si="74"/>
        <v>0.94224258684943663</v>
      </c>
    </row>
    <row r="195" spans="1:16" s="8" customFormat="1" ht="56.25" x14ac:dyDescent="0.25">
      <c r="A195" s="56" t="s">
        <v>93</v>
      </c>
      <c r="B195" s="56" t="s">
        <v>223</v>
      </c>
      <c r="C195" s="56" t="s">
        <v>223</v>
      </c>
      <c r="D195" s="57" t="s">
        <v>258</v>
      </c>
      <c r="E195" s="31">
        <f t="shared" si="78"/>
        <v>187607512</v>
      </c>
      <c r="F195" s="30">
        <f>F196+F197+F198+F199+F200+F207</f>
        <v>132726730</v>
      </c>
      <c r="G195" s="30">
        <f t="shared" ref="G195:H195" si="95">G196+G197+G198+G199+G200+G207</f>
        <v>54880782</v>
      </c>
      <c r="H195" s="30">
        <f t="shared" si="95"/>
        <v>54880782</v>
      </c>
      <c r="I195" s="31">
        <f t="shared" si="79"/>
        <v>182105276.87</v>
      </c>
      <c r="J195" s="30">
        <f>J196+J197+J198+J199+J200+J207</f>
        <v>130394266.87</v>
      </c>
      <c r="K195" s="30">
        <f t="shared" ref="K195" si="96">K196+K197+K198+K199+K200+K207</f>
        <v>51711010</v>
      </c>
      <c r="L195" s="30">
        <f t="shared" ref="L195" si="97">L196+L197+L198+L199+L200+L207</f>
        <v>51711010</v>
      </c>
      <c r="M195" s="58">
        <f t="shared" si="71"/>
        <v>0.97067156282100264</v>
      </c>
      <c r="N195" s="58">
        <f t="shared" si="72"/>
        <v>0.98242657579223114</v>
      </c>
      <c r="O195" s="58">
        <f t="shared" si="73"/>
        <v>0.94224258684943663</v>
      </c>
      <c r="P195" s="58">
        <f t="shared" si="74"/>
        <v>0.94224258684943663</v>
      </c>
    </row>
    <row r="196" spans="1:16" s="6" customFormat="1" ht="56.25" x14ac:dyDescent="0.25">
      <c r="A196" s="59" t="s">
        <v>94</v>
      </c>
      <c r="B196" s="59" t="s">
        <v>54</v>
      </c>
      <c r="C196" s="59" t="s">
        <v>2</v>
      </c>
      <c r="D196" s="60" t="s">
        <v>240</v>
      </c>
      <c r="E196" s="34">
        <f t="shared" si="78"/>
        <v>8128900</v>
      </c>
      <c r="F196" s="32">
        <v>8128900</v>
      </c>
      <c r="G196" s="32">
        <v>0</v>
      </c>
      <c r="H196" s="32"/>
      <c r="I196" s="34">
        <f t="shared" si="79"/>
        <v>8061089.8200000003</v>
      </c>
      <c r="J196" s="32">
        <v>8061089.8200000003</v>
      </c>
      <c r="K196" s="32"/>
      <c r="L196" s="32"/>
      <c r="M196" s="61">
        <f t="shared" si="71"/>
        <v>0.99165813578712991</v>
      </c>
      <c r="N196" s="61">
        <f t="shared" si="72"/>
        <v>0.99165813578712991</v>
      </c>
      <c r="O196" s="61"/>
      <c r="P196" s="61"/>
    </row>
    <row r="197" spans="1:16" s="6" customFormat="1" ht="37.5" x14ac:dyDescent="0.25">
      <c r="A197" s="66" t="s">
        <v>380</v>
      </c>
      <c r="B197" s="66" t="s">
        <v>315</v>
      </c>
      <c r="C197" s="66" t="s">
        <v>316</v>
      </c>
      <c r="D197" s="60" t="s">
        <v>317</v>
      </c>
      <c r="E197" s="34">
        <f t="shared" si="78"/>
        <v>92500</v>
      </c>
      <c r="F197" s="32">
        <v>67500</v>
      </c>
      <c r="G197" s="32">
        <v>25000</v>
      </c>
      <c r="H197" s="32">
        <v>25000</v>
      </c>
      <c r="I197" s="34">
        <f t="shared" si="79"/>
        <v>91086</v>
      </c>
      <c r="J197" s="32">
        <v>66090</v>
      </c>
      <c r="K197" s="32">
        <v>24996</v>
      </c>
      <c r="L197" s="32">
        <v>24996</v>
      </c>
      <c r="M197" s="61">
        <f t="shared" si="71"/>
        <v>0.98471351351351355</v>
      </c>
      <c r="N197" s="61">
        <f t="shared" si="72"/>
        <v>0.97911111111111115</v>
      </c>
      <c r="O197" s="61">
        <f t="shared" si="73"/>
        <v>0.99983999999999995</v>
      </c>
      <c r="P197" s="61">
        <f t="shared" si="74"/>
        <v>0.99983999999999995</v>
      </c>
    </row>
    <row r="198" spans="1:16" s="6" customFormat="1" ht="18.75" x14ac:dyDescent="0.25">
      <c r="A198" s="59" t="s">
        <v>202</v>
      </c>
      <c r="B198" s="59" t="s">
        <v>203</v>
      </c>
      <c r="C198" s="59" t="s">
        <v>5</v>
      </c>
      <c r="D198" s="60" t="s">
        <v>259</v>
      </c>
      <c r="E198" s="34">
        <f t="shared" si="78"/>
        <v>1723800</v>
      </c>
      <c r="F198" s="32">
        <v>1723800</v>
      </c>
      <c r="G198" s="32">
        <v>0</v>
      </c>
      <c r="H198" s="32">
        <v>0</v>
      </c>
      <c r="I198" s="34">
        <f t="shared" si="79"/>
        <v>0</v>
      </c>
      <c r="J198" s="32"/>
      <c r="K198" s="32"/>
      <c r="L198" s="32"/>
      <c r="M198" s="61">
        <f t="shared" si="71"/>
        <v>0</v>
      </c>
      <c r="N198" s="61">
        <f t="shared" si="72"/>
        <v>0</v>
      </c>
      <c r="O198" s="61"/>
      <c r="P198" s="61"/>
    </row>
    <row r="199" spans="1:16" s="6" customFormat="1" ht="18.75" x14ac:dyDescent="0.25">
      <c r="A199" s="59">
        <v>3719110</v>
      </c>
      <c r="B199" s="59">
        <v>9110</v>
      </c>
      <c r="C199" s="66" t="s">
        <v>9</v>
      </c>
      <c r="D199" s="60" t="s">
        <v>381</v>
      </c>
      <c r="E199" s="34">
        <f t="shared" si="78"/>
        <v>63874800</v>
      </c>
      <c r="F199" s="32">
        <v>63874800</v>
      </c>
      <c r="G199" s="32">
        <v>0</v>
      </c>
      <c r="H199" s="32"/>
      <c r="I199" s="34">
        <f t="shared" si="79"/>
        <v>63874800</v>
      </c>
      <c r="J199" s="32">
        <v>63874800</v>
      </c>
      <c r="K199" s="32"/>
      <c r="L199" s="32"/>
      <c r="M199" s="61">
        <f t="shared" si="71"/>
        <v>1</v>
      </c>
      <c r="N199" s="61">
        <f t="shared" si="72"/>
        <v>1</v>
      </c>
      <c r="O199" s="61"/>
      <c r="P199" s="61"/>
    </row>
    <row r="200" spans="1:16" s="6" customFormat="1" ht="18.75" x14ac:dyDescent="0.25">
      <c r="A200" s="59" t="s">
        <v>382</v>
      </c>
      <c r="B200" s="59" t="s">
        <v>383</v>
      </c>
      <c r="C200" s="59" t="s">
        <v>9</v>
      </c>
      <c r="D200" s="60" t="s">
        <v>151</v>
      </c>
      <c r="E200" s="34">
        <f t="shared" si="78"/>
        <v>18438212</v>
      </c>
      <c r="F200" s="32">
        <f>SUM(F201:F206)</f>
        <v>17096912</v>
      </c>
      <c r="G200" s="32">
        <f t="shared" ref="G200:H200" si="98">SUM(G201:G206)</f>
        <v>1341300</v>
      </c>
      <c r="H200" s="32">
        <f t="shared" si="98"/>
        <v>1341300</v>
      </c>
      <c r="I200" s="34">
        <f t="shared" si="79"/>
        <v>18438212</v>
      </c>
      <c r="J200" s="32">
        <f>SUM(J201:J206)</f>
        <v>17096912</v>
      </c>
      <c r="K200" s="32">
        <f t="shared" ref="K200" si="99">SUM(K201:K206)</f>
        <v>1341300</v>
      </c>
      <c r="L200" s="32">
        <f t="shared" ref="L200" si="100">SUM(L201:L206)</f>
        <v>1341300</v>
      </c>
      <c r="M200" s="61">
        <f t="shared" si="71"/>
        <v>1</v>
      </c>
      <c r="N200" s="61">
        <f t="shared" si="72"/>
        <v>1</v>
      </c>
      <c r="O200" s="61">
        <f t="shared" si="73"/>
        <v>1</v>
      </c>
      <c r="P200" s="61">
        <f t="shared" si="74"/>
        <v>1</v>
      </c>
    </row>
    <row r="201" spans="1:16" s="5" customFormat="1" ht="150" x14ac:dyDescent="0.25">
      <c r="A201" s="63"/>
      <c r="B201" s="63"/>
      <c r="C201" s="63"/>
      <c r="D201" s="69" t="s">
        <v>384</v>
      </c>
      <c r="E201" s="42">
        <f t="shared" si="78"/>
        <v>2053700</v>
      </c>
      <c r="F201" s="33">
        <v>1753700</v>
      </c>
      <c r="G201" s="33">
        <v>300000</v>
      </c>
      <c r="H201" s="33">
        <v>300000</v>
      </c>
      <c r="I201" s="42">
        <f t="shared" si="79"/>
        <v>2053700</v>
      </c>
      <c r="J201" s="33">
        <v>1753700</v>
      </c>
      <c r="K201" s="33">
        <v>300000</v>
      </c>
      <c r="L201" s="33">
        <v>300000</v>
      </c>
      <c r="M201" s="65">
        <f t="shared" si="71"/>
        <v>1</v>
      </c>
      <c r="N201" s="65">
        <f t="shared" si="72"/>
        <v>1</v>
      </c>
      <c r="O201" s="65">
        <f t="shared" si="73"/>
        <v>1</v>
      </c>
      <c r="P201" s="65">
        <f t="shared" si="74"/>
        <v>1</v>
      </c>
    </row>
    <row r="202" spans="1:16" s="27" customFormat="1" ht="56.25" x14ac:dyDescent="0.25">
      <c r="A202" s="63"/>
      <c r="B202" s="63"/>
      <c r="C202" s="63"/>
      <c r="D202" s="64" t="s">
        <v>385</v>
      </c>
      <c r="E202" s="42">
        <f t="shared" si="78"/>
        <v>500000</v>
      </c>
      <c r="F202" s="33">
        <v>500000</v>
      </c>
      <c r="G202" s="33">
        <v>0</v>
      </c>
      <c r="H202" s="33"/>
      <c r="I202" s="42">
        <f t="shared" si="79"/>
        <v>500000</v>
      </c>
      <c r="J202" s="33">
        <v>500000</v>
      </c>
      <c r="K202" s="33"/>
      <c r="L202" s="33"/>
      <c r="M202" s="65">
        <f t="shared" si="71"/>
        <v>1</v>
      </c>
      <c r="N202" s="65">
        <f t="shared" si="72"/>
        <v>1</v>
      </c>
      <c r="O202" s="65"/>
      <c r="P202" s="65"/>
    </row>
    <row r="203" spans="1:16" s="5" customFormat="1" ht="93.75" x14ac:dyDescent="0.25">
      <c r="A203" s="63"/>
      <c r="B203" s="63"/>
      <c r="C203" s="63"/>
      <c r="D203" s="69" t="s">
        <v>303</v>
      </c>
      <c r="E203" s="42">
        <f t="shared" si="78"/>
        <v>2241100</v>
      </c>
      <c r="F203" s="36">
        <v>2241100</v>
      </c>
      <c r="G203" s="36">
        <v>0</v>
      </c>
      <c r="H203" s="36"/>
      <c r="I203" s="42">
        <f t="shared" si="79"/>
        <v>2241100</v>
      </c>
      <c r="J203" s="36">
        <v>2241100</v>
      </c>
      <c r="K203" s="36"/>
      <c r="L203" s="36"/>
      <c r="M203" s="65">
        <f t="shared" si="71"/>
        <v>1</v>
      </c>
      <c r="N203" s="65">
        <f t="shared" si="72"/>
        <v>1</v>
      </c>
      <c r="O203" s="65"/>
      <c r="P203" s="65"/>
    </row>
    <row r="204" spans="1:16" s="5" customFormat="1" ht="112.5" x14ac:dyDescent="0.25">
      <c r="A204" s="63"/>
      <c r="B204" s="63"/>
      <c r="C204" s="63"/>
      <c r="D204" s="69" t="s">
        <v>386</v>
      </c>
      <c r="E204" s="42">
        <f t="shared" si="78"/>
        <v>12370300</v>
      </c>
      <c r="F204" s="36">
        <v>12370300</v>
      </c>
      <c r="G204" s="36">
        <v>0</v>
      </c>
      <c r="H204" s="36"/>
      <c r="I204" s="42">
        <f t="shared" si="79"/>
        <v>12370300</v>
      </c>
      <c r="J204" s="36">
        <v>12370300</v>
      </c>
      <c r="K204" s="36"/>
      <c r="L204" s="36"/>
      <c r="M204" s="65">
        <f t="shared" si="71"/>
        <v>1</v>
      </c>
      <c r="N204" s="65">
        <f t="shared" si="72"/>
        <v>1</v>
      </c>
      <c r="O204" s="65"/>
      <c r="P204" s="65"/>
    </row>
    <row r="205" spans="1:16" s="5" customFormat="1" ht="56.25" x14ac:dyDescent="0.25">
      <c r="A205" s="63"/>
      <c r="B205" s="63"/>
      <c r="C205" s="63"/>
      <c r="D205" s="69" t="s">
        <v>411</v>
      </c>
      <c r="E205" s="42">
        <f t="shared" si="78"/>
        <v>1041300</v>
      </c>
      <c r="F205" s="36">
        <v>0</v>
      </c>
      <c r="G205" s="36">
        <v>1041300</v>
      </c>
      <c r="H205" s="36">
        <v>1041300</v>
      </c>
      <c r="I205" s="42">
        <f t="shared" si="79"/>
        <v>1041300</v>
      </c>
      <c r="J205" s="36"/>
      <c r="K205" s="36">
        <v>1041300</v>
      </c>
      <c r="L205" s="36">
        <v>1041300</v>
      </c>
      <c r="M205" s="65">
        <f t="shared" si="71"/>
        <v>1</v>
      </c>
      <c r="N205" s="65"/>
      <c r="O205" s="65">
        <f t="shared" si="73"/>
        <v>1</v>
      </c>
      <c r="P205" s="65">
        <f t="shared" si="74"/>
        <v>1</v>
      </c>
    </row>
    <row r="206" spans="1:16" s="5" customFormat="1" ht="187.5" x14ac:dyDescent="0.25">
      <c r="A206" s="63"/>
      <c r="B206" s="63"/>
      <c r="C206" s="63"/>
      <c r="D206" s="69" t="s">
        <v>428</v>
      </c>
      <c r="E206" s="42">
        <f t="shared" si="78"/>
        <v>231812</v>
      </c>
      <c r="F206" s="36">
        <v>231812</v>
      </c>
      <c r="G206" s="36">
        <v>0</v>
      </c>
      <c r="H206" s="36"/>
      <c r="I206" s="42">
        <f t="shared" si="79"/>
        <v>231812</v>
      </c>
      <c r="J206" s="36">
        <v>231812</v>
      </c>
      <c r="K206" s="36"/>
      <c r="L206" s="36"/>
      <c r="M206" s="65">
        <f t="shared" si="71"/>
        <v>1</v>
      </c>
      <c r="N206" s="65">
        <f t="shared" si="72"/>
        <v>1</v>
      </c>
      <c r="O206" s="65"/>
      <c r="P206" s="65"/>
    </row>
    <row r="207" spans="1:16" s="6" customFormat="1" ht="75" x14ac:dyDescent="0.25">
      <c r="A207" s="59">
        <v>3719800</v>
      </c>
      <c r="B207" s="59">
        <v>9800</v>
      </c>
      <c r="C207" s="66" t="s">
        <v>9</v>
      </c>
      <c r="D207" s="70" t="s">
        <v>222</v>
      </c>
      <c r="E207" s="34">
        <f t="shared" si="78"/>
        <v>95349300</v>
      </c>
      <c r="F207" s="35">
        <f>SUM(F208:F213)</f>
        <v>41834818</v>
      </c>
      <c r="G207" s="35">
        <f t="shared" ref="G207:H207" si="101">SUM(G208:G213)</f>
        <v>53514482</v>
      </c>
      <c r="H207" s="35">
        <f t="shared" si="101"/>
        <v>53514482</v>
      </c>
      <c r="I207" s="34">
        <f t="shared" si="79"/>
        <v>91640089.050000012</v>
      </c>
      <c r="J207" s="35">
        <f>SUM(J208:J213)</f>
        <v>41295375.050000004</v>
      </c>
      <c r="K207" s="35">
        <f t="shared" ref="K207" si="102">SUM(K208:K213)</f>
        <v>50344714</v>
      </c>
      <c r="L207" s="35">
        <f t="shared" ref="L207" si="103">SUM(L208:L213)</f>
        <v>50344714</v>
      </c>
      <c r="M207" s="58">
        <f t="shared" si="71"/>
        <v>0.96109870811846565</v>
      </c>
      <c r="N207" s="58">
        <f t="shared" si="72"/>
        <v>0.98710540703200866</v>
      </c>
      <c r="O207" s="58">
        <f t="shared" si="73"/>
        <v>0.94076803359509298</v>
      </c>
      <c r="P207" s="58">
        <f t="shared" si="74"/>
        <v>0.94076803359509298</v>
      </c>
    </row>
    <row r="208" spans="1:16" s="5" customFormat="1" ht="112.5" x14ac:dyDescent="0.25">
      <c r="A208" s="63"/>
      <c r="B208" s="63"/>
      <c r="C208" s="63"/>
      <c r="D208" s="69" t="s">
        <v>386</v>
      </c>
      <c r="E208" s="42">
        <f t="shared" si="78"/>
        <v>87629700</v>
      </c>
      <c r="F208" s="36">
        <v>37540218</v>
      </c>
      <c r="G208" s="36">
        <v>50089482</v>
      </c>
      <c r="H208" s="36">
        <v>50089482</v>
      </c>
      <c r="I208" s="42">
        <f t="shared" si="79"/>
        <v>83992071</v>
      </c>
      <c r="J208" s="36">
        <v>37011307</v>
      </c>
      <c r="K208" s="36">
        <v>46980764</v>
      </c>
      <c r="L208" s="36">
        <v>46980764</v>
      </c>
      <c r="M208" s="65">
        <f t="shared" si="71"/>
        <v>0.95848862885528541</v>
      </c>
      <c r="N208" s="65">
        <f t="shared" si="72"/>
        <v>0.98591081703361449</v>
      </c>
      <c r="O208" s="65">
        <f t="shared" si="73"/>
        <v>0.93793671094462505</v>
      </c>
      <c r="P208" s="65">
        <f t="shared" si="74"/>
        <v>0.93793671094462505</v>
      </c>
    </row>
    <row r="209" spans="1:16" s="5" customFormat="1" ht="75" x14ac:dyDescent="0.25">
      <c r="A209" s="63"/>
      <c r="B209" s="63"/>
      <c r="C209" s="63"/>
      <c r="D209" s="69" t="s">
        <v>387</v>
      </c>
      <c r="E209" s="42">
        <f t="shared" si="78"/>
        <v>3000000</v>
      </c>
      <c r="F209" s="36">
        <v>1970000</v>
      </c>
      <c r="G209" s="36">
        <v>1030000</v>
      </c>
      <c r="H209" s="36">
        <v>1030000</v>
      </c>
      <c r="I209" s="42">
        <f t="shared" si="79"/>
        <v>2987848.35</v>
      </c>
      <c r="J209" s="36">
        <v>1965760.35</v>
      </c>
      <c r="K209" s="36">
        <v>1022088</v>
      </c>
      <c r="L209" s="36">
        <v>1022088</v>
      </c>
      <c r="M209" s="65">
        <f t="shared" ref="M209:M226" si="104">I209/E209</f>
        <v>0.99594945000000001</v>
      </c>
      <c r="N209" s="65">
        <f t="shared" ref="N209:N226" si="105">J209/F209</f>
        <v>0.99784789340101532</v>
      </c>
      <c r="O209" s="65">
        <f t="shared" ref="O209:O226" si="106">K209/G209</f>
        <v>0.99231844660194179</v>
      </c>
      <c r="P209" s="65">
        <f t="shared" ref="P209:P226" si="107">L209/H209</f>
        <v>0.99231844660194179</v>
      </c>
    </row>
    <row r="210" spans="1:16" s="5" customFormat="1" ht="75" x14ac:dyDescent="0.25">
      <c r="A210" s="63"/>
      <c r="B210" s="63"/>
      <c r="C210" s="63"/>
      <c r="D210" s="69" t="s">
        <v>388</v>
      </c>
      <c r="E210" s="42">
        <f t="shared" si="78"/>
        <v>2000000</v>
      </c>
      <c r="F210" s="36">
        <v>2000000</v>
      </c>
      <c r="G210" s="36">
        <v>0</v>
      </c>
      <c r="H210" s="36"/>
      <c r="I210" s="42">
        <f t="shared" si="79"/>
        <v>2000000</v>
      </c>
      <c r="J210" s="36">
        <v>2000000</v>
      </c>
      <c r="K210" s="36"/>
      <c r="L210" s="36"/>
      <c r="M210" s="65">
        <f t="shared" si="104"/>
        <v>1</v>
      </c>
      <c r="N210" s="65">
        <f t="shared" si="105"/>
        <v>1</v>
      </c>
      <c r="O210" s="65"/>
      <c r="P210" s="65"/>
    </row>
    <row r="211" spans="1:16" s="5" customFormat="1" ht="56.25" x14ac:dyDescent="0.25">
      <c r="A211" s="63"/>
      <c r="B211" s="63"/>
      <c r="C211" s="63"/>
      <c r="D211" s="69" t="s">
        <v>389</v>
      </c>
      <c r="E211" s="42">
        <f t="shared" ref="E211:E225" si="108">F211+G211</f>
        <v>200000</v>
      </c>
      <c r="F211" s="36">
        <v>200000</v>
      </c>
      <c r="G211" s="36">
        <v>0</v>
      </c>
      <c r="H211" s="36"/>
      <c r="I211" s="42">
        <f t="shared" ref="I211:I225" si="109">J211+K211</f>
        <v>200000</v>
      </c>
      <c r="J211" s="36">
        <v>200000</v>
      </c>
      <c r="K211" s="36"/>
      <c r="L211" s="36"/>
      <c r="M211" s="65">
        <f t="shared" si="104"/>
        <v>1</v>
      </c>
      <c r="N211" s="65">
        <f t="shared" si="105"/>
        <v>1</v>
      </c>
      <c r="O211" s="65"/>
      <c r="P211" s="65"/>
    </row>
    <row r="212" spans="1:16" s="5" customFormat="1" ht="56.25" x14ac:dyDescent="0.25">
      <c r="A212" s="63"/>
      <c r="B212" s="63"/>
      <c r="C212" s="63"/>
      <c r="D212" s="69" t="s">
        <v>390</v>
      </c>
      <c r="E212" s="42">
        <f t="shared" si="108"/>
        <v>1419600</v>
      </c>
      <c r="F212" s="36">
        <v>124600</v>
      </c>
      <c r="G212" s="36">
        <v>1295000</v>
      </c>
      <c r="H212" s="36">
        <v>1295000</v>
      </c>
      <c r="I212" s="42">
        <f t="shared" si="109"/>
        <v>1360169.7</v>
      </c>
      <c r="J212" s="36">
        <v>118307.7</v>
      </c>
      <c r="K212" s="36">
        <v>1241862</v>
      </c>
      <c r="L212" s="36">
        <v>1241862</v>
      </c>
      <c r="M212" s="65">
        <f t="shared" si="104"/>
        <v>0.95813588334742172</v>
      </c>
      <c r="N212" s="65">
        <f t="shared" si="105"/>
        <v>0.94950000000000001</v>
      </c>
      <c r="O212" s="65">
        <f t="shared" si="106"/>
        <v>0.95896679536679541</v>
      </c>
      <c r="P212" s="65">
        <f t="shared" si="107"/>
        <v>0.95896679536679541</v>
      </c>
    </row>
    <row r="213" spans="1:16" s="5" customFormat="1" ht="112.5" x14ac:dyDescent="0.25">
      <c r="A213" s="63"/>
      <c r="B213" s="63"/>
      <c r="C213" s="63"/>
      <c r="D213" s="69" t="s">
        <v>429</v>
      </c>
      <c r="E213" s="42">
        <f t="shared" si="108"/>
        <v>1100000</v>
      </c>
      <c r="F213" s="36">
        <v>0</v>
      </c>
      <c r="G213" s="36">
        <v>1100000</v>
      </c>
      <c r="H213" s="36">
        <v>1100000</v>
      </c>
      <c r="I213" s="42">
        <f t="shared" si="109"/>
        <v>1100000</v>
      </c>
      <c r="J213" s="36"/>
      <c r="K213" s="36">
        <v>1100000</v>
      </c>
      <c r="L213" s="36">
        <v>1100000</v>
      </c>
      <c r="M213" s="65">
        <f t="shared" si="104"/>
        <v>1</v>
      </c>
      <c r="N213" s="65"/>
      <c r="O213" s="65">
        <f t="shared" si="106"/>
        <v>1</v>
      </c>
      <c r="P213" s="65">
        <f t="shared" si="107"/>
        <v>1</v>
      </c>
    </row>
    <row r="214" spans="1:16" s="20" customFormat="1" ht="20.25" x14ac:dyDescent="0.3">
      <c r="A214" s="71" t="s">
        <v>260</v>
      </c>
      <c r="B214" s="71" t="s">
        <v>260</v>
      </c>
      <c r="C214" s="71" t="s">
        <v>260</v>
      </c>
      <c r="D214" s="72" t="s">
        <v>261</v>
      </c>
      <c r="E214" s="43">
        <f t="shared" si="108"/>
        <v>1622592186.52</v>
      </c>
      <c r="F214" s="37">
        <f>F16+F62+F94+F117+F123+F134+F145+F170+F183+F194</f>
        <v>1276689381.22</v>
      </c>
      <c r="G214" s="37">
        <f>G16+G62+G94+G117+G123+G134+G145+G170+G183+G194</f>
        <v>345902805.29999995</v>
      </c>
      <c r="H214" s="37">
        <f>H16+H62+H94+H117+H123+H134+H145+H170+H183+H194</f>
        <v>306237028.27999997</v>
      </c>
      <c r="I214" s="43">
        <f t="shared" si="109"/>
        <v>1482426141.7600002</v>
      </c>
      <c r="J214" s="37">
        <f>J16+J62+J94+J117+J123+J134+J145+J170+J183+J194</f>
        <v>1228313280.9700003</v>
      </c>
      <c r="K214" s="37">
        <f>K16+K62+K94+K117+K123+K134+K145+K170+K183+K194</f>
        <v>254112860.78999999</v>
      </c>
      <c r="L214" s="37">
        <f>L16+L62+L94+L117+L123+L134+L145+L170+L183+L194</f>
        <v>227286940.40000001</v>
      </c>
      <c r="M214" s="73">
        <f t="shared" si="104"/>
        <v>0.91361597453478671</v>
      </c>
      <c r="N214" s="73">
        <f t="shared" si="105"/>
        <v>0.9621081674512153</v>
      </c>
      <c r="O214" s="73">
        <f t="shared" si="106"/>
        <v>0.73463659992467845</v>
      </c>
      <c r="P214" s="73">
        <f t="shared" si="107"/>
        <v>0.7421928748348029</v>
      </c>
    </row>
    <row r="215" spans="1:16" s="6" customFormat="1" ht="18.75" x14ac:dyDescent="0.3">
      <c r="A215" s="74"/>
      <c r="B215" s="74"/>
      <c r="C215" s="74"/>
      <c r="D215" s="75"/>
      <c r="E215" s="34">
        <f t="shared" si="108"/>
        <v>0</v>
      </c>
      <c r="F215" s="38"/>
      <c r="G215" s="38"/>
      <c r="H215" s="38"/>
      <c r="I215" s="34">
        <f t="shared" si="109"/>
        <v>0</v>
      </c>
      <c r="J215" s="38"/>
      <c r="K215" s="38"/>
      <c r="L215" s="38"/>
      <c r="M215" s="58"/>
      <c r="N215" s="58"/>
      <c r="O215" s="58"/>
      <c r="P215" s="58"/>
    </row>
    <row r="216" spans="1:16" s="6" customFormat="1" ht="20.25" x14ac:dyDescent="0.3">
      <c r="A216" s="76"/>
      <c r="B216" s="76"/>
      <c r="C216" s="77" t="s">
        <v>208</v>
      </c>
      <c r="D216" s="78" t="s">
        <v>209</v>
      </c>
      <c r="E216" s="34">
        <f t="shared" si="108"/>
        <v>168531169.88</v>
      </c>
      <c r="F216" s="38">
        <f>F18+F23+F24+F64+F96+F97+F119+F120+F125+F136+F147+F148+F172+F173+F185+F186+F196</f>
        <v>167106569.88</v>
      </c>
      <c r="G216" s="38">
        <f>G18+G23+G24+G64+G96+G97+G119+G120+G125+G136+G147+G148+G172+G173+G185+G186+G196</f>
        <v>1424600</v>
      </c>
      <c r="H216" s="38">
        <f>H18+H23+H24+H64+H96+H97+H119+H120+H125+H136+H147+H148+H172+H173+H185+H186+H196</f>
        <v>1307000</v>
      </c>
      <c r="I216" s="34">
        <f t="shared" si="109"/>
        <v>166425751.02999997</v>
      </c>
      <c r="J216" s="38">
        <f>J18+J23+J24+J64+J96+J97+J119+J120+J125+J136+J147+J148+J172+J173+J185+J186+J196</f>
        <v>160504512.01999998</v>
      </c>
      <c r="K216" s="38">
        <f>K18+K23+K24+K64+K96+K97+K119+K120+K125+K136+K147+K148+K172+K173+K185+K186+K196</f>
        <v>5921239.0100000007</v>
      </c>
      <c r="L216" s="38">
        <f>L18+L23+L24+L64+L96+L97+L119+L120+L125+L136+L147+L148+L172+L173+L185+L186+L196</f>
        <v>1119491.79</v>
      </c>
      <c r="M216" s="61">
        <f t="shared" si="104"/>
        <v>0.98750724360663278</v>
      </c>
      <c r="N216" s="61">
        <f t="shared" si="105"/>
        <v>0.96049193119851017</v>
      </c>
      <c r="O216" s="62" t="s">
        <v>440</v>
      </c>
      <c r="P216" s="61">
        <f t="shared" si="107"/>
        <v>0.85653541698546287</v>
      </c>
    </row>
    <row r="217" spans="1:16" s="6" customFormat="1" ht="20.25" x14ac:dyDescent="0.3">
      <c r="A217" s="76"/>
      <c r="B217" s="76"/>
      <c r="C217" s="77" t="s">
        <v>210</v>
      </c>
      <c r="D217" s="78" t="s">
        <v>211</v>
      </c>
      <c r="E217" s="34">
        <f t="shared" si="108"/>
        <v>620757957.28999996</v>
      </c>
      <c r="F217" s="38">
        <f>F65+F66+F67+F68+F72+F73+F74+F75+F76+F77+F78+F79+F80+F81+F82+F83+F84+F85+F86+F87+F88+F126+F174</f>
        <v>488520528.37</v>
      </c>
      <c r="G217" s="38">
        <f>G65+G66+G67+G68+G72+G73+G74+G75+G76+G77+G78+G79+G80+G81+G82+G83+G84+G85+G86+G87+G88+G126+G174</f>
        <v>132237428.92</v>
      </c>
      <c r="H217" s="38">
        <f>H65+H66+H67+H68+H72+H73+H74+H75+H76+H77+H78+H79+H80+H81+H82+H83+H84+H85+H86+H87+H88+H126+H174</f>
        <v>106489928.92</v>
      </c>
      <c r="I217" s="34">
        <f t="shared" si="109"/>
        <v>539731146.49000001</v>
      </c>
      <c r="J217" s="38">
        <f>J65+J66+J67+J68+J72+J73+J74+J75+J76+J77+J78+J79+J80+J81+J82+J83+J84+J85+J86+J87+J88+J126+J174</f>
        <v>466317568.82000005</v>
      </c>
      <c r="K217" s="38">
        <f>K65+K66+K67+K68+K72+K73+K74+K75+K76+K77+K78+K79+K80+K81+K82+K83+K84+K85+K86+K87+K88+K126+K174</f>
        <v>73413577.670000002</v>
      </c>
      <c r="L217" s="38">
        <f>L65+L66+L67+L68+L72+L73+L74+L75+L76+L77+L78+L79+L80+L81+L82+L83+L84+L85+L86+L87+L88+L126+L174</f>
        <v>55848292.880000003</v>
      </c>
      <c r="M217" s="61">
        <f t="shared" si="104"/>
        <v>0.86947116851512773</v>
      </c>
      <c r="N217" s="61">
        <f t="shared" si="105"/>
        <v>0.95455061095573102</v>
      </c>
      <c r="O217" s="61">
        <f t="shared" si="106"/>
        <v>0.55516488992245294</v>
      </c>
      <c r="P217" s="61">
        <f t="shared" si="107"/>
        <v>0.52444671009176591</v>
      </c>
    </row>
    <row r="218" spans="1:16" s="6" customFormat="1" ht="20.25" x14ac:dyDescent="0.3">
      <c r="A218" s="76"/>
      <c r="B218" s="76"/>
      <c r="C218" s="77" t="s">
        <v>212</v>
      </c>
      <c r="D218" s="78" t="s">
        <v>213</v>
      </c>
      <c r="E218" s="34">
        <f t="shared" si="108"/>
        <v>95041777</v>
      </c>
      <c r="F218" s="38">
        <f>F25+F26+F27+F28+F32+F175</f>
        <v>66437961.100000001</v>
      </c>
      <c r="G218" s="38">
        <f>G25+G26+G27+G28+G32+G175</f>
        <v>28603815.899999999</v>
      </c>
      <c r="H218" s="38">
        <f>H25+H26+H27+H28+H32+H175</f>
        <v>28603815.899999999</v>
      </c>
      <c r="I218" s="34">
        <f t="shared" si="109"/>
        <v>82870517.520000011</v>
      </c>
      <c r="J218" s="38">
        <f>J25+J26+J27+J28+J32+J175</f>
        <v>64108258.150000006</v>
      </c>
      <c r="K218" s="38">
        <f>K25+K26+K27+K28+K32+K175</f>
        <v>18762259.369999997</v>
      </c>
      <c r="L218" s="38">
        <f>L25+L26+L27+L28+L32+L175</f>
        <v>18762259.369999997</v>
      </c>
      <c r="M218" s="61">
        <f t="shared" si="104"/>
        <v>0.87193779552333084</v>
      </c>
      <c r="N218" s="61">
        <f t="shared" si="105"/>
        <v>0.96493415945601624</v>
      </c>
      <c r="O218" s="61">
        <f t="shared" si="106"/>
        <v>0.65593553795736737</v>
      </c>
      <c r="P218" s="61">
        <f t="shared" si="107"/>
        <v>0.65593553795736737</v>
      </c>
    </row>
    <row r="219" spans="1:16" s="6" customFormat="1" ht="40.5" x14ac:dyDescent="0.3">
      <c r="A219" s="76"/>
      <c r="B219" s="76"/>
      <c r="C219" s="77" t="s">
        <v>214</v>
      </c>
      <c r="D219" s="78" t="s">
        <v>215</v>
      </c>
      <c r="E219" s="44">
        <f t="shared" si="108"/>
        <v>117838347.19</v>
      </c>
      <c r="F219" s="38">
        <f>F33+F89+F90+F98+F99+F100+F101+F102+F103+F104+F105+F106+F107+F108+F109+F110+F111+F112+F121+F127+F137+F149</f>
        <v>102079993.19</v>
      </c>
      <c r="G219" s="38">
        <f>G33+G89+G90+G98+G99+G100+G101+G102+G103+G104+G105+G106+G107+G108+G109+G110+G111+G112+G121+G127+G137+G149</f>
        <v>15758354</v>
      </c>
      <c r="H219" s="38">
        <f>H33+H89+H90+H98+H99+H100+H101+H102+H103+H104+H105+H106+H107+H108+H109+H110+H111+H112+H121+H127+H137+H149</f>
        <v>15576354</v>
      </c>
      <c r="I219" s="44">
        <f t="shared" si="109"/>
        <v>113538250.60999998</v>
      </c>
      <c r="J219" s="38">
        <f>J33+J89+J90+J98+J99+J100+J101+J102+J103+J104+J105+J106+J107+J108+J109+J110+J111+J112+J121+J127+J137+J149</f>
        <v>97558418.00999999</v>
      </c>
      <c r="K219" s="38">
        <f>K33+K89+K90+K98+K99+K100+K101+K102+K103+K104+K105+K106+K107+K108+K109+K110+K111+K112+K121+K127+K137+K149</f>
        <v>15979832.6</v>
      </c>
      <c r="L219" s="38">
        <f>L33+L89+L90+L98+L99+L100+L101+L102+L103+L104+L105+L106+L107+L108+L109+L110+L111+L112+L121+L127+L137+L149</f>
        <v>15537527.359999999</v>
      </c>
      <c r="M219" s="61">
        <f t="shared" si="104"/>
        <v>0.96350851244487812</v>
      </c>
      <c r="N219" s="61">
        <f t="shared" si="105"/>
        <v>0.95570556934125117</v>
      </c>
      <c r="O219" s="61">
        <f t="shared" si="106"/>
        <v>1.0140546785533564</v>
      </c>
      <c r="P219" s="61">
        <f t="shared" si="107"/>
        <v>0.99750733451486784</v>
      </c>
    </row>
    <row r="220" spans="1:16" s="6" customFormat="1" ht="20.25" x14ac:dyDescent="0.3">
      <c r="A220" s="76"/>
      <c r="B220" s="76"/>
      <c r="C220" s="77" t="s">
        <v>216</v>
      </c>
      <c r="D220" s="78" t="s">
        <v>217</v>
      </c>
      <c r="E220" s="34">
        <f t="shared" si="108"/>
        <v>31636000</v>
      </c>
      <c r="F220" s="38">
        <f>F128+F129+F130+F131+F132</f>
        <v>30935900</v>
      </c>
      <c r="G220" s="38">
        <f t="shared" ref="G220:H220" si="110">G128+G129+G130+G131+G132</f>
        <v>700100</v>
      </c>
      <c r="H220" s="38">
        <f t="shared" si="110"/>
        <v>420100</v>
      </c>
      <c r="I220" s="34">
        <f t="shared" si="109"/>
        <v>29575499.690000001</v>
      </c>
      <c r="J220" s="38">
        <f>J128+J129+J130+J131+J132</f>
        <v>28854796.830000002</v>
      </c>
      <c r="K220" s="38">
        <f t="shared" ref="K220:L220" si="111">K128+K129+K130+K131+K132</f>
        <v>720702.86</v>
      </c>
      <c r="L220" s="38">
        <f t="shared" si="111"/>
        <v>420062</v>
      </c>
      <c r="M220" s="61">
        <f t="shared" si="104"/>
        <v>0.93486849443671771</v>
      </c>
      <c r="N220" s="61">
        <f t="shared" si="105"/>
        <v>0.93272853965780866</v>
      </c>
      <c r="O220" s="61">
        <f t="shared" si="106"/>
        <v>1.0294284530781317</v>
      </c>
      <c r="P220" s="61">
        <f t="shared" si="107"/>
        <v>0.99990954534634613</v>
      </c>
    </row>
    <row r="221" spans="1:16" s="6" customFormat="1" ht="20.25" x14ac:dyDescent="0.3">
      <c r="A221" s="76"/>
      <c r="B221" s="76"/>
      <c r="C221" s="77" t="s">
        <v>218</v>
      </c>
      <c r="D221" s="78" t="s">
        <v>219</v>
      </c>
      <c r="E221" s="34">
        <f t="shared" si="108"/>
        <v>18133140.68</v>
      </c>
      <c r="F221" s="38">
        <f>F91+F138+F139+F140+F141+F142</f>
        <v>17655870.68</v>
      </c>
      <c r="G221" s="38">
        <f>G91+G138+G139+G140+G141+G142</f>
        <v>477270</v>
      </c>
      <c r="H221" s="38">
        <f>H91+H138+H139+H140+H141+H142</f>
        <v>477270</v>
      </c>
      <c r="I221" s="34">
        <f t="shared" si="109"/>
        <v>17616984.27</v>
      </c>
      <c r="J221" s="38">
        <f>J91+J138+J139+J140+J141+J142</f>
        <v>17090784.27</v>
      </c>
      <c r="K221" s="38">
        <f>K91+K138+K139+K140+K141+K142</f>
        <v>526200</v>
      </c>
      <c r="L221" s="38">
        <f>L91+L138+L139+L140+L141+L142</f>
        <v>476210</v>
      </c>
      <c r="M221" s="61">
        <f t="shared" si="104"/>
        <v>0.97153518967790853</v>
      </c>
      <c r="N221" s="61">
        <f t="shared" si="105"/>
        <v>0.96799441838684785</v>
      </c>
      <c r="O221" s="61">
        <f t="shared" si="106"/>
        <v>1.1025205858319191</v>
      </c>
      <c r="P221" s="61">
        <f t="shared" si="107"/>
        <v>0.99777903492781861</v>
      </c>
    </row>
    <row r="222" spans="1:16" s="6" customFormat="1" ht="20.25" x14ac:dyDescent="0.3">
      <c r="A222" s="76"/>
      <c r="B222" s="76"/>
      <c r="C222" s="77" t="s">
        <v>220</v>
      </c>
      <c r="D222" s="78" t="s">
        <v>221</v>
      </c>
      <c r="E222" s="34">
        <f t="shared" si="108"/>
        <v>162099930.5</v>
      </c>
      <c r="F222" s="38">
        <f>F34+F150+F151+F152+F153+F154+F155+F156+F176+F177+F187+F188</f>
        <v>106542884</v>
      </c>
      <c r="G222" s="38">
        <f>G34+G150+G151+G152+G153+G154+G155+G156+G176+G177+G187+G188</f>
        <v>55557046.5</v>
      </c>
      <c r="H222" s="38">
        <f>H34+H150+H151+H152+H153+H154+H155+H156+H176+H177+H187+H188</f>
        <v>55557046.5</v>
      </c>
      <c r="I222" s="34">
        <f t="shared" si="109"/>
        <v>146072429.69</v>
      </c>
      <c r="J222" s="38">
        <f>J34+J150+J151+J152+J153+J154+J155+J156+J176+J177+J187+J188</f>
        <v>102752953.24000001</v>
      </c>
      <c r="K222" s="38">
        <f>K34+K150+K151+K152+K153+K154+K155+K156+K176+K177+K187+K188</f>
        <v>43319476.450000003</v>
      </c>
      <c r="L222" s="38">
        <f>L34+L150+L151+L152+L153+L154+L155+L156+L176+L177+L187+L188</f>
        <v>43319476.450000003</v>
      </c>
      <c r="M222" s="61">
        <f t="shared" si="104"/>
        <v>0.90112580085282634</v>
      </c>
      <c r="N222" s="61">
        <f t="shared" si="105"/>
        <v>0.96442811929138328</v>
      </c>
      <c r="O222" s="61">
        <f t="shared" si="106"/>
        <v>0.77972965049536969</v>
      </c>
      <c r="P222" s="61">
        <f t="shared" si="107"/>
        <v>0.77972965049536969</v>
      </c>
    </row>
    <row r="223" spans="1:16" s="6" customFormat="1" ht="20.25" x14ac:dyDescent="0.3">
      <c r="A223" s="76"/>
      <c r="B223" s="76"/>
      <c r="C223" s="77" t="s">
        <v>280</v>
      </c>
      <c r="D223" s="78" t="s">
        <v>281</v>
      </c>
      <c r="E223" s="34">
        <f t="shared" si="108"/>
        <v>176434228.46000001</v>
      </c>
      <c r="F223" s="38">
        <f>F38+F39+F40+F41+F49+F50+F51+F92+F113+F122+F133+F143+F144+F158+F159+F160+F161+F162+F157+F178+F179+F180+F181+F189+F190+F191+F192+F197</f>
        <v>129036838</v>
      </c>
      <c r="G223" s="38">
        <f>G38+G39+G40+G41+G49+G50+G51+G92+G113+G122+G133+G143+G144+G158+G159+G160+G161+G162+G157+G178+G179+G180+G181+G189+G190+G191+G192+G197</f>
        <v>47397390.460000001</v>
      </c>
      <c r="H223" s="38">
        <f>H38+H39+H40+H41+H49+H50+H51+H92+H113+H122+H133+H143+H144+H158+H159+H160+H161+H162+H157+H178+H179+H180+H181+H189+H190+H191+H192+H197</f>
        <v>35730013.439999998</v>
      </c>
      <c r="I223" s="34">
        <f t="shared" si="109"/>
        <v>162246052.21000001</v>
      </c>
      <c r="J223" s="38">
        <f>J38+J39+J40+J41+J49+J50+J51+J92+J113+J122+J133+J143+J144+J158+J159+J160+J161+J162+J157+J178+J179+J180+J181+J189+J190+J191+J192+J197</f>
        <v>126239750.90000001</v>
      </c>
      <c r="K223" s="38">
        <f>K38+K39+K40+K41+K49+K50+K51+K92+K113+K122+K133+K143+K144+K158+K159+K160+K161+K162+K157+K178+K179+K180+K181+K189+K190+K191+K192+K197</f>
        <v>36006301.310000002</v>
      </c>
      <c r="L223" s="38">
        <f>L38+L39+L40+L41+L49+L50+L51+L92+L113+L122+L133+L143+L144+L158+L159+L160+L161+L162+L157+L178+L179+L180+L181+L189+L190+L191+L192+L197</f>
        <v>33432205.920000002</v>
      </c>
      <c r="M223" s="61">
        <f t="shared" si="104"/>
        <v>0.91958376572481992</v>
      </c>
      <c r="N223" s="61">
        <f t="shared" si="105"/>
        <v>0.97832334437705304</v>
      </c>
      <c r="O223" s="61">
        <f t="shared" si="106"/>
        <v>0.75966843238736403</v>
      </c>
      <c r="P223" s="61">
        <f t="shared" si="107"/>
        <v>0.93568971016877411</v>
      </c>
    </row>
    <row r="224" spans="1:16" s="6" customFormat="1" ht="20.25" x14ac:dyDescent="0.3">
      <c r="A224" s="76"/>
      <c r="B224" s="76"/>
      <c r="C224" s="77" t="s">
        <v>283</v>
      </c>
      <c r="D224" s="78" t="s">
        <v>282</v>
      </c>
      <c r="E224" s="34">
        <f t="shared" si="108"/>
        <v>54457323.519999996</v>
      </c>
      <c r="F224" s="38">
        <f>F52+F57+F58+F59+F60+F61+F93+F163+F164+F165+F166+F167+F168+F169+F182+F193+F198</f>
        <v>45566306</v>
      </c>
      <c r="G224" s="38">
        <f>G52+G57+G58+G59+G60+G61+G93+G163+G164+G165+G166+G167+G168+G169+G182+G193+G198</f>
        <v>8891017.5199999996</v>
      </c>
      <c r="H224" s="38">
        <f>H52+H57+H58+H59+H60+H61+H93+H163+H164+H165+H166+H167+H168+H169+H182+H193+H198</f>
        <v>7219717.5199999996</v>
      </c>
      <c r="I224" s="34">
        <f t="shared" si="109"/>
        <v>50396409.200000003</v>
      </c>
      <c r="J224" s="38">
        <f>J52+J57+J58+J59+J60+J61+J93+J163+J164+J165+J166+J167+J168+J169+J182+J193+J198</f>
        <v>42619151.68</v>
      </c>
      <c r="K224" s="38">
        <f>K52+K57+K58+K59+K60+K61+K93+K163+K164+K165+K166+K167+K168+K169+K182+K193+K198</f>
        <v>7777257.5199999996</v>
      </c>
      <c r="L224" s="38">
        <f>L52+L57+L58+L59+L60+L61+L93+L163+L164+L165+L166+L167+L168+L169+L182+L193+L198</f>
        <v>6685400.6299999999</v>
      </c>
      <c r="M224" s="61">
        <f t="shared" si="104"/>
        <v>0.9254294177989012</v>
      </c>
      <c r="N224" s="61">
        <f t="shared" si="105"/>
        <v>0.93532163173376393</v>
      </c>
      <c r="O224" s="61">
        <f t="shared" si="106"/>
        <v>0.87473199805369406</v>
      </c>
      <c r="P224" s="61">
        <f t="shared" si="107"/>
        <v>0.92599199504414964</v>
      </c>
    </row>
    <row r="225" spans="1:16" s="6" customFormat="1" ht="20.25" x14ac:dyDescent="0.3">
      <c r="A225" s="76"/>
      <c r="B225" s="76"/>
      <c r="C225" s="77" t="s">
        <v>284</v>
      </c>
      <c r="D225" s="78" t="s">
        <v>285</v>
      </c>
      <c r="E225" s="34">
        <f t="shared" si="108"/>
        <v>177662312</v>
      </c>
      <c r="F225" s="38">
        <f>F199+F200+F207</f>
        <v>122806530</v>
      </c>
      <c r="G225" s="38">
        <f t="shared" ref="G225:H225" si="112">G199+G200+G207</f>
        <v>54855782</v>
      </c>
      <c r="H225" s="38">
        <f t="shared" si="112"/>
        <v>54855782</v>
      </c>
      <c r="I225" s="34">
        <f t="shared" si="109"/>
        <v>173953101.05000001</v>
      </c>
      <c r="J225" s="38">
        <f>J199+J200+J207</f>
        <v>122267087.05000001</v>
      </c>
      <c r="K225" s="38">
        <f t="shared" ref="K225:L225" si="113">K199+K200+K207</f>
        <v>51686014</v>
      </c>
      <c r="L225" s="38">
        <f t="shared" si="113"/>
        <v>51686014</v>
      </c>
      <c r="M225" s="61">
        <f t="shared" si="104"/>
        <v>0.97912212833299173</v>
      </c>
      <c r="N225" s="61">
        <f t="shared" si="105"/>
        <v>0.99560737568271018</v>
      </c>
      <c r="O225" s="61">
        <f t="shared" si="106"/>
        <v>0.94221633737716104</v>
      </c>
      <c r="P225" s="61">
        <f t="shared" si="107"/>
        <v>0.94221633737716104</v>
      </c>
    </row>
    <row r="226" spans="1:16" s="26" customFormat="1" ht="20.25" x14ac:dyDescent="0.3">
      <c r="A226" s="79"/>
      <c r="B226" s="79"/>
      <c r="C226" s="79"/>
      <c r="D226" s="79" t="s">
        <v>1</v>
      </c>
      <c r="E226" s="39">
        <f>SUM(E216:E225)</f>
        <v>1622592186.52</v>
      </c>
      <c r="F226" s="39">
        <f>SUM(F216:F225)</f>
        <v>1276689381.2199998</v>
      </c>
      <c r="G226" s="39">
        <f t="shared" ref="G226:H226" si="114">SUM(G216:G225)</f>
        <v>345902805.29999995</v>
      </c>
      <c r="H226" s="39">
        <f t="shared" si="114"/>
        <v>306237028.27999997</v>
      </c>
      <c r="I226" s="39">
        <f>SUM(I216:I225)</f>
        <v>1482426141.76</v>
      </c>
      <c r="J226" s="39">
        <f>SUM(J216:J225)</f>
        <v>1228313280.97</v>
      </c>
      <c r="K226" s="39">
        <f t="shared" ref="K226" si="115">SUM(K216:K225)</f>
        <v>254112860.79000002</v>
      </c>
      <c r="L226" s="39">
        <f t="shared" ref="L226" si="116">SUM(L216:L225)</f>
        <v>227286940.39999998</v>
      </c>
      <c r="M226" s="73">
        <f t="shared" si="104"/>
        <v>0.9136159745347866</v>
      </c>
      <c r="N226" s="73">
        <f t="shared" si="105"/>
        <v>0.9621081674512153</v>
      </c>
      <c r="O226" s="73">
        <f t="shared" si="106"/>
        <v>0.73463659992467845</v>
      </c>
      <c r="P226" s="73">
        <f t="shared" si="107"/>
        <v>0.74219287483480278</v>
      </c>
    </row>
    <row r="227" spans="1:16" x14ac:dyDescent="0.25">
      <c r="A227" s="80"/>
      <c r="B227" s="80"/>
      <c r="C227" s="80"/>
      <c r="D227" s="80"/>
      <c r="E227" s="40">
        <f>E214-E226</f>
        <v>0</v>
      </c>
      <c r="F227" s="40">
        <f t="shared" ref="F227:H227" si="117">F214-F226</f>
        <v>0</v>
      </c>
      <c r="G227" s="40">
        <f t="shared" si="117"/>
        <v>0</v>
      </c>
      <c r="H227" s="40">
        <f t="shared" si="117"/>
        <v>0</v>
      </c>
      <c r="M227" s="81"/>
      <c r="N227" s="81"/>
      <c r="O227" s="81"/>
      <c r="P227" s="81"/>
    </row>
    <row r="228" spans="1:16" s="29" customFormat="1" x14ac:dyDescent="0.25">
      <c r="A228" s="82"/>
      <c r="B228" s="82"/>
      <c r="C228" s="82"/>
      <c r="D228" s="82" t="s">
        <v>430</v>
      </c>
      <c r="E228" s="28"/>
      <c r="F228" s="28"/>
      <c r="G228" s="28" t="s">
        <v>269</v>
      </c>
      <c r="H228" s="28"/>
      <c r="I228" s="28"/>
      <c r="J228" s="28"/>
      <c r="K228" s="28"/>
      <c r="L228" s="28"/>
      <c r="M228" s="48"/>
      <c r="N228" s="48"/>
      <c r="O228" s="48"/>
      <c r="P228" s="48"/>
    </row>
    <row r="229" spans="1:16" x14ac:dyDescent="0.25">
      <c r="A229" s="49"/>
      <c r="B229" s="49"/>
      <c r="C229" s="49"/>
      <c r="D229" s="25"/>
      <c r="E229" s="25"/>
      <c r="M229" s="81"/>
      <c r="N229" s="81"/>
      <c r="O229" s="81"/>
      <c r="P229" s="81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8">
    <mergeCell ref="M1:O1"/>
    <mergeCell ref="M4:O4"/>
    <mergeCell ref="B10:B14"/>
    <mergeCell ref="C10:C14"/>
    <mergeCell ref="D10:D14"/>
    <mergeCell ref="F12:F14"/>
    <mergeCell ref="K12:L12"/>
    <mergeCell ref="J11:L11"/>
    <mergeCell ref="I10:L10"/>
    <mergeCell ref="I11:I14"/>
    <mergeCell ref="N12:N14"/>
    <mergeCell ref="O12:P12"/>
    <mergeCell ref="K13:K14"/>
    <mergeCell ref="A5:P5"/>
    <mergeCell ref="M2:P2"/>
    <mergeCell ref="M3:P3"/>
    <mergeCell ref="A6:P6"/>
    <mergeCell ref="G13:G14"/>
    <mergeCell ref="O13:O14"/>
    <mergeCell ref="G12:H12"/>
    <mergeCell ref="J12:J14"/>
    <mergeCell ref="A10:A14"/>
    <mergeCell ref="M10:P10"/>
    <mergeCell ref="M11:M14"/>
    <mergeCell ref="N11:P11"/>
    <mergeCell ref="F11:H11"/>
    <mergeCell ref="E11:E14"/>
    <mergeCell ref="E10:H10"/>
  </mergeCells>
  <pageMargins left="0.19685039370078741" right="0.15748031496062992" top="0.59055118110236227" bottom="0.39370078740157483" header="0.15748031496062992" footer="0.11811023622047245"/>
  <pageSetup paperSize="9" scale="41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Natasha-findep</cp:lastModifiedBy>
  <cp:lastPrinted>2026-02-02T06:56:55Z</cp:lastPrinted>
  <dcterms:created xsi:type="dcterms:W3CDTF">2012-12-15T07:44:03Z</dcterms:created>
  <dcterms:modified xsi:type="dcterms:W3CDTF">2026-02-02T06:56:55Z</dcterms:modified>
</cp:coreProperties>
</file>