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1_НАСТУПНЕ\"/>
    </mc:Choice>
  </mc:AlternateContent>
  <bookViews>
    <workbookView xWindow="-108" yWindow="-108" windowWidth="23256" windowHeight="12576"/>
  </bookViews>
  <sheets>
    <sheet name="2026" sheetId="2" r:id="rId1"/>
  </sheets>
  <definedNames>
    <definedName name="_xlnm.Print_Titles" localSheetId="0">'2026'!$13:$17</definedName>
    <definedName name="_xlnm.Print_Area" localSheetId="0">'2026'!$A$1:$P$216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0" i="2" l="1"/>
  <c r="G131" i="2"/>
  <c r="G114" i="2"/>
  <c r="G111" i="2"/>
  <c r="G103" i="2"/>
  <c r="G102" i="2"/>
  <c r="F114" i="2"/>
  <c r="F111" i="2"/>
  <c r="F103" i="2"/>
  <c r="F102" i="2"/>
  <c r="F131" i="2"/>
  <c r="F82" i="2"/>
  <c r="F80" i="2"/>
  <c r="F77" i="2"/>
  <c r="F69" i="2"/>
  <c r="I201" i="2" l="1"/>
  <c r="F201" i="2"/>
  <c r="I220" i="2" l="1"/>
  <c r="F220" i="2"/>
  <c r="K220" i="2" l="1"/>
  <c r="J220" i="2"/>
  <c r="E220" i="2"/>
  <c r="L141" i="2"/>
  <c r="M141" i="2"/>
  <c r="N141" i="2"/>
  <c r="O141" i="2"/>
  <c r="K141" i="2"/>
  <c r="G141" i="2"/>
  <c r="H141" i="2"/>
  <c r="I141" i="2"/>
  <c r="F141" i="2"/>
  <c r="L220" i="2" l="1"/>
  <c r="O220" i="2" l="1"/>
  <c r="I167" i="2"/>
  <c r="H212" i="2" l="1"/>
  <c r="I212" i="2"/>
  <c r="K212" i="2"/>
  <c r="M212" i="2"/>
  <c r="N212" i="2"/>
  <c r="O212" i="2"/>
  <c r="I161" i="2"/>
  <c r="F161" i="2"/>
  <c r="G209" i="2"/>
  <c r="H209" i="2"/>
  <c r="I209" i="2"/>
  <c r="K209" i="2"/>
  <c r="L209" i="2"/>
  <c r="M209" i="2"/>
  <c r="N209" i="2"/>
  <c r="O209" i="2"/>
  <c r="H207" i="2"/>
  <c r="I207" i="2"/>
  <c r="K207" i="2"/>
  <c r="L207" i="2"/>
  <c r="M207" i="2"/>
  <c r="N207" i="2"/>
  <c r="O207" i="2"/>
  <c r="G206" i="2"/>
  <c r="H206" i="2"/>
  <c r="K206" i="2"/>
  <c r="L206" i="2"/>
  <c r="M206" i="2"/>
  <c r="N206" i="2"/>
  <c r="O206" i="2"/>
  <c r="K205" i="2"/>
  <c r="L205" i="2"/>
  <c r="M205" i="2"/>
  <c r="N205" i="2"/>
  <c r="O205" i="2"/>
  <c r="P220" i="2"/>
  <c r="L184" i="2" l="1"/>
  <c r="M184" i="2"/>
  <c r="N184" i="2"/>
  <c r="O184" i="2"/>
  <c r="K184" i="2"/>
  <c r="G184" i="2"/>
  <c r="H184" i="2"/>
  <c r="F184" i="2"/>
  <c r="I192" i="2"/>
  <c r="I184" i="2" s="1"/>
  <c r="J178" i="2"/>
  <c r="L171" i="2"/>
  <c r="M171" i="2"/>
  <c r="N171" i="2"/>
  <c r="O171" i="2"/>
  <c r="K171" i="2"/>
  <c r="G171" i="2"/>
  <c r="H171" i="2"/>
  <c r="I171" i="2"/>
  <c r="F171" i="2"/>
  <c r="J182" i="2"/>
  <c r="E182" i="2"/>
  <c r="P182" i="2" s="1"/>
  <c r="J181" i="2"/>
  <c r="E181" i="2"/>
  <c r="J179" i="2"/>
  <c r="E179" i="2"/>
  <c r="E178" i="2"/>
  <c r="J177" i="2"/>
  <c r="E177" i="2"/>
  <c r="J176" i="2"/>
  <c r="E176" i="2"/>
  <c r="E172" i="2"/>
  <c r="P172" i="2" s="1"/>
  <c r="P179" i="2" l="1"/>
  <c r="P176" i="2"/>
  <c r="P177" i="2"/>
  <c r="P178" i="2"/>
  <c r="P181" i="2"/>
  <c r="M153" i="2" l="1"/>
  <c r="N153" i="2"/>
  <c r="G153" i="2"/>
  <c r="H153" i="2"/>
  <c r="L169" i="2"/>
  <c r="L212" i="2" s="1"/>
  <c r="J166" i="2"/>
  <c r="E166" i="2"/>
  <c r="J165" i="2"/>
  <c r="E165" i="2"/>
  <c r="J162" i="2"/>
  <c r="E162" i="2"/>
  <c r="I160" i="2"/>
  <c r="J158" i="2"/>
  <c r="E158" i="2"/>
  <c r="J157" i="2"/>
  <c r="E157" i="2"/>
  <c r="L153" i="2" l="1"/>
  <c r="P158" i="2"/>
  <c r="P162" i="2"/>
  <c r="P166" i="2"/>
  <c r="P165" i="2"/>
  <c r="P157" i="2"/>
  <c r="J147" i="2" l="1"/>
  <c r="J151" i="2"/>
  <c r="E151" i="2"/>
  <c r="E147" i="2"/>
  <c r="F134" i="2"/>
  <c r="F126" i="2"/>
  <c r="F123" i="2"/>
  <c r="L94" i="2"/>
  <c r="M94" i="2"/>
  <c r="N94" i="2"/>
  <c r="O94" i="2"/>
  <c r="K94" i="2"/>
  <c r="H94" i="2"/>
  <c r="I94" i="2"/>
  <c r="J114" i="2"/>
  <c r="E114" i="2"/>
  <c r="F113" i="2"/>
  <c r="E111" i="2"/>
  <c r="P111" i="2" s="1"/>
  <c r="E112" i="2"/>
  <c r="J109" i="2"/>
  <c r="E109" i="2"/>
  <c r="J99" i="2"/>
  <c r="E99" i="2"/>
  <c r="L66" i="2"/>
  <c r="M66" i="2"/>
  <c r="N66" i="2"/>
  <c r="O66" i="2"/>
  <c r="K66" i="2"/>
  <c r="F92" i="2"/>
  <c r="J85" i="2"/>
  <c r="J86" i="2"/>
  <c r="J87" i="2"/>
  <c r="J88" i="2"/>
  <c r="E85" i="2"/>
  <c r="E86" i="2"/>
  <c r="E87" i="2"/>
  <c r="G207" i="2" l="1"/>
  <c r="P151" i="2"/>
  <c r="P87" i="2"/>
  <c r="P109" i="2"/>
  <c r="P85" i="2"/>
  <c r="P147" i="2"/>
  <c r="P114" i="2"/>
  <c r="G94" i="2"/>
  <c r="P99" i="2"/>
  <c r="P86" i="2"/>
  <c r="J84" i="2"/>
  <c r="E84" i="2"/>
  <c r="J83" i="2"/>
  <c r="E83" i="2"/>
  <c r="J81" i="2"/>
  <c r="E81" i="2"/>
  <c r="G72" i="2"/>
  <c r="H72" i="2"/>
  <c r="I72" i="2"/>
  <c r="F72" i="2"/>
  <c r="E75" i="2"/>
  <c r="P75" i="2" s="1"/>
  <c r="G71" i="2"/>
  <c r="F71" i="2"/>
  <c r="G70" i="2"/>
  <c r="F70" i="2"/>
  <c r="I66" i="2" l="1"/>
  <c r="I205" i="2"/>
  <c r="H66" i="2"/>
  <c r="H205" i="2"/>
  <c r="F205" i="2"/>
  <c r="G205" i="2"/>
  <c r="F66" i="2"/>
  <c r="G66" i="2"/>
  <c r="P83" i="2"/>
  <c r="P84" i="2"/>
  <c r="P81" i="2"/>
  <c r="J63" i="2" l="1"/>
  <c r="E63" i="2"/>
  <c r="F62" i="2"/>
  <c r="G60" i="2"/>
  <c r="G212" i="2" s="1"/>
  <c r="F60" i="2"/>
  <c r="F54" i="2"/>
  <c r="F53" i="2"/>
  <c r="O51" i="2"/>
  <c r="K51" i="2"/>
  <c r="F51" i="2"/>
  <c r="J48" i="2"/>
  <c r="J49" i="2"/>
  <c r="E49" i="2"/>
  <c r="F37" i="2"/>
  <c r="E34" i="2"/>
  <c r="J34" i="2"/>
  <c r="F33" i="2"/>
  <c r="F31" i="2"/>
  <c r="F27" i="2"/>
  <c r="I27" i="2"/>
  <c r="I206" i="2" s="1"/>
  <c r="P63" i="2" l="1"/>
  <c r="P49" i="2"/>
  <c r="P34" i="2"/>
  <c r="F137" i="2" l="1"/>
  <c r="F125" i="2"/>
  <c r="F146" i="2"/>
  <c r="F145" i="2"/>
  <c r="F26" i="2"/>
  <c r="F209" i="2" l="1"/>
  <c r="O195" i="2"/>
  <c r="K195" i="2"/>
  <c r="J186" i="2"/>
  <c r="E186" i="2"/>
  <c r="J175" i="2"/>
  <c r="E175" i="2"/>
  <c r="J174" i="2"/>
  <c r="E174" i="2"/>
  <c r="J143" i="2"/>
  <c r="E143" i="2"/>
  <c r="N128" i="2"/>
  <c r="O128" i="2"/>
  <c r="K128" i="2"/>
  <c r="G128" i="2"/>
  <c r="H128" i="2"/>
  <c r="I128" i="2"/>
  <c r="F128" i="2"/>
  <c r="J139" i="2"/>
  <c r="E139" i="2"/>
  <c r="J130" i="2"/>
  <c r="E130" i="2"/>
  <c r="J124" i="2"/>
  <c r="E124" i="2"/>
  <c r="F117" i="2"/>
  <c r="F119" i="2"/>
  <c r="E119" i="2" s="1"/>
  <c r="E120" i="2"/>
  <c r="P120" i="2" s="1"/>
  <c r="J119" i="2"/>
  <c r="J96" i="2"/>
  <c r="E96" i="2"/>
  <c r="L195" i="2" l="1"/>
  <c r="I195" i="2"/>
  <c r="H195" i="2"/>
  <c r="G195" i="2"/>
  <c r="M195" i="2"/>
  <c r="N195" i="2"/>
  <c r="F195" i="2"/>
  <c r="P186" i="2"/>
  <c r="P96" i="2"/>
  <c r="P175" i="2"/>
  <c r="P174" i="2"/>
  <c r="P130" i="2"/>
  <c r="P143" i="2"/>
  <c r="P139" i="2"/>
  <c r="P124" i="2"/>
  <c r="P119" i="2"/>
  <c r="J68" i="2"/>
  <c r="E68" i="2"/>
  <c r="J51" i="2"/>
  <c r="E51" i="2"/>
  <c r="F52" i="2"/>
  <c r="F212" i="2" s="1"/>
  <c r="E59" i="2"/>
  <c r="P59" i="2" s="1"/>
  <c r="E57" i="2"/>
  <c r="P57" i="2" s="1"/>
  <c r="E56" i="2"/>
  <c r="P56" i="2" s="1"/>
  <c r="E55" i="2"/>
  <c r="P55" i="2" s="1"/>
  <c r="E48" i="2"/>
  <c r="P48" i="2" s="1"/>
  <c r="E22" i="2"/>
  <c r="G21" i="2"/>
  <c r="H21" i="2"/>
  <c r="P51" i="2" l="1"/>
  <c r="P68" i="2"/>
  <c r="E167" i="2" l="1"/>
  <c r="O164" i="2"/>
  <c r="O153" i="2" s="1"/>
  <c r="K164" i="2"/>
  <c r="K153" i="2" s="1"/>
  <c r="E164" i="2"/>
  <c r="J161" i="2"/>
  <c r="I159" i="2"/>
  <c r="I153" i="2" s="1"/>
  <c r="E135" i="2"/>
  <c r="E126" i="2"/>
  <c r="E123" i="2"/>
  <c r="E113" i="2"/>
  <c r="E108" i="2"/>
  <c r="E104" i="2"/>
  <c r="J92" i="2"/>
  <c r="E92" i="2"/>
  <c r="E91" i="2"/>
  <c r="E89" i="2"/>
  <c r="E80" i="2"/>
  <c r="E78" i="2"/>
  <c r="E77" i="2"/>
  <c r="J71" i="2"/>
  <c r="E71" i="2"/>
  <c r="J70" i="2"/>
  <c r="E70" i="2"/>
  <c r="E67" i="2"/>
  <c r="E61" i="2"/>
  <c r="E60" i="2"/>
  <c r="E58" i="2"/>
  <c r="P58" i="2" s="1"/>
  <c r="E42" i="2"/>
  <c r="E32" i="2"/>
  <c r="P32" i="2" s="1"/>
  <c r="E29" i="2"/>
  <c r="E21" i="2"/>
  <c r="N208" i="2"/>
  <c r="I208" i="2"/>
  <c r="J199" i="2"/>
  <c r="E199" i="2"/>
  <c r="J198" i="2"/>
  <c r="J197" i="2"/>
  <c r="E197" i="2"/>
  <c r="J196" i="2"/>
  <c r="E196" i="2"/>
  <c r="J193" i="2"/>
  <c r="E193" i="2"/>
  <c r="J192" i="2"/>
  <c r="E192" i="2"/>
  <c r="J191" i="2"/>
  <c r="E191" i="2"/>
  <c r="J190" i="2"/>
  <c r="E190" i="2"/>
  <c r="J189" i="2"/>
  <c r="E189" i="2"/>
  <c r="J188" i="2"/>
  <c r="E188" i="2"/>
  <c r="J187" i="2"/>
  <c r="E187" i="2"/>
  <c r="J185" i="2"/>
  <c r="G183" i="2"/>
  <c r="O183" i="2"/>
  <c r="N183" i="2"/>
  <c r="M183" i="2"/>
  <c r="L183" i="2"/>
  <c r="K183" i="2"/>
  <c r="H183" i="2"/>
  <c r="J180" i="2"/>
  <c r="E180" i="2"/>
  <c r="J173" i="2"/>
  <c r="G170" i="2"/>
  <c r="E173" i="2"/>
  <c r="N170" i="2"/>
  <c r="M170" i="2"/>
  <c r="L170" i="2"/>
  <c r="I170" i="2"/>
  <c r="H170" i="2"/>
  <c r="J169" i="2"/>
  <c r="E169" i="2"/>
  <c r="J168" i="2"/>
  <c r="E168" i="2"/>
  <c r="J167" i="2"/>
  <c r="J164" i="2"/>
  <c r="J163" i="2"/>
  <c r="E163" i="2"/>
  <c r="E161" i="2"/>
  <c r="J160" i="2"/>
  <c r="E160" i="2"/>
  <c r="J159" i="2"/>
  <c r="J156" i="2"/>
  <c r="F156" i="2"/>
  <c r="F153" i="2" s="1"/>
  <c r="J155" i="2"/>
  <c r="E155" i="2"/>
  <c r="J154" i="2"/>
  <c r="E154" i="2"/>
  <c r="N152" i="2"/>
  <c r="M152" i="2"/>
  <c r="L152" i="2"/>
  <c r="J150" i="2"/>
  <c r="E150" i="2"/>
  <c r="J149" i="2"/>
  <c r="E149" i="2"/>
  <c r="E148" i="2"/>
  <c r="P148" i="2" s="1"/>
  <c r="J146" i="2"/>
  <c r="E146" i="2"/>
  <c r="J145" i="2"/>
  <c r="E145" i="2"/>
  <c r="J144" i="2"/>
  <c r="H140" i="2"/>
  <c r="J142" i="2"/>
  <c r="E142" i="2"/>
  <c r="O140" i="2"/>
  <c r="N140" i="2"/>
  <c r="M140" i="2"/>
  <c r="L140" i="2"/>
  <c r="K140" i="2"/>
  <c r="I140" i="2"/>
  <c r="J138" i="2"/>
  <c r="E138" i="2"/>
  <c r="J137" i="2"/>
  <c r="E137" i="2"/>
  <c r="J136" i="2"/>
  <c r="E136" i="2"/>
  <c r="O208" i="2"/>
  <c r="M135" i="2"/>
  <c r="K208" i="2"/>
  <c r="J134" i="2"/>
  <c r="E134" i="2"/>
  <c r="L133" i="2"/>
  <c r="E133" i="2"/>
  <c r="J132" i="2"/>
  <c r="E132" i="2"/>
  <c r="J131" i="2"/>
  <c r="J129" i="2"/>
  <c r="E129" i="2"/>
  <c r="N127" i="2"/>
  <c r="I127" i="2"/>
  <c r="J126" i="2"/>
  <c r="J125" i="2"/>
  <c r="E125" i="2"/>
  <c r="J123" i="2"/>
  <c r="G122" i="2"/>
  <c r="G121" i="2" s="1"/>
  <c r="O122" i="2"/>
  <c r="O121" i="2" s="1"/>
  <c r="N122" i="2"/>
  <c r="N121" i="2" s="1"/>
  <c r="M122" i="2"/>
  <c r="M121" i="2" s="1"/>
  <c r="L122" i="2"/>
  <c r="K122" i="2"/>
  <c r="K121" i="2" s="1"/>
  <c r="I122" i="2"/>
  <c r="I121" i="2" s="1"/>
  <c r="H122" i="2"/>
  <c r="H121" i="2" s="1"/>
  <c r="E118" i="2"/>
  <c r="P118" i="2" s="1"/>
  <c r="F115" i="2"/>
  <c r="F94" i="2" s="1"/>
  <c r="E116" i="2"/>
  <c r="P116" i="2" s="1"/>
  <c r="J115" i="2"/>
  <c r="J113" i="2"/>
  <c r="J112" i="2"/>
  <c r="J110" i="2"/>
  <c r="E110" i="2"/>
  <c r="J108" i="2"/>
  <c r="J107" i="2"/>
  <c r="E107" i="2"/>
  <c r="J106" i="2"/>
  <c r="E106" i="2"/>
  <c r="J105" i="2"/>
  <c r="E105" i="2"/>
  <c r="J104" i="2"/>
  <c r="J103" i="2"/>
  <c r="E103" i="2"/>
  <c r="J102" i="2"/>
  <c r="E102" i="2"/>
  <c r="J101" i="2"/>
  <c r="E101" i="2"/>
  <c r="J100" i="2"/>
  <c r="E100" i="2"/>
  <c r="J98" i="2"/>
  <c r="E98" i="2"/>
  <c r="J97" i="2"/>
  <c r="J95" i="2"/>
  <c r="E95" i="2"/>
  <c r="O93" i="2"/>
  <c r="N93" i="2"/>
  <c r="M93" i="2"/>
  <c r="K93" i="2"/>
  <c r="I93" i="2"/>
  <c r="J91" i="2"/>
  <c r="J90" i="2"/>
  <c r="J209" i="2" s="1"/>
  <c r="J89" i="2"/>
  <c r="E88" i="2"/>
  <c r="J82" i="2"/>
  <c r="E82" i="2"/>
  <c r="J80" i="2"/>
  <c r="J79" i="2"/>
  <c r="E79" i="2"/>
  <c r="J78" i="2"/>
  <c r="J77" i="2"/>
  <c r="J76" i="2"/>
  <c r="E76" i="2"/>
  <c r="E74" i="2"/>
  <c r="P74" i="2" s="1"/>
  <c r="J72" i="2"/>
  <c r="J67" i="2"/>
  <c r="N65" i="2"/>
  <c r="M65" i="2"/>
  <c r="I65" i="2"/>
  <c r="E64" i="2"/>
  <c r="J62" i="2"/>
  <c r="E62" i="2"/>
  <c r="J61" i="2"/>
  <c r="J60" i="2"/>
  <c r="E54" i="2"/>
  <c r="P54" i="2" s="1"/>
  <c r="J50" i="2"/>
  <c r="E50" i="2"/>
  <c r="J47" i="2"/>
  <c r="E47" i="2"/>
  <c r="J46" i="2"/>
  <c r="E46" i="2"/>
  <c r="J45" i="2"/>
  <c r="E45" i="2"/>
  <c r="E44" i="2"/>
  <c r="P44" i="2" s="1"/>
  <c r="J43" i="2"/>
  <c r="E43" i="2"/>
  <c r="O41" i="2"/>
  <c r="O211" i="2" s="1"/>
  <c r="K41" i="2"/>
  <c r="K211" i="2" s="1"/>
  <c r="N41" i="2"/>
  <c r="N211" i="2" s="1"/>
  <c r="M41" i="2"/>
  <c r="M211" i="2" s="1"/>
  <c r="L41" i="2"/>
  <c r="L211" i="2" s="1"/>
  <c r="H41" i="2"/>
  <c r="H211" i="2" s="1"/>
  <c r="G41" i="2"/>
  <c r="G211" i="2" s="1"/>
  <c r="E40" i="2"/>
  <c r="J39" i="2"/>
  <c r="E39" i="2"/>
  <c r="J38" i="2"/>
  <c r="E38" i="2"/>
  <c r="J37" i="2"/>
  <c r="E37" i="2"/>
  <c r="O36" i="2"/>
  <c r="O210" i="2" s="1"/>
  <c r="N36" i="2"/>
  <c r="N210" i="2" s="1"/>
  <c r="M36" i="2"/>
  <c r="M210" i="2" s="1"/>
  <c r="L36" i="2"/>
  <c r="L210" i="2" s="1"/>
  <c r="K36" i="2"/>
  <c r="K210" i="2" s="1"/>
  <c r="I36" i="2"/>
  <c r="I210" i="2" s="1"/>
  <c r="H36" i="2"/>
  <c r="H210" i="2" s="1"/>
  <c r="G36" i="2"/>
  <c r="G210" i="2" s="1"/>
  <c r="J35" i="2"/>
  <c r="F35" i="2"/>
  <c r="F207" i="2" s="1"/>
  <c r="E33" i="2"/>
  <c r="P33" i="2" s="1"/>
  <c r="E31" i="2"/>
  <c r="P31" i="2" s="1"/>
  <c r="J30" i="2"/>
  <c r="J29" i="2"/>
  <c r="J28" i="2"/>
  <c r="J27" i="2"/>
  <c r="E27" i="2"/>
  <c r="J26" i="2"/>
  <c r="E26" i="2"/>
  <c r="J25" i="2"/>
  <c r="E25" i="2"/>
  <c r="J24" i="2"/>
  <c r="E24" i="2"/>
  <c r="J23" i="2"/>
  <c r="E23" i="2"/>
  <c r="J22" i="2"/>
  <c r="O20" i="2"/>
  <c r="O204" i="2" s="1"/>
  <c r="K20" i="2"/>
  <c r="K204" i="2" s="1"/>
  <c r="N20" i="2"/>
  <c r="N204" i="2" s="1"/>
  <c r="M20" i="2"/>
  <c r="M204" i="2" s="1"/>
  <c r="L20" i="2"/>
  <c r="L204" i="2" s="1"/>
  <c r="I20" i="2"/>
  <c r="I204" i="2" s="1"/>
  <c r="J207" i="2" l="1"/>
  <c r="J206" i="2"/>
  <c r="P163" i="2"/>
  <c r="K19" i="2"/>
  <c r="K18" i="2" s="1"/>
  <c r="L19" i="2"/>
  <c r="L18" i="2" s="1"/>
  <c r="M19" i="2"/>
  <c r="M18" i="2" s="1"/>
  <c r="O19" i="2"/>
  <c r="O18" i="2" s="1"/>
  <c r="N19" i="2"/>
  <c r="N18" i="2" s="1"/>
  <c r="E35" i="2"/>
  <c r="J40" i="2"/>
  <c r="J211" i="2" s="1"/>
  <c r="E159" i="2"/>
  <c r="P159" i="2" s="1"/>
  <c r="L208" i="2"/>
  <c r="L128" i="2"/>
  <c r="M208" i="2"/>
  <c r="M128" i="2"/>
  <c r="M127" i="2" s="1"/>
  <c r="E115" i="2"/>
  <c r="P115" i="2" s="1"/>
  <c r="P60" i="2"/>
  <c r="L194" i="2"/>
  <c r="P100" i="2"/>
  <c r="P199" i="2"/>
  <c r="M213" i="2"/>
  <c r="J122" i="2"/>
  <c r="P180" i="2"/>
  <c r="I183" i="2"/>
  <c r="J21" i="2"/>
  <c r="P21" i="2" s="1"/>
  <c r="E141" i="2"/>
  <c r="L121" i="2"/>
  <c r="J121" i="2" s="1"/>
  <c r="H65" i="2"/>
  <c r="F122" i="2"/>
  <c r="E122" i="2" s="1"/>
  <c r="P169" i="2"/>
  <c r="J184" i="2"/>
  <c r="G20" i="2"/>
  <c r="G204" i="2" s="1"/>
  <c r="K152" i="2"/>
  <c r="P105" i="2"/>
  <c r="G152" i="2"/>
  <c r="P173" i="2"/>
  <c r="P187" i="2"/>
  <c r="P191" i="2"/>
  <c r="P95" i="2"/>
  <c r="G127" i="2"/>
  <c r="H152" i="2"/>
  <c r="I213" i="2"/>
  <c r="E156" i="2"/>
  <c r="P156" i="2" s="1"/>
  <c r="F152" i="2"/>
  <c r="P197" i="2"/>
  <c r="L213" i="2"/>
  <c r="E201" i="2"/>
  <c r="K213" i="2"/>
  <c r="P137" i="2"/>
  <c r="P189" i="2"/>
  <c r="P26" i="2"/>
  <c r="P80" i="2"/>
  <c r="Q80" i="2" s="1"/>
  <c r="P43" i="2"/>
  <c r="P155" i="2"/>
  <c r="P192" i="2"/>
  <c r="P103" i="2"/>
  <c r="P110" i="2"/>
  <c r="G140" i="2"/>
  <c r="P168" i="2"/>
  <c r="P67" i="2"/>
  <c r="P113" i="2"/>
  <c r="P24" i="2"/>
  <c r="P22" i="2"/>
  <c r="P37" i="2"/>
  <c r="P47" i="2"/>
  <c r="P123" i="2"/>
  <c r="P78" i="2"/>
  <c r="P88" i="2"/>
  <c r="P101" i="2"/>
  <c r="P134" i="2"/>
  <c r="P145" i="2"/>
  <c r="P150" i="2"/>
  <c r="P136" i="2"/>
  <c r="P62" i="2"/>
  <c r="P38" i="2"/>
  <c r="P23" i="2"/>
  <c r="P45" i="2"/>
  <c r="P102" i="2"/>
  <c r="P132" i="2"/>
  <c r="P142" i="2"/>
  <c r="H20" i="2"/>
  <c r="H204" i="2" s="1"/>
  <c r="P129" i="2"/>
  <c r="P190" i="2"/>
  <c r="J20" i="2"/>
  <c r="J204" i="2" s="1"/>
  <c r="P77" i="2"/>
  <c r="Q77" i="2" s="1"/>
  <c r="P106" i="2"/>
  <c r="E144" i="2"/>
  <c r="J140" i="2"/>
  <c r="P39" i="2"/>
  <c r="P76" i="2"/>
  <c r="P82" i="2"/>
  <c r="P91" i="2"/>
  <c r="G93" i="2"/>
  <c r="P98" i="2"/>
  <c r="P107" i="2"/>
  <c r="H208" i="2"/>
  <c r="P164" i="2"/>
  <c r="J183" i="2"/>
  <c r="P193" i="2"/>
  <c r="F30" i="2"/>
  <c r="F206" i="2" s="1"/>
  <c r="P46" i="2"/>
  <c r="P61" i="2"/>
  <c r="P79" i="2"/>
  <c r="E90" i="2"/>
  <c r="E209" i="2" s="1"/>
  <c r="P104" i="2"/>
  <c r="P125" i="2"/>
  <c r="K127" i="2"/>
  <c r="H127" i="2"/>
  <c r="P188" i="2"/>
  <c r="P25" i="2"/>
  <c r="P108" i="2"/>
  <c r="E117" i="2"/>
  <c r="P117" i="2" s="1"/>
  <c r="J135" i="2"/>
  <c r="P135" i="2" s="1"/>
  <c r="F36" i="2"/>
  <c r="F210" i="2" s="1"/>
  <c r="P50" i="2"/>
  <c r="P149" i="2"/>
  <c r="P154" i="2"/>
  <c r="K170" i="2"/>
  <c r="P198" i="2"/>
  <c r="P167" i="2"/>
  <c r="P112" i="2"/>
  <c r="O127" i="2"/>
  <c r="P138" i="2"/>
  <c r="P161" i="2"/>
  <c r="P126" i="2"/>
  <c r="P92" i="2"/>
  <c r="P71" i="2"/>
  <c r="Q71" i="2" s="1"/>
  <c r="P70" i="2"/>
  <c r="Q70" i="2" s="1"/>
  <c r="E208" i="2"/>
  <c r="I41" i="2"/>
  <c r="I211" i="2" s="1"/>
  <c r="N213" i="2"/>
  <c r="N194" i="2"/>
  <c r="E28" i="2"/>
  <c r="P28" i="2" s="1"/>
  <c r="J36" i="2"/>
  <c r="J210" i="2" s="1"/>
  <c r="J41" i="2"/>
  <c r="J64" i="2"/>
  <c r="J212" i="2" s="1"/>
  <c r="H93" i="2"/>
  <c r="P160" i="2"/>
  <c r="I194" i="2"/>
  <c r="P29" i="2"/>
  <c r="E69" i="2"/>
  <c r="E131" i="2"/>
  <c r="P131" i="2" s="1"/>
  <c r="G213" i="2"/>
  <c r="G194" i="2"/>
  <c r="F208" i="2"/>
  <c r="F20" i="2"/>
  <c r="F204" i="2" s="1"/>
  <c r="J94" i="2"/>
  <c r="L93" i="2"/>
  <c r="J93" i="2" s="1"/>
  <c r="E97" i="2"/>
  <c r="P97" i="2" s="1"/>
  <c r="P196" i="2"/>
  <c r="P27" i="2"/>
  <c r="G208" i="2"/>
  <c r="J141" i="2"/>
  <c r="H213" i="2"/>
  <c r="H194" i="2"/>
  <c r="F41" i="2"/>
  <c r="F211" i="2" s="1"/>
  <c r="K65" i="2"/>
  <c r="P89" i="2"/>
  <c r="E185" i="2"/>
  <c r="P185" i="2" s="1"/>
  <c r="E53" i="2"/>
  <c r="P53" i="2" s="1"/>
  <c r="J69" i="2"/>
  <c r="J205" i="2" s="1"/>
  <c r="O65" i="2"/>
  <c r="J133" i="2"/>
  <c r="P146" i="2"/>
  <c r="J42" i="2"/>
  <c r="P42" i="2" s="1"/>
  <c r="M194" i="2"/>
  <c r="P40" i="2" l="1"/>
  <c r="P35" i="2"/>
  <c r="E207" i="2"/>
  <c r="P207" i="2" s="1"/>
  <c r="I19" i="2"/>
  <c r="I18" i="2" s="1"/>
  <c r="N214" i="2"/>
  <c r="F19" i="2"/>
  <c r="G19" i="2"/>
  <c r="G18" i="2" s="1"/>
  <c r="H19" i="2"/>
  <c r="H18" i="2" s="1"/>
  <c r="H202" i="2" s="1"/>
  <c r="H219" i="2" s="1"/>
  <c r="H221" i="2" s="1"/>
  <c r="E30" i="2"/>
  <c r="P30" i="2" s="1"/>
  <c r="E36" i="2"/>
  <c r="E210" i="2" s="1"/>
  <c r="G65" i="2"/>
  <c r="E72" i="2"/>
  <c r="P72" i="2" s="1"/>
  <c r="Q72" i="2" s="1"/>
  <c r="F65" i="2"/>
  <c r="E65" i="2" s="1"/>
  <c r="H214" i="2"/>
  <c r="M214" i="2"/>
  <c r="F121" i="2"/>
  <c r="E121" i="2" s="1"/>
  <c r="P121" i="2" s="1"/>
  <c r="M202" i="2"/>
  <c r="M219" i="2" s="1"/>
  <c r="M221" i="2" s="1"/>
  <c r="P144" i="2"/>
  <c r="P209" i="2"/>
  <c r="P122" i="2"/>
  <c r="K194" i="2"/>
  <c r="K202" i="2" s="1"/>
  <c r="K219" i="2" s="1"/>
  <c r="K221" i="2" s="1"/>
  <c r="E153" i="2"/>
  <c r="F140" i="2"/>
  <c r="E140" i="2" s="1"/>
  <c r="P140" i="2" s="1"/>
  <c r="P201" i="2"/>
  <c r="J213" i="2"/>
  <c r="O213" i="2"/>
  <c r="O214" i="2" s="1"/>
  <c r="L214" i="2"/>
  <c r="I152" i="2"/>
  <c r="E152" i="2" s="1"/>
  <c r="N202" i="2"/>
  <c r="E52" i="2"/>
  <c r="E212" i="2" s="1"/>
  <c r="P64" i="2"/>
  <c r="P141" i="2"/>
  <c r="P90" i="2"/>
  <c r="J208" i="2"/>
  <c r="P208" i="2" s="1"/>
  <c r="O194" i="2"/>
  <c r="J194" i="2" s="1"/>
  <c r="E184" i="2"/>
  <c r="P184" i="2" s="1"/>
  <c r="F183" i="2"/>
  <c r="E183" i="2" s="1"/>
  <c r="P183" i="2" s="1"/>
  <c r="O170" i="2"/>
  <c r="J170" i="2" s="1"/>
  <c r="J171" i="2"/>
  <c r="E20" i="2"/>
  <c r="E204" i="2" s="1"/>
  <c r="E200" i="2"/>
  <c r="F213" i="2"/>
  <c r="J19" i="2"/>
  <c r="E41" i="2"/>
  <c r="E211" i="2" s="1"/>
  <c r="P69" i="2"/>
  <c r="Q69" i="2" s="1"/>
  <c r="F170" i="2"/>
  <c r="E170" i="2" s="1"/>
  <c r="E171" i="2"/>
  <c r="F93" i="2"/>
  <c r="E93" i="2" s="1"/>
  <c r="P93" i="2" s="1"/>
  <c r="Q93" i="2" s="1"/>
  <c r="E94" i="2"/>
  <c r="P94" i="2" s="1"/>
  <c r="I214" i="2"/>
  <c r="J18" i="2"/>
  <c r="L65" i="2"/>
  <c r="J65" i="2" s="1"/>
  <c r="J66" i="2"/>
  <c r="J153" i="2"/>
  <c r="O152" i="2"/>
  <c r="J152" i="2" s="1"/>
  <c r="P133" i="2"/>
  <c r="J128" i="2"/>
  <c r="L127" i="2"/>
  <c r="J127" i="2" s="1"/>
  <c r="K214" i="2"/>
  <c r="F127" i="2"/>
  <c r="E127" i="2" s="1"/>
  <c r="E128" i="2"/>
  <c r="E206" i="2" l="1"/>
  <c r="E205" i="2"/>
  <c r="P205" i="2" s="1"/>
  <c r="N215" i="2"/>
  <c r="N219" i="2"/>
  <c r="N221" i="2" s="1"/>
  <c r="K215" i="2"/>
  <c r="M215" i="2"/>
  <c r="H215" i="2"/>
  <c r="G202" i="2"/>
  <c r="G219" i="2" s="1"/>
  <c r="G221" i="2" s="1"/>
  <c r="P36" i="2"/>
  <c r="P206" i="2"/>
  <c r="G214" i="2"/>
  <c r="P210" i="2"/>
  <c r="I202" i="2"/>
  <c r="J214" i="2"/>
  <c r="E66" i="2"/>
  <c r="P66" i="2" s="1"/>
  <c r="P212" i="2"/>
  <c r="P52" i="2"/>
  <c r="P127" i="2"/>
  <c r="J195" i="2"/>
  <c r="L202" i="2"/>
  <c r="P152" i="2"/>
  <c r="P153" i="2"/>
  <c r="E195" i="2"/>
  <c r="F194" i="2"/>
  <c r="P128" i="2"/>
  <c r="O202" i="2"/>
  <c r="F214" i="2"/>
  <c r="P170" i="2"/>
  <c r="P41" i="2"/>
  <c r="P211" i="2"/>
  <c r="E19" i="2"/>
  <c r="P19" i="2" s="1"/>
  <c r="F18" i="2"/>
  <c r="P171" i="2"/>
  <c r="P200" i="2"/>
  <c r="E213" i="2"/>
  <c r="P213" i="2" s="1"/>
  <c r="P65" i="2"/>
  <c r="Q65" i="2" s="1"/>
  <c r="P20" i="2"/>
  <c r="O215" i="2" l="1"/>
  <c r="O219" i="2"/>
  <c r="O221" i="2" s="1"/>
  <c r="L215" i="2"/>
  <c r="L219" i="2"/>
  <c r="L221" i="2" s="1"/>
  <c r="I215" i="2"/>
  <c r="I219" i="2"/>
  <c r="I221" i="2" s="1"/>
  <c r="G215" i="2"/>
  <c r="J202" i="2"/>
  <c r="F202" i="2"/>
  <c r="E18" i="2"/>
  <c r="P204" i="2"/>
  <c r="E214" i="2"/>
  <c r="P195" i="2"/>
  <c r="E194" i="2"/>
  <c r="P194" i="2" s="1"/>
  <c r="J215" i="2" l="1"/>
  <c r="J219" i="2"/>
  <c r="J221" i="2" s="1"/>
  <c r="F215" i="2"/>
  <c r="F219" i="2"/>
  <c r="F221" i="2" s="1"/>
  <c r="P214" i="2"/>
  <c r="P229" i="2" s="1"/>
  <c r="E202" i="2"/>
  <c r="P18" i="2"/>
  <c r="Q18" i="2" s="1"/>
  <c r="E215" i="2" l="1"/>
  <c r="E219" i="2"/>
  <c r="E221" i="2" s="1"/>
  <c r="P202" i="2"/>
  <c r="P215" i="2" l="1"/>
  <c r="P219" i="2"/>
  <c r="P221" i="2" s="1"/>
</calcChain>
</file>

<file path=xl/sharedStrings.xml><?xml version="1.0" encoding="utf-8"?>
<sst xmlns="http://schemas.openxmlformats.org/spreadsheetml/2006/main" count="671" uniqueCount="409">
  <si>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</si>
  <si>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</si>
  <si>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</si>
  <si>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</si>
  <si>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</si>
  <si>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</si>
  <si>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</si>
  <si>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</si>
  <si>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</si>
  <si>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</si>
  <si>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</si>
  <si>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</si>
  <si>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</si>
  <si>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</si>
  <si>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</si>
  <si>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</si>
  <si>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</si>
  <si>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</si>
  <si>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</si>
  <si>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</si>
  <si>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</si>
  <si>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</si>
  <si>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</si>
  <si>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</si>
  <si>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</si>
  <si>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</si>
  <si>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</si>
  <si>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</si>
  <si>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</si>
  <si>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</si>
  <si>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</si>
  <si>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</si>
  <si>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</si>
  <si>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</si>
  <si>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</si>
  <si>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</si>
  <si>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</si>
  <si>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</si>
  <si>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</si>
  <si>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</si>
  <si>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</si>
  <si>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</si>
  <si>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</si>
  <si>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</si>
  <si>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</si>
  <si>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</si>
  <si>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</si>
  <si>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</si>
  <si>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</si>
  <si>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</si>
  <si>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</si>
  <si>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</si>
  <si>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</si>
  <si>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</si>
  <si>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</si>
  <si>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</si>
  <si>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</si>
  <si>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</si>
  <si>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</si>
  <si>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</si>
  <si>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</si>
  <si>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</si>
  <si>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</si>
  <si>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</si>
  <si>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</si>
  <si>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</si>
  <si>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</si>
  <si>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</si>
  <si>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</si>
  <si>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</si>
  <si>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</si>
  <si>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</si>
  <si>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</si>
  <si>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</si>
  <si>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</si>
  <si>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</si>
  <si>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</si>
  <si>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</si>
  <si>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</si>
  <si>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</si>
  <si>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</si>
  <si>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</si>
  <si>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</si>
  <si>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</si>
  <si>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</si>
  <si>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</si>
  <si>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</si>
  <si>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</si>
  <si>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</si>
  <si>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</si>
  <si>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</si>
  <si>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</si>
  <si>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</si>
  <si>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</si>
  <si>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</si>
  <si>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</si>
  <si>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</si>
  <si>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</si>
  <si>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</si>
  <si>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</si>
  <si>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</si>
  <si>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</si>
  <si>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</si>
  <si>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</si>
  <si>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</si>
  <si>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</si>
  <si>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</si>
  <si>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</si>
  <si>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</si>
  <si>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</si>
  <si>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</si>
  <si>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</si>
  <si>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</si>
  <si>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</si>
  <si>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</si>
  <si>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</si>
  <si>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</si>
  <si>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</si>
  <si>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</si>
  <si>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</si>
  <si>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</si>
  <si>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</si>
  <si>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</si>
  <si>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</si>
  <si>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</si>
  <si>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1030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</si>
  <si>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</si>
  <si>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</si>
  <si>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</si>
  <si>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</si>
  <si>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</si>
  <si>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</si>
  <si>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</si>
  <si>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</si>
  <si>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</si>
  <si>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</si>
  <si>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</si>
  <si>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</si>
  <si>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</si>
  <si>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</si>
  <si>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</si>
  <si>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</si>
  <si>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</si>
  <si>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</si>
  <si>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</si>
  <si>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</si>
  <si>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</si>
  <si>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</si>
  <si>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</si>
  <si>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</si>
  <si>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</si>
  <si>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</si>
  <si>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</si>
  <si>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</si>
  <si>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</si>
  <si>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</si>
  <si>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</si>
  <si>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</si>
  <si>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</si>
  <si>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</si>
  <si>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</si>
  <si>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</si>
  <si>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</si>
  <si>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</si>
  <si>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</si>
  <si>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</si>
  <si>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</si>
  <si>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</si>
  <si>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</si>
  <si>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</si>
  <si>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</si>
  <si>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</si>
  <si>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</si>
  <si>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</si>
  <si>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</si>
  <si>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</si>
  <si>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</si>
  <si>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</si>
  <si>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</si>
  <si>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</si>
  <si>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</si>
  <si>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</si>
  <si>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</si>
  <si>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</si>
  <si>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</si>
  <si>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</si>
  <si>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</si>
  <si>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</si>
  <si>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</si>
  <si>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</si>
  <si>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</si>
  <si>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</si>
  <si>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</si>
  <si>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</si>
  <si>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</si>
  <si>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</si>
  <si>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</si>
  <si>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</si>
  <si>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</si>
  <si>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</si>
  <si>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</si>
  <si>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</si>
  <si>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</si>
  <si>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</si>
  <si>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</si>
  <si>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</si>
  <si>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</si>
  <si>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</si>
  <si>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</si>
  <si>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</si>
  <si>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</si>
  <si>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</si>
  <si>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</si>
  <si>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</si>
  <si>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</si>
  <si>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</si>
  <si>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</si>
  <si>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</si>
  <si>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</si>
  <si>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</si>
  <si>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</si>
  <si>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</si>
  <si>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</si>
  <si>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</si>
  <si>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</si>
  <si>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</si>
  <si>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</si>
  <si>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</si>
  <si>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</si>
  <si>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</si>
  <si>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</si>
  <si>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</si>
  <si>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</si>
  <si>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</si>
  <si>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</si>
  <si>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</si>
  <si>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</si>
  <si>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</si>
  <si>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</si>
  <si>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</si>
  <si>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</si>
  <si>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</si>
  <si>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</si>
  <si>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</si>
  <si>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</si>
  <si>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</si>
  <si>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</si>
  <si>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</si>
  <si>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</si>
  <si>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</si>
  <si>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</si>
  <si>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</si>
  <si>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</si>
  <si>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</si>
  <si>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</si>
  <si>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</si>
  <si>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</si>
  <si>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</si>
  <si>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</si>
  <si>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</si>
  <si>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</si>
  <si>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</si>
  <si>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</si>
  <si>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</si>
  <si>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</si>
  <si>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</si>
  <si>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</si>
  <si>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</si>
  <si>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</si>
  <si>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</si>
  <si>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</si>
  <si>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</si>
  <si>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</si>
  <si>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</si>
  <si>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</si>
  <si>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</si>
  <si>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</si>
  <si>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</si>
  <si>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</si>
  <si>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</si>
  <si>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</si>
  <si>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</si>
  <si>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</si>
  <si>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</si>
  <si>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</si>
  <si>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</si>
  <si>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</si>
  <si>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</si>
  <si>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</si>
  <si>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</si>
  <si>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</si>
  <si>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</si>
  <si>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</si>
  <si>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</si>
  <si>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</si>
  <si>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</si>
  <si>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</si>
  <si>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</si>
  <si>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</si>
  <si>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</si>
  <si>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</si>
  <si>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</si>
  <si>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</si>
  <si>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</si>
  <si>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</si>
  <si>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</si>
  <si>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</si>
  <si>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</si>
  <si>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</si>
  <si>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</si>
  <si>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</si>
  <si>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</si>
  <si>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</si>
  <si>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</si>
  <si>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</si>
  <si>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</si>
  <si>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</si>
  <si>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</si>
  <si>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</si>
  <si>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</si>
  <si>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</si>
  <si>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</si>
  <si>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</si>
  <si>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</si>
  <si>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</si>
  <si>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</si>
  <si>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</si>
  <si>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</si>
  <si>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</si>
  <si>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</si>
  <si>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</si>
  <si>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</si>
  <si>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</si>
  <si>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</si>
  <si>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</si>
  <si>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</si>
  <si>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</si>
  <si>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</si>
  <si>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</si>
  <si>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</si>
  <si>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</si>
  <si>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</si>
  <si>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</si>
  <si>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</si>
  <si>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</si>
  <si>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</si>
  <si>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</si>
  <si>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</si>
  <si>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</si>
  <si>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</si>
  <si>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від              02.2026  №           - VIII</t>
  </si>
  <si>
    <t>"Додаток 3</t>
  </si>
  <si>
    <t>від 24.12.2025  № 1014 - VIII"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</si>
  <si>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</si>
  <si>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</si>
  <si>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</si>
  <si>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</si>
  <si>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0217640</t>
  </si>
  <si>
    <t>7640</t>
  </si>
  <si>
    <t>Заходи з енергозбереження</t>
  </si>
  <si>
    <t>0470</t>
  </si>
  <si>
    <t>0218240</t>
  </si>
  <si>
    <t>Заходи та роботи з територіальної оборони,</t>
  </si>
  <si>
    <t>0212170</t>
  </si>
  <si>
    <t>приватні заклади загальної середньої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</si>
  <si>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</si>
  <si>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</si>
  <si>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</si>
  <si>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</si>
  <si>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</si>
  <si>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</si>
  <si>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</si>
  <si>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</si>
  <si>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</si>
  <si>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</si>
  <si>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</si>
  <si>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</si>
  <si>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</si>
  <si>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</si>
  <si>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</si>
  <si>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</si>
  <si>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</si>
  <si>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</si>
  <si>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</si>
  <si>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</si>
  <si>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</si>
  <si>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</si>
  <si>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</si>
  <si>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</si>
  <si>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</si>
  <si>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</si>
  <si>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0823244</t>
  </si>
  <si>
    <t>3244</t>
  </si>
  <si>
    <t>Надання комплексної соціальної послуги життєстійкості надавачами соціальних послуг</t>
  </si>
  <si>
    <t>1117691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</si>
  <si>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</si>
  <si>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</si>
  <si>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Експлуатація та технічне обслуговування житлового фонду</t>
  </si>
  <si>
    <t>0610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</si>
  <si>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</si>
  <si>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</si>
  <si>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</si>
  <si>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1217691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</si>
  <si>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</si>
  <si>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</si>
  <si>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</si>
  <si>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попередні показники</t>
  </si>
  <si>
    <t>відхилення</t>
  </si>
  <si>
    <t>Розвиток спортивної інфраструктури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</si>
</sst>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0_ ;\-#,##0.00\ "/>
    <numFmt numFmtId="165" formatCode="#,##0.000"/>
  </numFmts>
  <fonts count="17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4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1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/>
    <xf numFmtId="4" fontId="9" fillId="2" borderId="0" xfId="0" applyNumberFormat="1" applyFont="1" applyFill="1"/>
    <xf numFmtId="4" fontId="2" fillId="0" borderId="0" xfId="0" applyNumberFormat="1" applyFont="1"/>
    <xf numFmtId="4" fontId="4" fillId="0" borderId="0" xfId="0" applyNumberFormat="1" applyFont="1"/>
    <xf numFmtId="4" fontId="2" fillId="2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1">
    <cellStyle name="Звичайний" xfId="0" builtinId="0"/>
    <cellStyle name="Звичайний 2" xfId="7"/>
    <cellStyle name="Звичайний 2 2" xfId="8"/>
    <cellStyle name="Обычный 2" xfId="5"/>
    <cellStyle name="Обычный 3" xfId="3"/>
    <cellStyle name="Обычный 4" xfId="6"/>
    <cellStyle name="Обычный 5" xfId="2"/>
    <cellStyle name="Обычный 6" xfId="4"/>
    <cellStyle name="Обычный 9" xfId="9"/>
    <cellStyle name="Обычный_дод 3" xfId="1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showZeros="0" tabSelected="1" view="pageBreakPreview" zoomScale="70" zoomScaleNormal="70" zoomScaleSheetLayoutView="70" workbookViewId="0">
      <pane xSplit="4" ySplit="17" topLeftCell="E210" activePane="bottomRight" state="frozen"/>
      <selection pane="topRight" activeCell="E1" sqref="E1"/>
      <selection pane="bottomLeft" activeCell="A14" sqref="A14"/>
      <selection pane="bottomRight" activeCell="G220" sqref="G220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7" width="11.21875" style="2" bestFit="1" customWidth="1"/>
    <col min="18" max="16384" width="8.88671875" style="2"/>
  </cols>
  <sheetData>
    <row r="1" spans="1:16">
      <c r="M1" s="2" t="s">
        <v>332</v>
      </c>
    </row>
    <row r="2" spans="1:16">
      <c r="M2" s="2" t="s">
        <v>321</v>
      </c>
    </row>
    <row r="3" spans="1:16">
      <c r="M3" s="2" t="s">
        <v>350</v>
      </c>
    </row>
    <row r="5" spans="1:16" ht="20.399999999999999" customHeight="1">
      <c r="M5" s="2" t="s">
        <v>351</v>
      </c>
    </row>
    <row r="6" spans="1:16" ht="20.399999999999999" customHeight="1">
      <c r="M6" s="2" t="s">
        <v>321</v>
      </c>
    </row>
    <row r="7" spans="1:16" ht="20.399999999999999" customHeight="1">
      <c r="M7" s="2" t="s">
        <v>352</v>
      </c>
    </row>
    <row r="9" spans="1:16">
      <c r="A9" s="40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40" t="s">
        <v>334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>
      <c r="A11" s="3" t="s">
        <v>1</v>
      </c>
    </row>
    <row r="12" spans="1:16">
      <c r="A12" s="2" t="s">
        <v>2</v>
      </c>
      <c r="P12" s="4" t="s">
        <v>349</v>
      </c>
    </row>
    <row r="13" spans="1:16" ht="26.4" customHeight="1">
      <c r="A13" s="42" t="s">
        <v>3</v>
      </c>
      <c r="B13" s="42" t="s">
        <v>4</v>
      </c>
      <c r="C13" s="42" t="s">
        <v>5</v>
      </c>
      <c r="D13" s="43" t="s">
        <v>6</v>
      </c>
      <c r="E13" s="43" t="s">
        <v>7</v>
      </c>
      <c r="F13" s="43"/>
      <c r="G13" s="43"/>
      <c r="H13" s="43"/>
      <c r="I13" s="43"/>
      <c r="J13" s="43" t="s">
        <v>14</v>
      </c>
      <c r="K13" s="43"/>
      <c r="L13" s="43"/>
      <c r="M13" s="43"/>
      <c r="N13" s="43"/>
      <c r="O13" s="43"/>
      <c r="P13" s="43" t="s">
        <v>16</v>
      </c>
    </row>
    <row r="14" spans="1:16" ht="26.4" customHeight="1">
      <c r="A14" s="42"/>
      <c r="B14" s="42"/>
      <c r="C14" s="42"/>
      <c r="D14" s="43"/>
      <c r="E14" s="43" t="s">
        <v>8</v>
      </c>
      <c r="F14" s="43" t="s">
        <v>9</v>
      </c>
      <c r="G14" s="43" t="s">
        <v>10</v>
      </c>
      <c r="H14" s="43"/>
      <c r="I14" s="43" t="s">
        <v>13</v>
      </c>
      <c r="J14" s="43" t="s">
        <v>8</v>
      </c>
      <c r="K14" s="43" t="s">
        <v>15</v>
      </c>
      <c r="L14" s="43" t="s">
        <v>9</v>
      </c>
      <c r="M14" s="43" t="s">
        <v>10</v>
      </c>
      <c r="N14" s="43"/>
      <c r="O14" s="43" t="s">
        <v>13</v>
      </c>
      <c r="P14" s="43"/>
    </row>
    <row r="15" spans="1:16" ht="30.6" customHeight="1">
      <c r="A15" s="42"/>
      <c r="B15" s="42"/>
      <c r="C15" s="42"/>
      <c r="D15" s="43"/>
      <c r="E15" s="43"/>
      <c r="F15" s="43"/>
      <c r="G15" s="43" t="s">
        <v>11</v>
      </c>
      <c r="H15" s="43" t="s">
        <v>12</v>
      </c>
      <c r="I15" s="43"/>
      <c r="J15" s="43"/>
      <c r="K15" s="43"/>
      <c r="L15" s="43"/>
      <c r="M15" s="43" t="s">
        <v>11</v>
      </c>
      <c r="N15" s="43" t="s">
        <v>12</v>
      </c>
      <c r="O15" s="43"/>
      <c r="P15" s="43"/>
    </row>
    <row r="16" spans="1:16" ht="26.4" customHeight="1">
      <c r="A16" s="42"/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7">
      <c r="A17" s="25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  <c r="L17" s="25">
        <v>12</v>
      </c>
      <c r="M17" s="25">
        <v>13</v>
      </c>
      <c r="N17" s="25">
        <v>14</v>
      </c>
      <c r="O17" s="25">
        <v>15</v>
      </c>
      <c r="P17" s="25">
        <v>16</v>
      </c>
    </row>
    <row r="18" spans="1:17" ht="46.8">
      <c r="A18" s="6" t="s">
        <v>17</v>
      </c>
      <c r="B18" s="6" t="s">
        <v>18</v>
      </c>
      <c r="C18" s="6" t="s">
        <v>18</v>
      </c>
      <c r="D18" s="7" t="s">
        <v>19</v>
      </c>
      <c r="E18" s="29">
        <f>F18+I18</f>
        <v>252284027</v>
      </c>
      <c r="F18" s="29">
        <f>F19</f>
        <v>246214045</v>
      </c>
      <c r="G18" s="29">
        <f>G19</f>
        <v>125914900</v>
      </c>
      <c r="H18" s="29">
        <f>H19</f>
        <v>5660600</v>
      </c>
      <c r="I18" s="29">
        <f>I19</f>
        <v>6069982</v>
      </c>
      <c r="J18" s="29">
        <f>L18+O18</f>
        <v>6316918</v>
      </c>
      <c r="K18" s="29">
        <f>K19</f>
        <v>6096918</v>
      </c>
      <c r="L18" s="29">
        <f>L19</f>
        <v>220000</v>
      </c>
      <c r="M18" s="29">
        <f>M19</f>
        <v>0</v>
      </c>
      <c r="N18" s="29">
        <f>N19</f>
        <v>0</v>
      </c>
      <c r="O18" s="29">
        <f>O19</f>
        <v>6096918</v>
      </c>
      <c r="P18" s="29">
        <f t="shared" ref="P18:P89" si="0">E18 + J18</f>
        <v>258600945</v>
      </c>
      <c r="Q18" s="37">
        <f>378608938-120007993-P18</f>
        <v>0</v>
      </c>
    </row>
    <row r="19" spans="1:17" ht="46.8">
      <c r="A19" s="6" t="s">
        <v>20</v>
      </c>
      <c r="B19" s="6" t="s">
        <v>18</v>
      </c>
      <c r="C19" s="6" t="s">
        <v>18</v>
      </c>
      <c r="D19" s="7" t="s">
        <v>19</v>
      </c>
      <c r="E19" s="29">
        <f>F19+I19</f>
        <v>252284027</v>
      </c>
      <c r="F19" s="29">
        <f>F20+F25+F26+F27+F28+F29+F30+F34+F35+F36+F40+F41+F48+F49+F50+F51+F52+F60+F61+F62+F63+F64</f>
        <v>246214045</v>
      </c>
      <c r="G19" s="29">
        <f t="shared" ref="G19:K19" si="1">G20+G25+G26+G27+G28+G29+G30+G34+G35+G36+G40+G41+G48+G49+G50+G51+G52+G60+G61+G62+G63+G64</f>
        <v>125914900</v>
      </c>
      <c r="H19" s="29">
        <f t="shared" si="1"/>
        <v>5660600</v>
      </c>
      <c r="I19" s="29">
        <f t="shared" si="1"/>
        <v>6069982</v>
      </c>
      <c r="J19" s="29">
        <f>L19+O19</f>
        <v>6316918</v>
      </c>
      <c r="K19" s="29">
        <f t="shared" si="1"/>
        <v>6096918</v>
      </c>
      <c r="L19" s="29">
        <f t="shared" ref="L19" si="2">L20+L25+L26+L27+L28+L29+L30+L34+L35+L36+L40+L41+L48+L49+L50+L51+L52+L60+L61+L62+L63+L64</f>
        <v>220000</v>
      </c>
      <c r="M19" s="29">
        <f t="shared" ref="M19" si="3">M20+M25+M26+M27+M28+M29+M30+M34+M35+M36+M40+M41+M48+M49+M50+M51+M52+M60+M61+M62+M63+M64</f>
        <v>0</v>
      </c>
      <c r="N19" s="29">
        <f t="shared" ref="N19" si="4">N20+N25+N26+N27+N28+N29+N30+N34+N35+N36+N40+N41+N48+N49+N50+N51+N52+N60+N61+N62+N63+N64</f>
        <v>0</v>
      </c>
      <c r="O19" s="29">
        <f t="shared" ref="O19" si="5">O20+O25+O26+O27+O28+O29+O30+O34+O35+O36+O40+O41+O48+O49+O50+O51+O52+O60+O61+O62+O63+O64</f>
        <v>6096918</v>
      </c>
      <c r="P19" s="29">
        <f>E19 + J19</f>
        <v>258600945</v>
      </c>
    </row>
    <row r="20" spans="1:17" ht="102" customHeight="1">
      <c r="A20" s="25" t="s">
        <v>21</v>
      </c>
      <c r="B20" s="25" t="s">
        <v>22</v>
      </c>
      <c r="C20" s="25" t="s">
        <v>23</v>
      </c>
      <c r="D20" s="8" t="s">
        <v>24</v>
      </c>
      <c r="E20" s="30">
        <f>F20+I20</f>
        <v>114108100</v>
      </c>
      <c r="F20" s="30">
        <f>F21+F22+F23+F24</f>
        <v>114108100</v>
      </c>
      <c r="G20" s="30">
        <f>G21+G22+G23+G24</f>
        <v>101628100</v>
      </c>
      <c r="H20" s="30">
        <f t="shared" ref="H20:I20" si="6">H21+H22+H23+H24</f>
        <v>5602100</v>
      </c>
      <c r="I20" s="31">
        <f t="shared" si="6"/>
        <v>0</v>
      </c>
      <c r="J20" s="30">
        <f>L20+O20</f>
        <v>120000</v>
      </c>
      <c r="K20" s="31">
        <f>K21+K22+K23+K24</f>
        <v>0</v>
      </c>
      <c r="L20" s="30">
        <f t="shared" ref="L20:O20" si="7">L21+L22+L23+L24</f>
        <v>120000</v>
      </c>
      <c r="M20" s="30">
        <f t="shared" si="7"/>
        <v>0</v>
      </c>
      <c r="N20" s="30">
        <f t="shared" si="7"/>
        <v>0</v>
      </c>
      <c r="O20" s="30">
        <f t="shared" si="7"/>
        <v>0</v>
      </c>
      <c r="P20" s="30">
        <f t="shared" si="0"/>
        <v>114228100</v>
      </c>
    </row>
    <row r="21" spans="1:17" s="5" customFormat="1" ht="58.5" customHeight="1">
      <c r="A21" s="9"/>
      <c r="B21" s="9"/>
      <c r="C21" s="9"/>
      <c r="D21" s="1" t="s">
        <v>19</v>
      </c>
      <c r="E21" s="32">
        <f>F21+I21</f>
        <v>101662000</v>
      </c>
      <c r="F21" s="32">
        <v>101662000</v>
      </c>
      <c r="G21" s="32">
        <f>91354400</f>
        <v>91354400</v>
      </c>
      <c r="H21" s="32">
        <f>5178900</f>
        <v>5178900</v>
      </c>
      <c r="I21" s="32"/>
      <c r="J21" s="32">
        <f>L21+O21</f>
        <v>119998</v>
      </c>
      <c r="K21" s="32"/>
      <c r="L21" s="32">
        <v>119998</v>
      </c>
      <c r="M21" s="32"/>
      <c r="N21" s="32"/>
      <c r="O21" s="32"/>
      <c r="P21" s="32">
        <f t="shared" si="0"/>
        <v>101781998</v>
      </c>
    </row>
    <row r="22" spans="1:17" s="5" customFormat="1" ht="74.25" customHeight="1">
      <c r="A22" s="9"/>
      <c r="B22" s="9"/>
      <c r="C22" s="9"/>
      <c r="D22" s="1" t="s">
        <v>269</v>
      </c>
      <c r="E22" s="32">
        <f t="shared" ref="E22:E64" si="8">F22+I22</f>
        <v>5534600</v>
      </c>
      <c r="F22" s="32">
        <v>5534600</v>
      </c>
      <c r="G22" s="32">
        <v>4117400</v>
      </c>
      <c r="H22" s="32">
        <v>208400</v>
      </c>
      <c r="I22" s="32"/>
      <c r="J22" s="32">
        <f t="shared" ref="J22:J64" si="9">L22+O22</f>
        <v>1</v>
      </c>
      <c r="K22" s="32"/>
      <c r="L22" s="32">
        <v>1</v>
      </c>
      <c r="M22" s="32"/>
      <c r="N22" s="32"/>
      <c r="O22" s="32"/>
      <c r="P22" s="32">
        <f t="shared" si="0"/>
        <v>5534601</v>
      </c>
    </row>
    <row r="23" spans="1:17" s="5" customFormat="1" ht="70.5" customHeight="1">
      <c r="A23" s="9"/>
      <c r="B23" s="9"/>
      <c r="C23" s="9"/>
      <c r="D23" s="1" t="s">
        <v>270</v>
      </c>
      <c r="E23" s="32">
        <f t="shared" si="8"/>
        <v>3000100</v>
      </c>
      <c r="F23" s="32">
        <v>3000100</v>
      </c>
      <c r="G23" s="32">
        <v>2776600</v>
      </c>
      <c r="H23" s="32">
        <v>73800</v>
      </c>
      <c r="I23" s="32"/>
      <c r="J23" s="32">
        <f t="shared" si="9"/>
        <v>0</v>
      </c>
      <c r="K23" s="32"/>
      <c r="L23" s="32"/>
      <c r="M23" s="32"/>
      <c r="N23" s="32"/>
      <c r="O23" s="32"/>
      <c r="P23" s="32">
        <f t="shared" si="0"/>
        <v>3000100</v>
      </c>
    </row>
    <row r="24" spans="1:17" s="5" customFormat="1" ht="71.25" customHeight="1">
      <c r="A24" s="9"/>
      <c r="B24" s="9"/>
      <c r="C24" s="9"/>
      <c r="D24" s="1" t="s">
        <v>271</v>
      </c>
      <c r="E24" s="32">
        <f t="shared" si="8"/>
        <v>3911400</v>
      </c>
      <c r="F24" s="32">
        <v>3911400</v>
      </c>
      <c r="G24" s="32">
        <v>3379700</v>
      </c>
      <c r="H24" s="32">
        <v>141000</v>
      </c>
      <c r="I24" s="32"/>
      <c r="J24" s="32">
        <f t="shared" si="9"/>
        <v>1</v>
      </c>
      <c r="K24" s="32"/>
      <c r="L24" s="32">
        <v>1</v>
      </c>
      <c r="M24" s="32"/>
      <c r="N24" s="32"/>
      <c r="O24" s="32"/>
      <c r="P24" s="32">
        <f t="shared" si="0"/>
        <v>3911401</v>
      </c>
    </row>
    <row r="25" spans="1:17" ht="46.8">
      <c r="A25" s="25" t="s">
        <v>25</v>
      </c>
      <c r="B25" s="25" t="s">
        <v>26</v>
      </c>
      <c r="C25" s="25" t="s">
        <v>27</v>
      </c>
      <c r="D25" s="8" t="s">
        <v>28</v>
      </c>
      <c r="E25" s="30">
        <f t="shared" si="8"/>
        <v>50000</v>
      </c>
      <c r="F25" s="30">
        <v>50000</v>
      </c>
      <c r="G25" s="30">
        <v>0</v>
      </c>
      <c r="H25" s="30">
        <v>0</v>
      </c>
      <c r="I25" s="30">
        <v>0</v>
      </c>
      <c r="J25" s="30">
        <f t="shared" si="9"/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 t="shared" si="0"/>
        <v>50000</v>
      </c>
    </row>
    <row r="26" spans="1:17" ht="31.2">
      <c r="A26" s="25" t="s">
        <v>29</v>
      </c>
      <c r="B26" s="25" t="s">
        <v>30</v>
      </c>
      <c r="C26" s="25" t="s">
        <v>31</v>
      </c>
      <c r="D26" s="8" t="s">
        <v>32</v>
      </c>
      <c r="E26" s="30">
        <f t="shared" si="8"/>
        <v>2470400</v>
      </c>
      <c r="F26" s="30">
        <f>2570400-100000</f>
        <v>2470400</v>
      </c>
      <c r="G26" s="30">
        <v>0</v>
      </c>
      <c r="H26" s="30">
        <v>0</v>
      </c>
      <c r="I26" s="30">
        <v>0</v>
      </c>
      <c r="J26" s="30">
        <f t="shared" si="9"/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f t="shared" si="0"/>
        <v>2470400</v>
      </c>
    </row>
    <row r="27" spans="1:17" ht="31.2">
      <c r="A27" s="25" t="s">
        <v>33</v>
      </c>
      <c r="B27" s="25" t="s">
        <v>34</v>
      </c>
      <c r="C27" s="25" t="s">
        <v>35</v>
      </c>
      <c r="D27" s="8" t="s">
        <v>36</v>
      </c>
      <c r="E27" s="30">
        <f t="shared" si="8"/>
        <v>46474146</v>
      </c>
      <c r="F27" s="30">
        <f>41453700+2000000+496561</f>
        <v>43950261</v>
      </c>
      <c r="G27" s="30">
        <v>0</v>
      </c>
      <c r="H27" s="30">
        <v>0</v>
      </c>
      <c r="I27" s="30">
        <f>1961974+561911</f>
        <v>2523885</v>
      </c>
      <c r="J27" s="30">
        <f t="shared" si="9"/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0"/>
        <v>46474146</v>
      </c>
    </row>
    <row r="28" spans="1:17" ht="22.2" customHeight="1">
      <c r="A28" s="25" t="s">
        <v>37</v>
      </c>
      <c r="B28" s="25" t="s">
        <v>38</v>
      </c>
      <c r="C28" s="25" t="s">
        <v>39</v>
      </c>
      <c r="D28" s="8" t="s">
        <v>40</v>
      </c>
      <c r="E28" s="30">
        <f t="shared" si="8"/>
        <v>9215600</v>
      </c>
      <c r="F28" s="30">
        <v>9215600</v>
      </c>
      <c r="G28" s="30">
        <v>0</v>
      </c>
      <c r="H28" s="30">
        <v>0</v>
      </c>
      <c r="I28" s="30">
        <v>0</v>
      </c>
      <c r="J28" s="30">
        <f t="shared" si="9"/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f t="shared" si="0"/>
        <v>9215600</v>
      </c>
    </row>
    <row r="29" spans="1:17" ht="72" customHeight="1">
      <c r="A29" s="25" t="s">
        <v>41</v>
      </c>
      <c r="B29" s="25" t="s">
        <v>42</v>
      </c>
      <c r="C29" s="25" t="s">
        <v>43</v>
      </c>
      <c r="D29" s="8" t="s">
        <v>44</v>
      </c>
      <c r="E29" s="30">
        <f t="shared" si="8"/>
        <v>4832200</v>
      </c>
      <c r="F29" s="30">
        <v>3792200</v>
      </c>
      <c r="G29" s="30">
        <v>0</v>
      </c>
      <c r="H29" s="30">
        <v>0</v>
      </c>
      <c r="I29" s="30">
        <v>1040000</v>
      </c>
      <c r="J29" s="30">
        <f t="shared" si="9"/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f t="shared" si="0"/>
        <v>4832200</v>
      </c>
    </row>
    <row r="30" spans="1:17" ht="31.2">
      <c r="A30" s="25" t="s">
        <v>45</v>
      </c>
      <c r="B30" s="25" t="s">
        <v>46</v>
      </c>
      <c r="C30" s="25" t="s">
        <v>47</v>
      </c>
      <c r="D30" s="8" t="s">
        <v>48</v>
      </c>
      <c r="E30" s="30">
        <f t="shared" si="8"/>
        <v>11049704</v>
      </c>
      <c r="F30" s="30">
        <f>SUM(F31:F33)</f>
        <v>11049704</v>
      </c>
      <c r="G30" s="30">
        <v>0</v>
      </c>
      <c r="H30" s="30">
        <v>0</v>
      </c>
      <c r="I30" s="30">
        <v>0</v>
      </c>
      <c r="J30" s="30">
        <f t="shared" si="9"/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0"/>
        <v>11049704</v>
      </c>
    </row>
    <row r="31" spans="1:17" s="5" customFormat="1" ht="60" customHeight="1">
      <c r="A31" s="9"/>
      <c r="B31" s="9"/>
      <c r="C31" s="9"/>
      <c r="D31" s="1" t="s">
        <v>293</v>
      </c>
      <c r="E31" s="32">
        <f t="shared" si="8"/>
        <v>1049704</v>
      </c>
      <c r="F31" s="32">
        <f>819200+230504</f>
        <v>1049704</v>
      </c>
      <c r="G31" s="32"/>
      <c r="H31" s="32"/>
      <c r="I31" s="32"/>
      <c r="J31" s="32"/>
      <c r="K31" s="32"/>
      <c r="L31" s="32"/>
      <c r="M31" s="32"/>
      <c r="N31" s="32"/>
      <c r="O31" s="32"/>
      <c r="P31" s="32">
        <f t="shared" si="0"/>
        <v>1049704</v>
      </c>
    </row>
    <row r="32" spans="1:17" s="5" customFormat="1" ht="87" customHeight="1">
      <c r="A32" s="9"/>
      <c r="B32" s="9"/>
      <c r="C32" s="9"/>
      <c r="D32" s="1" t="s">
        <v>291</v>
      </c>
      <c r="E32" s="32">
        <f t="shared" si="8"/>
        <v>7000000</v>
      </c>
      <c r="F32" s="32">
        <v>7000000</v>
      </c>
      <c r="G32" s="32"/>
      <c r="H32" s="32"/>
      <c r="I32" s="32"/>
      <c r="J32" s="32"/>
      <c r="K32" s="32"/>
      <c r="L32" s="32"/>
      <c r="M32" s="32"/>
      <c r="N32" s="32"/>
      <c r="O32" s="32"/>
      <c r="P32" s="32">
        <f t="shared" si="0"/>
        <v>7000000</v>
      </c>
    </row>
    <row r="33" spans="1:16" s="5" customFormat="1" ht="74.25" customHeight="1">
      <c r="A33" s="9"/>
      <c r="B33" s="9"/>
      <c r="C33" s="9"/>
      <c r="D33" s="1" t="s">
        <v>294</v>
      </c>
      <c r="E33" s="32">
        <f t="shared" si="8"/>
        <v>3000000</v>
      </c>
      <c r="F33" s="32">
        <f>2500000+500000</f>
        <v>3000000</v>
      </c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0"/>
        <v>3000000</v>
      </c>
    </row>
    <row r="34" spans="1:16" ht="74.25" customHeight="1">
      <c r="A34" s="24" t="s">
        <v>363</v>
      </c>
      <c r="B34" s="24" t="s">
        <v>353</v>
      </c>
      <c r="C34" s="24" t="s">
        <v>47</v>
      </c>
      <c r="D34" s="8" t="s">
        <v>354</v>
      </c>
      <c r="E34" s="30">
        <f t="shared" si="8"/>
        <v>0</v>
      </c>
      <c r="F34" s="30"/>
      <c r="G34" s="30"/>
      <c r="H34" s="30"/>
      <c r="I34" s="30"/>
      <c r="J34" s="30">
        <f t="shared" si="9"/>
        <v>196918</v>
      </c>
      <c r="K34" s="30">
        <v>196918</v>
      </c>
      <c r="L34" s="30"/>
      <c r="M34" s="30"/>
      <c r="N34" s="30"/>
      <c r="O34" s="30">
        <v>196918</v>
      </c>
      <c r="P34" s="30">
        <f t="shared" si="0"/>
        <v>196918</v>
      </c>
    </row>
    <row r="35" spans="1:16" ht="46.8">
      <c r="A35" s="25" t="s">
        <v>49</v>
      </c>
      <c r="B35" s="25" t="s">
        <v>50</v>
      </c>
      <c r="C35" s="25" t="s">
        <v>51</v>
      </c>
      <c r="D35" s="8" t="s">
        <v>355</v>
      </c>
      <c r="E35" s="30">
        <f t="shared" si="8"/>
        <v>3500000</v>
      </c>
      <c r="F35" s="30">
        <f>5000000-500000-1000000</f>
        <v>3500000</v>
      </c>
      <c r="G35" s="30">
        <v>0</v>
      </c>
      <c r="H35" s="30">
        <v>0</v>
      </c>
      <c r="I35" s="30">
        <v>0</v>
      </c>
      <c r="J35" s="30">
        <f t="shared" si="9"/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f t="shared" si="0"/>
        <v>3500000</v>
      </c>
    </row>
    <row r="36" spans="1:16" ht="31.2">
      <c r="A36" s="25" t="s">
        <v>52</v>
      </c>
      <c r="B36" s="25" t="s">
        <v>53</v>
      </c>
      <c r="C36" s="25" t="s">
        <v>54</v>
      </c>
      <c r="D36" s="8" t="s">
        <v>55</v>
      </c>
      <c r="E36" s="30">
        <f t="shared" si="8"/>
        <v>16608700</v>
      </c>
      <c r="F36" s="30">
        <f>SUM(F37:F39)</f>
        <v>15109700</v>
      </c>
      <c r="G36" s="30">
        <f t="shared" ref="G36:I36" si="10">SUM(G37:G39)</f>
        <v>0</v>
      </c>
      <c r="H36" s="30">
        <f t="shared" si="10"/>
        <v>0</v>
      </c>
      <c r="I36" s="30">
        <f t="shared" si="10"/>
        <v>1499000</v>
      </c>
      <c r="J36" s="30">
        <f t="shared" si="9"/>
        <v>0</v>
      </c>
      <c r="K36" s="30">
        <f>SUM(K37:K39)</f>
        <v>0</v>
      </c>
      <c r="L36" s="30">
        <f t="shared" ref="L36:O36" si="11">SUM(L37:L39)</f>
        <v>0</v>
      </c>
      <c r="M36" s="30">
        <f t="shared" si="11"/>
        <v>0</v>
      </c>
      <c r="N36" s="30">
        <f t="shared" si="11"/>
        <v>0</v>
      </c>
      <c r="O36" s="30">
        <f t="shared" si="11"/>
        <v>0</v>
      </c>
      <c r="P36" s="30">
        <f t="shared" si="0"/>
        <v>16608700</v>
      </c>
    </row>
    <row r="37" spans="1:16" s="5" customFormat="1" ht="75.75" customHeight="1">
      <c r="A37" s="9"/>
      <c r="B37" s="9"/>
      <c r="C37" s="9"/>
      <c r="D37" s="1" t="s">
        <v>269</v>
      </c>
      <c r="E37" s="32">
        <f>F37+I37</f>
        <v>8282200</v>
      </c>
      <c r="F37" s="32">
        <f>8383700-1499000-101500</f>
        <v>6783200</v>
      </c>
      <c r="G37" s="32"/>
      <c r="H37" s="32"/>
      <c r="I37" s="32">
        <v>1499000</v>
      </c>
      <c r="J37" s="32">
        <f t="shared" si="9"/>
        <v>0</v>
      </c>
      <c r="K37" s="32"/>
      <c r="L37" s="32"/>
      <c r="M37" s="32"/>
      <c r="N37" s="32"/>
      <c r="O37" s="32"/>
      <c r="P37" s="32">
        <f t="shared" si="0"/>
        <v>8282200</v>
      </c>
    </row>
    <row r="38" spans="1:16" s="5" customFormat="1" ht="72.75" customHeight="1">
      <c r="A38" s="9"/>
      <c r="B38" s="9"/>
      <c r="C38" s="9"/>
      <c r="D38" s="1" t="s">
        <v>270</v>
      </c>
      <c r="E38" s="32">
        <f t="shared" ref="E38:E39" si="12">F38+I38</f>
        <v>3011900</v>
      </c>
      <c r="F38" s="32">
        <v>3011900</v>
      </c>
      <c r="G38" s="32"/>
      <c r="H38" s="32"/>
      <c r="I38" s="32"/>
      <c r="J38" s="32">
        <f t="shared" si="9"/>
        <v>0</v>
      </c>
      <c r="K38" s="32"/>
      <c r="L38" s="32"/>
      <c r="M38" s="32"/>
      <c r="N38" s="32"/>
      <c r="O38" s="32"/>
      <c r="P38" s="32">
        <f t="shared" si="0"/>
        <v>3011900</v>
      </c>
    </row>
    <row r="39" spans="1:16" s="5" customFormat="1" ht="57" customHeight="1">
      <c r="A39" s="9"/>
      <c r="B39" s="9"/>
      <c r="C39" s="9"/>
      <c r="D39" s="1" t="s">
        <v>271</v>
      </c>
      <c r="E39" s="32">
        <f t="shared" si="12"/>
        <v>5314600</v>
      </c>
      <c r="F39" s="32">
        <v>5314600</v>
      </c>
      <c r="G39" s="32"/>
      <c r="H39" s="32"/>
      <c r="I39" s="32"/>
      <c r="J39" s="32">
        <f t="shared" si="9"/>
        <v>0</v>
      </c>
      <c r="K39" s="32"/>
      <c r="L39" s="32"/>
      <c r="M39" s="32"/>
      <c r="N39" s="32"/>
      <c r="O39" s="32"/>
      <c r="P39" s="32">
        <f t="shared" si="0"/>
        <v>5314600</v>
      </c>
    </row>
    <row r="40" spans="1:16" ht="56.25" customHeight="1">
      <c r="A40" s="24" t="s">
        <v>328</v>
      </c>
      <c r="B40" s="24" t="s">
        <v>329</v>
      </c>
      <c r="C40" s="24" t="s">
        <v>249</v>
      </c>
      <c r="D40" s="8" t="s">
        <v>330</v>
      </c>
      <c r="E40" s="30">
        <f t="shared" si="8"/>
        <v>80000</v>
      </c>
      <c r="F40" s="30">
        <v>80000</v>
      </c>
      <c r="G40" s="30"/>
      <c r="H40" s="30"/>
      <c r="I40" s="30"/>
      <c r="J40" s="30">
        <f t="shared" si="9"/>
        <v>5900000</v>
      </c>
      <c r="K40" s="30">
        <v>5900000</v>
      </c>
      <c r="L40" s="30"/>
      <c r="M40" s="30"/>
      <c r="N40" s="30"/>
      <c r="O40" s="30">
        <v>5900000</v>
      </c>
      <c r="P40" s="30">
        <f t="shared" si="0"/>
        <v>5980000</v>
      </c>
    </row>
    <row r="41" spans="1:16" ht="39" customHeight="1">
      <c r="A41" s="24" t="s">
        <v>274</v>
      </c>
      <c r="B41" s="24" t="s">
        <v>275</v>
      </c>
      <c r="C41" s="24" t="s">
        <v>277</v>
      </c>
      <c r="D41" s="8" t="s">
        <v>276</v>
      </c>
      <c r="E41" s="30">
        <f t="shared" si="8"/>
        <v>1479900</v>
      </c>
      <c r="F41" s="30">
        <f>SUM(F42:F47)</f>
        <v>1347000</v>
      </c>
      <c r="G41" s="30">
        <f>SUM(G42:G47)</f>
        <v>0</v>
      </c>
      <c r="H41" s="30">
        <f>SUM(H42:H47)</f>
        <v>0</v>
      </c>
      <c r="I41" s="30">
        <f>SUM(I42:I47)</f>
        <v>132900</v>
      </c>
      <c r="J41" s="30">
        <f t="shared" si="9"/>
        <v>0</v>
      </c>
      <c r="K41" s="30">
        <f>SUM(K42:K47)</f>
        <v>0</v>
      </c>
      <c r="L41" s="30">
        <f>SUM(L42:L47)</f>
        <v>0</v>
      </c>
      <c r="M41" s="30">
        <f>SUM(M42:M47)</f>
        <v>0</v>
      </c>
      <c r="N41" s="30">
        <f>SUM(N42:N47)</f>
        <v>0</v>
      </c>
      <c r="O41" s="30">
        <f>SUM(O42:O47)</f>
        <v>0</v>
      </c>
      <c r="P41" s="30">
        <f t="shared" si="0"/>
        <v>1479900</v>
      </c>
    </row>
    <row r="42" spans="1:16" ht="54.75" customHeight="1">
      <c r="A42" s="24"/>
      <c r="B42" s="24"/>
      <c r="C42" s="24"/>
      <c r="D42" s="1" t="s">
        <v>19</v>
      </c>
      <c r="E42" s="32">
        <f t="shared" si="8"/>
        <v>1177200</v>
      </c>
      <c r="F42" s="32">
        <v>1177200</v>
      </c>
      <c r="G42" s="30"/>
      <c r="H42" s="30"/>
      <c r="I42" s="30"/>
      <c r="J42" s="30">
        <f>L42+O42</f>
        <v>0</v>
      </c>
      <c r="K42" s="30"/>
      <c r="L42" s="30"/>
      <c r="M42" s="30"/>
      <c r="N42" s="30"/>
      <c r="O42" s="30"/>
      <c r="P42" s="32">
        <f t="shared" si="0"/>
        <v>1177200</v>
      </c>
    </row>
    <row r="43" spans="1:16" ht="74.25" customHeight="1">
      <c r="A43" s="24"/>
      <c r="B43" s="24"/>
      <c r="C43" s="24"/>
      <c r="D43" s="1" t="s">
        <v>269</v>
      </c>
      <c r="E43" s="32">
        <f t="shared" si="8"/>
        <v>11500</v>
      </c>
      <c r="F43" s="32">
        <v>11500</v>
      </c>
      <c r="G43" s="30"/>
      <c r="H43" s="30"/>
      <c r="I43" s="30"/>
      <c r="J43" s="30">
        <f>L43+O43</f>
        <v>0</v>
      </c>
      <c r="K43" s="30"/>
      <c r="L43" s="30"/>
      <c r="M43" s="30"/>
      <c r="N43" s="30"/>
      <c r="O43" s="30"/>
      <c r="P43" s="32">
        <f t="shared" si="0"/>
        <v>11500</v>
      </c>
    </row>
    <row r="44" spans="1:16" ht="72" customHeight="1">
      <c r="A44" s="24"/>
      <c r="B44" s="24"/>
      <c r="C44" s="24"/>
      <c r="D44" s="1" t="s">
        <v>270</v>
      </c>
      <c r="E44" s="32">
        <f t="shared" si="8"/>
        <v>20900</v>
      </c>
      <c r="F44" s="32">
        <v>20900</v>
      </c>
      <c r="G44" s="30"/>
      <c r="H44" s="30"/>
      <c r="I44" s="30"/>
      <c r="J44" s="30"/>
      <c r="K44" s="30"/>
      <c r="L44" s="30"/>
      <c r="M44" s="30"/>
      <c r="N44" s="30"/>
      <c r="O44" s="30"/>
      <c r="P44" s="32">
        <f t="shared" si="0"/>
        <v>20900</v>
      </c>
    </row>
    <row r="45" spans="1:16" ht="72" customHeight="1">
      <c r="A45" s="24"/>
      <c r="B45" s="24"/>
      <c r="C45" s="24"/>
      <c r="D45" s="1" t="s">
        <v>271</v>
      </c>
      <c r="E45" s="32">
        <f t="shared" si="8"/>
        <v>11500</v>
      </c>
      <c r="F45" s="32">
        <v>11500</v>
      </c>
      <c r="G45" s="30"/>
      <c r="H45" s="30"/>
      <c r="I45" s="30"/>
      <c r="J45" s="30">
        <f t="shared" ref="J45:J49" si="13">L45+O45</f>
        <v>0</v>
      </c>
      <c r="K45" s="30"/>
      <c r="L45" s="30"/>
      <c r="M45" s="30"/>
      <c r="N45" s="30"/>
      <c r="O45" s="30"/>
      <c r="P45" s="32">
        <f t="shared" si="0"/>
        <v>11500</v>
      </c>
    </row>
    <row r="46" spans="1:16" ht="93" customHeight="1">
      <c r="A46" s="24"/>
      <c r="B46" s="24"/>
      <c r="C46" s="24"/>
      <c r="D46" s="1" t="s">
        <v>291</v>
      </c>
      <c r="E46" s="32">
        <f t="shared" si="8"/>
        <v>132900</v>
      </c>
      <c r="F46" s="32"/>
      <c r="G46" s="30"/>
      <c r="H46" s="30"/>
      <c r="I46" s="32">
        <v>132900</v>
      </c>
      <c r="J46" s="30">
        <f t="shared" si="13"/>
        <v>0</v>
      </c>
      <c r="K46" s="30"/>
      <c r="L46" s="30"/>
      <c r="M46" s="30"/>
      <c r="N46" s="30"/>
      <c r="O46" s="30"/>
      <c r="P46" s="32">
        <f t="shared" si="0"/>
        <v>132900</v>
      </c>
    </row>
    <row r="47" spans="1:16" ht="53.25" customHeight="1">
      <c r="A47" s="24"/>
      <c r="B47" s="24"/>
      <c r="C47" s="24"/>
      <c r="D47" s="1" t="s">
        <v>292</v>
      </c>
      <c r="E47" s="32">
        <f t="shared" si="8"/>
        <v>125900</v>
      </c>
      <c r="F47" s="32">
        <v>125900</v>
      </c>
      <c r="G47" s="30"/>
      <c r="H47" s="30"/>
      <c r="I47" s="30"/>
      <c r="J47" s="30">
        <f t="shared" si="13"/>
        <v>0</v>
      </c>
      <c r="K47" s="30"/>
      <c r="L47" s="30"/>
      <c r="M47" s="30"/>
      <c r="N47" s="30"/>
      <c r="O47" s="30"/>
      <c r="P47" s="32">
        <f t="shared" si="0"/>
        <v>125900</v>
      </c>
    </row>
    <row r="48" spans="1:16" ht="53.25" customHeight="1">
      <c r="A48" s="24" t="s">
        <v>335</v>
      </c>
      <c r="B48" s="24" t="s">
        <v>336</v>
      </c>
      <c r="C48" s="24" t="s">
        <v>338</v>
      </c>
      <c r="D48" s="8" t="s">
        <v>337</v>
      </c>
      <c r="E48" s="30">
        <f>F48+I48</f>
        <v>500000</v>
      </c>
      <c r="F48" s="30"/>
      <c r="G48" s="30"/>
      <c r="H48" s="30"/>
      <c r="I48" s="30">
        <v>500000</v>
      </c>
      <c r="J48" s="30">
        <f t="shared" si="13"/>
        <v>0</v>
      </c>
      <c r="K48" s="30"/>
      <c r="L48" s="30"/>
      <c r="M48" s="30"/>
      <c r="N48" s="30"/>
      <c r="O48" s="30"/>
      <c r="P48" s="30">
        <f>E48 + J48</f>
        <v>500000</v>
      </c>
    </row>
    <row r="49" spans="1:16" ht="39" customHeight="1">
      <c r="A49" s="24" t="s">
        <v>357</v>
      </c>
      <c r="B49" s="24" t="s">
        <v>358</v>
      </c>
      <c r="C49" s="24" t="s">
        <v>360</v>
      </c>
      <c r="D49" s="8" t="s">
        <v>359</v>
      </c>
      <c r="E49" s="30">
        <f>F49+I49</f>
        <v>374197</v>
      </c>
      <c r="F49" s="30"/>
      <c r="G49" s="30"/>
      <c r="H49" s="30"/>
      <c r="I49" s="30">
        <v>374197</v>
      </c>
      <c r="J49" s="30">
        <f t="shared" si="13"/>
        <v>0</v>
      </c>
      <c r="K49" s="30"/>
      <c r="L49" s="30"/>
      <c r="M49" s="30"/>
      <c r="N49" s="30"/>
      <c r="O49" s="30"/>
      <c r="P49" s="30">
        <f>E49 + J49</f>
        <v>374197</v>
      </c>
    </row>
    <row r="50" spans="1:16" ht="31.2">
      <c r="A50" s="25" t="s">
        <v>56</v>
      </c>
      <c r="B50" s="25" t="s">
        <v>57</v>
      </c>
      <c r="C50" s="25" t="s">
        <v>58</v>
      </c>
      <c r="D50" s="8" t="s">
        <v>59</v>
      </c>
      <c r="E50" s="30">
        <f>F50+I50</f>
        <v>232000</v>
      </c>
      <c r="F50" s="30">
        <v>232000</v>
      </c>
      <c r="G50" s="30">
        <v>0</v>
      </c>
      <c r="H50" s="30">
        <v>0</v>
      </c>
      <c r="I50" s="30">
        <v>0</v>
      </c>
      <c r="J50" s="30">
        <f>L50+O50</f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>E50 + J50</f>
        <v>232000</v>
      </c>
    </row>
    <row r="51" spans="1:16" ht="31.2">
      <c r="A51" s="24" t="s">
        <v>339</v>
      </c>
      <c r="B51" s="25">
        <v>7693</v>
      </c>
      <c r="C51" s="24" t="s">
        <v>58</v>
      </c>
      <c r="D51" s="8" t="s">
        <v>340</v>
      </c>
      <c r="E51" s="30">
        <f>F51+I51</f>
        <v>6909920</v>
      </c>
      <c r="F51" s="30">
        <f>154856938-977000-1040000-1500000-12000000-2000000-130430018</f>
        <v>6909920</v>
      </c>
      <c r="G51" s="30"/>
      <c r="H51" s="30"/>
      <c r="I51" s="30"/>
      <c r="J51" s="30">
        <f>L51+O51</f>
        <v>0</v>
      </c>
      <c r="K51" s="30">
        <f>1734800-1734800</f>
        <v>0</v>
      </c>
      <c r="L51" s="30"/>
      <c r="M51" s="30"/>
      <c r="N51" s="30"/>
      <c r="O51" s="30">
        <f>1734800-1734800</f>
        <v>0</v>
      </c>
      <c r="P51" s="30">
        <f>E51 + J51</f>
        <v>6909920</v>
      </c>
    </row>
    <row r="52" spans="1:16" ht="46.8">
      <c r="A52" s="24" t="s">
        <v>278</v>
      </c>
      <c r="B52" s="24">
        <v>8110</v>
      </c>
      <c r="C52" s="24" t="s">
        <v>233</v>
      </c>
      <c r="D52" s="8" t="s">
        <v>234</v>
      </c>
      <c r="E52" s="30">
        <f>F52+I52</f>
        <v>1864500</v>
      </c>
      <c r="F52" s="30">
        <f>SUM(F53:F59)</f>
        <v>1864500</v>
      </c>
      <c r="G52" s="30"/>
      <c r="H52" s="30"/>
      <c r="I52" s="30"/>
      <c r="J52" s="30"/>
      <c r="K52" s="30"/>
      <c r="L52" s="30"/>
      <c r="M52" s="30"/>
      <c r="N52" s="30"/>
      <c r="O52" s="30"/>
      <c r="P52" s="30">
        <f>E52 + J52</f>
        <v>1864500</v>
      </c>
    </row>
    <row r="53" spans="1:16" s="5" customFormat="1" ht="46.8">
      <c r="A53" s="11"/>
      <c r="B53" s="11"/>
      <c r="C53" s="11"/>
      <c r="D53" s="1" t="s">
        <v>19</v>
      </c>
      <c r="E53" s="32">
        <f t="shared" ref="E53:E57" si="14">F53+I53</f>
        <v>406900</v>
      </c>
      <c r="F53" s="32">
        <f>301900+105000</f>
        <v>406900</v>
      </c>
      <c r="G53" s="32"/>
      <c r="H53" s="32"/>
      <c r="I53" s="32"/>
      <c r="J53" s="32"/>
      <c r="K53" s="32"/>
      <c r="L53" s="32"/>
      <c r="M53" s="32"/>
      <c r="N53" s="32"/>
      <c r="O53" s="32"/>
      <c r="P53" s="32">
        <f t="shared" ref="P53:P59" si="15">E53 + J53</f>
        <v>406900</v>
      </c>
    </row>
    <row r="54" spans="1:16" s="5" customFormat="1" ht="62.4">
      <c r="A54" s="11"/>
      <c r="B54" s="11"/>
      <c r="C54" s="11"/>
      <c r="D54" s="1" t="s">
        <v>269</v>
      </c>
      <c r="E54" s="32">
        <f t="shared" si="14"/>
        <v>116500</v>
      </c>
      <c r="F54" s="32">
        <f>15000+101500</f>
        <v>116500</v>
      </c>
      <c r="G54" s="32"/>
      <c r="H54" s="32"/>
      <c r="I54" s="32"/>
      <c r="J54" s="32"/>
      <c r="K54" s="32"/>
      <c r="L54" s="32"/>
      <c r="M54" s="32"/>
      <c r="N54" s="32"/>
      <c r="O54" s="32"/>
      <c r="P54" s="32">
        <f t="shared" si="15"/>
        <v>116500</v>
      </c>
    </row>
    <row r="55" spans="1:16" s="5" customFormat="1" ht="62.4">
      <c r="A55" s="11"/>
      <c r="B55" s="11"/>
      <c r="C55" s="11"/>
      <c r="D55" s="1" t="s">
        <v>270</v>
      </c>
      <c r="E55" s="32">
        <f t="shared" si="14"/>
        <v>13000</v>
      </c>
      <c r="F55" s="32">
        <v>13000</v>
      </c>
      <c r="G55" s="32"/>
      <c r="H55" s="32"/>
      <c r="I55" s="32"/>
      <c r="J55" s="32"/>
      <c r="K55" s="32"/>
      <c r="L55" s="32"/>
      <c r="M55" s="32"/>
      <c r="N55" s="32"/>
      <c r="O55" s="32"/>
      <c r="P55" s="32">
        <f t="shared" si="15"/>
        <v>13000</v>
      </c>
    </row>
    <row r="56" spans="1:16" s="5" customFormat="1" ht="46.8">
      <c r="A56" s="11"/>
      <c r="B56" s="11"/>
      <c r="C56" s="11"/>
      <c r="D56" s="1" t="s">
        <v>271</v>
      </c>
      <c r="E56" s="32">
        <f t="shared" si="14"/>
        <v>13000</v>
      </c>
      <c r="F56" s="32">
        <v>13000</v>
      </c>
      <c r="G56" s="32"/>
      <c r="H56" s="32"/>
      <c r="I56" s="32"/>
      <c r="J56" s="32"/>
      <c r="K56" s="32"/>
      <c r="L56" s="32"/>
      <c r="M56" s="32"/>
      <c r="N56" s="32"/>
      <c r="O56" s="32"/>
      <c r="P56" s="32">
        <f t="shared" si="15"/>
        <v>13000</v>
      </c>
    </row>
    <row r="57" spans="1:16" s="5" customFormat="1" ht="46.8">
      <c r="A57" s="11"/>
      <c r="B57" s="11"/>
      <c r="C57" s="11"/>
      <c r="D57" s="1" t="s">
        <v>293</v>
      </c>
      <c r="E57" s="32">
        <f t="shared" si="14"/>
        <v>994500</v>
      </c>
      <c r="F57" s="32">
        <v>994500</v>
      </c>
      <c r="G57" s="32"/>
      <c r="H57" s="32"/>
      <c r="I57" s="32"/>
      <c r="J57" s="32"/>
      <c r="K57" s="32"/>
      <c r="L57" s="32"/>
      <c r="M57" s="32"/>
      <c r="N57" s="32"/>
      <c r="O57" s="32"/>
      <c r="P57" s="32">
        <f t="shared" si="15"/>
        <v>994500</v>
      </c>
    </row>
    <row r="58" spans="1:16" s="5" customFormat="1" ht="62.4">
      <c r="A58" s="11"/>
      <c r="B58" s="11"/>
      <c r="C58" s="11"/>
      <c r="D58" s="1" t="s">
        <v>291</v>
      </c>
      <c r="E58" s="32">
        <f>F58+I58</f>
        <v>267100</v>
      </c>
      <c r="F58" s="32">
        <v>267100</v>
      </c>
      <c r="G58" s="32"/>
      <c r="H58" s="32"/>
      <c r="I58" s="32"/>
      <c r="J58" s="32"/>
      <c r="K58" s="32"/>
      <c r="L58" s="32"/>
      <c r="M58" s="32"/>
      <c r="N58" s="32"/>
      <c r="O58" s="32"/>
      <c r="P58" s="32">
        <f t="shared" si="15"/>
        <v>267100</v>
      </c>
    </row>
    <row r="59" spans="1:16" s="5" customFormat="1" ht="62.4">
      <c r="A59" s="11"/>
      <c r="B59" s="11"/>
      <c r="C59" s="11"/>
      <c r="D59" s="1" t="s">
        <v>294</v>
      </c>
      <c r="E59" s="32">
        <f>F59+I59</f>
        <v>53500</v>
      </c>
      <c r="F59" s="32">
        <v>53500</v>
      </c>
      <c r="G59" s="32"/>
      <c r="H59" s="32"/>
      <c r="I59" s="32"/>
      <c r="J59" s="32"/>
      <c r="K59" s="32"/>
      <c r="L59" s="32"/>
      <c r="M59" s="32"/>
      <c r="N59" s="32"/>
      <c r="O59" s="32"/>
      <c r="P59" s="32">
        <f t="shared" si="15"/>
        <v>53500</v>
      </c>
    </row>
    <row r="60" spans="1:16" ht="31.2">
      <c r="A60" s="25" t="s">
        <v>60</v>
      </c>
      <c r="B60" s="25" t="s">
        <v>61</v>
      </c>
      <c r="C60" s="25" t="s">
        <v>62</v>
      </c>
      <c r="D60" s="8" t="s">
        <v>63</v>
      </c>
      <c r="E60" s="30">
        <f t="shared" si="8"/>
        <v>27634000</v>
      </c>
      <c r="F60" s="30">
        <f>26495000+1139000</f>
        <v>27634000</v>
      </c>
      <c r="G60" s="30">
        <f>23147800+1139000</f>
        <v>24286800</v>
      </c>
      <c r="H60" s="30">
        <v>58500</v>
      </c>
      <c r="I60" s="30">
        <v>0</v>
      </c>
      <c r="J60" s="30">
        <f t="shared" si="9"/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0"/>
        <v>27634000</v>
      </c>
    </row>
    <row r="61" spans="1:16" ht="31.2">
      <c r="A61" s="25" t="s">
        <v>64</v>
      </c>
      <c r="B61" s="25" t="s">
        <v>65</v>
      </c>
      <c r="C61" s="25" t="s">
        <v>62</v>
      </c>
      <c r="D61" s="8" t="s">
        <v>66</v>
      </c>
      <c r="E61" s="30">
        <f t="shared" si="8"/>
        <v>873900</v>
      </c>
      <c r="F61" s="30">
        <v>873900</v>
      </c>
      <c r="G61" s="30">
        <v>0</v>
      </c>
      <c r="H61" s="30">
        <v>0</v>
      </c>
      <c r="I61" s="30">
        <v>0</v>
      </c>
      <c r="J61" s="30">
        <f t="shared" si="9"/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0"/>
        <v>873900</v>
      </c>
    </row>
    <row r="62" spans="1:16" ht="31.2">
      <c r="A62" s="25" t="s">
        <v>67</v>
      </c>
      <c r="B62" s="25" t="s">
        <v>68</v>
      </c>
      <c r="C62" s="25" t="s">
        <v>62</v>
      </c>
      <c r="D62" s="8" t="s">
        <v>69</v>
      </c>
      <c r="E62" s="30">
        <f t="shared" si="8"/>
        <v>3741280</v>
      </c>
      <c r="F62" s="30">
        <f>3336000+405280</f>
        <v>3741280</v>
      </c>
      <c r="G62" s="30">
        <v>0</v>
      </c>
      <c r="H62" s="30">
        <v>0</v>
      </c>
      <c r="I62" s="30">
        <v>0</v>
      </c>
      <c r="J62" s="30">
        <f t="shared" si="9"/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0"/>
        <v>3741280</v>
      </c>
    </row>
    <row r="63" spans="1:16" ht="31.2">
      <c r="A63" s="24" t="s">
        <v>361</v>
      </c>
      <c r="B63" s="24" t="s">
        <v>252</v>
      </c>
      <c r="C63" s="24" t="s">
        <v>62</v>
      </c>
      <c r="D63" s="8" t="s">
        <v>362</v>
      </c>
      <c r="E63" s="30">
        <f t="shared" si="8"/>
        <v>285480</v>
      </c>
      <c r="F63" s="30">
        <v>285480</v>
      </c>
      <c r="G63" s="30"/>
      <c r="H63" s="30"/>
      <c r="I63" s="30"/>
      <c r="J63" s="30">
        <f t="shared" si="9"/>
        <v>0</v>
      </c>
      <c r="K63" s="30"/>
      <c r="L63" s="30"/>
      <c r="M63" s="30"/>
      <c r="N63" s="30"/>
      <c r="O63" s="30"/>
      <c r="P63" s="30">
        <f t="shared" si="0"/>
        <v>285480</v>
      </c>
    </row>
    <row r="64" spans="1:16" ht="31.2">
      <c r="A64" s="24" t="s">
        <v>268</v>
      </c>
      <c r="B64" s="25">
        <v>8340</v>
      </c>
      <c r="C64" s="25" t="s">
        <v>266</v>
      </c>
      <c r="D64" s="8" t="s">
        <v>267</v>
      </c>
      <c r="E64" s="30">
        <f t="shared" si="8"/>
        <v>0</v>
      </c>
      <c r="F64" s="30"/>
      <c r="G64" s="30"/>
      <c r="H64" s="30"/>
      <c r="I64" s="30"/>
      <c r="J64" s="30">
        <f t="shared" si="9"/>
        <v>100000</v>
      </c>
      <c r="K64" s="30"/>
      <c r="L64" s="30">
        <v>100000</v>
      </c>
      <c r="M64" s="30"/>
      <c r="N64" s="30"/>
      <c r="O64" s="30">
        <v>0</v>
      </c>
      <c r="P64" s="30">
        <f t="shared" si="0"/>
        <v>100000</v>
      </c>
    </row>
    <row r="65" spans="1:17" ht="46.8">
      <c r="A65" s="6" t="s">
        <v>70</v>
      </c>
      <c r="B65" s="6" t="s">
        <v>18</v>
      </c>
      <c r="C65" s="6" t="s">
        <v>18</v>
      </c>
      <c r="D65" s="7" t="s">
        <v>71</v>
      </c>
      <c r="E65" s="29">
        <f>F65+I65</f>
        <v>523335023</v>
      </c>
      <c r="F65" s="29">
        <f>F66</f>
        <v>514202273</v>
      </c>
      <c r="G65" s="29">
        <f>G66</f>
        <v>360363523</v>
      </c>
      <c r="H65" s="29">
        <f>H66</f>
        <v>39978800</v>
      </c>
      <c r="I65" s="29">
        <f>I66</f>
        <v>9132750</v>
      </c>
      <c r="J65" s="29">
        <f>L65+O65</f>
        <v>29665058</v>
      </c>
      <c r="K65" s="29">
        <f>K66</f>
        <v>11843628</v>
      </c>
      <c r="L65" s="29">
        <f t="shared" ref="L65:O65" si="16">L66</f>
        <v>17821430</v>
      </c>
      <c r="M65" s="29">
        <f t="shared" si="16"/>
        <v>0</v>
      </c>
      <c r="N65" s="29">
        <f t="shared" si="16"/>
        <v>0</v>
      </c>
      <c r="O65" s="29">
        <f t="shared" si="16"/>
        <v>11843628</v>
      </c>
      <c r="P65" s="29">
        <f t="shared" si="0"/>
        <v>553000081</v>
      </c>
      <c r="Q65" s="37">
        <f>485070750+65369931-P65</f>
        <v>-2559400</v>
      </c>
    </row>
    <row r="66" spans="1:17" ht="46.8">
      <c r="A66" s="6" t="s">
        <v>72</v>
      </c>
      <c r="B66" s="6" t="s">
        <v>18</v>
      </c>
      <c r="C66" s="6" t="s">
        <v>18</v>
      </c>
      <c r="D66" s="7" t="s">
        <v>71</v>
      </c>
      <c r="E66" s="29">
        <f>F66+I66</f>
        <v>523335023</v>
      </c>
      <c r="F66" s="29">
        <f>SUM(F67:F92)-F74-F75</f>
        <v>514202273</v>
      </c>
      <c r="G66" s="29">
        <f t="shared" ref="G66:K66" si="17">SUM(G67:G92)-G74-G75</f>
        <v>360363523</v>
      </c>
      <c r="H66" s="29">
        <f t="shared" si="17"/>
        <v>39978800</v>
      </c>
      <c r="I66" s="29">
        <f t="shared" si="17"/>
        <v>9132750</v>
      </c>
      <c r="J66" s="29">
        <f>L66+O66</f>
        <v>29665058</v>
      </c>
      <c r="K66" s="29">
        <f t="shared" si="17"/>
        <v>11843628</v>
      </c>
      <c r="L66" s="29">
        <f t="shared" ref="L66" si="18">SUM(L67:L92)-L74-L75</f>
        <v>17821430</v>
      </c>
      <c r="M66" s="29">
        <f t="shared" ref="M66" si="19">SUM(M67:M92)-M74-M75</f>
        <v>0</v>
      </c>
      <c r="N66" s="29">
        <f t="shared" ref="N66" si="20">SUM(N67:N92)-N74-N75</f>
        <v>0</v>
      </c>
      <c r="O66" s="29">
        <f t="shared" ref="O66" si="21">SUM(O67:O92)-O74-O75</f>
        <v>11843628</v>
      </c>
      <c r="P66" s="29">
        <f>E66 + J66</f>
        <v>553000081</v>
      </c>
    </row>
    <row r="67" spans="1:17" ht="55.5" customHeight="1">
      <c r="A67" s="25" t="s">
        <v>73</v>
      </c>
      <c r="B67" s="25" t="s">
        <v>74</v>
      </c>
      <c r="C67" s="25" t="s">
        <v>23</v>
      </c>
      <c r="D67" s="8" t="s">
        <v>75</v>
      </c>
      <c r="E67" s="30">
        <f>F67+I67</f>
        <v>6509700</v>
      </c>
      <c r="F67" s="30">
        <v>6509700</v>
      </c>
      <c r="G67" s="30">
        <v>6022100</v>
      </c>
      <c r="H67" s="30">
        <v>407800</v>
      </c>
      <c r="I67" s="30">
        <v>0</v>
      </c>
      <c r="J67" s="30">
        <f>L67+O67</f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0"/>
        <v>6509700</v>
      </c>
    </row>
    <row r="68" spans="1:17" ht="46.8">
      <c r="A68" s="24" t="s">
        <v>341</v>
      </c>
      <c r="B68" s="25" t="s">
        <v>26</v>
      </c>
      <c r="C68" s="25" t="s">
        <v>27</v>
      </c>
      <c r="D68" s="8" t="s">
        <v>28</v>
      </c>
      <c r="E68" s="30">
        <f t="shared" ref="E68" si="22">F68+I68</f>
        <v>2700</v>
      </c>
      <c r="F68" s="30">
        <v>2700</v>
      </c>
      <c r="G68" s="30">
        <v>0</v>
      </c>
      <c r="H68" s="30">
        <v>0</v>
      </c>
      <c r="I68" s="30">
        <v>0</v>
      </c>
      <c r="J68" s="30">
        <f t="shared" ref="J68" si="23">L68+O68</f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ref="P68" si="24">E68 + J68</f>
        <v>2700</v>
      </c>
    </row>
    <row r="69" spans="1:17" ht="22.5" customHeight="1">
      <c r="A69" s="25" t="s">
        <v>76</v>
      </c>
      <c r="B69" s="25" t="s">
        <v>77</v>
      </c>
      <c r="C69" s="25" t="s">
        <v>78</v>
      </c>
      <c r="D69" s="8" t="s">
        <v>79</v>
      </c>
      <c r="E69" s="30">
        <f t="shared" ref="E69:E91" si="25">F69+I69</f>
        <v>111943600</v>
      </c>
      <c r="F69" s="30">
        <f>113243600-1727900-1300000+1727900</f>
        <v>111943600</v>
      </c>
      <c r="G69" s="30">
        <v>85400000</v>
      </c>
      <c r="H69" s="30">
        <v>14999000</v>
      </c>
      <c r="I69" s="30">
        <v>0</v>
      </c>
      <c r="J69" s="30">
        <f t="shared" ref="J69:J92" si="26">L69+O69</f>
        <v>10286500</v>
      </c>
      <c r="K69" s="30">
        <v>0</v>
      </c>
      <c r="L69" s="30">
        <v>10286500</v>
      </c>
      <c r="M69" s="30">
        <v>0</v>
      </c>
      <c r="N69" s="30">
        <v>0</v>
      </c>
      <c r="O69" s="30">
        <v>0</v>
      </c>
      <c r="P69" s="30">
        <f t="shared" si="0"/>
        <v>122230100</v>
      </c>
      <c r="Q69" s="37">
        <f>123530100-3027900-P69</f>
        <v>-1727900</v>
      </c>
    </row>
    <row r="70" spans="1:17" ht="60.75" customHeight="1">
      <c r="A70" s="25" t="s">
        <v>80</v>
      </c>
      <c r="B70" s="25" t="s">
        <v>81</v>
      </c>
      <c r="C70" s="25" t="s">
        <v>82</v>
      </c>
      <c r="D70" s="8" t="s">
        <v>83</v>
      </c>
      <c r="E70" s="30">
        <f t="shared" si="25"/>
        <v>127586600</v>
      </c>
      <c r="F70" s="30">
        <f>130896400-5747800</f>
        <v>125148600</v>
      </c>
      <c r="G70" s="30">
        <f>39122800+15000000</f>
        <v>54122800</v>
      </c>
      <c r="H70" s="30">
        <v>18380000</v>
      </c>
      <c r="I70" s="30">
        <v>2438000</v>
      </c>
      <c r="J70" s="30">
        <f t="shared" si="26"/>
        <v>313499</v>
      </c>
      <c r="K70" s="30">
        <v>0</v>
      </c>
      <c r="L70" s="30">
        <v>313499</v>
      </c>
      <c r="M70" s="30">
        <v>0</v>
      </c>
      <c r="N70" s="30">
        <v>0</v>
      </c>
      <c r="O70" s="30">
        <v>0</v>
      </c>
      <c r="P70" s="30">
        <f t="shared" si="0"/>
        <v>127900099</v>
      </c>
      <c r="Q70" s="37">
        <f>131209899-3309800-P70</f>
        <v>0</v>
      </c>
    </row>
    <row r="71" spans="1:17" ht="109.5" customHeight="1">
      <c r="A71" s="25" t="s">
        <v>84</v>
      </c>
      <c r="B71" s="25" t="s">
        <v>85</v>
      </c>
      <c r="C71" s="25" t="s">
        <v>86</v>
      </c>
      <c r="D71" s="8" t="s">
        <v>87</v>
      </c>
      <c r="E71" s="30">
        <f t="shared" si="25"/>
        <v>15123700</v>
      </c>
      <c r="F71" s="30">
        <f>15836500-712800</f>
        <v>15123700</v>
      </c>
      <c r="G71" s="30">
        <f>8200000+1100000</f>
        <v>9300000</v>
      </c>
      <c r="H71" s="30">
        <v>1606900</v>
      </c>
      <c r="I71" s="30">
        <v>0</v>
      </c>
      <c r="J71" s="30">
        <f t="shared" si="26"/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0"/>
        <v>15123700</v>
      </c>
      <c r="Q71" s="37">
        <f>15836500-712800-P71</f>
        <v>0</v>
      </c>
    </row>
    <row r="72" spans="1:17" s="12" customFormat="1" ht="53.25" customHeight="1">
      <c r="A72" s="25" t="s">
        <v>88</v>
      </c>
      <c r="B72" s="25" t="s">
        <v>89</v>
      </c>
      <c r="C72" s="25" t="s">
        <v>82</v>
      </c>
      <c r="D72" s="8" t="s">
        <v>90</v>
      </c>
      <c r="E72" s="30">
        <f t="shared" si="25"/>
        <v>124892564</v>
      </c>
      <c r="F72" s="30">
        <f>F74+F75</f>
        <v>124892564</v>
      </c>
      <c r="G72" s="30">
        <f t="shared" ref="G72:I72" si="27">G74+G75</f>
        <v>124892564</v>
      </c>
      <c r="H72" s="30">
        <f t="shared" si="27"/>
        <v>0</v>
      </c>
      <c r="I72" s="30">
        <f t="shared" si="27"/>
        <v>0</v>
      </c>
      <c r="J72" s="30">
        <f t="shared" si="26"/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f t="shared" si="0"/>
        <v>124892564</v>
      </c>
      <c r="Q72" s="39">
        <f>124668900+223664-P72</f>
        <v>0</v>
      </c>
    </row>
    <row r="73" spans="1:17" s="26" customFormat="1">
      <c r="A73" s="9"/>
      <c r="B73" s="9"/>
      <c r="C73" s="9"/>
      <c r="D73" s="1" t="s">
        <v>325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7" s="26" customFormat="1" ht="31.2">
      <c r="A74" s="9"/>
      <c r="B74" s="9"/>
      <c r="C74" s="9"/>
      <c r="D74" s="1" t="s">
        <v>326</v>
      </c>
      <c r="E74" s="32">
        <f t="shared" ref="E74:E75" si="28">F74+I74</f>
        <v>124668900</v>
      </c>
      <c r="F74" s="32">
        <v>124668900</v>
      </c>
      <c r="G74" s="32">
        <v>124668900</v>
      </c>
      <c r="H74" s="32"/>
      <c r="I74" s="32"/>
      <c r="J74" s="32"/>
      <c r="K74" s="32"/>
      <c r="L74" s="32"/>
      <c r="M74" s="32"/>
      <c r="N74" s="32"/>
      <c r="O74" s="32"/>
      <c r="P74" s="32">
        <f t="shared" si="0"/>
        <v>124668900</v>
      </c>
    </row>
    <row r="75" spans="1:17" s="26" customFormat="1" ht="31.2">
      <c r="A75" s="9"/>
      <c r="B75" s="9"/>
      <c r="C75" s="9"/>
      <c r="D75" s="1" t="s">
        <v>364</v>
      </c>
      <c r="E75" s="32">
        <f t="shared" si="28"/>
        <v>223664</v>
      </c>
      <c r="F75" s="32">
        <v>223664</v>
      </c>
      <c r="G75" s="32">
        <v>223664</v>
      </c>
      <c r="H75" s="32"/>
      <c r="I75" s="32"/>
      <c r="J75" s="32"/>
      <c r="K75" s="32"/>
      <c r="L75" s="32"/>
      <c r="M75" s="32"/>
      <c r="N75" s="32"/>
      <c r="O75" s="32"/>
      <c r="P75" s="32">
        <f t="shared" si="0"/>
        <v>223664</v>
      </c>
    </row>
    <row r="76" spans="1:17" s="12" customFormat="1" ht="107.25" customHeight="1">
      <c r="A76" s="25" t="s">
        <v>91</v>
      </c>
      <c r="B76" s="25" t="s">
        <v>92</v>
      </c>
      <c r="C76" s="25" t="s">
        <v>86</v>
      </c>
      <c r="D76" s="8" t="s">
        <v>93</v>
      </c>
      <c r="E76" s="30">
        <f t="shared" si="25"/>
        <v>12500000</v>
      </c>
      <c r="F76" s="30">
        <v>12500000</v>
      </c>
      <c r="G76" s="30">
        <v>12500000</v>
      </c>
      <c r="H76" s="30">
        <v>0</v>
      </c>
      <c r="I76" s="30">
        <v>0</v>
      </c>
      <c r="J76" s="30">
        <f t="shared" si="26"/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f t="shared" si="0"/>
        <v>12500000</v>
      </c>
    </row>
    <row r="77" spans="1:17" ht="57" customHeight="1">
      <c r="A77" s="25" t="s">
        <v>94</v>
      </c>
      <c r="B77" s="25" t="s">
        <v>95</v>
      </c>
      <c r="C77" s="25" t="s">
        <v>96</v>
      </c>
      <c r="D77" s="8" t="s">
        <v>97</v>
      </c>
      <c r="E77" s="30">
        <f t="shared" si="25"/>
        <v>23353200</v>
      </c>
      <c r="F77" s="30">
        <f>23353200</f>
        <v>23353200</v>
      </c>
      <c r="G77" s="30">
        <v>19600000</v>
      </c>
      <c r="H77" s="30">
        <v>1122500</v>
      </c>
      <c r="I77" s="30">
        <v>0</v>
      </c>
      <c r="J77" s="30">
        <f t="shared" si="26"/>
        <v>200000</v>
      </c>
      <c r="K77" s="30">
        <v>0</v>
      </c>
      <c r="L77" s="30">
        <v>200000</v>
      </c>
      <c r="M77" s="30">
        <v>0</v>
      </c>
      <c r="N77" s="30">
        <v>0</v>
      </c>
      <c r="O77" s="30">
        <v>0</v>
      </c>
      <c r="P77" s="30">
        <f t="shared" si="0"/>
        <v>23553200</v>
      </c>
      <c r="Q77" s="37">
        <f>23553200-574200-P77</f>
        <v>-574200</v>
      </c>
    </row>
    <row r="78" spans="1:17" ht="48.75" customHeight="1">
      <c r="A78" s="25" t="s">
        <v>98</v>
      </c>
      <c r="B78" s="25" t="s">
        <v>99</v>
      </c>
      <c r="C78" s="25" t="s">
        <v>100</v>
      </c>
      <c r="D78" s="8" t="s">
        <v>101</v>
      </c>
      <c r="E78" s="30">
        <f t="shared" si="25"/>
        <v>16500</v>
      </c>
      <c r="F78" s="30">
        <v>16500</v>
      </c>
      <c r="G78" s="30">
        <v>0</v>
      </c>
      <c r="H78" s="30">
        <v>0</v>
      </c>
      <c r="I78" s="30">
        <v>0</v>
      </c>
      <c r="J78" s="30">
        <f t="shared" si="26"/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 t="shared" si="0"/>
        <v>16500</v>
      </c>
      <c r="Q78" s="37"/>
    </row>
    <row r="79" spans="1:17" ht="41.25" customHeight="1">
      <c r="A79" s="25" t="s">
        <v>102</v>
      </c>
      <c r="B79" s="25" t="s">
        <v>103</v>
      </c>
      <c r="C79" s="25" t="s">
        <v>104</v>
      </c>
      <c r="D79" s="8" t="s">
        <v>105</v>
      </c>
      <c r="E79" s="30">
        <f t="shared" si="25"/>
        <v>20988600</v>
      </c>
      <c r="F79" s="30">
        <v>20988600</v>
      </c>
      <c r="G79" s="30">
        <v>15470000</v>
      </c>
      <c r="H79" s="30">
        <v>2173900</v>
      </c>
      <c r="I79" s="30"/>
      <c r="J79" s="30">
        <f t="shared" si="26"/>
        <v>1</v>
      </c>
      <c r="K79" s="30">
        <v>0</v>
      </c>
      <c r="L79" s="30">
        <v>1</v>
      </c>
      <c r="M79" s="30">
        <v>0</v>
      </c>
      <c r="N79" s="30">
        <v>0</v>
      </c>
      <c r="O79" s="30">
        <v>0</v>
      </c>
      <c r="P79" s="30">
        <f t="shared" si="0"/>
        <v>20988601</v>
      </c>
    </row>
    <row r="80" spans="1:17" ht="60" customHeight="1">
      <c r="A80" s="25" t="s">
        <v>106</v>
      </c>
      <c r="B80" s="25" t="s">
        <v>107</v>
      </c>
      <c r="C80" s="25" t="s">
        <v>104</v>
      </c>
      <c r="D80" s="8" t="s">
        <v>108</v>
      </c>
      <c r="E80" s="30">
        <f t="shared" si="25"/>
        <v>707400</v>
      </c>
      <c r="F80" s="30">
        <f>707400</f>
        <v>707400</v>
      </c>
      <c r="G80" s="30">
        <v>227200</v>
      </c>
      <c r="H80" s="30">
        <v>203600</v>
      </c>
      <c r="I80" s="30">
        <v>0</v>
      </c>
      <c r="J80" s="30">
        <f t="shared" si="26"/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f t="shared" si="0"/>
        <v>707400</v>
      </c>
      <c r="Q80" s="37">
        <f>707400-96200-P80</f>
        <v>-96200</v>
      </c>
    </row>
    <row r="81" spans="1:17" ht="60" customHeight="1">
      <c r="A81" s="24" t="s">
        <v>365</v>
      </c>
      <c r="B81" s="24" t="s">
        <v>366</v>
      </c>
      <c r="C81" s="24" t="s">
        <v>104</v>
      </c>
      <c r="D81" s="8" t="s">
        <v>367</v>
      </c>
      <c r="E81" s="30">
        <f t="shared" si="25"/>
        <v>1234759</v>
      </c>
      <c r="F81" s="30">
        <v>1234759</v>
      </c>
      <c r="G81" s="30">
        <v>1234759</v>
      </c>
      <c r="H81" s="30"/>
      <c r="I81" s="30"/>
      <c r="J81" s="30">
        <f t="shared" si="26"/>
        <v>0</v>
      </c>
      <c r="K81" s="30"/>
      <c r="L81" s="30"/>
      <c r="M81" s="30"/>
      <c r="N81" s="30"/>
      <c r="O81" s="30"/>
      <c r="P81" s="30">
        <f t="shared" si="0"/>
        <v>1234759</v>
      </c>
    </row>
    <row r="82" spans="1:17" ht="60" customHeight="1">
      <c r="A82" s="25" t="s">
        <v>109</v>
      </c>
      <c r="B82" s="25" t="s">
        <v>110</v>
      </c>
      <c r="C82" s="25" t="s">
        <v>104</v>
      </c>
      <c r="D82" s="8" t="s">
        <v>111</v>
      </c>
      <c r="E82" s="30">
        <f t="shared" si="25"/>
        <v>4591700</v>
      </c>
      <c r="F82" s="30">
        <f>4591700</f>
        <v>4591700</v>
      </c>
      <c r="G82" s="30">
        <v>4179100</v>
      </c>
      <c r="H82" s="30">
        <v>44500</v>
      </c>
      <c r="I82" s="30">
        <v>0</v>
      </c>
      <c r="J82" s="30">
        <f t="shared" si="26"/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f t="shared" si="0"/>
        <v>4591700</v>
      </c>
    </row>
    <row r="83" spans="1:17" ht="60" customHeight="1">
      <c r="A83" s="24" t="s">
        <v>368</v>
      </c>
      <c r="B83" s="24" t="s">
        <v>369</v>
      </c>
      <c r="C83" s="24" t="s">
        <v>104</v>
      </c>
      <c r="D83" s="8" t="s">
        <v>370</v>
      </c>
      <c r="E83" s="30">
        <f t="shared" si="25"/>
        <v>0</v>
      </c>
      <c r="F83" s="30"/>
      <c r="G83" s="30"/>
      <c r="H83" s="30"/>
      <c r="I83" s="30"/>
      <c r="J83" s="30">
        <f t="shared" si="26"/>
        <v>4508100</v>
      </c>
      <c r="K83" s="30"/>
      <c r="L83" s="30">
        <v>4508100</v>
      </c>
      <c r="M83" s="30"/>
      <c r="N83" s="30"/>
      <c r="O83" s="30"/>
      <c r="P83" s="30">
        <f t="shared" si="0"/>
        <v>4508100</v>
      </c>
    </row>
    <row r="84" spans="1:17" ht="60" customHeight="1">
      <c r="A84" s="24" t="s">
        <v>371</v>
      </c>
      <c r="B84" s="24" t="s">
        <v>372</v>
      </c>
      <c r="C84" s="24" t="s">
        <v>104</v>
      </c>
      <c r="D84" s="8" t="s">
        <v>373</v>
      </c>
      <c r="E84" s="30">
        <f t="shared" si="25"/>
        <v>0</v>
      </c>
      <c r="F84" s="30"/>
      <c r="G84" s="30"/>
      <c r="H84" s="30"/>
      <c r="I84" s="30"/>
      <c r="J84" s="30">
        <f t="shared" si="26"/>
        <v>11843628</v>
      </c>
      <c r="K84" s="30">
        <v>11843628</v>
      </c>
      <c r="L84" s="30"/>
      <c r="M84" s="30"/>
      <c r="N84" s="30"/>
      <c r="O84" s="30">
        <v>11843628</v>
      </c>
      <c r="P84" s="30">
        <f t="shared" si="0"/>
        <v>11843628</v>
      </c>
    </row>
    <row r="85" spans="1:17" ht="60" customHeight="1">
      <c r="A85" s="24" t="s">
        <v>374</v>
      </c>
      <c r="B85" s="24" t="s">
        <v>375</v>
      </c>
      <c r="C85" s="24" t="s">
        <v>104</v>
      </c>
      <c r="D85" s="8" t="s">
        <v>376</v>
      </c>
      <c r="E85" s="30">
        <f t="shared" si="25"/>
        <v>15857800</v>
      </c>
      <c r="F85" s="30">
        <v>15857800</v>
      </c>
      <c r="G85" s="30">
        <v>15857800</v>
      </c>
      <c r="H85" s="30"/>
      <c r="I85" s="30"/>
      <c r="J85" s="30">
        <f t="shared" si="26"/>
        <v>0</v>
      </c>
      <c r="K85" s="30"/>
      <c r="L85" s="30"/>
      <c r="M85" s="30"/>
      <c r="N85" s="30"/>
      <c r="O85" s="30"/>
      <c r="P85" s="30">
        <f t="shared" si="0"/>
        <v>15857800</v>
      </c>
    </row>
    <row r="86" spans="1:17" ht="60" customHeight="1">
      <c r="A86" s="24" t="s">
        <v>377</v>
      </c>
      <c r="B86" s="24" t="s">
        <v>378</v>
      </c>
      <c r="C86" s="24" t="s">
        <v>104</v>
      </c>
      <c r="D86" s="8" t="s">
        <v>379</v>
      </c>
      <c r="E86" s="30">
        <f t="shared" si="25"/>
        <v>0</v>
      </c>
      <c r="F86" s="30"/>
      <c r="G86" s="30"/>
      <c r="H86" s="30"/>
      <c r="I86" s="30"/>
      <c r="J86" s="30">
        <f t="shared" si="26"/>
        <v>2513330</v>
      </c>
      <c r="K86" s="30"/>
      <c r="L86" s="30">
        <v>2513330</v>
      </c>
      <c r="M86" s="30"/>
      <c r="N86" s="30"/>
      <c r="O86" s="30"/>
      <c r="P86" s="30">
        <f t="shared" si="0"/>
        <v>2513330</v>
      </c>
    </row>
    <row r="87" spans="1:17" ht="60" customHeight="1">
      <c r="A87" s="24" t="s">
        <v>380</v>
      </c>
      <c r="B87" s="24" t="s">
        <v>381</v>
      </c>
      <c r="C87" s="24" t="s">
        <v>104</v>
      </c>
      <c r="D87" s="8" t="s">
        <v>382</v>
      </c>
      <c r="E87" s="30">
        <f t="shared" si="25"/>
        <v>29075900</v>
      </c>
      <c r="F87" s="30">
        <v>29075900</v>
      </c>
      <c r="G87" s="30"/>
      <c r="H87" s="30"/>
      <c r="I87" s="30"/>
      <c r="J87" s="30">
        <f t="shared" si="26"/>
        <v>0</v>
      </c>
      <c r="K87" s="30"/>
      <c r="L87" s="30"/>
      <c r="M87" s="30"/>
      <c r="N87" s="30"/>
      <c r="O87" s="30"/>
      <c r="P87" s="30">
        <f t="shared" si="0"/>
        <v>29075900</v>
      </c>
    </row>
    <row r="88" spans="1:17" ht="100.5" customHeight="1">
      <c r="A88" s="25" t="s">
        <v>112</v>
      </c>
      <c r="B88" s="25" t="s">
        <v>113</v>
      </c>
      <c r="C88" s="25" t="s">
        <v>114</v>
      </c>
      <c r="D88" s="8" t="s">
        <v>115</v>
      </c>
      <c r="E88" s="30">
        <f t="shared" si="25"/>
        <v>3220000</v>
      </c>
      <c r="F88" s="30">
        <v>3220000</v>
      </c>
      <c r="G88" s="30">
        <v>0</v>
      </c>
      <c r="H88" s="31">
        <v>0</v>
      </c>
      <c r="I88" s="30">
        <v>0</v>
      </c>
      <c r="J88" s="30">
        <f t="shared" si="26"/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f t="shared" si="0"/>
        <v>3220000</v>
      </c>
    </row>
    <row r="89" spans="1:17" ht="46.8">
      <c r="A89" s="25" t="s">
        <v>116</v>
      </c>
      <c r="B89" s="25" t="s">
        <v>50</v>
      </c>
      <c r="C89" s="25" t="s">
        <v>51</v>
      </c>
      <c r="D89" s="8" t="s">
        <v>355</v>
      </c>
      <c r="E89" s="30">
        <f t="shared" si="25"/>
        <v>723100</v>
      </c>
      <c r="F89" s="30">
        <v>723100</v>
      </c>
      <c r="G89" s="30">
        <v>0</v>
      </c>
      <c r="H89" s="30">
        <v>0</v>
      </c>
      <c r="I89" s="30">
        <v>0</v>
      </c>
      <c r="J89" s="30">
        <f t="shared" si="26"/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f t="shared" si="0"/>
        <v>723100</v>
      </c>
    </row>
    <row r="90" spans="1:17" ht="74.25" customHeight="1">
      <c r="A90" s="25" t="s">
        <v>117</v>
      </c>
      <c r="B90" s="25" t="s">
        <v>118</v>
      </c>
      <c r="C90" s="25" t="s">
        <v>119</v>
      </c>
      <c r="D90" s="8" t="s">
        <v>324</v>
      </c>
      <c r="E90" s="30">
        <f t="shared" si="25"/>
        <v>14415000</v>
      </c>
      <c r="F90" s="30">
        <v>14415000</v>
      </c>
      <c r="G90" s="30">
        <v>11557200</v>
      </c>
      <c r="H90" s="30">
        <v>1040600</v>
      </c>
      <c r="I90" s="30">
        <v>0</v>
      </c>
      <c r="J90" s="30">
        <f t="shared" si="26"/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f t="shared" ref="P90:P160" si="29">E90 + J90</f>
        <v>14415000</v>
      </c>
    </row>
    <row r="91" spans="1:17" ht="35.25" customHeight="1">
      <c r="A91" s="24" t="s">
        <v>279</v>
      </c>
      <c r="B91" s="24" t="s">
        <v>275</v>
      </c>
      <c r="C91" s="24" t="s">
        <v>277</v>
      </c>
      <c r="D91" s="8" t="s">
        <v>276</v>
      </c>
      <c r="E91" s="30">
        <f t="shared" si="25"/>
        <v>1929900</v>
      </c>
      <c r="F91" s="30">
        <v>1929900</v>
      </c>
      <c r="G91" s="30"/>
      <c r="H91" s="30"/>
      <c r="I91" s="30"/>
      <c r="J91" s="30">
        <f t="shared" si="26"/>
        <v>0</v>
      </c>
      <c r="K91" s="30"/>
      <c r="L91" s="30"/>
      <c r="M91" s="30"/>
      <c r="N91" s="30"/>
      <c r="O91" s="30"/>
      <c r="P91" s="30">
        <f t="shared" si="29"/>
        <v>1929900</v>
      </c>
    </row>
    <row r="92" spans="1:17" ht="54.75" customHeight="1">
      <c r="A92" s="24" t="s">
        <v>280</v>
      </c>
      <c r="B92" s="24">
        <v>8110</v>
      </c>
      <c r="C92" s="24" t="s">
        <v>233</v>
      </c>
      <c r="D92" s="8" t="s">
        <v>234</v>
      </c>
      <c r="E92" s="30">
        <f>F92+I92</f>
        <v>8662300</v>
      </c>
      <c r="F92" s="30">
        <f>667550+1300000</f>
        <v>1967550</v>
      </c>
      <c r="G92" s="30"/>
      <c r="H92" s="30"/>
      <c r="I92" s="30">
        <v>6694750</v>
      </c>
      <c r="J92" s="30">
        <f t="shared" si="26"/>
        <v>0</v>
      </c>
      <c r="K92" s="30">
        <v>0</v>
      </c>
      <c r="L92" s="30"/>
      <c r="M92" s="30"/>
      <c r="N92" s="30"/>
      <c r="O92" s="30">
        <v>0</v>
      </c>
      <c r="P92" s="30">
        <f>E92 + J92</f>
        <v>8662300</v>
      </c>
    </row>
    <row r="93" spans="1:17" ht="58.5" customHeight="1">
      <c r="A93" s="6" t="s">
        <v>120</v>
      </c>
      <c r="B93" s="6" t="s">
        <v>18</v>
      </c>
      <c r="C93" s="6" t="s">
        <v>18</v>
      </c>
      <c r="D93" s="7" t="s">
        <v>121</v>
      </c>
      <c r="E93" s="29">
        <f>F93+I93</f>
        <v>135077137</v>
      </c>
      <c r="F93" s="29">
        <f>F94</f>
        <v>134126137</v>
      </c>
      <c r="G93" s="29">
        <f>G94</f>
        <v>57123620</v>
      </c>
      <c r="H93" s="29">
        <f>H94</f>
        <v>1631200</v>
      </c>
      <c r="I93" s="29">
        <f>I94</f>
        <v>951000</v>
      </c>
      <c r="J93" s="29">
        <f>L93+O93</f>
        <v>180000</v>
      </c>
      <c r="K93" s="29">
        <f>K94</f>
        <v>0</v>
      </c>
      <c r="L93" s="29">
        <f t="shared" ref="L93:O93" si="30">L94</f>
        <v>55000</v>
      </c>
      <c r="M93" s="29">
        <f t="shared" si="30"/>
        <v>0</v>
      </c>
      <c r="N93" s="29">
        <f t="shared" si="30"/>
        <v>0</v>
      </c>
      <c r="O93" s="29">
        <f t="shared" si="30"/>
        <v>125000</v>
      </c>
      <c r="P93" s="29">
        <f t="shared" si="29"/>
        <v>135257137</v>
      </c>
      <c r="Q93" s="37">
        <f>130030817+6951320-P93</f>
        <v>1725000</v>
      </c>
    </row>
    <row r="94" spans="1:17" ht="60.75" customHeight="1">
      <c r="A94" s="6" t="s">
        <v>122</v>
      </c>
      <c r="B94" s="6" t="s">
        <v>18</v>
      </c>
      <c r="C94" s="6" t="s">
        <v>18</v>
      </c>
      <c r="D94" s="7" t="s">
        <v>121</v>
      </c>
      <c r="E94" s="29">
        <f>F94+I94</f>
        <v>135077137</v>
      </c>
      <c r="F94" s="29">
        <f>SUM(F95:F115)+F119</f>
        <v>134126137</v>
      </c>
      <c r="G94" s="29">
        <f t="shared" ref="G94:K94" si="31">SUM(G95:G115)+G119</f>
        <v>57123620</v>
      </c>
      <c r="H94" s="29">
        <f t="shared" si="31"/>
        <v>1631200</v>
      </c>
      <c r="I94" s="29">
        <f t="shared" si="31"/>
        <v>951000</v>
      </c>
      <c r="J94" s="29">
        <f>L94+O94</f>
        <v>180000</v>
      </c>
      <c r="K94" s="29">
        <f t="shared" si="31"/>
        <v>0</v>
      </c>
      <c r="L94" s="29">
        <f t="shared" ref="L94" si="32">SUM(L95:L115)+L119</f>
        <v>55000</v>
      </c>
      <c r="M94" s="29">
        <f t="shared" ref="M94" si="33">SUM(M95:M115)+M119</f>
        <v>0</v>
      </c>
      <c r="N94" s="29">
        <f t="shared" ref="N94" si="34">SUM(N95:N115)+N119</f>
        <v>0</v>
      </c>
      <c r="O94" s="29">
        <f t="shared" ref="O94" si="35">SUM(O95:O115)+O119</f>
        <v>125000</v>
      </c>
      <c r="P94" s="29">
        <f t="shared" si="29"/>
        <v>135257137</v>
      </c>
    </row>
    <row r="95" spans="1:17" ht="69.75" customHeight="1">
      <c r="A95" s="25" t="s">
        <v>123</v>
      </c>
      <c r="B95" s="25" t="s">
        <v>74</v>
      </c>
      <c r="C95" s="25" t="s">
        <v>23</v>
      </c>
      <c r="D95" s="8" t="s">
        <v>75</v>
      </c>
      <c r="E95" s="30">
        <f>F95+I95</f>
        <v>23512500</v>
      </c>
      <c r="F95" s="30">
        <v>23512500</v>
      </c>
      <c r="G95" s="30">
        <v>22122300</v>
      </c>
      <c r="H95" s="30">
        <v>934000</v>
      </c>
      <c r="I95" s="30">
        <v>0</v>
      </c>
      <c r="J95" s="30">
        <f>L95+O95</f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f t="shared" si="29"/>
        <v>23512500</v>
      </c>
    </row>
    <row r="96" spans="1:17" ht="46.8">
      <c r="A96" s="24" t="s">
        <v>342</v>
      </c>
      <c r="B96" s="25" t="s">
        <v>26</v>
      </c>
      <c r="C96" s="25" t="s">
        <v>27</v>
      </c>
      <c r="D96" s="8" t="s">
        <v>28</v>
      </c>
      <c r="E96" s="30">
        <f t="shared" ref="E96" si="36">F96+I96</f>
        <v>9000</v>
      </c>
      <c r="F96" s="30">
        <v>9000</v>
      </c>
      <c r="G96" s="30">
        <v>0</v>
      </c>
      <c r="H96" s="30">
        <v>0</v>
      </c>
      <c r="I96" s="30">
        <v>0</v>
      </c>
      <c r="J96" s="30">
        <f t="shared" ref="J96" si="37">L96+O96</f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f t="shared" si="29"/>
        <v>9000</v>
      </c>
    </row>
    <row r="97" spans="1:16" ht="42.75" customHeight="1">
      <c r="A97" s="25" t="s">
        <v>124</v>
      </c>
      <c r="B97" s="25" t="s">
        <v>30</v>
      </c>
      <c r="C97" s="25" t="s">
        <v>31</v>
      </c>
      <c r="D97" s="8" t="s">
        <v>32</v>
      </c>
      <c r="E97" s="30">
        <f t="shared" ref="E97:E166" si="38">F97+I97</f>
        <v>63500</v>
      </c>
      <c r="F97" s="30">
        <v>63500</v>
      </c>
      <c r="G97" s="30">
        <v>0</v>
      </c>
      <c r="H97" s="30">
        <v>0</v>
      </c>
      <c r="I97" s="30">
        <v>0</v>
      </c>
      <c r="J97" s="30">
        <f t="shared" ref="J97:J194" si="39">L97+O97</f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f t="shared" si="29"/>
        <v>63500</v>
      </c>
    </row>
    <row r="98" spans="1:16" ht="37.5" customHeight="1">
      <c r="A98" s="25" t="s">
        <v>126</v>
      </c>
      <c r="B98" s="25" t="s">
        <v>127</v>
      </c>
      <c r="C98" s="25" t="s">
        <v>95</v>
      </c>
      <c r="D98" s="8" t="s">
        <v>128</v>
      </c>
      <c r="E98" s="30">
        <f t="shared" si="38"/>
        <v>3400</v>
      </c>
      <c r="F98" s="30">
        <v>3400</v>
      </c>
      <c r="G98" s="30">
        <v>0</v>
      </c>
      <c r="H98" s="30">
        <v>0</v>
      </c>
      <c r="I98" s="30">
        <v>0</v>
      </c>
      <c r="J98" s="30">
        <f t="shared" si="39"/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f t="shared" si="29"/>
        <v>3400</v>
      </c>
    </row>
    <row r="99" spans="1:16" ht="46.8">
      <c r="A99" s="24" t="s">
        <v>383</v>
      </c>
      <c r="B99" s="24" t="s">
        <v>384</v>
      </c>
      <c r="C99" s="24" t="s">
        <v>95</v>
      </c>
      <c r="D99" s="8" t="s">
        <v>385</v>
      </c>
      <c r="E99" s="30">
        <f t="shared" si="38"/>
        <v>8000</v>
      </c>
      <c r="F99" s="30">
        <v>8000</v>
      </c>
      <c r="G99" s="30"/>
      <c r="H99" s="30"/>
      <c r="I99" s="30"/>
      <c r="J99" s="30">
        <f t="shared" si="39"/>
        <v>0</v>
      </c>
      <c r="K99" s="30"/>
      <c r="L99" s="30"/>
      <c r="M99" s="30"/>
      <c r="N99" s="30"/>
      <c r="O99" s="30"/>
      <c r="P99" s="30">
        <f t="shared" si="29"/>
        <v>8000</v>
      </c>
    </row>
    <row r="100" spans="1:16" s="12" customFormat="1" ht="57" customHeight="1">
      <c r="A100" s="25" t="s">
        <v>129</v>
      </c>
      <c r="B100" s="25" t="s">
        <v>130</v>
      </c>
      <c r="C100" s="25" t="s">
        <v>95</v>
      </c>
      <c r="D100" s="8" t="s">
        <v>131</v>
      </c>
      <c r="E100" s="30">
        <f t="shared" si="38"/>
        <v>482313</v>
      </c>
      <c r="F100" s="30">
        <v>482313</v>
      </c>
      <c r="G100" s="30">
        <v>0</v>
      </c>
      <c r="H100" s="30">
        <v>0</v>
      </c>
      <c r="I100" s="30">
        <v>0</v>
      </c>
      <c r="J100" s="30">
        <f t="shared" si="39"/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f t="shared" si="29"/>
        <v>482313</v>
      </c>
    </row>
    <row r="101" spans="1:16" s="12" customFormat="1" ht="57" customHeight="1">
      <c r="A101" s="25" t="s">
        <v>132</v>
      </c>
      <c r="B101" s="25" t="s">
        <v>133</v>
      </c>
      <c r="C101" s="25" t="s">
        <v>125</v>
      </c>
      <c r="D101" s="8" t="s">
        <v>134</v>
      </c>
      <c r="E101" s="30">
        <f t="shared" si="38"/>
        <v>151514</v>
      </c>
      <c r="F101" s="30">
        <v>151514</v>
      </c>
      <c r="G101" s="30">
        <v>0</v>
      </c>
      <c r="H101" s="30">
        <v>0</v>
      </c>
      <c r="I101" s="30">
        <v>0</v>
      </c>
      <c r="J101" s="30">
        <f t="shared" si="39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f t="shared" si="29"/>
        <v>151514</v>
      </c>
    </row>
    <row r="102" spans="1:16" ht="84.75" customHeight="1">
      <c r="A102" s="25" t="s">
        <v>135</v>
      </c>
      <c r="B102" s="25" t="s">
        <v>136</v>
      </c>
      <c r="C102" s="25" t="s">
        <v>137</v>
      </c>
      <c r="D102" s="8" t="s">
        <v>138</v>
      </c>
      <c r="E102" s="30">
        <f t="shared" si="38"/>
        <v>24159800</v>
      </c>
      <c r="F102" s="30">
        <f>21799800+3570000-1210000</f>
        <v>24159800</v>
      </c>
      <c r="G102" s="30">
        <f>20540700+3570000-1210000</f>
        <v>22900700</v>
      </c>
      <c r="H102" s="30">
        <v>334900</v>
      </c>
      <c r="I102" s="30">
        <v>0</v>
      </c>
      <c r="J102" s="30">
        <f t="shared" si="39"/>
        <v>180000</v>
      </c>
      <c r="K102" s="30">
        <v>0</v>
      </c>
      <c r="L102" s="30">
        <v>55000</v>
      </c>
      <c r="M102" s="30">
        <v>0</v>
      </c>
      <c r="N102" s="30">
        <v>0</v>
      </c>
      <c r="O102" s="30">
        <v>125000</v>
      </c>
      <c r="P102" s="30">
        <f t="shared" si="29"/>
        <v>24339800</v>
      </c>
    </row>
    <row r="103" spans="1:16" ht="126.75" customHeight="1">
      <c r="A103" s="25" t="s">
        <v>139</v>
      </c>
      <c r="B103" s="25" t="s">
        <v>140</v>
      </c>
      <c r="C103" s="25" t="s">
        <v>114</v>
      </c>
      <c r="D103" s="8" t="s">
        <v>322</v>
      </c>
      <c r="E103" s="30">
        <f t="shared" si="38"/>
        <v>12249300</v>
      </c>
      <c r="F103" s="30">
        <f>12988200+100000-408900-430000</f>
        <v>12249300</v>
      </c>
      <c r="G103" s="30">
        <f>9691500+1285000-478100-430000</f>
        <v>10068400</v>
      </c>
      <c r="H103" s="30">
        <v>362300</v>
      </c>
      <c r="I103" s="30">
        <v>0</v>
      </c>
      <c r="J103" s="30">
        <f t="shared" si="39"/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f t="shared" si="29"/>
        <v>12249300</v>
      </c>
    </row>
    <row r="104" spans="1:16" ht="44.25" customHeight="1">
      <c r="A104" s="25" t="s">
        <v>141</v>
      </c>
      <c r="B104" s="25" t="s">
        <v>142</v>
      </c>
      <c r="C104" s="25" t="s">
        <v>114</v>
      </c>
      <c r="D104" s="8" t="s">
        <v>143</v>
      </c>
      <c r="E104" s="30">
        <f t="shared" si="38"/>
        <v>507500</v>
      </c>
      <c r="F104" s="30">
        <v>507500</v>
      </c>
      <c r="G104" s="30">
        <v>0</v>
      </c>
      <c r="H104" s="30">
        <v>0</v>
      </c>
      <c r="I104" s="30">
        <v>0</v>
      </c>
      <c r="J104" s="30">
        <f t="shared" si="39"/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f t="shared" si="29"/>
        <v>507500</v>
      </c>
    </row>
    <row r="105" spans="1:16" ht="93.6">
      <c r="A105" s="24" t="s">
        <v>281</v>
      </c>
      <c r="B105" s="25" t="s">
        <v>113</v>
      </c>
      <c r="C105" s="25" t="s">
        <v>114</v>
      </c>
      <c r="D105" s="8" t="s">
        <v>115</v>
      </c>
      <c r="E105" s="30">
        <f t="shared" si="38"/>
        <v>1300000</v>
      </c>
      <c r="F105" s="30">
        <v>1300000</v>
      </c>
      <c r="G105" s="30">
        <v>0</v>
      </c>
      <c r="H105" s="30">
        <v>0</v>
      </c>
      <c r="I105" s="30">
        <v>0</v>
      </c>
      <c r="J105" s="30">
        <f t="shared" si="39"/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f t="shared" si="29"/>
        <v>1300000</v>
      </c>
    </row>
    <row r="106" spans="1:16" ht="121.5" customHeight="1">
      <c r="A106" s="25" t="s">
        <v>144</v>
      </c>
      <c r="B106" s="25" t="s">
        <v>145</v>
      </c>
      <c r="C106" s="25" t="s">
        <v>77</v>
      </c>
      <c r="D106" s="8" t="s">
        <v>146</v>
      </c>
      <c r="E106" s="30">
        <f t="shared" si="38"/>
        <v>2900000</v>
      </c>
      <c r="F106" s="30">
        <v>2900000</v>
      </c>
      <c r="G106" s="30">
        <v>0</v>
      </c>
      <c r="H106" s="30">
        <v>0</v>
      </c>
      <c r="I106" s="30">
        <v>0</v>
      </c>
      <c r="J106" s="30">
        <f t="shared" si="39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f t="shared" si="29"/>
        <v>2900000</v>
      </c>
    </row>
    <row r="107" spans="1:16" s="12" customFormat="1" ht="86.25" customHeight="1">
      <c r="A107" s="25" t="s">
        <v>147</v>
      </c>
      <c r="B107" s="25" t="s">
        <v>148</v>
      </c>
      <c r="C107" s="25" t="s">
        <v>77</v>
      </c>
      <c r="D107" s="8" t="s">
        <v>149</v>
      </c>
      <c r="E107" s="30">
        <f t="shared" si="38"/>
        <v>31190</v>
      </c>
      <c r="F107" s="30">
        <v>31190</v>
      </c>
      <c r="G107" s="30">
        <v>0</v>
      </c>
      <c r="H107" s="30">
        <v>0</v>
      </c>
      <c r="I107" s="30">
        <v>0</v>
      </c>
      <c r="J107" s="30">
        <f t="shared" si="39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f t="shared" si="29"/>
        <v>31190</v>
      </c>
    </row>
    <row r="108" spans="1:16" ht="93.6">
      <c r="A108" s="25" t="s">
        <v>150</v>
      </c>
      <c r="B108" s="25" t="s">
        <v>151</v>
      </c>
      <c r="C108" s="25" t="s">
        <v>152</v>
      </c>
      <c r="D108" s="8" t="s">
        <v>153</v>
      </c>
      <c r="E108" s="30">
        <f t="shared" si="38"/>
        <v>1120000</v>
      </c>
      <c r="F108" s="30">
        <v>1120000</v>
      </c>
      <c r="G108" s="30">
        <v>0</v>
      </c>
      <c r="H108" s="30">
        <v>0</v>
      </c>
      <c r="I108" s="30">
        <v>0</v>
      </c>
      <c r="J108" s="30">
        <f t="shared" si="39"/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f t="shared" si="29"/>
        <v>1120000</v>
      </c>
    </row>
    <row r="109" spans="1:16" ht="31.2">
      <c r="A109" s="24" t="s">
        <v>386</v>
      </c>
      <c r="B109" s="24">
        <v>3191</v>
      </c>
      <c r="C109" s="24" t="s">
        <v>125</v>
      </c>
      <c r="D109" s="8" t="s">
        <v>387</v>
      </c>
      <c r="E109" s="30">
        <f t="shared" si="38"/>
        <v>22866400</v>
      </c>
      <c r="F109" s="30">
        <v>22866400</v>
      </c>
      <c r="G109" s="30"/>
      <c r="H109" s="30"/>
      <c r="I109" s="30"/>
      <c r="J109" s="30">
        <f t="shared" si="39"/>
        <v>0</v>
      </c>
      <c r="K109" s="30"/>
      <c r="L109" s="30"/>
      <c r="M109" s="30"/>
      <c r="N109" s="30"/>
      <c r="O109" s="30"/>
      <c r="P109" s="30">
        <f t="shared" si="29"/>
        <v>22866400</v>
      </c>
    </row>
    <row r="110" spans="1:16" ht="74.25" customHeight="1">
      <c r="A110" s="25" t="s">
        <v>154</v>
      </c>
      <c r="B110" s="25" t="s">
        <v>155</v>
      </c>
      <c r="C110" s="25" t="s">
        <v>125</v>
      </c>
      <c r="D110" s="8" t="s">
        <v>156</v>
      </c>
      <c r="E110" s="30">
        <f t="shared" si="38"/>
        <v>71000</v>
      </c>
      <c r="F110" s="30">
        <v>71000</v>
      </c>
      <c r="G110" s="30">
        <v>0</v>
      </c>
      <c r="H110" s="30">
        <v>0</v>
      </c>
      <c r="I110" s="30">
        <v>0</v>
      </c>
      <c r="J110" s="30">
        <f t="shared" si="39"/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f t="shared" si="29"/>
        <v>71000</v>
      </c>
    </row>
    <row r="111" spans="1:16" ht="93.6">
      <c r="A111" s="24" t="s">
        <v>388</v>
      </c>
      <c r="B111" s="24" t="s">
        <v>389</v>
      </c>
      <c r="C111" s="24" t="s">
        <v>125</v>
      </c>
      <c r="D111" s="8" t="s">
        <v>390</v>
      </c>
      <c r="E111" s="30">
        <f t="shared" si="38"/>
        <v>1872420</v>
      </c>
      <c r="F111" s="30">
        <f>1057100+880320-65000</f>
        <v>1872420</v>
      </c>
      <c r="G111" s="30">
        <f>880320+678100-65000</f>
        <v>1493420</v>
      </c>
      <c r="H111" s="30"/>
      <c r="I111" s="30"/>
      <c r="J111" s="30"/>
      <c r="K111" s="30"/>
      <c r="L111" s="30"/>
      <c r="M111" s="30"/>
      <c r="N111" s="30"/>
      <c r="O111" s="30"/>
      <c r="P111" s="30">
        <f t="shared" si="29"/>
        <v>1872420</v>
      </c>
    </row>
    <row r="112" spans="1:16" ht="72.75" customHeight="1">
      <c r="A112" s="25" t="s">
        <v>157</v>
      </c>
      <c r="B112" s="25" t="s">
        <v>158</v>
      </c>
      <c r="C112" s="25" t="s">
        <v>95</v>
      </c>
      <c r="D112" s="8" t="s">
        <v>159</v>
      </c>
      <c r="E112" s="30">
        <f t="shared" si="38"/>
        <v>1097600</v>
      </c>
      <c r="F112" s="30">
        <v>1097600</v>
      </c>
      <c r="G112" s="30">
        <v>0</v>
      </c>
      <c r="H112" s="30">
        <v>0</v>
      </c>
      <c r="I112" s="30">
        <v>0</v>
      </c>
      <c r="J112" s="30">
        <f t="shared" si="39"/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f t="shared" si="29"/>
        <v>1097600</v>
      </c>
    </row>
    <row r="113" spans="1:16" ht="46.8">
      <c r="A113" s="25" t="s">
        <v>160</v>
      </c>
      <c r="B113" s="25" t="s">
        <v>50</v>
      </c>
      <c r="C113" s="25" t="s">
        <v>51</v>
      </c>
      <c r="D113" s="8" t="s">
        <v>355</v>
      </c>
      <c r="E113" s="30">
        <f t="shared" si="38"/>
        <v>39789600</v>
      </c>
      <c r="F113" s="30">
        <f>59503000-19713400</f>
        <v>39789600</v>
      </c>
      <c r="G113" s="30">
        <v>0</v>
      </c>
      <c r="H113" s="30">
        <v>0</v>
      </c>
      <c r="I113" s="30">
        <v>0</v>
      </c>
      <c r="J113" s="30">
        <f t="shared" si="39"/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f t="shared" si="29"/>
        <v>39789600</v>
      </c>
    </row>
    <row r="114" spans="1:16" ht="46.8">
      <c r="A114" s="24" t="s">
        <v>391</v>
      </c>
      <c r="B114" s="24" t="s">
        <v>392</v>
      </c>
      <c r="C114" s="24" t="s">
        <v>51</v>
      </c>
      <c r="D114" s="8" t="s">
        <v>393</v>
      </c>
      <c r="E114" s="30">
        <f t="shared" si="38"/>
        <v>1832800</v>
      </c>
      <c r="F114" s="30">
        <f>901800-20000</f>
        <v>881800</v>
      </c>
      <c r="G114" s="30">
        <f>558800-20000</f>
        <v>538800</v>
      </c>
      <c r="H114" s="30"/>
      <c r="I114" s="30">
        <v>951000</v>
      </c>
      <c r="J114" s="30">
        <f t="shared" si="39"/>
        <v>0</v>
      </c>
      <c r="K114" s="30"/>
      <c r="L114" s="30"/>
      <c r="M114" s="30"/>
      <c r="N114" s="30"/>
      <c r="O114" s="30"/>
      <c r="P114" s="30">
        <f t="shared" si="29"/>
        <v>1832800</v>
      </c>
    </row>
    <row r="115" spans="1:16" ht="31.2">
      <c r="A115" s="24" t="s">
        <v>282</v>
      </c>
      <c r="B115" s="24" t="s">
        <v>275</v>
      </c>
      <c r="C115" s="24" t="s">
        <v>277</v>
      </c>
      <c r="D115" s="8" t="s">
        <v>276</v>
      </c>
      <c r="E115" s="30">
        <f t="shared" si="38"/>
        <v>989300</v>
      </c>
      <c r="F115" s="30">
        <f>SUM(F116:F118)</f>
        <v>989300</v>
      </c>
      <c r="G115" s="30"/>
      <c r="H115" s="30"/>
      <c r="I115" s="30"/>
      <c r="J115" s="30">
        <f t="shared" si="39"/>
        <v>0</v>
      </c>
      <c r="K115" s="30"/>
      <c r="L115" s="30"/>
      <c r="M115" s="30"/>
      <c r="N115" s="30"/>
      <c r="O115" s="30"/>
      <c r="P115" s="30">
        <f t="shared" si="29"/>
        <v>989300</v>
      </c>
    </row>
    <row r="116" spans="1:16" s="5" customFormat="1" ht="46.8">
      <c r="A116" s="11"/>
      <c r="B116" s="11"/>
      <c r="C116" s="11"/>
      <c r="D116" s="1" t="s">
        <v>295</v>
      </c>
      <c r="E116" s="32">
        <f t="shared" si="38"/>
        <v>168100</v>
      </c>
      <c r="F116" s="32">
        <v>168100</v>
      </c>
      <c r="G116" s="32"/>
      <c r="H116" s="32"/>
      <c r="I116" s="32"/>
      <c r="J116" s="32"/>
      <c r="K116" s="32"/>
      <c r="L116" s="32"/>
      <c r="M116" s="32"/>
      <c r="N116" s="32"/>
      <c r="O116" s="32"/>
      <c r="P116" s="32">
        <f t="shared" si="29"/>
        <v>168100</v>
      </c>
    </row>
    <row r="117" spans="1:16" s="5" customFormat="1" ht="62.4">
      <c r="A117" s="11"/>
      <c r="B117" s="11"/>
      <c r="C117" s="11"/>
      <c r="D117" s="1" t="s">
        <v>300</v>
      </c>
      <c r="E117" s="32">
        <f t="shared" si="38"/>
        <v>757300</v>
      </c>
      <c r="F117" s="32">
        <f>350900+406400</f>
        <v>757300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>
        <f t="shared" si="29"/>
        <v>757300</v>
      </c>
    </row>
    <row r="118" spans="1:16" s="5" customFormat="1" ht="78">
      <c r="A118" s="11"/>
      <c r="B118" s="11"/>
      <c r="C118" s="11"/>
      <c r="D118" s="1" t="s">
        <v>299</v>
      </c>
      <c r="E118" s="32">
        <f t="shared" si="38"/>
        <v>63900</v>
      </c>
      <c r="F118" s="32">
        <v>63900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>
        <f t="shared" si="29"/>
        <v>63900</v>
      </c>
    </row>
    <row r="119" spans="1:16" ht="54.75" customHeight="1">
      <c r="A119" s="24" t="s">
        <v>343</v>
      </c>
      <c r="B119" s="24">
        <v>8110</v>
      </c>
      <c r="C119" s="24" t="s">
        <v>233</v>
      </c>
      <c r="D119" s="8" t="s">
        <v>234</v>
      </c>
      <c r="E119" s="30">
        <f>F119+I119</f>
        <v>60000</v>
      </c>
      <c r="F119" s="30">
        <f>F120</f>
        <v>60000</v>
      </c>
      <c r="G119" s="30"/>
      <c r="H119" s="30"/>
      <c r="I119" s="30"/>
      <c r="J119" s="30">
        <f t="shared" ref="J119" si="40">L119+O119</f>
        <v>0</v>
      </c>
      <c r="K119" s="30">
        <v>0</v>
      </c>
      <c r="L119" s="30"/>
      <c r="M119" s="30"/>
      <c r="N119" s="30"/>
      <c r="O119" s="30">
        <v>0</v>
      </c>
      <c r="P119" s="30">
        <f>E119 + J119</f>
        <v>60000</v>
      </c>
    </row>
    <row r="120" spans="1:16" s="5" customFormat="1" ht="78">
      <c r="A120" s="11"/>
      <c r="B120" s="11"/>
      <c r="C120" s="11"/>
      <c r="D120" s="1" t="s">
        <v>299</v>
      </c>
      <c r="E120" s="32">
        <f t="shared" ref="E120" si="41">F120+I120</f>
        <v>60000</v>
      </c>
      <c r="F120" s="32">
        <v>60000</v>
      </c>
      <c r="G120" s="32"/>
      <c r="H120" s="32"/>
      <c r="I120" s="32"/>
      <c r="J120" s="32"/>
      <c r="K120" s="32"/>
      <c r="L120" s="32"/>
      <c r="M120" s="32"/>
      <c r="N120" s="32"/>
      <c r="O120" s="32"/>
      <c r="P120" s="32">
        <f t="shared" ref="P120" si="42">E120 + J120</f>
        <v>60000</v>
      </c>
    </row>
    <row r="121" spans="1:16" ht="46.8">
      <c r="A121" s="6" t="s">
        <v>161</v>
      </c>
      <c r="B121" s="6" t="s">
        <v>18</v>
      </c>
      <c r="C121" s="6" t="s">
        <v>18</v>
      </c>
      <c r="D121" s="7" t="s">
        <v>162</v>
      </c>
      <c r="E121" s="29">
        <f t="shared" si="38"/>
        <v>3818800</v>
      </c>
      <c r="F121" s="29">
        <f>F122</f>
        <v>3818800</v>
      </c>
      <c r="G121" s="29">
        <f t="shared" ref="G121:I121" si="43">G122</f>
        <v>3396800</v>
      </c>
      <c r="H121" s="29">
        <f t="shared" si="43"/>
        <v>0</v>
      </c>
      <c r="I121" s="29">
        <f t="shared" si="43"/>
        <v>0</v>
      </c>
      <c r="J121" s="29">
        <f t="shared" si="39"/>
        <v>0</v>
      </c>
      <c r="K121" s="29">
        <f>K122</f>
        <v>0</v>
      </c>
      <c r="L121" s="29">
        <f t="shared" ref="L121:O121" si="44">L122</f>
        <v>0</v>
      </c>
      <c r="M121" s="29">
        <f t="shared" si="44"/>
        <v>0</v>
      </c>
      <c r="N121" s="29">
        <f t="shared" si="44"/>
        <v>0</v>
      </c>
      <c r="O121" s="29">
        <f t="shared" si="44"/>
        <v>0</v>
      </c>
      <c r="P121" s="29">
        <f t="shared" si="29"/>
        <v>3818800</v>
      </c>
    </row>
    <row r="122" spans="1:16" ht="46.8">
      <c r="A122" s="6" t="s">
        <v>163</v>
      </c>
      <c r="B122" s="6" t="s">
        <v>18</v>
      </c>
      <c r="C122" s="6" t="s">
        <v>18</v>
      </c>
      <c r="D122" s="7" t="s">
        <v>162</v>
      </c>
      <c r="E122" s="29">
        <f t="shared" si="38"/>
        <v>3818800</v>
      </c>
      <c r="F122" s="29">
        <f>SUM(F123:F126)</f>
        <v>3818800</v>
      </c>
      <c r="G122" s="29">
        <f>SUM(G123:G126)</f>
        <v>3396800</v>
      </c>
      <c r="H122" s="29">
        <f>SUM(H123:H126)</f>
        <v>0</v>
      </c>
      <c r="I122" s="29">
        <f>SUM(I123:I126)</f>
        <v>0</v>
      </c>
      <c r="J122" s="29">
        <f t="shared" si="39"/>
        <v>0</v>
      </c>
      <c r="K122" s="29">
        <f>SUM(K123:K126)</f>
        <v>0</v>
      </c>
      <c r="L122" s="29">
        <f>SUM(L123:L126)</f>
        <v>0</v>
      </c>
      <c r="M122" s="29">
        <f>SUM(M123:M126)</f>
        <v>0</v>
      </c>
      <c r="N122" s="29">
        <f>SUM(N123:N126)</f>
        <v>0</v>
      </c>
      <c r="O122" s="29">
        <f>SUM(O123:O126)</f>
        <v>0</v>
      </c>
      <c r="P122" s="29">
        <f t="shared" si="29"/>
        <v>3818800</v>
      </c>
    </row>
    <row r="123" spans="1:16" ht="66" customHeight="1">
      <c r="A123" s="25" t="s">
        <v>164</v>
      </c>
      <c r="B123" s="25" t="s">
        <v>74</v>
      </c>
      <c r="C123" s="25" t="s">
        <v>23</v>
      </c>
      <c r="D123" s="8" t="s">
        <v>75</v>
      </c>
      <c r="E123" s="30">
        <f t="shared" si="38"/>
        <v>3465300</v>
      </c>
      <c r="F123" s="30">
        <f>3475300-10000</f>
        <v>3465300</v>
      </c>
      <c r="G123" s="30">
        <v>3396800</v>
      </c>
      <c r="H123" s="30">
        <v>0</v>
      </c>
      <c r="I123" s="30">
        <v>0</v>
      </c>
      <c r="J123" s="30">
        <f t="shared" si="39"/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f t="shared" si="29"/>
        <v>3465300</v>
      </c>
    </row>
    <row r="124" spans="1:16" ht="46.8">
      <c r="A124" s="24" t="s">
        <v>344</v>
      </c>
      <c r="B124" s="25" t="s">
        <v>26</v>
      </c>
      <c r="C124" s="25" t="s">
        <v>27</v>
      </c>
      <c r="D124" s="8" t="s">
        <v>28</v>
      </c>
      <c r="E124" s="30">
        <f t="shared" si="38"/>
        <v>6500</v>
      </c>
      <c r="F124" s="30">
        <v>6500</v>
      </c>
      <c r="G124" s="30">
        <v>0</v>
      </c>
      <c r="H124" s="30">
        <v>0</v>
      </c>
      <c r="I124" s="30">
        <v>0</v>
      </c>
      <c r="J124" s="30">
        <f t="shared" si="39"/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f t="shared" ref="P124" si="45">E124 + J124</f>
        <v>6500</v>
      </c>
    </row>
    <row r="125" spans="1:16" ht="31.2">
      <c r="A125" s="25" t="s">
        <v>165</v>
      </c>
      <c r="B125" s="25" t="s">
        <v>166</v>
      </c>
      <c r="C125" s="25" t="s">
        <v>114</v>
      </c>
      <c r="D125" s="8" t="s">
        <v>167</v>
      </c>
      <c r="E125" s="30">
        <f t="shared" si="38"/>
        <v>328000</v>
      </c>
      <c r="F125" s="30">
        <f>278000+50000</f>
        <v>328000</v>
      </c>
      <c r="G125" s="30">
        <v>0</v>
      </c>
      <c r="H125" s="30">
        <v>0</v>
      </c>
      <c r="I125" s="30">
        <v>0</v>
      </c>
      <c r="J125" s="30">
        <f t="shared" si="39"/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f t="shared" si="29"/>
        <v>328000</v>
      </c>
    </row>
    <row r="126" spans="1:16" ht="31.2">
      <c r="A126" s="24" t="s">
        <v>283</v>
      </c>
      <c r="B126" s="24" t="s">
        <v>275</v>
      </c>
      <c r="C126" s="24" t="s">
        <v>277</v>
      </c>
      <c r="D126" s="8" t="s">
        <v>276</v>
      </c>
      <c r="E126" s="30">
        <f t="shared" si="38"/>
        <v>19000</v>
      </c>
      <c r="F126" s="30">
        <f>9000+10000</f>
        <v>19000</v>
      </c>
      <c r="G126" s="30"/>
      <c r="H126" s="30"/>
      <c r="I126" s="30"/>
      <c r="J126" s="30">
        <f t="shared" si="39"/>
        <v>0</v>
      </c>
      <c r="K126" s="30"/>
      <c r="L126" s="30"/>
      <c r="M126" s="30"/>
      <c r="N126" s="30"/>
      <c r="O126" s="30"/>
      <c r="P126" s="30">
        <f t="shared" si="29"/>
        <v>19000</v>
      </c>
    </row>
    <row r="127" spans="1:16" ht="46.8">
      <c r="A127" s="6" t="s">
        <v>168</v>
      </c>
      <c r="B127" s="6" t="s">
        <v>18</v>
      </c>
      <c r="C127" s="6" t="s">
        <v>18</v>
      </c>
      <c r="D127" s="7" t="s">
        <v>169</v>
      </c>
      <c r="E127" s="29">
        <f t="shared" si="38"/>
        <v>70102074</v>
      </c>
      <c r="F127" s="29">
        <f>F128</f>
        <v>69230100</v>
      </c>
      <c r="G127" s="29">
        <f t="shared" ref="G127:I127" si="46">G128</f>
        <v>57874500</v>
      </c>
      <c r="H127" s="29">
        <f t="shared" si="46"/>
        <v>3832400</v>
      </c>
      <c r="I127" s="29">
        <f t="shared" si="46"/>
        <v>871974</v>
      </c>
      <c r="J127" s="29">
        <f t="shared" si="39"/>
        <v>1400000</v>
      </c>
      <c r="K127" s="29">
        <f>K128</f>
        <v>0</v>
      </c>
      <c r="L127" s="29">
        <f t="shared" ref="L127:O127" si="47">L128</f>
        <v>1170000</v>
      </c>
      <c r="M127" s="29">
        <f t="shared" si="47"/>
        <v>511100</v>
      </c>
      <c r="N127" s="29">
        <f t="shared" si="47"/>
        <v>0</v>
      </c>
      <c r="O127" s="29">
        <f t="shared" si="47"/>
        <v>230000</v>
      </c>
      <c r="P127" s="29">
        <f t="shared" si="29"/>
        <v>71502074</v>
      </c>
    </row>
    <row r="128" spans="1:16" ht="46.8">
      <c r="A128" s="6" t="s">
        <v>170</v>
      </c>
      <c r="B128" s="6" t="s">
        <v>18</v>
      </c>
      <c r="C128" s="6" t="s">
        <v>18</v>
      </c>
      <c r="D128" s="7" t="s">
        <v>169</v>
      </c>
      <c r="E128" s="29">
        <f t="shared" si="38"/>
        <v>70102074</v>
      </c>
      <c r="F128" s="29">
        <f>SUM(F129:F139)</f>
        <v>69230100</v>
      </c>
      <c r="G128" s="29">
        <f t="shared" ref="G128:K128" si="48">SUM(G129:G139)</f>
        <v>57874500</v>
      </c>
      <c r="H128" s="29">
        <f t="shared" si="48"/>
        <v>3832400</v>
      </c>
      <c r="I128" s="29">
        <f t="shared" si="48"/>
        <v>871974</v>
      </c>
      <c r="J128" s="29">
        <f t="shared" si="39"/>
        <v>1400000</v>
      </c>
      <c r="K128" s="29">
        <f t="shared" si="48"/>
        <v>0</v>
      </c>
      <c r="L128" s="29">
        <f t="shared" ref="L128" si="49">SUM(L129:L139)</f>
        <v>1170000</v>
      </c>
      <c r="M128" s="29">
        <f t="shared" ref="M128" si="50">SUM(M129:M139)</f>
        <v>511100</v>
      </c>
      <c r="N128" s="29">
        <f t="shared" ref="N128" si="51">SUM(N129:N139)</f>
        <v>0</v>
      </c>
      <c r="O128" s="29">
        <f t="shared" ref="O128" si="52">SUM(O129:O139)</f>
        <v>230000</v>
      </c>
      <c r="P128" s="29">
        <f t="shared" si="29"/>
        <v>71502074</v>
      </c>
    </row>
    <row r="129" spans="1:16" ht="54" customHeight="1">
      <c r="A129" s="25" t="s">
        <v>171</v>
      </c>
      <c r="B129" s="25" t="s">
        <v>74</v>
      </c>
      <c r="C129" s="25" t="s">
        <v>23</v>
      </c>
      <c r="D129" s="8" t="s">
        <v>75</v>
      </c>
      <c r="E129" s="30">
        <f t="shared" si="38"/>
        <v>1373800</v>
      </c>
      <c r="F129" s="30">
        <v>1373800</v>
      </c>
      <c r="G129" s="30">
        <v>1342800</v>
      </c>
      <c r="H129" s="30">
        <v>0</v>
      </c>
      <c r="I129" s="30">
        <v>0</v>
      </c>
      <c r="J129" s="30">
        <f t="shared" si="39"/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f t="shared" si="29"/>
        <v>1373800</v>
      </c>
    </row>
    <row r="130" spans="1:16" ht="46.8">
      <c r="A130" s="24" t="s">
        <v>345</v>
      </c>
      <c r="B130" s="25" t="s">
        <v>26</v>
      </c>
      <c r="C130" s="25" t="s">
        <v>27</v>
      </c>
      <c r="D130" s="8" t="s">
        <v>28</v>
      </c>
      <c r="E130" s="30">
        <f t="shared" ref="E130" si="53">F130+I130</f>
        <v>4000</v>
      </c>
      <c r="F130" s="30">
        <v>4000</v>
      </c>
      <c r="G130" s="30">
        <v>0</v>
      </c>
      <c r="H130" s="30">
        <v>0</v>
      </c>
      <c r="I130" s="30">
        <v>0</v>
      </c>
      <c r="J130" s="30">
        <f t="shared" ref="J130" si="54">L130+O130</f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f t="shared" si="29"/>
        <v>4000</v>
      </c>
    </row>
    <row r="131" spans="1:16" ht="31.2">
      <c r="A131" s="25" t="s">
        <v>172</v>
      </c>
      <c r="B131" s="25" t="s">
        <v>173</v>
      </c>
      <c r="C131" s="25" t="s">
        <v>96</v>
      </c>
      <c r="D131" s="8" t="s">
        <v>174</v>
      </c>
      <c r="E131" s="30">
        <f t="shared" si="38"/>
        <v>32076400</v>
      </c>
      <c r="F131" s="30">
        <f>29010800+3900000+740000-1574400</f>
        <v>32076400</v>
      </c>
      <c r="G131" s="30">
        <f>27112900+4640000-1574400</f>
        <v>30178500</v>
      </c>
      <c r="H131" s="30">
        <v>735900</v>
      </c>
      <c r="I131" s="30">
        <v>0</v>
      </c>
      <c r="J131" s="30">
        <f t="shared" si="39"/>
        <v>1090000</v>
      </c>
      <c r="K131" s="30">
        <v>0</v>
      </c>
      <c r="L131" s="30">
        <v>890000</v>
      </c>
      <c r="M131" s="30">
        <v>499100</v>
      </c>
      <c r="N131" s="30">
        <v>0</v>
      </c>
      <c r="O131" s="30">
        <v>200000</v>
      </c>
      <c r="P131" s="30">
        <f t="shared" si="29"/>
        <v>33166400</v>
      </c>
    </row>
    <row r="132" spans="1:16" ht="108.75" customHeight="1">
      <c r="A132" s="25" t="s">
        <v>175</v>
      </c>
      <c r="B132" s="25" t="s">
        <v>113</v>
      </c>
      <c r="C132" s="25" t="s">
        <v>114</v>
      </c>
      <c r="D132" s="8" t="s">
        <v>115</v>
      </c>
      <c r="E132" s="30">
        <f t="shared" si="38"/>
        <v>170000</v>
      </c>
      <c r="F132" s="30">
        <v>170000</v>
      </c>
      <c r="G132" s="30">
        <v>0</v>
      </c>
      <c r="H132" s="30">
        <v>0</v>
      </c>
      <c r="I132" s="30">
        <v>0</v>
      </c>
      <c r="J132" s="30">
        <f t="shared" si="39"/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f t="shared" si="29"/>
        <v>170000</v>
      </c>
    </row>
    <row r="133" spans="1:16">
      <c r="A133" s="25" t="s">
        <v>176</v>
      </c>
      <c r="B133" s="25" t="s">
        <v>177</v>
      </c>
      <c r="C133" s="25" t="s">
        <v>178</v>
      </c>
      <c r="D133" s="8" t="s">
        <v>179</v>
      </c>
      <c r="E133" s="30">
        <f t="shared" si="38"/>
        <v>11304475</v>
      </c>
      <c r="F133" s="30">
        <v>11148800</v>
      </c>
      <c r="G133" s="30">
        <v>8446400</v>
      </c>
      <c r="H133" s="30">
        <v>1273200</v>
      </c>
      <c r="I133" s="30">
        <v>155675</v>
      </c>
      <c r="J133" s="30">
        <f t="shared" si="39"/>
        <v>80000</v>
      </c>
      <c r="K133" s="30">
        <v>0</v>
      </c>
      <c r="L133" s="30">
        <f>80000</f>
        <v>80000</v>
      </c>
      <c r="M133" s="30">
        <v>0</v>
      </c>
      <c r="N133" s="30">
        <v>0</v>
      </c>
      <c r="O133" s="30">
        <v>0</v>
      </c>
      <c r="P133" s="30">
        <f t="shared" si="29"/>
        <v>11384475</v>
      </c>
    </row>
    <row r="134" spans="1:16" ht="31.2">
      <c r="A134" s="25" t="s">
        <v>180</v>
      </c>
      <c r="B134" s="25" t="s">
        <v>181</v>
      </c>
      <c r="C134" s="25" t="s">
        <v>178</v>
      </c>
      <c r="D134" s="8" t="s">
        <v>182</v>
      </c>
      <c r="E134" s="30">
        <f t="shared" si="38"/>
        <v>4744900</v>
      </c>
      <c r="F134" s="30">
        <f>4329900+375000</f>
        <v>4704900</v>
      </c>
      <c r="G134" s="30">
        <v>2944500</v>
      </c>
      <c r="H134" s="30">
        <v>553800</v>
      </c>
      <c r="I134" s="30">
        <v>40000</v>
      </c>
      <c r="J134" s="30">
        <f t="shared" si="39"/>
        <v>40000</v>
      </c>
      <c r="K134" s="30">
        <v>0</v>
      </c>
      <c r="L134" s="30">
        <v>40000</v>
      </c>
      <c r="M134" s="30">
        <v>0</v>
      </c>
      <c r="N134" s="30">
        <v>0</v>
      </c>
      <c r="O134" s="30">
        <v>0</v>
      </c>
      <c r="P134" s="30">
        <f t="shared" si="29"/>
        <v>4784900</v>
      </c>
    </row>
    <row r="135" spans="1:16" ht="46.8">
      <c r="A135" s="25" t="s">
        <v>183</v>
      </c>
      <c r="B135" s="25" t="s">
        <v>184</v>
      </c>
      <c r="C135" s="25" t="s">
        <v>185</v>
      </c>
      <c r="D135" s="8" t="s">
        <v>186</v>
      </c>
      <c r="E135" s="30">
        <f t="shared" si="38"/>
        <v>15700199</v>
      </c>
      <c r="F135" s="30">
        <v>15603900</v>
      </c>
      <c r="G135" s="30">
        <v>12105600</v>
      </c>
      <c r="H135" s="30">
        <v>1194900</v>
      </c>
      <c r="I135" s="30">
        <v>96299</v>
      </c>
      <c r="J135" s="30">
        <f t="shared" si="39"/>
        <v>190000</v>
      </c>
      <c r="K135" s="30">
        <v>0</v>
      </c>
      <c r="L135" s="30">
        <v>160000</v>
      </c>
      <c r="M135" s="30">
        <f>10000+2000</f>
        <v>12000</v>
      </c>
      <c r="N135" s="30">
        <v>0</v>
      </c>
      <c r="O135" s="30">
        <v>30000</v>
      </c>
      <c r="P135" s="30">
        <f t="shared" si="29"/>
        <v>15890199</v>
      </c>
    </row>
    <row r="136" spans="1:16" ht="31.2">
      <c r="A136" s="25" t="s">
        <v>187</v>
      </c>
      <c r="B136" s="25" t="s">
        <v>188</v>
      </c>
      <c r="C136" s="25" t="s">
        <v>189</v>
      </c>
      <c r="D136" s="8" t="s">
        <v>190</v>
      </c>
      <c r="E136" s="30">
        <f t="shared" si="38"/>
        <v>2999300</v>
      </c>
      <c r="F136" s="30">
        <v>2999300</v>
      </c>
      <c r="G136" s="30">
        <v>2856700</v>
      </c>
      <c r="H136" s="30">
        <v>74600</v>
      </c>
      <c r="I136" s="30">
        <v>0</v>
      </c>
      <c r="J136" s="30">
        <f t="shared" si="39"/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f t="shared" si="29"/>
        <v>2999300</v>
      </c>
    </row>
    <row r="137" spans="1:16" ht="31.2">
      <c r="A137" s="25" t="s">
        <v>191</v>
      </c>
      <c r="B137" s="25" t="s">
        <v>192</v>
      </c>
      <c r="C137" s="25" t="s">
        <v>189</v>
      </c>
      <c r="D137" s="8" t="s">
        <v>193</v>
      </c>
      <c r="E137" s="30">
        <f t="shared" si="38"/>
        <v>879000</v>
      </c>
      <c r="F137" s="30">
        <f>750000+129000</f>
        <v>879000</v>
      </c>
      <c r="G137" s="30">
        <v>0</v>
      </c>
      <c r="H137" s="30">
        <v>0</v>
      </c>
      <c r="I137" s="30">
        <v>0</v>
      </c>
      <c r="J137" s="30">
        <f t="shared" si="39"/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f t="shared" si="29"/>
        <v>879000</v>
      </c>
    </row>
    <row r="138" spans="1:16" ht="31.2">
      <c r="A138" s="24" t="s">
        <v>284</v>
      </c>
      <c r="B138" s="24" t="s">
        <v>275</v>
      </c>
      <c r="C138" s="24" t="s">
        <v>277</v>
      </c>
      <c r="D138" s="8" t="s">
        <v>276</v>
      </c>
      <c r="E138" s="30">
        <f t="shared" si="38"/>
        <v>235000</v>
      </c>
      <c r="F138" s="30">
        <v>205000</v>
      </c>
      <c r="G138" s="30"/>
      <c r="H138" s="30"/>
      <c r="I138" s="30">
        <v>30000</v>
      </c>
      <c r="J138" s="30">
        <f t="shared" si="39"/>
        <v>0</v>
      </c>
      <c r="K138" s="30">
        <v>0</v>
      </c>
      <c r="L138" s="30"/>
      <c r="M138" s="30"/>
      <c r="N138" s="30"/>
      <c r="O138" s="30">
        <v>0</v>
      </c>
      <c r="P138" s="30">
        <f t="shared" si="29"/>
        <v>235000</v>
      </c>
    </row>
    <row r="139" spans="1:16" ht="54.75" customHeight="1">
      <c r="A139" s="24" t="s">
        <v>346</v>
      </c>
      <c r="B139" s="24">
        <v>8110</v>
      </c>
      <c r="C139" s="24" t="s">
        <v>233</v>
      </c>
      <c r="D139" s="8" t="s">
        <v>234</v>
      </c>
      <c r="E139" s="30">
        <f>F139+I139</f>
        <v>615000</v>
      </c>
      <c r="F139" s="30">
        <v>65000</v>
      </c>
      <c r="G139" s="30"/>
      <c r="H139" s="30"/>
      <c r="I139" s="30">
        <v>550000</v>
      </c>
      <c r="J139" s="30">
        <f t="shared" si="39"/>
        <v>0</v>
      </c>
      <c r="K139" s="30">
        <v>0</v>
      </c>
      <c r="L139" s="30"/>
      <c r="M139" s="30"/>
      <c r="N139" s="30"/>
      <c r="O139" s="30">
        <v>0</v>
      </c>
      <c r="P139" s="30">
        <f>E139 + J139</f>
        <v>615000</v>
      </c>
    </row>
    <row r="140" spans="1:16" ht="46.8">
      <c r="A140" s="6" t="s">
        <v>194</v>
      </c>
      <c r="B140" s="6" t="s">
        <v>18</v>
      </c>
      <c r="C140" s="6" t="s">
        <v>18</v>
      </c>
      <c r="D140" s="7" t="s">
        <v>195</v>
      </c>
      <c r="E140" s="29">
        <f t="shared" si="38"/>
        <v>20977150</v>
      </c>
      <c r="F140" s="29">
        <f>F141</f>
        <v>12541300</v>
      </c>
      <c r="G140" s="29">
        <f t="shared" ref="G140:I140" si="55">G141</f>
        <v>3696300</v>
      </c>
      <c r="H140" s="29">
        <f t="shared" si="55"/>
        <v>78300</v>
      </c>
      <c r="I140" s="29">
        <f t="shared" si="55"/>
        <v>8435850</v>
      </c>
      <c r="J140" s="29">
        <f t="shared" si="39"/>
        <v>4340995.8600000003</v>
      </c>
      <c r="K140" s="29">
        <f>K141</f>
        <v>0</v>
      </c>
      <c r="L140" s="29">
        <f t="shared" ref="L140:O140" si="56">L141</f>
        <v>0</v>
      </c>
      <c r="M140" s="29">
        <f t="shared" si="56"/>
        <v>0</v>
      </c>
      <c r="N140" s="29">
        <f t="shared" si="56"/>
        <v>0</v>
      </c>
      <c r="O140" s="29">
        <f t="shared" si="56"/>
        <v>4340995.8600000003</v>
      </c>
      <c r="P140" s="29">
        <f t="shared" si="29"/>
        <v>25318145.859999999</v>
      </c>
    </row>
    <row r="141" spans="1:16" ht="46.8">
      <c r="A141" s="6" t="s">
        <v>196</v>
      </c>
      <c r="B141" s="6" t="s">
        <v>18</v>
      </c>
      <c r="C141" s="6" t="s">
        <v>18</v>
      </c>
      <c r="D141" s="7" t="s">
        <v>195</v>
      </c>
      <c r="E141" s="29">
        <f t="shared" si="38"/>
        <v>20977150</v>
      </c>
      <c r="F141" s="29">
        <f>SUM(F142:F151)</f>
        <v>12541300</v>
      </c>
      <c r="G141" s="29">
        <f t="shared" ref="G141:K141" si="57">SUM(G142:G151)</f>
        <v>3696300</v>
      </c>
      <c r="H141" s="29">
        <f t="shared" si="57"/>
        <v>78300</v>
      </c>
      <c r="I141" s="29">
        <f t="shared" si="57"/>
        <v>8435850</v>
      </c>
      <c r="J141" s="29">
        <f t="shared" si="39"/>
        <v>4340995.8600000003</v>
      </c>
      <c r="K141" s="29">
        <f t="shared" si="57"/>
        <v>0</v>
      </c>
      <c r="L141" s="29">
        <f t="shared" ref="L141" si="58">SUM(L142:L151)</f>
        <v>0</v>
      </c>
      <c r="M141" s="29">
        <f t="shared" ref="M141" si="59">SUM(M142:M151)</f>
        <v>0</v>
      </c>
      <c r="N141" s="29">
        <f t="shared" ref="N141" si="60">SUM(N142:N151)</f>
        <v>0</v>
      </c>
      <c r="O141" s="29">
        <f t="shared" ref="O141" si="61">SUM(O142:O151)</f>
        <v>4340995.8600000003</v>
      </c>
      <c r="P141" s="29">
        <f t="shared" si="29"/>
        <v>25318145.859999999</v>
      </c>
    </row>
    <row r="142" spans="1:16" ht="71.25" customHeight="1">
      <c r="A142" s="25" t="s">
        <v>197</v>
      </c>
      <c r="B142" s="25" t="s">
        <v>74</v>
      </c>
      <c r="C142" s="25" t="s">
        <v>23</v>
      </c>
      <c r="D142" s="8" t="s">
        <v>75</v>
      </c>
      <c r="E142" s="30">
        <f t="shared" si="38"/>
        <v>3006000</v>
      </c>
      <c r="F142" s="30">
        <v>3006000</v>
      </c>
      <c r="G142" s="30">
        <v>2895700</v>
      </c>
      <c r="H142" s="30">
        <v>0</v>
      </c>
      <c r="I142" s="30">
        <v>0</v>
      </c>
      <c r="J142" s="30">
        <f t="shared" si="39"/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f t="shared" si="29"/>
        <v>3006000</v>
      </c>
    </row>
    <row r="143" spans="1:16" ht="46.8">
      <c r="A143" s="24" t="s">
        <v>347</v>
      </c>
      <c r="B143" s="25" t="s">
        <v>26</v>
      </c>
      <c r="C143" s="25" t="s">
        <v>27</v>
      </c>
      <c r="D143" s="8" t="s">
        <v>28</v>
      </c>
      <c r="E143" s="30">
        <f t="shared" si="38"/>
        <v>9000</v>
      </c>
      <c r="F143" s="30">
        <v>9000</v>
      </c>
      <c r="G143" s="30">
        <v>0</v>
      </c>
      <c r="H143" s="30">
        <v>0</v>
      </c>
      <c r="I143" s="30">
        <v>0</v>
      </c>
      <c r="J143" s="30">
        <f t="shared" si="39"/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f t="shared" ref="P143" si="62">E143 + J143</f>
        <v>9000</v>
      </c>
    </row>
    <row r="144" spans="1:16" ht="62.4">
      <c r="A144" s="25" t="s">
        <v>198</v>
      </c>
      <c r="B144" s="25" t="s">
        <v>199</v>
      </c>
      <c r="C144" s="25" t="s">
        <v>114</v>
      </c>
      <c r="D144" s="8" t="s">
        <v>323</v>
      </c>
      <c r="E144" s="30">
        <f t="shared" si="38"/>
        <v>2429000</v>
      </c>
      <c r="F144" s="30">
        <v>2429000</v>
      </c>
      <c r="G144" s="30">
        <v>800600</v>
      </c>
      <c r="H144" s="30">
        <v>78300</v>
      </c>
      <c r="I144" s="30">
        <v>0</v>
      </c>
      <c r="J144" s="30">
        <f t="shared" si="39"/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f t="shared" si="29"/>
        <v>2429000</v>
      </c>
    </row>
    <row r="145" spans="1:16" ht="46.8">
      <c r="A145" s="25" t="s">
        <v>200</v>
      </c>
      <c r="B145" s="25" t="s">
        <v>201</v>
      </c>
      <c r="C145" s="25" t="s">
        <v>119</v>
      </c>
      <c r="D145" s="8" t="s">
        <v>202</v>
      </c>
      <c r="E145" s="30">
        <f t="shared" si="38"/>
        <v>1579400</v>
      </c>
      <c r="F145" s="30">
        <f>1529900+49500</f>
        <v>1579400</v>
      </c>
      <c r="G145" s="30">
        <v>0</v>
      </c>
      <c r="H145" s="30">
        <v>0</v>
      </c>
      <c r="I145" s="30">
        <v>0</v>
      </c>
      <c r="J145" s="30">
        <f t="shared" si="39"/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f t="shared" si="29"/>
        <v>1579400</v>
      </c>
    </row>
    <row r="146" spans="1:16" ht="46.8">
      <c r="A146" s="25" t="s">
        <v>203</v>
      </c>
      <c r="B146" s="25" t="s">
        <v>204</v>
      </c>
      <c r="C146" s="25" t="s">
        <v>119</v>
      </c>
      <c r="D146" s="8" t="s">
        <v>205</v>
      </c>
      <c r="E146" s="30">
        <f t="shared" si="38"/>
        <v>1104500</v>
      </c>
      <c r="F146" s="30">
        <f>1055000+49500</f>
        <v>1104500</v>
      </c>
      <c r="G146" s="30">
        <v>0</v>
      </c>
      <c r="H146" s="30">
        <v>0</v>
      </c>
      <c r="I146" s="30">
        <v>0</v>
      </c>
      <c r="J146" s="30">
        <f t="shared" si="39"/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f t="shared" si="29"/>
        <v>1104500</v>
      </c>
    </row>
    <row r="147" spans="1:16" ht="35.4" customHeight="1">
      <c r="A147" s="25">
        <v>1115048</v>
      </c>
      <c r="B147" s="25">
        <v>5048</v>
      </c>
      <c r="C147" s="24" t="s">
        <v>119</v>
      </c>
      <c r="D147" s="8" t="s">
        <v>408</v>
      </c>
      <c r="E147" s="30">
        <f>F147+I147</f>
        <v>8435850</v>
      </c>
      <c r="F147" s="30"/>
      <c r="G147" s="30"/>
      <c r="H147" s="30"/>
      <c r="I147" s="30">
        <v>8435850</v>
      </c>
      <c r="J147" s="30">
        <f>L147+O147</f>
        <v>0</v>
      </c>
      <c r="K147" s="30"/>
      <c r="L147" s="30"/>
      <c r="M147" s="30"/>
      <c r="N147" s="30"/>
      <c r="O147" s="30"/>
      <c r="P147" s="30">
        <f>E147 + J147</f>
        <v>8435850</v>
      </c>
    </row>
    <row r="148" spans="1:16" ht="71.25" customHeight="1">
      <c r="A148" s="25">
        <v>1115049</v>
      </c>
      <c r="B148" s="25">
        <v>5049</v>
      </c>
      <c r="C148" s="25" t="s">
        <v>119</v>
      </c>
      <c r="D148" s="8" t="s">
        <v>331</v>
      </c>
      <c r="E148" s="30">
        <f t="shared" si="38"/>
        <v>40000</v>
      </c>
      <c r="F148" s="30">
        <v>40000</v>
      </c>
      <c r="G148" s="30"/>
      <c r="H148" s="30"/>
      <c r="I148" s="30">
        <v>0</v>
      </c>
      <c r="J148" s="30"/>
      <c r="K148" s="30"/>
      <c r="L148" s="30"/>
      <c r="M148" s="30"/>
      <c r="N148" s="30"/>
      <c r="O148" s="30"/>
      <c r="P148" s="30">
        <f t="shared" si="29"/>
        <v>40000</v>
      </c>
    </row>
    <row r="149" spans="1:16" ht="84" customHeight="1">
      <c r="A149" s="25" t="s">
        <v>206</v>
      </c>
      <c r="B149" s="25" t="s">
        <v>207</v>
      </c>
      <c r="C149" s="25" t="s">
        <v>119</v>
      </c>
      <c r="D149" s="8" t="s">
        <v>356</v>
      </c>
      <c r="E149" s="30">
        <f t="shared" si="38"/>
        <v>4296800</v>
      </c>
      <c r="F149" s="30">
        <v>4296800</v>
      </c>
      <c r="G149" s="30">
        <v>0</v>
      </c>
      <c r="H149" s="30">
        <v>0</v>
      </c>
      <c r="I149" s="30">
        <v>0</v>
      </c>
      <c r="J149" s="30">
        <f t="shared" si="39"/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f t="shared" si="29"/>
        <v>4296800</v>
      </c>
    </row>
    <row r="150" spans="1:16" ht="31.2">
      <c r="A150" s="24" t="s">
        <v>285</v>
      </c>
      <c r="B150" s="24" t="s">
        <v>275</v>
      </c>
      <c r="C150" s="24" t="s">
        <v>277</v>
      </c>
      <c r="D150" s="8" t="s">
        <v>276</v>
      </c>
      <c r="E150" s="30">
        <f t="shared" si="38"/>
        <v>76600</v>
      </c>
      <c r="F150" s="30">
        <v>76600</v>
      </c>
      <c r="G150" s="30"/>
      <c r="H150" s="30"/>
      <c r="I150" s="30"/>
      <c r="J150" s="30">
        <f t="shared" ref="J150:J151" si="63">L150+O150</f>
        <v>0</v>
      </c>
      <c r="K150" s="30"/>
      <c r="L150" s="30"/>
      <c r="M150" s="30"/>
      <c r="N150" s="30"/>
      <c r="O150" s="30"/>
      <c r="P150" s="30">
        <f t="shared" si="29"/>
        <v>76600</v>
      </c>
    </row>
    <row r="151" spans="1:16" ht="140.4">
      <c r="A151" s="24" t="s">
        <v>394</v>
      </c>
      <c r="B151" s="24" t="s">
        <v>395</v>
      </c>
      <c r="C151" s="24" t="s">
        <v>58</v>
      </c>
      <c r="D151" s="8" t="s">
        <v>396</v>
      </c>
      <c r="E151" s="30">
        <f t="shared" si="38"/>
        <v>0</v>
      </c>
      <c r="F151" s="30"/>
      <c r="G151" s="30"/>
      <c r="H151" s="30"/>
      <c r="I151" s="30"/>
      <c r="J151" s="30">
        <f t="shared" si="63"/>
        <v>4340995.8600000003</v>
      </c>
      <c r="K151" s="30"/>
      <c r="L151" s="30"/>
      <c r="M151" s="30"/>
      <c r="N151" s="30"/>
      <c r="O151" s="30">
        <v>4340995.8600000003</v>
      </c>
      <c r="P151" s="30">
        <f t="shared" si="29"/>
        <v>4340995.8600000003</v>
      </c>
    </row>
    <row r="152" spans="1:16" ht="62.4">
      <c r="A152" s="6" t="s">
        <v>208</v>
      </c>
      <c r="B152" s="6" t="s">
        <v>18</v>
      </c>
      <c r="C152" s="6" t="s">
        <v>18</v>
      </c>
      <c r="D152" s="7" t="s">
        <v>209</v>
      </c>
      <c r="E152" s="29">
        <f t="shared" si="38"/>
        <v>234998957</v>
      </c>
      <c r="F152" s="29">
        <f>F153</f>
        <v>49700819</v>
      </c>
      <c r="G152" s="29">
        <f t="shared" ref="G152:I152" si="64">G153</f>
        <v>5752900</v>
      </c>
      <c r="H152" s="29">
        <f t="shared" si="64"/>
        <v>15900</v>
      </c>
      <c r="I152" s="29">
        <f t="shared" si="64"/>
        <v>185298138</v>
      </c>
      <c r="J152" s="29">
        <f t="shared" si="39"/>
        <v>11568975.67</v>
      </c>
      <c r="K152" s="29">
        <f>K153</f>
        <v>5116500</v>
      </c>
      <c r="L152" s="29">
        <f t="shared" ref="L152:O152" si="65">L153</f>
        <v>989184</v>
      </c>
      <c r="M152" s="29">
        <f t="shared" si="65"/>
        <v>0</v>
      </c>
      <c r="N152" s="29">
        <f t="shared" si="65"/>
        <v>0</v>
      </c>
      <c r="O152" s="29">
        <f t="shared" si="65"/>
        <v>10579791.67</v>
      </c>
      <c r="P152" s="29">
        <f t="shared" si="29"/>
        <v>246567932.66999999</v>
      </c>
    </row>
    <row r="153" spans="1:16" ht="62.4">
      <c r="A153" s="6" t="s">
        <v>210</v>
      </c>
      <c r="B153" s="6" t="s">
        <v>18</v>
      </c>
      <c r="C153" s="6" t="s">
        <v>18</v>
      </c>
      <c r="D153" s="7" t="s">
        <v>209</v>
      </c>
      <c r="E153" s="29">
        <f>F153+I153</f>
        <v>234998957</v>
      </c>
      <c r="F153" s="29">
        <f>SUM(F154:F169)</f>
        <v>49700819</v>
      </c>
      <c r="G153" s="29">
        <f>SUM(G154:G169)</f>
        <v>5752900</v>
      </c>
      <c r="H153" s="29">
        <f>SUM(H154:H169)</f>
        <v>15900</v>
      </c>
      <c r="I153" s="29">
        <f>SUM(I154:I169)</f>
        <v>185298138</v>
      </c>
      <c r="J153" s="29">
        <f t="shared" si="39"/>
        <v>11568975.67</v>
      </c>
      <c r="K153" s="29">
        <f>SUM(K154:K169)</f>
        <v>5116500</v>
      </c>
      <c r="L153" s="29">
        <f>SUM(L154:L169)</f>
        <v>989184</v>
      </c>
      <c r="M153" s="29">
        <f>SUM(M154:M169)</f>
        <v>0</v>
      </c>
      <c r="N153" s="29">
        <f>SUM(N154:N169)</f>
        <v>0</v>
      </c>
      <c r="O153" s="29">
        <f>SUM(O154:O169)</f>
        <v>10579791.67</v>
      </c>
      <c r="P153" s="29">
        <f>E153 + J153</f>
        <v>246567932.66999999</v>
      </c>
    </row>
    <row r="154" spans="1:16" ht="46.8">
      <c r="A154" s="25" t="s">
        <v>211</v>
      </c>
      <c r="B154" s="25" t="s">
        <v>74</v>
      </c>
      <c r="C154" s="25" t="s">
        <v>23</v>
      </c>
      <c r="D154" s="8" t="s">
        <v>75</v>
      </c>
      <c r="E154" s="30">
        <f t="shared" si="38"/>
        <v>6100200</v>
      </c>
      <c r="F154" s="30">
        <v>6100200</v>
      </c>
      <c r="G154" s="30">
        <v>5752900</v>
      </c>
      <c r="H154" s="30">
        <v>15900</v>
      </c>
      <c r="I154" s="30">
        <v>0</v>
      </c>
      <c r="J154" s="30">
        <f t="shared" si="39"/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f t="shared" si="29"/>
        <v>6100200</v>
      </c>
    </row>
    <row r="155" spans="1:16" ht="46.8">
      <c r="A155" s="25" t="s">
        <v>212</v>
      </c>
      <c r="B155" s="25" t="s">
        <v>26</v>
      </c>
      <c r="C155" s="25" t="s">
        <v>27</v>
      </c>
      <c r="D155" s="8" t="s">
        <v>28</v>
      </c>
      <c r="E155" s="30">
        <f t="shared" si="38"/>
        <v>10000</v>
      </c>
      <c r="F155" s="30">
        <v>10000</v>
      </c>
      <c r="G155" s="30">
        <v>0</v>
      </c>
      <c r="H155" s="30">
        <v>0</v>
      </c>
      <c r="I155" s="30">
        <v>0</v>
      </c>
      <c r="J155" s="30">
        <f t="shared" si="39"/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f t="shared" si="29"/>
        <v>10000</v>
      </c>
    </row>
    <row r="156" spans="1:16" ht="31.2">
      <c r="A156" s="25" t="s">
        <v>213</v>
      </c>
      <c r="B156" s="25" t="s">
        <v>214</v>
      </c>
      <c r="C156" s="25" t="s">
        <v>215</v>
      </c>
      <c r="D156" s="8" t="s">
        <v>216</v>
      </c>
      <c r="E156" s="30">
        <f t="shared" si="38"/>
        <v>30000</v>
      </c>
      <c r="F156" s="30">
        <f>50000-20000</f>
        <v>30000</v>
      </c>
      <c r="G156" s="30">
        <v>0</v>
      </c>
      <c r="H156" s="30">
        <v>0</v>
      </c>
      <c r="I156" s="30">
        <v>0</v>
      </c>
      <c r="J156" s="30">
        <f t="shared" si="39"/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f t="shared" si="29"/>
        <v>30000</v>
      </c>
    </row>
    <row r="157" spans="1:16" ht="31.2">
      <c r="A157" s="27">
        <v>1216011</v>
      </c>
      <c r="B157" s="27">
        <v>6011</v>
      </c>
      <c r="C157" s="24" t="s">
        <v>398</v>
      </c>
      <c r="D157" s="8" t="s">
        <v>397</v>
      </c>
      <c r="E157" s="30">
        <f t="shared" si="38"/>
        <v>1951939</v>
      </c>
      <c r="F157" s="30">
        <v>227819</v>
      </c>
      <c r="G157" s="30"/>
      <c r="H157" s="30"/>
      <c r="I157" s="30">
        <v>1724120</v>
      </c>
      <c r="J157" s="30">
        <f t="shared" si="39"/>
        <v>0</v>
      </c>
      <c r="K157" s="30"/>
      <c r="L157" s="30"/>
      <c r="M157" s="30"/>
      <c r="N157" s="30"/>
      <c r="O157" s="30"/>
      <c r="P157" s="30">
        <f t="shared" si="29"/>
        <v>1951939</v>
      </c>
    </row>
    <row r="158" spans="1:16" ht="31.2">
      <c r="A158" s="27">
        <v>1216013</v>
      </c>
      <c r="B158" s="27">
        <v>6013</v>
      </c>
      <c r="C158" s="24" t="s">
        <v>54</v>
      </c>
      <c r="D158" s="8" t="s">
        <v>399</v>
      </c>
      <c r="E158" s="30">
        <f t="shared" si="38"/>
        <v>4161800</v>
      </c>
      <c r="F158" s="30"/>
      <c r="G158" s="30"/>
      <c r="H158" s="30"/>
      <c r="I158" s="30">
        <v>4161800</v>
      </c>
      <c r="J158" s="30">
        <f t="shared" si="39"/>
        <v>0</v>
      </c>
      <c r="K158" s="30"/>
      <c r="L158" s="30"/>
      <c r="M158" s="30"/>
      <c r="N158" s="30"/>
      <c r="O158" s="30"/>
      <c r="P158" s="30">
        <f t="shared" si="29"/>
        <v>4161800</v>
      </c>
    </row>
    <row r="159" spans="1:16" ht="31.2">
      <c r="A159" s="25" t="s">
        <v>217</v>
      </c>
      <c r="B159" s="25" t="s">
        <v>218</v>
      </c>
      <c r="C159" s="25" t="s">
        <v>54</v>
      </c>
      <c r="D159" s="8" t="s">
        <v>219</v>
      </c>
      <c r="E159" s="30">
        <f t="shared" si="38"/>
        <v>300000</v>
      </c>
      <c r="F159" s="30">
        <v>300000</v>
      </c>
      <c r="G159" s="30">
        <v>0</v>
      </c>
      <c r="H159" s="30">
        <v>0</v>
      </c>
      <c r="I159" s="30">
        <f>300000-150101-149899</f>
        <v>0</v>
      </c>
      <c r="J159" s="30">
        <f t="shared" si="39"/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f t="shared" si="29"/>
        <v>300000</v>
      </c>
    </row>
    <row r="160" spans="1:16" ht="46.8">
      <c r="A160" s="25" t="s">
        <v>220</v>
      </c>
      <c r="B160" s="25" t="s">
        <v>221</v>
      </c>
      <c r="C160" s="25" t="s">
        <v>54</v>
      </c>
      <c r="D160" s="8" t="s">
        <v>222</v>
      </c>
      <c r="E160" s="30">
        <f t="shared" si="38"/>
        <v>2940200</v>
      </c>
      <c r="F160" s="30">
        <v>0</v>
      </c>
      <c r="G160" s="30">
        <v>0</v>
      </c>
      <c r="H160" s="30">
        <v>0</v>
      </c>
      <c r="I160" s="30">
        <f>2440200+500000</f>
        <v>2940200</v>
      </c>
      <c r="J160" s="30">
        <f t="shared" si="39"/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f t="shared" si="29"/>
        <v>2940200</v>
      </c>
    </row>
    <row r="161" spans="1:16" ht="31.2">
      <c r="A161" s="25" t="s">
        <v>223</v>
      </c>
      <c r="B161" s="25" t="s">
        <v>53</v>
      </c>
      <c r="C161" s="25" t="s">
        <v>54</v>
      </c>
      <c r="D161" s="8" t="s">
        <v>55</v>
      </c>
      <c r="E161" s="30">
        <f t="shared" si="38"/>
        <v>99088732</v>
      </c>
      <c r="F161" s="30">
        <f>10001000+15450000-18500000+180000+169000+1000000-119000</f>
        <v>8181000</v>
      </c>
      <c r="G161" s="30">
        <v>0</v>
      </c>
      <c r="H161" s="30">
        <v>0</v>
      </c>
      <c r="I161" s="30">
        <f>18500000+47970000+22000000+600000+1500000-169000+387732+119000</f>
        <v>90907732</v>
      </c>
      <c r="J161" s="30">
        <f t="shared" si="39"/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f t="shared" ref="P161:P202" si="66">E161 + J161</f>
        <v>99088732</v>
      </c>
    </row>
    <row r="162" spans="1:16" ht="78">
      <c r="A162" s="27">
        <v>1216091</v>
      </c>
      <c r="B162" s="27">
        <v>6091</v>
      </c>
      <c r="C162" s="24" t="s">
        <v>297</v>
      </c>
      <c r="D162" s="8" t="s">
        <v>400</v>
      </c>
      <c r="E162" s="30">
        <f t="shared" si="38"/>
        <v>0</v>
      </c>
      <c r="F162" s="30"/>
      <c r="G162" s="30"/>
      <c r="H162" s="30"/>
      <c r="I162" s="30"/>
      <c r="J162" s="30">
        <f t="shared" si="39"/>
        <v>5116500</v>
      </c>
      <c r="K162" s="30">
        <v>5116500</v>
      </c>
      <c r="L162" s="30"/>
      <c r="M162" s="30"/>
      <c r="N162" s="30"/>
      <c r="O162" s="30">
        <v>5116500</v>
      </c>
      <c r="P162" s="30">
        <f t="shared" si="66"/>
        <v>5116500</v>
      </c>
    </row>
    <row r="163" spans="1:16" ht="46.8">
      <c r="A163" s="25" t="s">
        <v>224</v>
      </c>
      <c r="B163" s="25" t="s">
        <v>225</v>
      </c>
      <c r="C163" s="25" t="s">
        <v>226</v>
      </c>
      <c r="D163" s="8" t="s">
        <v>227</v>
      </c>
      <c r="E163" s="30">
        <f t="shared" si="38"/>
        <v>32000000</v>
      </c>
      <c r="F163" s="30">
        <v>32000000</v>
      </c>
      <c r="G163" s="30">
        <v>0</v>
      </c>
      <c r="H163" s="30">
        <v>0</v>
      </c>
      <c r="I163" s="30">
        <v>0</v>
      </c>
      <c r="J163" s="30">
        <f t="shared" si="39"/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f t="shared" si="66"/>
        <v>32000000</v>
      </c>
    </row>
    <row r="164" spans="1:16" ht="31.2">
      <c r="A164" s="24" t="s">
        <v>286</v>
      </c>
      <c r="B164" s="24" t="s">
        <v>275</v>
      </c>
      <c r="C164" s="24" t="s">
        <v>277</v>
      </c>
      <c r="D164" s="8" t="s">
        <v>276</v>
      </c>
      <c r="E164" s="30">
        <f t="shared" si="38"/>
        <v>551800</v>
      </c>
      <c r="F164" s="30">
        <v>551800</v>
      </c>
      <c r="G164" s="30"/>
      <c r="H164" s="30"/>
      <c r="I164" s="30"/>
      <c r="J164" s="30">
        <f t="shared" si="39"/>
        <v>0</v>
      </c>
      <c r="K164" s="30">
        <f>36000-36000</f>
        <v>0</v>
      </c>
      <c r="L164" s="30"/>
      <c r="M164" s="30"/>
      <c r="N164" s="30"/>
      <c r="O164" s="30">
        <f>36000-36000</f>
        <v>0</v>
      </c>
      <c r="P164" s="30">
        <f t="shared" si="66"/>
        <v>551800</v>
      </c>
    </row>
    <row r="165" spans="1:16">
      <c r="A165" s="24" t="s">
        <v>401</v>
      </c>
      <c r="B165" s="24" t="s">
        <v>358</v>
      </c>
      <c r="C165" s="24" t="s">
        <v>360</v>
      </c>
      <c r="D165" s="8" t="s">
        <v>359</v>
      </c>
      <c r="E165" s="30">
        <f t="shared" si="38"/>
        <v>97505</v>
      </c>
      <c r="F165" s="30"/>
      <c r="G165" s="30"/>
      <c r="H165" s="30"/>
      <c r="I165" s="30">
        <v>97505</v>
      </c>
      <c r="J165" s="30">
        <f t="shared" si="39"/>
        <v>0</v>
      </c>
      <c r="K165" s="30"/>
      <c r="L165" s="30"/>
      <c r="M165" s="30"/>
      <c r="N165" s="30"/>
      <c r="O165" s="30"/>
      <c r="P165" s="30">
        <f t="shared" si="66"/>
        <v>97505</v>
      </c>
    </row>
    <row r="166" spans="1:16" ht="140.4">
      <c r="A166" s="24" t="s">
        <v>402</v>
      </c>
      <c r="B166" s="24" t="s">
        <v>395</v>
      </c>
      <c r="C166" s="24" t="s">
        <v>58</v>
      </c>
      <c r="D166" s="8" t="s">
        <v>396</v>
      </c>
      <c r="E166" s="30">
        <f t="shared" si="38"/>
        <v>0</v>
      </c>
      <c r="F166" s="30"/>
      <c r="G166" s="30"/>
      <c r="H166" s="30"/>
      <c r="I166" s="30"/>
      <c r="J166" s="30">
        <f t="shared" si="39"/>
        <v>5363291.67</v>
      </c>
      <c r="K166" s="30"/>
      <c r="L166" s="30"/>
      <c r="M166" s="30"/>
      <c r="N166" s="30"/>
      <c r="O166" s="30">
        <v>5363291.67</v>
      </c>
      <c r="P166" s="30">
        <f t="shared" si="66"/>
        <v>5363291.67</v>
      </c>
    </row>
    <row r="167" spans="1:16" ht="31.2">
      <c r="A167" s="25" t="s">
        <v>228</v>
      </c>
      <c r="B167" s="25" t="s">
        <v>229</v>
      </c>
      <c r="C167" s="25" t="s">
        <v>58</v>
      </c>
      <c r="D167" s="8" t="s">
        <v>230</v>
      </c>
      <c r="E167" s="30">
        <f t="shared" ref="E167:E193" si="67">F167+I167</f>
        <v>85466781</v>
      </c>
      <c r="F167" s="30">
        <v>0</v>
      </c>
      <c r="G167" s="30">
        <v>0</v>
      </c>
      <c r="H167" s="30">
        <v>0</v>
      </c>
      <c r="I167" s="30">
        <f>3600000+20000000+30000000+12000000+19266781+600000</f>
        <v>85466781</v>
      </c>
      <c r="J167" s="30">
        <f t="shared" si="39"/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f t="shared" si="66"/>
        <v>85466781</v>
      </c>
    </row>
    <row r="168" spans="1:16" ht="46.8">
      <c r="A168" s="25" t="s">
        <v>231</v>
      </c>
      <c r="B168" s="25" t="s">
        <v>232</v>
      </c>
      <c r="C168" s="25" t="s">
        <v>233</v>
      </c>
      <c r="D168" s="8" t="s">
        <v>234</v>
      </c>
      <c r="E168" s="30">
        <f t="shared" si="67"/>
        <v>2300000</v>
      </c>
      <c r="F168" s="30">
        <v>2300000</v>
      </c>
      <c r="G168" s="30">
        <v>0</v>
      </c>
      <c r="H168" s="30">
        <v>0</v>
      </c>
      <c r="I168" s="30">
        <v>0</v>
      </c>
      <c r="J168" s="30">
        <f t="shared" si="39"/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f t="shared" si="66"/>
        <v>2300000</v>
      </c>
    </row>
    <row r="169" spans="1:16" ht="31.2">
      <c r="A169" s="24" t="s">
        <v>333</v>
      </c>
      <c r="B169" s="25">
        <v>8340</v>
      </c>
      <c r="C169" s="25" t="s">
        <v>266</v>
      </c>
      <c r="D169" s="8" t="s">
        <v>267</v>
      </c>
      <c r="E169" s="30">
        <f t="shared" si="67"/>
        <v>0</v>
      </c>
      <c r="F169" s="30"/>
      <c r="G169" s="30"/>
      <c r="H169" s="30"/>
      <c r="I169" s="30"/>
      <c r="J169" s="30">
        <f t="shared" si="39"/>
        <v>1089184</v>
      </c>
      <c r="K169" s="30"/>
      <c r="L169" s="30">
        <f>550000+439184</f>
        <v>989184</v>
      </c>
      <c r="M169" s="30"/>
      <c r="N169" s="30"/>
      <c r="O169" s="30">
        <v>100000</v>
      </c>
      <c r="P169" s="30">
        <f t="shared" si="66"/>
        <v>1089184</v>
      </c>
    </row>
    <row r="170" spans="1:16" ht="62.4">
      <c r="A170" s="6" t="s">
        <v>235</v>
      </c>
      <c r="B170" s="6" t="s">
        <v>18</v>
      </c>
      <c r="C170" s="6" t="s">
        <v>18</v>
      </c>
      <c r="D170" s="7" t="s">
        <v>236</v>
      </c>
      <c r="E170" s="29">
        <f t="shared" si="67"/>
        <v>8175076</v>
      </c>
      <c r="F170" s="29">
        <f>F171</f>
        <v>7363900</v>
      </c>
      <c r="G170" s="29">
        <f t="shared" ref="G170:I170" si="68">G171</f>
        <v>7006100</v>
      </c>
      <c r="H170" s="29">
        <f t="shared" si="68"/>
        <v>0</v>
      </c>
      <c r="I170" s="29">
        <f t="shared" si="68"/>
        <v>811176</v>
      </c>
      <c r="J170" s="29">
        <f t="shared" si="39"/>
        <v>117363008.20999999</v>
      </c>
      <c r="K170" s="29">
        <f>K171</f>
        <v>115728717.5</v>
      </c>
      <c r="L170" s="29">
        <f t="shared" ref="L170:O170" si="69">L171</f>
        <v>0</v>
      </c>
      <c r="M170" s="29">
        <f t="shared" si="69"/>
        <v>0</v>
      </c>
      <c r="N170" s="29">
        <f t="shared" si="69"/>
        <v>0</v>
      </c>
      <c r="O170" s="29">
        <f t="shared" si="69"/>
        <v>117363008.20999999</v>
      </c>
      <c r="P170" s="29">
        <f t="shared" si="66"/>
        <v>125538084.20999999</v>
      </c>
    </row>
    <row r="171" spans="1:16" ht="62.4">
      <c r="A171" s="6" t="s">
        <v>237</v>
      </c>
      <c r="B171" s="6" t="s">
        <v>18</v>
      </c>
      <c r="C171" s="6" t="s">
        <v>18</v>
      </c>
      <c r="D171" s="7" t="s">
        <v>236</v>
      </c>
      <c r="E171" s="29">
        <f t="shared" si="67"/>
        <v>8175076</v>
      </c>
      <c r="F171" s="29">
        <f>SUM(F172:F182)</f>
        <v>7363900</v>
      </c>
      <c r="G171" s="29">
        <f t="shared" ref="G171:K171" si="70">SUM(G172:G182)</f>
        <v>7006100</v>
      </c>
      <c r="H171" s="29">
        <f t="shared" si="70"/>
        <v>0</v>
      </c>
      <c r="I171" s="29">
        <f t="shared" si="70"/>
        <v>811176</v>
      </c>
      <c r="J171" s="29">
        <f t="shared" si="39"/>
        <v>117363008.20999999</v>
      </c>
      <c r="K171" s="29">
        <f t="shared" si="70"/>
        <v>115728717.5</v>
      </c>
      <c r="L171" s="29">
        <f t="shared" ref="L171" si="71">SUM(L172:L182)</f>
        <v>0</v>
      </c>
      <c r="M171" s="29">
        <f t="shared" ref="M171" si="72">SUM(M172:M182)</f>
        <v>0</v>
      </c>
      <c r="N171" s="29">
        <f t="shared" ref="N171" si="73">SUM(N172:N182)</f>
        <v>0</v>
      </c>
      <c r="O171" s="29">
        <f t="shared" ref="O171" si="74">SUM(O172:O182)</f>
        <v>117363008.20999999</v>
      </c>
      <c r="P171" s="29">
        <f t="shared" si="66"/>
        <v>125538084.20999999</v>
      </c>
    </row>
    <row r="172" spans="1:16" ht="93.6">
      <c r="A172" s="24">
        <v>1510150</v>
      </c>
      <c r="B172" s="24" t="s">
        <v>22</v>
      </c>
      <c r="C172" s="24" t="s">
        <v>23</v>
      </c>
      <c r="D172" s="8" t="s">
        <v>24</v>
      </c>
      <c r="E172" s="30">
        <f t="shared" si="67"/>
        <v>541176</v>
      </c>
      <c r="F172" s="30"/>
      <c r="G172" s="30"/>
      <c r="H172" s="30"/>
      <c r="I172" s="30">
        <v>541176</v>
      </c>
      <c r="J172" s="30"/>
      <c r="K172" s="30"/>
      <c r="L172" s="30"/>
      <c r="M172" s="30"/>
      <c r="N172" s="30"/>
      <c r="O172" s="30"/>
      <c r="P172" s="30">
        <f t="shared" si="66"/>
        <v>541176</v>
      </c>
    </row>
    <row r="173" spans="1:16" ht="46.8">
      <c r="A173" s="25" t="s">
        <v>238</v>
      </c>
      <c r="B173" s="25" t="s">
        <v>74</v>
      </c>
      <c r="C173" s="25" t="s">
        <v>23</v>
      </c>
      <c r="D173" s="8" t="s">
        <v>75</v>
      </c>
      <c r="E173" s="30">
        <f t="shared" si="67"/>
        <v>7114900</v>
      </c>
      <c r="F173" s="30">
        <v>7114900</v>
      </c>
      <c r="G173" s="30">
        <v>7006100</v>
      </c>
      <c r="H173" s="30">
        <v>0</v>
      </c>
      <c r="I173" s="30">
        <v>0</v>
      </c>
      <c r="J173" s="30">
        <f t="shared" si="39"/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f t="shared" si="66"/>
        <v>7114900</v>
      </c>
    </row>
    <row r="174" spans="1:16" ht="46.8">
      <c r="A174" s="25">
        <v>1510170</v>
      </c>
      <c r="B174" s="25" t="s">
        <v>26</v>
      </c>
      <c r="C174" s="25" t="s">
        <v>27</v>
      </c>
      <c r="D174" s="8" t="s">
        <v>28</v>
      </c>
      <c r="E174" s="30">
        <f t="shared" si="67"/>
        <v>15000</v>
      </c>
      <c r="F174" s="30">
        <v>15000</v>
      </c>
      <c r="G174" s="30">
        <v>0</v>
      </c>
      <c r="H174" s="30">
        <v>0</v>
      </c>
      <c r="I174" s="30">
        <v>0</v>
      </c>
      <c r="J174" s="30">
        <f t="shared" ref="J174:J179" si="75">L174+O174</f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f t="shared" si="66"/>
        <v>15000</v>
      </c>
    </row>
    <row r="175" spans="1:16" ht="42.75" customHeight="1">
      <c r="A175" s="25">
        <v>1510180</v>
      </c>
      <c r="B175" s="25" t="s">
        <v>30</v>
      </c>
      <c r="C175" s="25" t="s">
        <v>31</v>
      </c>
      <c r="D175" s="8" t="s">
        <v>32</v>
      </c>
      <c r="E175" s="30">
        <f t="shared" si="67"/>
        <v>150000</v>
      </c>
      <c r="F175" s="30">
        <v>150000</v>
      </c>
      <c r="G175" s="30">
        <v>0</v>
      </c>
      <c r="H175" s="30">
        <v>0</v>
      </c>
      <c r="I175" s="30">
        <v>0</v>
      </c>
      <c r="J175" s="30">
        <f t="shared" si="75"/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f t="shared" si="66"/>
        <v>150000</v>
      </c>
    </row>
    <row r="176" spans="1:16" ht="42.75" customHeight="1">
      <c r="A176" s="28">
        <v>1511300</v>
      </c>
      <c r="B176" s="28">
        <v>1300</v>
      </c>
      <c r="C176" s="24" t="s">
        <v>104</v>
      </c>
      <c r="D176" s="8" t="s">
        <v>373</v>
      </c>
      <c r="E176" s="30">
        <f t="shared" si="67"/>
        <v>0</v>
      </c>
      <c r="F176" s="30"/>
      <c r="G176" s="30"/>
      <c r="H176" s="30"/>
      <c r="I176" s="30"/>
      <c r="J176" s="30">
        <f t="shared" si="75"/>
        <v>67371232.5</v>
      </c>
      <c r="K176" s="30">
        <v>67371232.5</v>
      </c>
      <c r="L176" s="30"/>
      <c r="M176" s="30"/>
      <c r="N176" s="30"/>
      <c r="O176" s="30">
        <v>67371232.5</v>
      </c>
      <c r="P176" s="30">
        <f t="shared" si="66"/>
        <v>67371232.5</v>
      </c>
    </row>
    <row r="177" spans="1:16" ht="78">
      <c r="A177" s="28">
        <v>1512171</v>
      </c>
      <c r="B177" s="28">
        <v>2171</v>
      </c>
      <c r="C177" s="24" t="s">
        <v>47</v>
      </c>
      <c r="D177" s="8" t="s">
        <v>403</v>
      </c>
      <c r="E177" s="30">
        <f t="shared" si="67"/>
        <v>0</v>
      </c>
      <c r="F177" s="30"/>
      <c r="G177" s="30"/>
      <c r="H177" s="30"/>
      <c r="I177" s="30"/>
      <c r="J177" s="30">
        <f t="shared" si="75"/>
        <v>7050730</v>
      </c>
      <c r="K177" s="30">
        <v>7050730</v>
      </c>
      <c r="L177" s="30"/>
      <c r="M177" s="30"/>
      <c r="N177" s="30"/>
      <c r="O177" s="30">
        <v>7050730</v>
      </c>
      <c r="P177" s="30">
        <f t="shared" si="66"/>
        <v>7050730</v>
      </c>
    </row>
    <row r="178" spans="1:16" ht="78">
      <c r="A178" s="28">
        <v>1516091</v>
      </c>
      <c r="B178" s="28">
        <v>6091</v>
      </c>
      <c r="C178" s="24" t="s">
        <v>297</v>
      </c>
      <c r="D178" s="8" t="s">
        <v>400</v>
      </c>
      <c r="E178" s="30">
        <f t="shared" si="67"/>
        <v>0</v>
      </c>
      <c r="F178" s="30"/>
      <c r="G178" s="30"/>
      <c r="H178" s="30"/>
      <c r="I178" s="30"/>
      <c r="J178" s="30">
        <f>L178+O178</f>
        <v>32334310</v>
      </c>
      <c r="K178" s="30">
        <v>32334310</v>
      </c>
      <c r="L178" s="30"/>
      <c r="M178" s="30"/>
      <c r="N178" s="30"/>
      <c r="O178" s="30">
        <v>32334310</v>
      </c>
      <c r="P178" s="30">
        <f t="shared" si="66"/>
        <v>32334310</v>
      </c>
    </row>
    <row r="179" spans="1:16" ht="78">
      <c r="A179" s="28">
        <v>1517330</v>
      </c>
      <c r="B179" s="28">
        <v>7330</v>
      </c>
      <c r="C179" s="24" t="s">
        <v>58</v>
      </c>
      <c r="D179" s="8" t="s">
        <v>404</v>
      </c>
      <c r="E179" s="30">
        <f t="shared" si="67"/>
        <v>0</v>
      </c>
      <c r="F179" s="30"/>
      <c r="G179" s="30"/>
      <c r="H179" s="30"/>
      <c r="I179" s="30"/>
      <c r="J179" s="30">
        <f t="shared" si="75"/>
        <v>8972445</v>
      </c>
      <c r="K179" s="30">
        <v>8972445</v>
      </c>
      <c r="L179" s="30"/>
      <c r="M179" s="30"/>
      <c r="N179" s="30"/>
      <c r="O179" s="30">
        <v>8972445</v>
      </c>
      <c r="P179" s="30">
        <f t="shared" si="66"/>
        <v>8972445</v>
      </c>
    </row>
    <row r="180" spans="1:16" ht="31.2">
      <c r="A180" s="24" t="s">
        <v>287</v>
      </c>
      <c r="B180" s="24" t="s">
        <v>275</v>
      </c>
      <c r="C180" s="24" t="s">
        <v>277</v>
      </c>
      <c r="D180" s="8" t="s">
        <v>276</v>
      </c>
      <c r="E180" s="30">
        <f t="shared" si="67"/>
        <v>84000</v>
      </c>
      <c r="F180" s="30">
        <v>84000</v>
      </c>
      <c r="G180" s="30"/>
      <c r="H180" s="30"/>
      <c r="I180" s="30"/>
      <c r="J180" s="30">
        <f t="shared" si="39"/>
        <v>0</v>
      </c>
      <c r="K180" s="30"/>
      <c r="L180" s="30"/>
      <c r="M180" s="30"/>
      <c r="N180" s="30"/>
      <c r="O180" s="30"/>
      <c r="P180" s="30">
        <f t="shared" si="66"/>
        <v>84000</v>
      </c>
    </row>
    <row r="181" spans="1:16" ht="140.4">
      <c r="A181" s="24" t="s">
        <v>405</v>
      </c>
      <c r="B181" s="24" t="s">
        <v>395</v>
      </c>
      <c r="C181" s="24" t="s">
        <v>58</v>
      </c>
      <c r="D181" s="8" t="s">
        <v>396</v>
      </c>
      <c r="E181" s="30">
        <f t="shared" si="67"/>
        <v>0</v>
      </c>
      <c r="F181" s="30"/>
      <c r="G181" s="30"/>
      <c r="H181" s="30"/>
      <c r="I181" s="30"/>
      <c r="J181" s="30">
        <f t="shared" ref="J181:J182" si="76">L181+O181</f>
        <v>1634290.71</v>
      </c>
      <c r="K181" s="30"/>
      <c r="L181" s="30"/>
      <c r="M181" s="30"/>
      <c r="N181" s="30"/>
      <c r="O181" s="30">
        <v>1634290.71</v>
      </c>
      <c r="P181" s="30">
        <f t="shared" ref="P181:P182" si="77">E181 + J181</f>
        <v>1634290.71</v>
      </c>
    </row>
    <row r="182" spans="1:16" ht="46.8">
      <c r="A182" s="28">
        <v>1518110</v>
      </c>
      <c r="B182" s="28" t="s">
        <v>232</v>
      </c>
      <c r="C182" s="28" t="s">
        <v>233</v>
      </c>
      <c r="D182" s="8" t="s">
        <v>234</v>
      </c>
      <c r="E182" s="30">
        <f t="shared" ref="E182" si="78">F182+I182</f>
        <v>270000</v>
      </c>
      <c r="F182" s="30"/>
      <c r="G182" s="30">
        <v>0</v>
      </c>
      <c r="H182" s="30">
        <v>0</v>
      </c>
      <c r="I182" s="30">
        <v>270000</v>
      </c>
      <c r="J182" s="30">
        <f t="shared" si="76"/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f t="shared" si="77"/>
        <v>270000</v>
      </c>
    </row>
    <row r="183" spans="1:16" ht="78" customHeight="1">
      <c r="A183" s="6" t="s">
        <v>239</v>
      </c>
      <c r="B183" s="6" t="s">
        <v>18</v>
      </c>
      <c r="C183" s="6" t="s">
        <v>18</v>
      </c>
      <c r="D183" s="7" t="s">
        <v>240</v>
      </c>
      <c r="E183" s="29">
        <f t="shared" si="67"/>
        <v>31684671</v>
      </c>
      <c r="F183" s="29">
        <f>F184</f>
        <v>7593800</v>
      </c>
      <c r="G183" s="29">
        <f t="shared" ref="G183:I183" si="79">G184</f>
        <v>5785700</v>
      </c>
      <c r="H183" s="29">
        <f t="shared" si="79"/>
        <v>0</v>
      </c>
      <c r="I183" s="29">
        <f t="shared" si="79"/>
        <v>24090871</v>
      </c>
      <c r="J183" s="29">
        <f t="shared" si="39"/>
        <v>0</v>
      </c>
      <c r="K183" s="29">
        <f>K184</f>
        <v>0</v>
      </c>
      <c r="L183" s="29">
        <f t="shared" ref="L183:O183" si="80">L184</f>
        <v>0</v>
      </c>
      <c r="M183" s="29">
        <f t="shared" si="80"/>
        <v>0</v>
      </c>
      <c r="N183" s="29">
        <f t="shared" si="80"/>
        <v>0</v>
      </c>
      <c r="O183" s="29">
        <f t="shared" si="80"/>
        <v>0</v>
      </c>
      <c r="P183" s="29">
        <f t="shared" si="66"/>
        <v>31684671</v>
      </c>
    </row>
    <row r="184" spans="1:16" ht="78" customHeight="1">
      <c r="A184" s="6" t="s">
        <v>241</v>
      </c>
      <c r="B184" s="6" t="s">
        <v>18</v>
      </c>
      <c r="C184" s="6" t="s">
        <v>18</v>
      </c>
      <c r="D184" s="7" t="s">
        <v>240</v>
      </c>
      <c r="E184" s="29">
        <f t="shared" si="67"/>
        <v>31684671</v>
      </c>
      <c r="F184" s="29">
        <f>SUM(F185:F193)</f>
        <v>7593800</v>
      </c>
      <c r="G184" s="29">
        <f t="shared" ref="G184:K184" si="81">SUM(G185:G193)</f>
        <v>5785700</v>
      </c>
      <c r="H184" s="29">
        <f t="shared" si="81"/>
        <v>0</v>
      </c>
      <c r="I184" s="29">
        <f t="shared" si="81"/>
        <v>24090871</v>
      </c>
      <c r="J184" s="29">
        <f t="shared" si="39"/>
        <v>0</v>
      </c>
      <c r="K184" s="29">
        <f t="shared" si="81"/>
        <v>0</v>
      </c>
      <c r="L184" s="29">
        <f t="shared" ref="L184" si="82">SUM(L185:L193)</f>
        <v>0</v>
      </c>
      <c r="M184" s="29">
        <f t="shared" ref="M184" si="83">SUM(M185:M193)</f>
        <v>0</v>
      </c>
      <c r="N184" s="29">
        <f t="shared" ref="N184" si="84">SUM(N185:N193)</f>
        <v>0</v>
      </c>
      <c r="O184" s="29">
        <f t="shared" ref="O184" si="85">SUM(O185:O193)</f>
        <v>0</v>
      </c>
      <c r="P184" s="29">
        <f t="shared" si="66"/>
        <v>31684671</v>
      </c>
    </row>
    <row r="185" spans="1:16" ht="66.75" customHeight="1">
      <c r="A185" s="25" t="s">
        <v>242</v>
      </c>
      <c r="B185" s="25" t="s">
        <v>74</v>
      </c>
      <c r="C185" s="25" t="s">
        <v>23</v>
      </c>
      <c r="D185" s="8" t="s">
        <v>75</v>
      </c>
      <c r="E185" s="30">
        <f t="shared" si="67"/>
        <v>5908000</v>
      </c>
      <c r="F185" s="30">
        <v>5908000</v>
      </c>
      <c r="G185" s="30">
        <v>5785700</v>
      </c>
      <c r="H185" s="30">
        <v>0</v>
      </c>
      <c r="I185" s="30">
        <v>0</v>
      </c>
      <c r="J185" s="30">
        <f t="shared" si="39"/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f t="shared" si="66"/>
        <v>5908000</v>
      </c>
    </row>
    <row r="186" spans="1:16" ht="46.8">
      <c r="A186" s="25">
        <v>3110170</v>
      </c>
      <c r="B186" s="25" t="s">
        <v>26</v>
      </c>
      <c r="C186" s="25" t="s">
        <v>27</v>
      </c>
      <c r="D186" s="8" t="s">
        <v>28</v>
      </c>
      <c r="E186" s="30">
        <f t="shared" ref="E186" si="86">F186+I186</f>
        <v>4500</v>
      </c>
      <c r="F186" s="30">
        <v>4500</v>
      </c>
      <c r="G186" s="30">
        <v>0</v>
      </c>
      <c r="H186" s="30">
        <v>0</v>
      </c>
      <c r="I186" s="30">
        <v>0</v>
      </c>
      <c r="J186" s="30">
        <f t="shared" si="39"/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f t="shared" ref="P186" si="87">E186 + J186</f>
        <v>4500</v>
      </c>
    </row>
    <row r="187" spans="1:16" ht="44.25" customHeight="1">
      <c r="A187" s="25" t="s">
        <v>243</v>
      </c>
      <c r="B187" s="25" t="s">
        <v>30</v>
      </c>
      <c r="C187" s="25" t="s">
        <v>31</v>
      </c>
      <c r="D187" s="8" t="s">
        <v>32</v>
      </c>
      <c r="E187" s="30">
        <f t="shared" si="67"/>
        <v>65000</v>
      </c>
      <c r="F187" s="30">
        <v>65000</v>
      </c>
      <c r="G187" s="30">
        <v>0</v>
      </c>
      <c r="H187" s="30">
        <v>0</v>
      </c>
      <c r="I187" s="30">
        <v>0</v>
      </c>
      <c r="J187" s="30">
        <f t="shared" si="39"/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f t="shared" si="66"/>
        <v>65000</v>
      </c>
    </row>
    <row r="188" spans="1:16" ht="56.25" customHeight="1">
      <c r="A188" s="25" t="s">
        <v>244</v>
      </c>
      <c r="B188" s="25" t="s">
        <v>221</v>
      </c>
      <c r="C188" s="25" t="s">
        <v>54</v>
      </c>
      <c r="D188" s="8" t="s">
        <v>222</v>
      </c>
      <c r="E188" s="30">
        <f t="shared" si="67"/>
        <v>227200</v>
      </c>
      <c r="F188" s="30">
        <v>227200</v>
      </c>
      <c r="G188" s="30">
        <v>0</v>
      </c>
      <c r="H188" s="30">
        <v>0</v>
      </c>
      <c r="I188" s="30">
        <v>0</v>
      </c>
      <c r="J188" s="30">
        <f t="shared" si="39"/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f t="shared" si="66"/>
        <v>227200</v>
      </c>
    </row>
    <row r="189" spans="1:16" s="12" customFormat="1" ht="42.75" customHeight="1">
      <c r="A189" s="24" t="s">
        <v>298</v>
      </c>
      <c r="B189" s="25">
        <v>6090</v>
      </c>
      <c r="C189" s="24" t="s">
        <v>297</v>
      </c>
      <c r="D189" s="8" t="s">
        <v>296</v>
      </c>
      <c r="E189" s="30">
        <f t="shared" si="67"/>
        <v>1150000</v>
      </c>
      <c r="F189" s="30"/>
      <c r="G189" s="30">
        <v>0</v>
      </c>
      <c r="H189" s="30">
        <v>0</v>
      </c>
      <c r="I189" s="30">
        <v>1150000</v>
      </c>
      <c r="J189" s="30">
        <f t="shared" si="39"/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f t="shared" si="66"/>
        <v>1150000</v>
      </c>
    </row>
    <row r="190" spans="1:16" ht="28.2" customHeight="1">
      <c r="A190" s="25" t="s">
        <v>245</v>
      </c>
      <c r="B190" s="25" t="s">
        <v>246</v>
      </c>
      <c r="C190" s="25" t="s">
        <v>247</v>
      </c>
      <c r="D190" s="8" t="s">
        <v>248</v>
      </c>
      <c r="E190" s="30">
        <f t="shared" si="67"/>
        <v>1300000</v>
      </c>
      <c r="F190" s="30">
        <v>1200000</v>
      </c>
      <c r="G190" s="30">
        <v>0</v>
      </c>
      <c r="H190" s="30">
        <v>0</v>
      </c>
      <c r="I190" s="30">
        <v>100000</v>
      </c>
      <c r="J190" s="30">
        <f t="shared" si="39"/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f t="shared" si="66"/>
        <v>1300000</v>
      </c>
    </row>
    <row r="191" spans="1:16" ht="41.25" customHeight="1">
      <c r="A191" s="24" t="s">
        <v>288</v>
      </c>
      <c r="B191" s="24" t="s">
        <v>275</v>
      </c>
      <c r="C191" s="24" t="s">
        <v>277</v>
      </c>
      <c r="D191" s="8" t="s">
        <v>276</v>
      </c>
      <c r="E191" s="30">
        <f t="shared" si="67"/>
        <v>23100</v>
      </c>
      <c r="F191" s="30">
        <v>23100</v>
      </c>
      <c r="G191" s="30"/>
      <c r="H191" s="30"/>
      <c r="I191" s="30"/>
      <c r="J191" s="30">
        <f t="shared" si="39"/>
        <v>0</v>
      </c>
      <c r="K191" s="30"/>
      <c r="L191" s="30"/>
      <c r="M191" s="30"/>
      <c r="N191" s="30"/>
      <c r="O191" s="30"/>
      <c r="P191" s="30">
        <f t="shared" si="66"/>
        <v>23100</v>
      </c>
    </row>
    <row r="192" spans="1:16" ht="40.5" customHeight="1">
      <c r="A192" s="25" t="s">
        <v>250</v>
      </c>
      <c r="B192" s="25" t="s">
        <v>229</v>
      </c>
      <c r="C192" s="25" t="s">
        <v>58</v>
      </c>
      <c r="D192" s="8" t="s">
        <v>230</v>
      </c>
      <c r="E192" s="30">
        <f t="shared" si="67"/>
        <v>22840871</v>
      </c>
      <c r="F192" s="30">
        <v>0</v>
      </c>
      <c r="G192" s="30">
        <v>0</v>
      </c>
      <c r="H192" s="30">
        <v>0</v>
      </c>
      <c r="I192" s="30">
        <f>22049300+791571</f>
        <v>22840871</v>
      </c>
      <c r="J192" s="30">
        <f t="shared" si="39"/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f t="shared" si="66"/>
        <v>22840871</v>
      </c>
    </row>
    <row r="193" spans="1:16" ht="40.5" customHeight="1">
      <c r="A193" s="25" t="s">
        <v>251</v>
      </c>
      <c r="B193" s="25" t="s">
        <v>252</v>
      </c>
      <c r="C193" s="25" t="s">
        <v>62</v>
      </c>
      <c r="D193" s="8" t="s">
        <v>253</v>
      </c>
      <c r="E193" s="30">
        <f t="shared" si="67"/>
        <v>166000</v>
      </c>
      <c r="F193" s="30">
        <v>166000</v>
      </c>
      <c r="G193" s="30">
        <v>0</v>
      </c>
      <c r="H193" s="30">
        <v>0</v>
      </c>
      <c r="I193" s="30">
        <v>0</v>
      </c>
      <c r="J193" s="30">
        <f t="shared" si="39"/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f t="shared" si="66"/>
        <v>166000</v>
      </c>
    </row>
    <row r="194" spans="1:16" ht="60.75" customHeight="1">
      <c r="A194" s="6" t="s">
        <v>254</v>
      </c>
      <c r="B194" s="6" t="s">
        <v>18</v>
      </c>
      <c r="C194" s="6" t="s">
        <v>18</v>
      </c>
      <c r="D194" s="7" t="s">
        <v>255</v>
      </c>
      <c r="E194" s="29">
        <f>E195</f>
        <v>174219712</v>
      </c>
      <c r="F194" s="29">
        <f>F195</f>
        <v>146510712</v>
      </c>
      <c r="G194" s="29">
        <f t="shared" ref="G194:I194" si="88">G195</f>
        <v>8142800</v>
      </c>
      <c r="H194" s="29">
        <f t="shared" si="88"/>
        <v>0</v>
      </c>
      <c r="I194" s="29">
        <f t="shared" si="88"/>
        <v>17709000</v>
      </c>
      <c r="J194" s="29">
        <f t="shared" si="39"/>
        <v>0</v>
      </c>
      <c r="K194" s="29">
        <f>K195</f>
        <v>0</v>
      </c>
      <c r="L194" s="29">
        <f t="shared" ref="L194:O194" si="89">L195</f>
        <v>0</v>
      </c>
      <c r="M194" s="29">
        <f t="shared" si="89"/>
        <v>0</v>
      </c>
      <c r="N194" s="29">
        <f t="shared" si="89"/>
        <v>0</v>
      </c>
      <c r="O194" s="29">
        <f t="shared" si="89"/>
        <v>0</v>
      </c>
      <c r="P194" s="29">
        <f t="shared" si="66"/>
        <v>174219712</v>
      </c>
    </row>
    <row r="195" spans="1:16" ht="60" customHeight="1">
      <c r="A195" s="6" t="s">
        <v>256</v>
      </c>
      <c r="B195" s="6" t="s">
        <v>18</v>
      </c>
      <c r="C195" s="6" t="s">
        <v>18</v>
      </c>
      <c r="D195" s="7" t="s">
        <v>255</v>
      </c>
      <c r="E195" s="29">
        <f>F195+I195+E198</f>
        <v>174219712</v>
      </c>
      <c r="F195" s="29">
        <f>F196+F197+F198+F199+F200+F201</f>
        <v>146510712</v>
      </c>
      <c r="G195" s="29">
        <f>G196+G197+G198+G199+G200+G201</f>
        <v>8142800</v>
      </c>
      <c r="H195" s="29">
        <f>H196+H197+H198+H199+H200+H201</f>
        <v>0</v>
      </c>
      <c r="I195" s="29">
        <f>I196+I197+I198+I199+I200+I201</f>
        <v>17709000</v>
      </c>
      <c r="J195" s="29">
        <f t="shared" ref="J195:J199" si="90">L195+O195</f>
        <v>0</v>
      </c>
      <c r="K195" s="29">
        <f>K196+K197+K198+K199+K200+K201</f>
        <v>0</v>
      </c>
      <c r="L195" s="29">
        <f>L196+L197+L198+L199+L200+L201</f>
        <v>0</v>
      </c>
      <c r="M195" s="29">
        <f>M196+M197+M198+M199+M200+M201</f>
        <v>0</v>
      </c>
      <c r="N195" s="29">
        <f>N196+N197+N198+N199+N200+N201</f>
        <v>0</v>
      </c>
      <c r="O195" s="29">
        <f>O196+O197+O198+O199+O200+O201</f>
        <v>0</v>
      </c>
      <c r="P195" s="29">
        <f t="shared" si="66"/>
        <v>174219712</v>
      </c>
    </row>
    <row r="196" spans="1:16" ht="70.5" customHeight="1">
      <c r="A196" s="25" t="s">
        <v>257</v>
      </c>
      <c r="B196" s="25" t="s">
        <v>74</v>
      </c>
      <c r="C196" s="25" t="s">
        <v>23</v>
      </c>
      <c r="D196" s="8" t="s">
        <v>75</v>
      </c>
      <c r="E196" s="30">
        <f>F196+I196</f>
        <v>8568200</v>
      </c>
      <c r="F196" s="30">
        <v>8469200</v>
      </c>
      <c r="G196" s="30">
        <v>8142800</v>
      </c>
      <c r="H196" s="30">
        <v>0</v>
      </c>
      <c r="I196" s="30">
        <v>99000</v>
      </c>
      <c r="J196" s="30">
        <f t="shared" si="90"/>
        <v>0</v>
      </c>
      <c r="K196" s="30"/>
      <c r="L196" s="30">
        <v>0</v>
      </c>
      <c r="M196" s="30">
        <v>0</v>
      </c>
      <c r="N196" s="30">
        <v>0</v>
      </c>
      <c r="O196" s="30"/>
      <c r="P196" s="30">
        <f t="shared" si="66"/>
        <v>8568200</v>
      </c>
    </row>
    <row r="197" spans="1:16" ht="31.2">
      <c r="A197" s="24" t="s">
        <v>289</v>
      </c>
      <c r="B197" s="24" t="s">
        <v>275</v>
      </c>
      <c r="C197" s="24" t="s">
        <v>277</v>
      </c>
      <c r="D197" s="8" t="s">
        <v>276</v>
      </c>
      <c r="E197" s="30">
        <f t="shared" ref="E197" si="91">F197+I197</f>
        <v>118600</v>
      </c>
      <c r="F197" s="30">
        <v>118600</v>
      </c>
      <c r="G197" s="30"/>
      <c r="H197" s="30"/>
      <c r="I197" s="30"/>
      <c r="J197" s="30">
        <f t="shared" si="90"/>
        <v>0</v>
      </c>
      <c r="K197" s="30">
        <v>0</v>
      </c>
      <c r="L197" s="30"/>
      <c r="M197" s="30"/>
      <c r="N197" s="30"/>
      <c r="O197" s="30">
        <v>0</v>
      </c>
      <c r="P197" s="30">
        <f t="shared" si="66"/>
        <v>118600</v>
      </c>
    </row>
    <row r="198" spans="1:16" ht="23.4" customHeight="1">
      <c r="A198" s="25" t="s">
        <v>258</v>
      </c>
      <c r="B198" s="25" t="s">
        <v>259</v>
      </c>
      <c r="C198" s="25" t="s">
        <v>31</v>
      </c>
      <c r="D198" s="8" t="s">
        <v>260</v>
      </c>
      <c r="E198" s="30">
        <v>10000000</v>
      </c>
      <c r="F198" s="30">
        <v>0</v>
      </c>
      <c r="G198" s="30">
        <v>0</v>
      </c>
      <c r="H198" s="30">
        <v>0</v>
      </c>
      <c r="I198" s="30">
        <v>0</v>
      </c>
      <c r="J198" s="30">
        <f t="shared" si="90"/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f t="shared" si="66"/>
        <v>10000000</v>
      </c>
    </row>
    <row r="199" spans="1:16" ht="23.4" customHeight="1">
      <c r="A199" s="25">
        <v>3719110</v>
      </c>
      <c r="B199" s="25">
        <v>9110</v>
      </c>
      <c r="C199" s="24" t="s">
        <v>30</v>
      </c>
      <c r="D199" s="8" t="s">
        <v>290</v>
      </c>
      <c r="E199" s="30">
        <f>F199+I199</f>
        <v>79482900</v>
      </c>
      <c r="F199" s="30">
        <v>79482900</v>
      </c>
      <c r="G199" s="30"/>
      <c r="H199" s="30"/>
      <c r="I199" s="30"/>
      <c r="J199" s="30">
        <f t="shared" si="90"/>
        <v>0</v>
      </c>
      <c r="K199" s="30"/>
      <c r="L199" s="30"/>
      <c r="M199" s="30"/>
      <c r="N199" s="30"/>
      <c r="O199" s="30"/>
      <c r="P199" s="30">
        <f t="shared" si="66"/>
        <v>79482900</v>
      </c>
    </row>
    <row r="200" spans="1:16" ht="23.4" customHeight="1">
      <c r="A200" s="25" t="s">
        <v>261</v>
      </c>
      <c r="B200" s="25" t="s">
        <v>262</v>
      </c>
      <c r="C200" s="25" t="s">
        <v>30</v>
      </c>
      <c r="D200" s="8" t="s">
        <v>263</v>
      </c>
      <c r="E200" s="30">
        <f>F200+I200</f>
        <v>6424800</v>
      </c>
      <c r="F200" s="30">
        <v>5924800</v>
      </c>
      <c r="G200" s="30"/>
      <c r="H200" s="30"/>
      <c r="I200" s="30">
        <v>500000</v>
      </c>
      <c r="J200" s="30"/>
      <c r="K200" s="30"/>
      <c r="L200" s="30"/>
      <c r="M200" s="30"/>
      <c r="N200" s="30"/>
      <c r="O200" s="30"/>
      <c r="P200" s="30">
        <f t="shared" si="66"/>
        <v>6424800</v>
      </c>
    </row>
    <row r="201" spans="1:16" ht="62.4">
      <c r="A201" s="25">
        <v>3719800</v>
      </c>
      <c r="B201" s="25">
        <v>9800</v>
      </c>
      <c r="C201" s="24" t="s">
        <v>30</v>
      </c>
      <c r="D201" s="21" t="s">
        <v>327</v>
      </c>
      <c r="E201" s="30">
        <f t="shared" ref="E201" si="92">F201+I201</f>
        <v>69625212</v>
      </c>
      <c r="F201" s="30">
        <f>2625212+1890000+48000000</f>
        <v>52515212</v>
      </c>
      <c r="G201" s="30"/>
      <c r="H201" s="30"/>
      <c r="I201" s="30">
        <f>4000000+1110000+12000000</f>
        <v>17110000</v>
      </c>
      <c r="J201" s="30"/>
      <c r="K201" s="30"/>
      <c r="L201" s="30"/>
      <c r="M201" s="30"/>
      <c r="N201" s="30"/>
      <c r="O201" s="30"/>
      <c r="P201" s="30">
        <f t="shared" si="66"/>
        <v>69625212</v>
      </c>
    </row>
    <row r="202" spans="1:16" ht="19.95" customHeight="1">
      <c r="A202" s="6" t="s">
        <v>265</v>
      </c>
      <c r="B202" s="6" t="s">
        <v>265</v>
      </c>
      <c r="C202" s="6" t="s">
        <v>265</v>
      </c>
      <c r="D202" s="10" t="s">
        <v>264</v>
      </c>
      <c r="E202" s="29">
        <f>E18+E65+E93+E121+E127+E140+E152+E170+E183+E194</f>
        <v>1454672627</v>
      </c>
      <c r="F202" s="29">
        <f>F18+F65+F93+F121+F127+F140+F152+F170+F183+F194</f>
        <v>1191301886</v>
      </c>
      <c r="G202" s="29">
        <f>G18+G65+G93+G121+G127+G140+G152+G170+G183+G194</f>
        <v>635057143</v>
      </c>
      <c r="H202" s="29">
        <f>H18+H65+H93+H121+H127+H140+H152+H170+H183+H194</f>
        <v>51197200</v>
      </c>
      <c r="I202" s="29">
        <f>I18+I65+I93+I121+I127+I140+I152+I170+I183+I194</f>
        <v>253370741</v>
      </c>
      <c r="J202" s="29">
        <f>L202+O202</f>
        <v>170834955.74000001</v>
      </c>
      <c r="K202" s="29">
        <f>K18+K65+K93+K121+K127+K140+K152+K170+K183+K194</f>
        <v>138785763.5</v>
      </c>
      <c r="L202" s="29">
        <f>L18+L65+L93+L121+L127+L140+L152+L170+L183+L194</f>
        <v>20255614</v>
      </c>
      <c r="M202" s="29">
        <f>M18+M65+M93+M121+M127+M140+M152+M170+M183+M194</f>
        <v>511100</v>
      </c>
      <c r="N202" s="29">
        <f>N18+N65+N93+N121+N127+N140+N152+N170+N183+N194</f>
        <v>0</v>
      </c>
      <c r="O202" s="29">
        <f>O18+O65+O93+O121+O127+O140+O152+O170+O183+O194</f>
        <v>150579341.74000001</v>
      </c>
      <c r="P202" s="29">
        <f t="shared" si="66"/>
        <v>1625507582.74</v>
      </c>
    </row>
    <row r="203" spans="1:16" ht="9" customHeight="1">
      <c r="A203" s="13"/>
      <c r="B203" s="13"/>
      <c r="C203" s="13"/>
      <c r="D203" s="1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</row>
    <row r="204" spans="1:16" s="18" customFormat="1" ht="18">
      <c r="A204" s="15"/>
      <c r="B204" s="15"/>
      <c r="C204" s="16" t="s">
        <v>301</v>
      </c>
      <c r="D204" s="17" t="s">
        <v>302</v>
      </c>
      <c r="E204" s="34">
        <f t="shared" ref="E204:O204" si="93">E20+E25+E26+E67+E68+E95+E96+E97+E123+E124+E129+E130+E142+E143+E154+E155+E172+E173+E174+E175+E185+E186+E187+E196</f>
        <v>183067476</v>
      </c>
      <c r="F204" s="34">
        <f t="shared" si="93"/>
        <v>182427300</v>
      </c>
      <c r="G204" s="34">
        <f t="shared" si="93"/>
        <v>164095300</v>
      </c>
      <c r="H204" s="34">
        <f t="shared" si="93"/>
        <v>6959800</v>
      </c>
      <c r="I204" s="34">
        <f t="shared" si="93"/>
        <v>640176</v>
      </c>
      <c r="J204" s="34">
        <f t="shared" si="93"/>
        <v>120000</v>
      </c>
      <c r="K204" s="34">
        <f t="shared" si="93"/>
        <v>0</v>
      </c>
      <c r="L204" s="34">
        <f t="shared" si="93"/>
        <v>120000</v>
      </c>
      <c r="M204" s="34">
        <f t="shared" si="93"/>
        <v>0</v>
      </c>
      <c r="N204" s="34">
        <f t="shared" si="93"/>
        <v>0</v>
      </c>
      <c r="O204" s="34">
        <f t="shared" si="93"/>
        <v>0</v>
      </c>
      <c r="P204" s="34">
        <f>E204+J204</f>
        <v>183187476</v>
      </c>
    </row>
    <row r="205" spans="1:16" s="18" customFormat="1" ht="18">
      <c r="A205" s="15"/>
      <c r="B205" s="15"/>
      <c r="C205" s="16" t="s">
        <v>303</v>
      </c>
      <c r="D205" s="17" t="s">
        <v>304</v>
      </c>
      <c r="E205" s="34">
        <f t="shared" ref="E205:O205" si="94">E69+E70+E71+E72+E76+E77+E78+E79+E80+E81+E82+E83+E84+E85+E86+E87+E131+E176</f>
        <v>519948723</v>
      </c>
      <c r="F205" s="34">
        <f t="shared" si="94"/>
        <v>517510723</v>
      </c>
      <c r="G205" s="34">
        <f t="shared" si="94"/>
        <v>372962723</v>
      </c>
      <c r="H205" s="34">
        <f t="shared" si="94"/>
        <v>39266300</v>
      </c>
      <c r="I205" s="34">
        <f t="shared" si="94"/>
        <v>2438000</v>
      </c>
      <c r="J205" s="34">
        <f t="shared" si="94"/>
        <v>98126290.5</v>
      </c>
      <c r="K205" s="34">
        <f t="shared" si="94"/>
        <v>79214860.5</v>
      </c>
      <c r="L205" s="34">
        <f t="shared" si="94"/>
        <v>18711430</v>
      </c>
      <c r="M205" s="34">
        <f t="shared" si="94"/>
        <v>499100</v>
      </c>
      <c r="N205" s="34">
        <f t="shared" si="94"/>
        <v>0</v>
      </c>
      <c r="O205" s="34">
        <f t="shared" si="94"/>
        <v>79414860.5</v>
      </c>
      <c r="P205" s="34">
        <f>E205+J205</f>
        <v>618075013.5</v>
      </c>
    </row>
    <row r="206" spans="1:16" s="18" customFormat="1" ht="18">
      <c r="A206" s="15"/>
      <c r="B206" s="15"/>
      <c r="C206" s="16" t="s">
        <v>305</v>
      </c>
      <c r="D206" s="17" t="s">
        <v>306</v>
      </c>
      <c r="E206" s="34">
        <f t="shared" ref="E206:O206" si="95">E27+E28+E29+E30+E34+E177</f>
        <v>71571650</v>
      </c>
      <c r="F206" s="34">
        <f t="shared" si="95"/>
        <v>68007765</v>
      </c>
      <c r="G206" s="34">
        <f t="shared" si="95"/>
        <v>0</v>
      </c>
      <c r="H206" s="34">
        <f t="shared" si="95"/>
        <v>0</v>
      </c>
      <c r="I206" s="34">
        <f t="shared" si="95"/>
        <v>3563885</v>
      </c>
      <c r="J206" s="34">
        <f t="shared" si="95"/>
        <v>7247648</v>
      </c>
      <c r="K206" s="34">
        <f t="shared" si="95"/>
        <v>7247648</v>
      </c>
      <c r="L206" s="34">
        <f t="shared" si="95"/>
        <v>0</v>
      </c>
      <c r="M206" s="34">
        <f t="shared" si="95"/>
        <v>0</v>
      </c>
      <c r="N206" s="34">
        <f t="shared" si="95"/>
        <v>0</v>
      </c>
      <c r="O206" s="34">
        <f t="shared" si="95"/>
        <v>7247648</v>
      </c>
      <c r="P206" s="34">
        <f t="shared" ref="P206:P214" si="96">E206+J206</f>
        <v>78819298</v>
      </c>
    </row>
    <row r="207" spans="1:16" s="18" customFormat="1" ht="31.8">
      <c r="A207" s="15"/>
      <c r="B207" s="15"/>
      <c r="C207" s="16" t="s">
        <v>307</v>
      </c>
      <c r="D207" s="17" t="s">
        <v>308</v>
      </c>
      <c r="E207" s="34">
        <f t="shared" ref="E207:O207" si="97">E35+E88+E89+E98+E99+E100+E101+E102+E103+E104+E105+E106+E107+E108+E109+E110+E111+E112+E113+E114+E125+E132+E144+E156</f>
        <v>120842937</v>
      </c>
      <c r="F207" s="34">
        <f t="shared" si="97"/>
        <v>119891937</v>
      </c>
      <c r="G207" s="34">
        <f t="shared" si="97"/>
        <v>35801920</v>
      </c>
      <c r="H207" s="34">
        <f t="shared" si="97"/>
        <v>775500</v>
      </c>
      <c r="I207" s="34">
        <f t="shared" si="97"/>
        <v>951000</v>
      </c>
      <c r="J207" s="34">
        <f t="shared" si="97"/>
        <v>180000</v>
      </c>
      <c r="K207" s="34">
        <f t="shared" si="97"/>
        <v>0</v>
      </c>
      <c r="L207" s="34">
        <f t="shared" si="97"/>
        <v>55000</v>
      </c>
      <c r="M207" s="34">
        <f t="shared" si="97"/>
        <v>0</v>
      </c>
      <c r="N207" s="34">
        <f t="shared" si="97"/>
        <v>0</v>
      </c>
      <c r="O207" s="34">
        <f t="shared" si="97"/>
        <v>125000</v>
      </c>
      <c r="P207" s="34">
        <f t="shared" si="96"/>
        <v>121022937</v>
      </c>
    </row>
    <row r="208" spans="1:16" s="18" customFormat="1" ht="18">
      <c r="A208" s="15"/>
      <c r="B208" s="15"/>
      <c r="C208" s="16" t="s">
        <v>309</v>
      </c>
      <c r="D208" s="17" t="s">
        <v>310</v>
      </c>
      <c r="E208" s="34">
        <f t="shared" ref="E208:O208" si="98">E133+E134+E135+E136+E137</f>
        <v>35627874</v>
      </c>
      <c r="F208" s="34">
        <f t="shared" si="98"/>
        <v>35335900</v>
      </c>
      <c r="G208" s="34">
        <f t="shared" si="98"/>
        <v>26353200</v>
      </c>
      <c r="H208" s="34">
        <f t="shared" si="98"/>
        <v>3096500</v>
      </c>
      <c r="I208" s="34">
        <f t="shared" si="98"/>
        <v>291974</v>
      </c>
      <c r="J208" s="34">
        <f t="shared" si="98"/>
        <v>310000</v>
      </c>
      <c r="K208" s="34">
        <f t="shared" si="98"/>
        <v>0</v>
      </c>
      <c r="L208" s="34">
        <f t="shared" si="98"/>
        <v>280000</v>
      </c>
      <c r="M208" s="34">
        <f t="shared" si="98"/>
        <v>12000</v>
      </c>
      <c r="N208" s="34">
        <f t="shared" si="98"/>
        <v>0</v>
      </c>
      <c r="O208" s="34">
        <f t="shared" si="98"/>
        <v>30000</v>
      </c>
      <c r="P208" s="34">
        <f t="shared" si="96"/>
        <v>35937874</v>
      </c>
    </row>
    <row r="209" spans="1:16" s="18" customFormat="1" ht="18">
      <c r="A209" s="15"/>
      <c r="B209" s="15"/>
      <c r="C209" s="16" t="s">
        <v>311</v>
      </c>
      <c r="D209" s="17" t="s">
        <v>312</v>
      </c>
      <c r="E209" s="34">
        <f t="shared" ref="E209:O209" si="99">E90+E145+E146+E148+E149+E147</f>
        <v>29871550</v>
      </c>
      <c r="F209" s="34">
        <f t="shared" si="99"/>
        <v>21435700</v>
      </c>
      <c r="G209" s="34">
        <f t="shared" si="99"/>
        <v>11557200</v>
      </c>
      <c r="H209" s="34">
        <f t="shared" si="99"/>
        <v>1040600</v>
      </c>
      <c r="I209" s="34">
        <f t="shared" si="99"/>
        <v>8435850</v>
      </c>
      <c r="J209" s="34">
        <f t="shared" si="99"/>
        <v>0</v>
      </c>
      <c r="K209" s="34">
        <f t="shared" si="99"/>
        <v>0</v>
      </c>
      <c r="L209" s="34">
        <f t="shared" si="99"/>
        <v>0</v>
      </c>
      <c r="M209" s="34">
        <f t="shared" si="99"/>
        <v>0</v>
      </c>
      <c r="N209" s="34">
        <f t="shared" si="99"/>
        <v>0</v>
      </c>
      <c r="O209" s="34">
        <f t="shared" si="99"/>
        <v>0</v>
      </c>
      <c r="P209" s="34">
        <f t="shared" si="96"/>
        <v>29871550</v>
      </c>
    </row>
    <row r="210" spans="1:16" s="18" customFormat="1" ht="18">
      <c r="A210" s="15"/>
      <c r="B210" s="15"/>
      <c r="C210" s="16" t="s">
        <v>313</v>
      </c>
      <c r="D210" s="17" t="s">
        <v>314</v>
      </c>
      <c r="E210" s="34">
        <f t="shared" ref="E210:O210" si="100">E36+E157+E158+E162+E159+E160+E161+E178+E188+E189</f>
        <v>126428571</v>
      </c>
      <c r="F210" s="34">
        <f t="shared" si="100"/>
        <v>24045719</v>
      </c>
      <c r="G210" s="34">
        <f t="shared" si="100"/>
        <v>0</v>
      </c>
      <c r="H210" s="34">
        <f t="shared" si="100"/>
        <v>0</v>
      </c>
      <c r="I210" s="34">
        <f t="shared" si="100"/>
        <v>102382852</v>
      </c>
      <c r="J210" s="34">
        <f t="shared" si="100"/>
        <v>37450810</v>
      </c>
      <c r="K210" s="34">
        <f t="shared" si="100"/>
        <v>37450810</v>
      </c>
      <c r="L210" s="34">
        <f t="shared" si="100"/>
        <v>0</v>
      </c>
      <c r="M210" s="34">
        <f t="shared" si="100"/>
        <v>0</v>
      </c>
      <c r="N210" s="34">
        <f t="shared" si="100"/>
        <v>0</v>
      </c>
      <c r="O210" s="34">
        <f t="shared" si="100"/>
        <v>37450810</v>
      </c>
      <c r="P210" s="34">
        <f t="shared" si="96"/>
        <v>163879381</v>
      </c>
    </row>
    <row r="211" spans="1:16" s="18" customFormat="1" ht="18">
      <c r="A211" s="15"/>
      <c r="B211" s="15"/>
      <c r="C211" s="16" t="s">
        <v>315</v>
      </c>
      <c r="D211" s="17" t="s">
        <v>316</v>
      </c>
      <c r="E211" s="34">
        <f t="shared" ref="E211:O211" si="101">E40+E41+E48+E49+E50+E51+E91+E115+E126+E138+E150+E151+E163+E164+E165+E166+E167+E179+E180+E181+E190+E191+E192+E197</f>
        <v>155308474</v>
      </c>
      <c r="F211" s="34">
        <f t="shared" si="101"/>
        <v>45766220</v>
      </c>
      <c r="G211" s="34">
        <f t="shared" si="101"/>
        <v>0</v>
      </c>
      <c r="H211" s="34">
        <f t="shared" si="101"/>
        <v>0</v>
      </c>
      <c r="I211" s="34">
        <f t="shared" si="101"/>
        <v>109542254</v>
      </c>
      <c r="J211" s="34">
        <f t="shared" si="101"/>
        <v>26211023.240000002</v>
      </c>
      <c r="K211" s="34">
        <f t="shared" si="101"/>
        <v>14872445</v>
      </c>
      <c r="L211" s="34">
        <f t="shared" si="101"/>
        <v>0</v>
      </c>
      <c r="M211" s="34">
        <f t="shared" si="101"/>
        <v>0</v>
      </c>
      <c r="N211" s="34">
        <f t="shared" si="101"/>
        <v>0</v>
      </c>
      <c r="O211" s="34">
        <f t="shared" si="101"/>
        <v>26211023.240000002</v>
      </c>
      <c r="P211" s="34">
        <f t="shared" si="96"/>
        <v>181519497.24000001</v>
      </c>
    </row>
    <row r="212" spans="1:16" s="19" customFormat="1" ht="18">
      <c r="A212" s="15"/>
      <c r="B212" s="15"/>
      <c r="C212" s="16" t="s">
        <v>317</v>
      </c>
      <c r="D212" s="17" t="s">
        <v>318</v>
      </c>
      <c r="E212" s="34">
        <f t="shared" ref="E212:O212" si="102">E52+E60+E61+E62+E63+E64+E92+E119+E139+E168+E169+E182+E193+E198</f>
        <v>56472460</v>
      </c>
      <c r="F212" s="34">
        <f t="shared" si="102"/>
        <v>38957710</v>
      </c>
      <c r="G212" s="34">
        <f t="shared" si="102"/>
        <v>24286800</v>
      </c>
      <c r="H212" s="34">
        <f t="shared" si="102"/>
        <v>58500</v>
      </c>
      <c r="I212" s="34">
        <f t="shared" si="102"/>
        <v>7514750</v>
      </c>
      <c r="J212" s="34">
        <f t="shared" si="102"/>
        <v>1189184</v>
      </c>
      <c r="K212" s="34">
        <f t="shared" si="102"/>
        <v>0</v>
      </c>
      <c r="L212" s="34">
        <f t="shared" si="102"/>
        <v>1089184</v>
      </c>
      <c r="M212" s="34">
        <f t="shared" si="102"/>
        <v>0</v>
      </c>
      <c r="N212" s="34">
        <f t="shared" si="102"/>
        <v>0</v>
      </c>
      <c r="O212" s="34">
        <f t="shared" si="102"/>
        <v>100000</v>
      </c>
      <c r="P212" s="34">
        <f t="shared" si="96"/>
        <v>57661644</v>
      </c>
    </row>
    <row r="213" spans="1:16" s="12" customFormat="1" ht="18">
      <c r="A213" s="15"/>
      <c r="B213" s="15"/>
      <c r="C213" s="16" t="s">
        <v>319</v>
      </c>
      <c r="D213" s="17" t="s">
        <v>320</v>
      </c>
      <c r="E213" s="34">
        <f t="shared" ref="E213:O213" si="103">E199+E200+E201</f>
        <v>155532912</v>
      </c>
      <c r="F213" s="34">
        <f t="shared" si="103"/>
        <v>137922912</v>
      </c>
      <c r="G213" s="34">
        <f t="shared" si="103"/>
        <v>0</v>
      </c>
      <c r="H213" s="34">
        <f t="shared" si="103"/>
        <v>0</v>
      </c>
      <c r="I213" s="34">
        <f t="shared" si="103"/>
        <v>17610000</v>
      </c>
      <c r="J213" s="34">
        <f t="shared" si="103"/>
        <v>0</v>
      </c>
      <c r="K213" s="34">
        <f t="shared" si="103"/>
        <v>0</v>
      </c>
      <c r="L213" s="34">
        <f t="shared" si="103"/>
        <v>0</v>
      </c>
      <c r="M213" s="34">
        <f t="shared" si="103"/>
        <v>0</v>
      </c>
      <c r="N213" s="34">
        <f t="shared" si="103"/>
        <v>0</v>
      </c>
      <c r="O213" s="34">
        <f t="shared" si="103"/>
        <v>0</v>
      </c>
      <c r="P213" s="34">
        <f t="shared" si="96"/>
        <v>155532912</v>
      </c>
    </row>
    <row r="214" spans="1:16" s="12" customFormat="1">
      <c r="A214" s="20"/>
      <c r="B214" s="20"/>
      <c r="C214" s="20"/>
      <c r="D214" s="20" t="s">
        <v>16</v>
      </c>
      <c r="E214" s="35">
        <f>SUM(E204:E213)</f>
        <v>1454672627</v>
      </c>
      <c r="F214" s="35">
        <f>SUM(F204:F213)</f>
        <v>1191301886</v>
      </c>
      <c r="G214" s="35">
        <f>SUM(G204:G213)</f>
        <v>635057143</v>
      </c>
      <c r="H214" s="35">
        <f t="shared" ref="H214:O214" si="104">SUM(H204:H213)</f>
        <v>51197200</v>
      </c>
      <c r="I214" s="35">
        <f t="shared" si="104"/>
        <v>253370741</v>
      </c>
      <c r="J214" s="35">
        <f t="shared" si="104"/>
        <v>170834955.74000001</v>
      </c>
      <c r="K214" s="35">
        <f>SUM(K204:K213)</f>
        <v>138785763.5</v>
      </c>
      <c r="L214" s="35">
        <f t="shared" si="104"/>
        <v>20255614</v>
      </c>
      <c r="M214" s="35">
        <f t="shared" si="104"/>
        <v>511100</v>
      </c>
      <c r="N214" s="35">
        <f t="shared" si="104"/>
        <v>0</v>
      </c>
      <c r="O214" s="35">
        <f t="shared" si="104"/>
        <v>150579341.74000001</v>
      </c>
      <c r="P214" s="35">
        <f t="shared" si="96"/>
        <v>1625507582.74</v>
      </c>
    </row>
    <row r="215" spans="1:16" s="22" customFormat="1">
      <c r="E215" s="36">
        <f>E202-E214</f>
        <v>0</v>
      </c>
      <c r="F215" s="36">
        <f t="shared" ref="F215:P215" si="105">F202-F214</f>
        <v>0</v>
      </c>
      <c r="G215" s="36">
        <f t="shared" si="105"/>
        <v>0</v>
      </c>
      <c r="H215" s="36">
        <f t="shared" si="105"/>
        <v>0</v>
      </c>
      <c r="I215" s="36">
        <f t="shared" si="105"/>
        <v>0</v>
      </c>
      <c r="J215" s="36">
        <f t="shared" si="105"/>
        <v>0</v>
      </c>
      <c r="K215" s="36">
        <f t="shared" si="105"/>
        <v>0</v>
      </c>
      <c r="L215" s="36">
        <f t="shared" si="105"/>
        <v>0</v>
      </c>
      <c r="M215" s="36">
        <f t="shared" si="105"/>
        <v>0</v>
      </c>
      <c r="N215" s="36">
        <f t="shared" si="105"/>
        <v>0</v>
      </c>
      <c r="O215" s="36">
        <f t="shared" si="105"/>
        <v>0</v>
      </c>
      <c r="P215" s="36">
        <f t="shared" si="105"/>
        <v>0</v>
      </c>
    </row>
    <row r="216" spans="1:16">
      <c r="D216" s="2" t="s">
        <v>272</v>
      </c>
      <c r="J216" s="2" t="s">
        <v>273</v>
      </c>
    </row>
    <row r="217" spans="1:16">
      <c r="E217" s="2" t="s">
        <v>348</v>
      </c>
      <c r="P217" s="23"/>
    </row>
    <row r="218" spans="1:16">
      <c r="D218" s="2" t="s">
        <v>406</v>
      </c>
      <c r="E218" s="38">
        <v>1419435217</v>
      </c>
      <c r="F218" s="38">
        <v>1221422817</v>
      </c>
      <c r="G218" s="38">
        <v>592667200</v>
      </c>
      <c r="H218" s="38">
        <v>51197200</v>
      </c>
      <c r="I218" s="38">
        <v>188012400</v>
      </c>
      <c r="J218" s="38">
        <v>14984800</v>
      </c>
      <c r="K218" s="38">
        <v>1734800</v>
      </c>
      <c r="L218" s="38">
        <v>12795000</v>
      </c>
      <c r="M218" s="38">
        <v>511100</v>
      </c>
      <c r="N218" s="38">
        <v>0</v>
      </c>
      <c r="O218" s="38">
        <v>2189800</v>
      </c>
      <c r="P218" s="38">
        <v>1434420017</v>
      </c>
    </row>
    <row r="219" spans="1:16">
      <c r="D219" s="2" t="s">
        <v>407</v>
      </c>
      <c r="E219" s="37">
        <f>E202-E218</f>
        <v>35237410</v>
      </c>
      <c r="F219" s="37">
        <f t="shared" ref="F219:P219" si="106">F202-F218</f>
        <v>-30120931</v>
      </c>
      <c r="G219" s="37">
        <f t="shared" si="106"/>
        <v>42389943</v>
      </c>
      <c r="H219" s="37">
        <f t="shared" si="106"/>
        <v>0</v>
      </c>
      <c r="I219" s="37">
        <f t="shared" si="106"/>
        <v>65358341</v>
      </c>
      <c r="J219" s="37">
        <f t="shared" si="106"/>
        <v>155850155.74000001</v>
      </c>
      <c r="K219" s="37">
        <f t="shared" si="106"/>
        <v>137050963.5</v>
      </c>
      <c r="L219" s="37">
        <f t="shared" si="106"/>
        <v>7460614</v>
      </c>
      <c r="M219" s="37">
        <f t="shared" si="106"/>
        <v>0</v>
      </c>
      <c r="N219" s="37">
        <f t="shared" si="106"/>
        <v>0</v>
      </c>
      <c r="O219" s="37">
        <f t="shared" si="106"/>
        <v>148389541.74000001</v>
      </c>
      <c r="P219" s="37">
        <f t="shared" si="106"/>
        <v>191087565.74000001</v>
      </c>
    </row>
    <row r="220" spans="1:16">
      <c r="E220" s="37">
        <f>26801560+8435850</f>
        <v>35237410</v>
      </c>
      <c r="F220" s="37">
        <f>-124949854+48000000-119000+47557923-610000</f>
        <v>-30120931</v>
      </c>
      <c r="G220" s="37">
        <f>1139000+15000000+1100000+3570000+1285000-478100+880320+678100+558800+4640000+15857800+223664+1234759-1210000-430000-65000-20000-1574400</f>
        <v>42389943</v>
      </c>
      <c r="H220" s="37"/>
      <c r="I220" s="37">
        <f>44193491+12000000+119000+8435850+610000</f>
        <v>65358341</v>
      </c>
      <c r="J220" s="37">
        <f>164286005.74-8435850</f>
        <v>155850155.74000001</v>
      </c>
      <c r="K220" s="37">
        <f>145486813.5-8435850</f>
        <v>137050963.5</v>
      </c>
      <c r="L220" s="37">
        <f>7021430+439184</f>
        <v>7460614</v>
      </c>
      <c r="M220" s="37"/>
      <c r="N220" s="37"/>
      <c r="O220" s="37">
        <f>J220-L220</f>
        <v>148389541.74000001</v>
      </c>
      <c r="P220" s="37">
        <f>191087565.74</f>
        <v>191087565.74000001</v>
      </c>
    </row>
    <row r="221" spans="1:16">
      <c r="E221" s="37">
        <f>E219-E220</f>
        <v>0</v>
      </c>
      <c r="F221" s="37">
        <f t="shared" ref="F221:P221" si="107">F219-F220</f>
        <v>0</v>
      </c>
      <c r="G221" s="37">
        <f t="shared" si="107"/>
        <v>0</v>
      </c>
      <c r="H221" s="37">
        <f t="shared" si="107"/>
        <v>0</v>
      </c>
      <c r="I221" s="37">
        <f t="shared" si="107"/>
        <v>0</v>
      </c>
      <c r="J221" s="37">
        <f t="shared" si="107"/>
        <v>0</v>
      </c>
      <c r="K221" s="37">
        <f t="shared" si="107"/>
        <v>0</v>
      </c>
      <c r="L221" s="37">
        <f t="shared" si="107"/>
        <v>0</v>
      </c>
      <c r="M221" s="37">
        <f t="shared" si="107"/>
        <v>0</v>
      </c>
      <c r="N221" s="37">
        <f t="shared" si="107"/>
        <v>0</v>
      </c>
      <c r="O221" s="37">
        <f t="shared" si="107"/>
        <v>0</v>
      </c>
      <c r="P221" s="37">
        <f t="shared" si="107"/>
        <v>0</v>
      </c>
    </row>
    <row r="229" spans="16:16">
      <c r="P229" s="23">
        <f>P214-1434420017</f>
        <v>191087565.74000001</v>
      </c>
    </row>
  </sheetData>
  <mergeCells count="22">
    <mergeCell ref="O14:O16"/>
    <mergeCell ref="G15:G16"/>
    <mergeCell ref="H15:H16"/>
    <mergeCell ref="M15:M16"/>
    <mergeCell ref="N15:N16"/>
    <mergeCell ref="L14:L16"/>
    <mergeCell ref="A9:P9"/>
    <mergeCell ref="A10:P10"/>
    <mergeCell ref="A13:A16"/>
    <mergeCell ref="B13:B16"/>
    <mergeCell ref="C13:C16"/>
    <mergeCell ref="D13:D16"/>
    <mergeCell ref="E13:I13"/>
    <mergeCell ref="J13:O13"/>
    <mergeCell ref="P13:P16"/>
    <mergeCell ref="E14:E16"/>
    <mergeCell ref="F14:F16"/>
    <mergeCell ref="G14:H14"/>
    <mergeCell ref="I14:I16"/>
    <mergeCell ref="J14:J16"/>
    <mergeCell ref="K14:K16"/>
    <mergeCell ref="M14:N14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  <rowBreaks count="1" manualBreakCount="1">
    <brk id="18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220FU6</cp:lastModifiedBy>
  <cp:lastPrinted>2026-02-04T12:12:05Z</cp:lastPrinted>
  <dcterms:created xsi:type="dcterms:W3CDTF">2023-12-16T13:37:11Z</dcterms:created>
  <dcterms:modified xsi:type="dcterms:W3CDTF">2026-02-05T07:26:38Z</dcterms:modified>
</cp:coreProperties>
</file>