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0 сесія 06.02.2026 СИСТЕМА-РУКИ\№1045 Виконання бюджет 25 р\"/>
    </mc:Choice>
  </mc:AlternateContent>
  <xr:revisionPtr revIDLastSave="0" documentId="13_ncr:1_{8AB81168-A282-414F-8225-D84CAA193D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Z_02AC496F_F7D9_465B_9A66_D319977CD4A2_.wvu.PrintArea" localSheetId="0" hidden="1">'2025'!$A$1:$H$8</definedName>
    <definedName name="Z_02AC496F_F7D9_465B_9A66_D319977CD4A2_.wvu.PrintTitles" localSheetId="0" hidden="1">'2025'!$7:$8</definedName>
    <definedName name="Z_6174BFC3_8EFC_491A_B8A3_28DB8186A904_.wvu.PrintArea" localSheetId="0" hidden="1">'2025'!$A$1:$H$8</definedName>
    <definedName name="Z_6174BFC3_8EFC_491A_B8A3_28DB8186A904_.wvu.PrintTitles" localSheetId="0" hidden="1">'2025'!$7:$8</definedName>
    <definedName name="Z_71B4C162_96A9_4CA7_B3F0_0C57B820C4BA_.wvu.PrintArea" localSheetId="0" hidden="1">'2025'!$A$1:$H$8</definedName>
    <definedName name="Z_71B4C162_96A9_4CA7_B3F0_0C57B820C4BA_.wvu.PrintTitles" localSheetId="0" hidden="1">'2025'!$7:$8</definedName>
    <definedName name="Z_9D5EF3DD_3431_45D7_BCA1_2268CCD9FD10_.wvu.PrintArea" localSheetId="0" hidden="1">'2025'!$A$1:$H$8</definedName>
    <definedName name="Z_9D5EF3DD_3431_45D7_BCA1_2268CCD9FD10_.wvu.PrintTitles" localSheetId="0" hidden="1">'2025'!$7:$8</definedName>
    <definedName name="_xlnm.Print_Titles" localSheetId="0">'2025'!$7:$8</definedName>
    <definedName name="_xlnm.Print_Area" localSheetId="0">'2025'!$A$1:$H$173</definedName>
  </definedNames>
  <calcPr calcId="191029"/>
  <customWorkbookViews>
    <customWorkbookView name="220FU1 - Личное представление" guid="{02AC496F-F7D9-465B-9A66-D319977CD4A2}" mergeInterval="0" personalView="1" maximized="1" xWindow="-8" yWindow="-8" windowWidth="1936" windowHeight="1056" activeSheetId="1"/>
    <customWorkbookView name="220FU3 - Личное представление" guid="{9D5EF3DD-3431-45D7-BCA1-2268CCD9FD10}" mergeInterval="0" personalView="1" maximized="1" xWindow="-8" yWindow="-8" windowWidth="1382" windowHeight="744" activeSheetId="1"/>
    <customWorkbookView name="220FU5 - Личное представление" guid="{71B4C162-96A9-4CA7-B3F0-0C57B820C4BA}" mergeInterval="0" personalView="1" maximized="1" xWindow="-8" yWindow="-8" windowWidth="1936" windowHeight="1056" activeSheetId="1"/>
    <customWorkbookView name="220FU6 - Личное представление" guid="{6174BFC3-8EFC-491A-B8A3-28DB8186A904}" mergeInterval="0" personalView="1" maximized="1" xWindow="-8" yWindow="-8" windowWidth="1616" windowHeight="8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6" i="1" l="1"/>
  <c r="G127" i="1" l="1"/>
  <c r="G24" i="1" l="1"/>
  <c r="G97" i="1" l="1"/>
  <c r="G52" i="1"/>
  <c r="H12" i="1"/>
  <c r="H14" i="1"/>
  <c r="H16" i="1"/>
  <c r="H18" i="1"/>
  <c r="H19" i="1"/>
  <c r="H20" i="1"/>
  <c r="H23" i="1"/>
  <c r="H25" i="1"/>
  <c r="H27" i="1"/>
  <c r="H30" i="1"/>
  <c r="H32" i="1"/>
  <c r="H33" i="1"/>
  <c r="H34" i="1"/>
  <c r="H41" i="1"/>
  <c r="H44" i="1"/>
  <c r="H46" i="1"/>
  <c r="H48" i="1"/>
  <c r="H49" i="1"/>
  <c r="H50" i="1"/>
  <c r="H51" i="1"/>
  <c r="H54" i="1"/>
  <c r="H55" i="1"/>
  <c r="H58" i="1"/>
  <c r="H59" i="1"/>
  <c r="H60" i="1"/>
  <c r="H62" i="1"/>
  <c r="H65" i="1"/>
  <c r="H66" i="1"/>
  <c r="H68" i="1"/>
  <c r="H70" i="1"/>
  <c r="H72" i="1"/>
  <c r="H76" i="1"/>
  <c r="H81" i="1"/>
  <c r="H82" i="1"/>
  <c r="H83" i="1"/>
  <c r="H84" i="1"/>
  <c r="H87" i="1"/>
  <c r="H92" i="1"/>
  <c r="H93" i="1"/>
  <c r="H94" i="1"/>
  <c r="H96" i="1"/>
  <c r="H99" i="1"/>
  <c r="H101" i="1"/>
  <c r="H103" i="1"/>
  <c r="H106" i="1"/>
  <c r="H108" i="1"/>
  <c r="H110" i="1"/>
  <c r="H112" i="1"/>
  <c r="H114" i="1"/>
  <c r="H116" i="1"/>
  <c r="H117" i="1"/>
  <c r="H119" i="1"/>
  <c r="H120" i="1"/>
  <c r="H121" i="1"/>
  <c r="H122" i="1"/>
  <c r="H123" i="1"/>
  <c r="H125" i="1"/>
  <c r="H126" i="1"/>
  <c r="H130" i="1"/>
  <c r="H135" i="1"/>
  <c r="H136" i="1"/>
  <c r="H137" i="1"/>
  <c r="H138" i="1"/>
  <c r="H143" i="1"/>
  <c r="H144" i="1"/>
  <c r="H147" i="1"/>
  <c r="H148" i="1"/>
  <c r="H150" i="1"/>
  <c r="H152" i="1"/>
  <c r="H153" i="1"/>
  <c r="H155" i="1"/>
  <c r="H158" i="1"/>
  <c r="H159" i="1"/>
  <c r="H162" i="1"/>
  <c r="H164" i="1"/>
  <c r="H165" i="1"/>
  <c r="H167" i="1"/>
  <c r="H169" i="1"/>
  <c r="H170" i="1"/>
  <c r="G13" i="1"/>
  <c r="G22" i="1"/>
  <c r="G29" i="1"/>
  <c r="G38" i="1"/>
  <c r="G42" i="1"/>
  <c r="G57" i="1"/>
  <c r="G63" i="1"/>
  <c r="G67" i="1"/>
  <c r="G75" i="1"/>
  <c r="G74" i="1" s="1"/>
  <c r="H74" i="1" s="1"/>
  <c r="G80" i="1"/>
  <c r="G79" i="1" s="1"/>
  <c r="G78" i="1" s="1"/>
  <c r="G86" i="1"/>
  <c r="G85" i="1" s="1"/>
  <c r="G115" i="1"/>
  <c r="G107" i="1" s="1"/>
  <c r="G118" i="1"/>
  <c r="G124" i="1"/>
  <c r="G131" i="1"/>
  <c r="G129" i="1" s="1"/>
  <c r="G133" i="1"/>
  <c r="G142" i="1"/>
  <c r="H142" i="1" s="1"/>
  <c r="G146" i="1"/>
  <c r="G149" i="1"/>
  <c r="G157" i="1"/>
  <c r="G156" i="1" s="1"/>
  <c r="G163" i="1"/>
  <c r="F168" i="1"/>
  <c r="H168" i="1" s="1"/>
  <c r="F167" i="1"/>
  <c r="F163" i="1"/>
  <c r="F157" i="1"/>
  <c r="F156" i="1"/>
  <c r="F154" i="1"/>
  <c r="H154" i="1" s="1"/>
  <c r="F151" i="1"/>
  <c r="F149" i="1" s="1"/>
  <c r="F146" i="1"/>
  <c r="F145" i="1"/>
  <c r="H145" i="1" s="1"/>
  <c r="F142" i="1"/>
  <c r="F139" i="1"/>
  <c r="H139" i="1" s="1"/>
  <c r="F138" i="1"/>
  <c r="F134" i="1"/>
  <c r="F133" i="1" s="1"/>
  <c r="F132" i="1"/>
  <c r="H132" i="1" s="1"/>
  <c r="F128" i="1"/>
  <c r="F127" i="1" s="1"/>
  <c r="F124" i="1" s="1"/>
  <c r="F118" i="1"/>
  <c r="F116" i="1"/>
  <c r="F115" i="1"/>
  <c r="F114" i="1"/>
  <c r="F113" i="1"/>
  <c r="H113" i="1" s="1"/>
  <c r="F112" i="1"/>
  <c r="F111" i="1"/>
  <c r="H111" i="1" s="1"/>
  <c r="F110" i="1"/>
  <c r="F109" i="1"/>
  <c r="H109" i="1" s="1"/>
  <c r="F108" i="1"/>
  <c r="F105" i="1"/>
  <c r="H105" i="1" s="1"/>
  <c r="F104" i="1"/>
  <c r="H104" i="1" s="1"/>
  <c r="F102" i="1"/>
  <c r="H102" i="1" s="1"/>
  <c r="F101" i="1"/>
  <c r="F100" i="1"/>
  <c r="F99" i="1"/>
  <c r="F98" i="1"/>
  <c r="H98" i="1" s="1"/>
  <c r="F96" i="1"/>
  <c r="F95" i="1"/>
  <c r="H95" i="1" s="1"/>
  <c r="F92" i="1"/>
  <c r="F91" i="1"/>
  <c r="H91" i="1" s="1"/>
  <c r="F86" i="1"/>
  <c r="F85" i="1"/>
  <c r="F80" i="1"/>
  <c r="F79" i="1"/>
  <c r="F78" i="1" s="1"/>
  <c r="F77" i="1"/>
  <c r="F75" i="1" s="1"/>
  <c r="F74" i="1" s="1"/>
  <c r="F73" i="1"/>
  <c r="H73" i="1" s="1"/>
  <c r="F72" i="1"/>
  <c r="F71" i="1"/>
  <c r="H71" i="1" s="1"/>
  <c r="F70" i="1"/>
  <c r="F69" i="1"/>
  <c r="H69" i="1" s="1"/>
  <c r="F68" i="1"/>
  <c r="F64" i="1"/>
  <c r="H64" i="1" s="1"/>
  <c r="F61" i="1"/>
  <c r="H61" i="1" s="1"/>
  <c r="F60" i="1"/>
  <c r="F57" i="1"/>
  <c r="F56" i="1"/>
  <c r="H56" i="1" s="1"/>
  <c r="F53" i="1"/>
  <c r="F52" i="1" s="1"/>
  <c r="F48" i="1"/>
  <c r="F47" i="1"/>
  <c r="H47" i="1" s="1"/>
  <c r="F46" i="1"/>
  <c r="F45" i="1"/>
  <c r="H45" i="1" s="1"/>
  <c r="F44" i="1"/>
  <c r="F43" i="1"/>
  <c r="H43" i="1" s="1"/>
  <c r="F40" i="1"/>
  <c r="H40" i="1" s="1"/>
  <c r="F39" i="1"/>
  <c r="F38" i="1" s="1"/>
  <c r="F35" i="1"/>
  <c r="H35" i="1" s="1"/>
  <c r="F34" i="1"/>
  <c r="F31" i="1"/>
  <c r="F29" i="1" s="1"/>
  <c r="F28" i="1"/>
  <c r="H28" i="1" s="1"/>
  <c r="F26" i="1"/>
  <c r="H26" i="1" s="1"/>
  <c r="F25" i="1"/>
  <c r="F24" i="1"/>
  <c r="H24" i="1" s="1"/>
  <c r="F23" i="1"/>
  <c r="F21" i="1"/>
  <c r="H21" i="1" s="1"/>
  <c r="F17" i="1"/>
  <c r="H17" i="1" s="1"/>
  <c r="F15" i="1"/>
  <c r="H15" i="1" s="1"/>
  <c r="F14" i="1"/>
  <c r="F13" i="1"/>
  <c r="F97" i="1" l="1"/>
  <c r="F141" i="1"/>
  <c r="F140" i="1" s="1"/>
  <c r="H163" i="1"/>
  <c r="H149" i="1"/>
  <c r="H118" i="1"/>
  <c r="H85" i="1"/>
  <c r="H63" i="1"/>
  <c r="H29" i="1"/>
  <c r="H13" i="1"/>
  <c r="H151" i="1"/>
  <c r="H134" i="1"/>
  <c r="H53" i="1"/>
  <c r="H39" i="1"/>
  <c r="H52" i="1"/>
  <c r="F22" i="1"/>
  <c r="F42" i="1"/>
  <c r="F63" i="1"/>
  <c r="F67" i="1"/>
  <c r="H67" i="1" s="1"/>
  <c r="F90" i="1"/>
  <c r="F107" i="1"/>
  <c r="H107" i="1" s="1"/>
  <c r="F131" i="1"/>
  <c r="F129" i="1" s="1"/>
  <c r="H129" i="1" s="1"/>
  <c r="F166" i="1"/>
  <c r="H156" i="1"/>
  <c r="H146" i="1"/>
  <c r="H133" i="1"/>
  <c r="H124" i="1"/>
  <c r="H78" i="1"/>
  <c r="H57" i="1"/>
  <c r="H22" i="1"/>
  <c r="H128" i="1"/>
  <c r="H115" i="1"/>
  <c r="H100" i="1"/>
  <c r="H77" i="1"/>
  <c r="H31" i="1"/>
  <c r="H97" i="1"/>
  <c r="H157" i="1"/>
  <c r="H131" i="1"/>
  <c r="H80" i="1"/>
  <c r="H75" i="1"/>
  <c r="G161" i="1"/>
  <c r="G160" i="1" s="1"/>
  <c r="G141" i="1"/>
  <c r="H127" i="1"/>
  <c r="G90" i="1"/>
  <c r="H90" i="1" s="1"/>
  <c r="H86" i="1"/>
  <c r="H79" i="1"/>
  <c r="G37" i="1"/>
  <c r="G36" i="1" s="1"/>
  <c r="H38" i="1"/>
  <c r="G11" i="1"/>
  <c r="G10" i="1" s="1"/>
  <c r="F11" i="1"/>
  <c r="F10" i="1" s="1"/>
  <c r="H160" i="1" l="1"/>
  <c r="F161" i="1"/>
  <c r="F160" i="1" s="1"/>
  <c r="H166" i="1"/>
  <c r="F37" i="1"/>
  <c r="F36" i="1" s="1"/>
  <c r="H36" i="1" s="1"/>
  <c r="F171" i="1"/>
  <c r="F89" i="1"/>
  <c r="F88" i="1" s="1"/>
  <c r="H42" i="1"/>
  <c r="H161" i="1"/>
  <c r="G140" i="1"/>
  <c r="H140" i="1" s="1"/>
  <c r="H141" i="1"/>
  <c r="G89" i="1"/>
  <c r="G88" i="1" s="1"/>
  <c r="H88" i="1" s="1"/>
  <c r="H37" i="1"/>
  <c r="H89" i="1" l="1"/>
  <c r="G171" i="1"/>
  <c r="H171" i="1" s="1"/>
  <c r="H11" i="1" l="1"/>
  <c r="H10" i="1" l="1"/>
</calcChain>
</file>

<file path=xl/sharedStrings.xml><?xml version="1.0" encoding="utf-8"?>
<sst xmlns="http://schemas.openxmlformats.org/spreadsheetml/2006/main" count="367" uniqueCount="293">
  <si>
    <t>% виконання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</si>
  <si>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</si>
  <si>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</si>
  <si>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</si>
  <si>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</si>
  <si>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0600000</t>
  </si>
  <si>
    <t>0610000</t>
  </si>
  <si>
    <t>3700000</t>
  </si>
  <si>
    <t>3710000</t>
  </si>
  <si>
    <t>0180</t>
  </si>
  <si>
    <t>ВСЬОГО</t>
  </si>
  <si>
    <t>(код бюджету)</t>
  </si>
  <si>
    <t>0200000</t>
  </si>
  <si>
    <t>0210000</t>
  </si>
  <si>
    <t>Капітальні видатки</t>
  </si>
  <si>
    <t>0731</t>
  </si>
  <si>
    <t>Багатопрофільна стаціонарна медична допомога населенню</t>
  </si>
  <si>
    <t>6030</t>
  </si>
  <si>
    <t>0620</t>
  </si>
  <si>
    <t>Організація благоустрою населених пунктів</t>
  </si>
  <si>
    <t>0490</t>
  </si>
  <si>
    <t>0611021</t>
  </si>
  <si>
    <t>1021</t>
  </si>
  <si>
    <t>0921</t>
  </si>
  <si>
    <t>Капітальні видатки разом, в т.ч.:</t>
  </si>
  <si>
    <t>0610</t>
  </si>
  <si>
    <t>1200000</t>
  </si>
  <si>
    <t>1210000</t>
  </si>
  <si>
    <t>Експлуатація та технічне обслуговування житлового фонду</t>
  </si>
  <si>
    <t>1216015</t>
  </si>
  <si>
    <t>6015</t>
  </si>
  <si>
    <t>Забезпечення надійної та безперебійної експлуатації ліфтів</t>
  </si>
  <si>
    <t>1216030</t>
  </si>
  <si>
    <t>1500000</t>
  </si>
  <si>
    <t>1510000</t>
  </si>
  <si>
    <t>Реалізація інших заходів щодо соціально-економічного розвитку територій</t>
  </si>
  <si>
    <t>Виконавчий комітет Чорноморської  міської ради  Одеського району Одеської області</t>
  </si>
  <si>
    <t>1518110</t>
  </si>
  <si>
    <t>8110</t>
  </si>
  <si>
    <t>Заходи із запобігання та ліквідації надзвичайних ситуацій та наслідків стихійного лиха</t>
  </si>
  <si>
    <t>Субвенція з місцевого бюджету державному бюджету на виконання програм соціально-економічного розвитку регіонів</t>
  </si>
  <si>
    <t>0320</t>
  </si>
  <si>
    <t>0212010</t>
  </si>
  <si>
    <t>2010</t>
  </si>
  <si>
    <t>Надання загальної середньої освіти закладами загальної середньої освіти за рахунок коштів місцевого бюджету</t>
  </si>
  <si>
    <t>6011</t>
  </si>
  <si>
    <t>7370</t>
  </si>
  <si>
    <t>3719800</t>
  </si>
  <si>
    <t>9800</t>
  </si>
  <si>
    <t>до рішення Чорноморської міської ради</t>
  </si>
  <si>
    <t>0380</t>
  </si>
  <si>
    <t>0611010</t>
  </si>
  <si>
    <t>1010</t>
  </si>
  <si>
    <t>0910</t>
  </si>
  <si>
    <t>Надання дошкільної освіти</t>
  </si>
  <si>
    <t>0618110</t>
  </si>
  <si>
    <t>Найменування робіт</t>
  </si>
  <si>
    <t>0218240</t>
  </si>
  <si>
    <t>8240</t>
  </si>
  <si>
    <t>Заходи та роботи з територіальної оборони</t>
  </si>
  <si>
    <t>Капітальний ремонт підвального приміщення будівлі КНП "Чорноморська лікарня" Чорноморської міської ради Одеського району Одеської області, з улаштуванням під найпростіше укриття, за адресою: Одеська область, м.Чорноморськ, вул.Віталія Шума, 4, літ.А</t>
  </si>
  <si>
    <t>Управління освіти Чорноморської  міської ради  Одеського району Одеської області</t>
  </si>
  <si>
    <t>Відділ комунального господарства та благоустрою Чорноморської  міської ради  Одеського району Одеської області</t>
  </si>
  <si>
    <t>1216011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</si>
  <si>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</t>
  </si>
  <si>
    <t>Реконструкція скверу за адресою: Одеська область, м.Чорноморськ, проспект Миру, 14. Коригування</t>
  </si>
  <si>
    <t>Управління капітального будівництва Чорноморської  міської ради  Одеського району Одеської області</t>
  </si>
  <si>
    <t>Виконано за звітний період, грн</t>
  </si>
  <si>
    <t>Додаток 7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</si>
  <si>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</si>
  <si>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</si>
  <si>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</si>
  <si>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</si>
  <si>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Капітальні видатки / Придбання обладнання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</si>
  <si>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</si>
  <si>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</si>
  <si>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</si>
  <si>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</si>
  <si>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Розроблення детального плану частини території 13-го мікрорайону м.Чорноморськ Одеського району Одеської області загальною площею 1,0 га для будівництва багатоповерхового житлового будинку</t>
  </si>
  <si>
    <t>0217520</t>
  </si>
  <si>
    <t>7520</t>
  </si>
  <si>
    <t>0460</t>
  </si>
  <si>
    <t>Реалізація Національної програми інформатизації</t>
  </si>
  <si>
    <t>КНП "Чорноморська лікарня" - придбання персональних комп'ютерів</t>
  </si>
  <si>
    <t>Виконавчий комітет - придбання комп'ютерної техніки та обладнання</t>
  </si>
  <si>
    <t>0218230</t>
  </si>
  <si>
    <t>8230</t>
  </si>
  <si>
    <t>Інші заходи громадського порядку та безпеки</t>
  </si>
  <si>
    <t>Придбання обладнання</t>
  </si>
  <si>
    <t>Придбання шаф холодильних для облаштування приміщень харчоблоків</t>
  </si>
  <si>
    <t>0611183</t>
  </si>
  <si>
    <t>1183</t>
  </si>
  <si>
    <t>0990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</si>
  <si>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</si>
  <si>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</si>
  <si>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</si>
  <si>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 - постанова КМУ від 31.12.2024р. № 1554</t>
  </si>
  <si>
    <t>Капітальний ремонт підвального приміщення з пристосуванням під СПП з властивостями ПРУ в будівлі Чорноморського ліцею № 4 Чорноморської міської ради Одеського району Одеської області, за адресою Одеська область, Одеський район, м.Чорноморськ, вулиця 1 Травня, 9-А</t>
  </si>
  <si>
    <t>0800000</t>
  </si>
  <si>
    <t>Управління соціальної політики Чорноморської  міської ради  Одеського району Одеської області</t>
  </si>
  <si>
    <t>0810000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</si>
  <si>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</si>
  <si>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</si>
  <si>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</si>
  <si>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</si>
  <si>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1000000</t>
  </si>
  <si>
    <t>Відділ культури Чорноморської  міської ради  Одеського району Одеської області</t>
  </si>
  <si>
    <t>1010000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</si>
  <si>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</si>
  <si>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</si>
  <si>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</si>
  <si>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</si>
  <si>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Придбання підйомного похилого обладнання</t>
  </si>
  <si>
    <t>1100000</t>
  </si>
  <si>
    <t>Відділ молоді та спорту Чорноморської  міської ради  Одеського району Одеської області</t>
  </si>
  <si>
    <t>1110000</t>
  </si>
  <si>
    <t>1110160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</si>
  <si>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</si>
  <si>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</si>
  <si>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</si>
  <si>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Придбання кондиціонеру</t>
  </si>
  <si>
    <t>Капітальний ремонт, заміна каналізаційних випусків багатоквартирного будинку за адресою: м.Чорноморськ, вул.Олександрійська, 24</t>
  </si>
  <si>
    <t>Міської цільової програми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</si>
  <si>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Капітальний ремонт багатоквартирного житлового будинку, оздоблення пандусів ОСББ "Паркова 22-А", за адресою: м.Чорноморськ, вул.Паркова 22-А</t>
  </si>
  <si>
    <t>Капітальний ремонт ганку 1-го під'їзду в житловому багатоквартирному будинку ОСББ "НОМЕР СІМ" за адресою: м.Чорноморськ, вул.Лазурна, 2</t>
  </si>
  <si>
    <t>Капітальний ремонт (заміна) ліфту за адресою: Одеський район, Одеська область, м.Чорноморськ, вул.Лазурна, 7 (1)</t>
  </si>
  <si>
    <t>Капітальний ремонт (заміна) ліфту за адресою: Одеський район, Одеська область, м.Чорноморськ, проспект Миру, 28 (4)</t>
  </si>
  <si>
    <t>Капітальний ремонт (заміна) ліфту за адресою: Одеський район, Одеська область, м.Чорноморськ, вул.Олександрійська, 4-А (1)</t>
  </si>
  <si>
    <t>Капітальний ремонт (заміна) ліфту за адресою: Одеський район, Одеська область, м.Чорноморськ, вул.Олександрійська, 10 (4)</t>
  </si>
  <si>
    <t>Капітальний ремонт (заміна) ліфту за адресою: Одеський район, Одеська область, м.Чорноморськ, вул.Паркова, 36 (4)</t>
  </si>
  <si>
    <t>Капітальний ремонт (заміна) ліфту за адресою: Одеський район, Одеська область, м.Чорноморськ, вул.1 Травня, 5 (1)</t>
  </si>
  <si>
    <t>1216017</t>
  </si>
  <si>
    <t>6017</t>
  </si>
  <si>
    <t>Інша діяльність, пов'язана з експлуатацією об'єктів житлово-комунального господарства</t>
  </si>
  <si>
    <t>Міська цільова програма часткової компенсації вартості закупівлі альтернативних джерел енергії для забезпечення потреб мешканців банатоквартрних житлових будинків на території Чорноморської міської територіальної громади на 2024-2025 роки</t>
  </si>
  <si>
    <t>Капітальний ремонт зовнішнього освітлення на Алеї Пам'яті в парку Приморський</t>
  </si>
  <si>
    <t>0640</t>
  </si>
  <si>
    <t>Будівництво об'єктів житлово-комунального господарства</t>
  </si>
  <si>
    <t>Реконструкція теплової мережі на ділянці від камери МК10 до палацу спорту "Юність" в м.Чорноморськ Одеського району Одеської області</t>
  </si>
  <si>
    <t>Реконструкція вводу  теплової мережі  до житлового будинку №4-Б по вул.  Корабельній  у м. Чорноморськ Одеського району Одеської області</t>
  </si>
  <si>
    <t>1217670</t>
  </si>
  <si>
    <t>7670</t>
  </si>
  <si>
    <t>Внески до статутного капіталу суб'єктів господарювання</t>
  </si>
  <si>
    <t>Придбання мережевих насосів для КП "Чорноморськтеплоенерго"</t>
  </si>
  <si>
    <t>Придбання трактора для КП "МУЖКГ"</t>
  </si>
  <si>
    <t>1218110</t>
  </si>
  <si>
    <t>Капітальний ремонт: улаштування зовнішньої гідроізоляції цокольного поверху (найпростішого укриття), вимощення, системи дощової каналізації гуртожитку за адресою: Одеський район, Одеська області, м.Чорноморськ, с.Малодолинське, вул.Зелена, 2-Б (розробка проектно-кошторисної документації, експертиза)</t>
  </si>
  <si>
    <t>1218240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</si>
  <si>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</si>
  <si>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</si>
  <si>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Капітальний ремонт приміщень (санвузлів лівого крила з першого по четвертий поверх)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</si>
  <si>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1512171</t>
  </si>
  <si>
    <t>2171</t>
  </si>
  <si>
    <t>0763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</si>
  <si>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</si>
  <si>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 xml:space="preserve">Монтажні та пусконалагоджувальні роботи по ліфту в/п 630-1000 кг на 20 зупинок в будівлі за адресою: Одеська область, м.Чорноморськ, вул.Парусна, 18, 4 під'їзд </t>
  </si>
  <si>
    <t>1516091</t>
  </si>
  <si>
    <t>6091</t>
  </si>
  <si>
    <t>Реконструкція мереж водопроводу за адресою: Одеська область, Одеський район, м.Чорноморськ, вул.Паркова, 46-50</t>
  </si>
  <si>
    <t>Будівництво самопливного колектору діаметром 400 мм від вул.1 Травня до вул.Промислова у м.Чорноморську Одеського району Одеської області</t>
  </si>
  <si>
    <t>1517370</t>
  </si>
  <si>
    <t>Збільшення електропотужностей для 13-го мікрорайону міста Чорноморськ, Одеської області</t>
  </si>
  <si>
    <t>Фінансове управління Чорноморської  міської ради  Одеського району Одеської області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</si>
  <si>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</si>
  <si>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</si>
  <si>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Міська цільова програма «Поліцейський офіцер громади» Чорноморської  міської територіальної  громади на 2025 рік</t>
  </si>
  <si>
    <t>0210150</t>
  </si>
  <si>
    <t>Капітальний ремонт (заміна) ліфту пасажирського для лікувально-профілактичних установ, реєстраційний №6342, у будівлі стаціонару літ.«А», встановленого біля відділення АзПІТ Комунального некомерційного підприємства «Чорноморська лікарня» Чорноморської міської ради Одеського району Одеської області за адресою: 68004, Одеська область,Одеський район м.Чорноморськ, вул.Віталія Шума,4 (літ. «А»)</t>
  </si>
  <si>
    <t>Придбання медичного обладнання для надання реабілітаційної допомоги дорослим та дітям та забезпечення якісних хірургічних операцій дорослим та дітям громади у стаціонарних умовах</t>
  </si>
  <si>
    <t>0212100</t>
  </si>
  <si>
    <t>2100</t>
  </si>
  <si>
    <t>0722</t>
  </si>
  <si>
    <t>Стоматологічна допомога населенню</t>
  </si>
  <si>
    <t xml:space="preserve">Капітальні видатки / Придбання медичного/стоматологічного обладнання та приладдя 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</si>
  <si>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</si>
  <si>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Капітальний ремонт з утепленням покрівлі нежитлової будівлі відділення сімейної медицини за адресою: вул.Перемоги, 64, селище Олександрівка, м.Чорноморськ / розробка проектно-кошторисної документації</t>
  </si>
  <si>
    <t>Капітальні видатки / Придбання газового котла</t>
  </si>
  <si>
    <t>0212170</t>
  </si>
  <si>
    <t>2170</t>
  </si>
  <si>
    <t>Будівництво закладів охорони здоров'я</t>
  </si>
  <si>
    <t>Олександрівська селищна адміністрація - придбання комп'ютерної техніки</t>
  </si>
  <si>
    <t>Придбання пральних машин виробничого типу для закладів дошкільної освіти</t>
  </si>
  <si>
    <t>Капітальні видатки / видалення дерев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</si>
  <si>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</si>
  <si>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</si>
  <si>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</si>
  <si>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</si>
  <si>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</si>
  <si>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</si>
  <si>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</si>
  <si>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</si>
  <si>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</si>
  <si>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</si>
  <si>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</si>
  <si>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Капітальний ремонт з заміною вікон Малодолинського закладу загальної середньої освіти Чорноморської міської ради Одеського району Одеської області, пошкоджених внаслідок військової агресії, за адресою: Одеська область, Одеський район, м.Чорноморськ, вулиця Зелена, 2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</si>
  <si>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</si>
  <si>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</si>
  <si>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</si>
  <si>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</si>
  <si>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Капітальний ремонт покрівлі будівлі КДЮСШ</t>
  </si>
  <si>
    <t>Капітальний ремонт підвальних приміщень житлового будинку з влаштуванням найпростішого укриття, розташованого за адресою: Одеська область, Одеський район, м.Чорноморськ, проспект Миру, 15-Б/52-Н (розробка проектно-кошторисної документації)</t>
  </si>
  <si>
    <t>Капітальний ремонт стилобатної частини підвального поверху з улаштування заходів гідроізоляції в найпростішому укритті Чорноморського ліцею № 6, розташованого за адресою: Одеська область, Одеський район, м. Чорноморськ, вулиця Спортивна, ЗА</t>
  </si>
  <si>
    <t>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</t>
  </si>
  <si>
    <t>Капітальний ремонт підвального приміщення в будівлі закладу дошкільної освіти № 4 «Барвінок» Чорноморської міської ради Одеського району Одеської області, за адресою: Одеська область, Одеський район, м. Чорноморськ, вулиця Олександрійська, 19-А, з подальшою можливістю улаштування найпростішого укриття</t>
  </si>
  <si>
    <t>Капітальний ремонт нежитлового, вбудовано-прибудованого приміщення, розташованого за адресою: м.Чорноморськ, вул.Віталія Шума, 21/251-С для забезпечення діяльності спеціалізованої служби "Ветеранський простір Чорноморська"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</si>
  <si>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</si>
  <si>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</si>
  <si>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Придбання акустичних систем</t>
  </si>
  <si>
    <t>1017520</t>
  </si>
  <si>
    <t>Капітальні видатки / придбання комп'ютерної техніки</t>
  </si>
  <si>
    <t>Капітальний ремонт покрівлі, водозливної системи багатоквартирного житлового будинку за адресою: м.Чорноморськ, проспект Миру, 5-А</t>
  </si>
  <si>
    <t>Капітальний ремонт внутрішньобудинкових мереж житлового будинку за адресою: Одеська область, м.Чорноморськ, вул.Олександрійська, 13</t>
  </si>
  <si>
    <t>Капітальний ремонт житлового будинку (заміна вхідних дверей в під'їзд) за адресою: м.Чорноморськ, вул.Паркова, 20 (2 під'їзд)</t>
  </si>
  <si>
    <t>Капітальний ремонт житлового будинку (заміна вхідних дверей в під'їзд, улаштування домофону) за адресою: м.Чорноморськ, вул.Паркова, 24 (3 під'їзд)</t>
  </si>
  <si>
    <t>Капітальний ремонт мереж теплопостачання в житловому багатоквартирному будинку ЖБК "Лазурна 1" за адресою: м.Чорноморськ, вул.Лазурна, 1</t>
  </si>
  <si>
    <t>Капітальний ремонт вимощення (6, 7, 8 під'їздів) житлового багатоквартирного будинку ОСББ "НОМЕР СІМ" за адресою: м.Чорноморськ, вул.Лазурна, 2</t>
  </si>
  <si>
    <t>Капітальний ремонт багатоквартирного житлового будинку ОСББ "Паркова 22-А" за адресою: м.Чорноморськ, вул.Паркова, 22-А</t>
  </si>
  <si>
    <t>Капітальний ремонт електричних мереж в житловому багатоквартирному будинку ОСББ "Парусна-5" за адресою: м.Чорноморськ, вул.Парусна, 5</t>
  </si>
  <si>
    <t>Капітальний ремонт покрівлі (розробка проектно-кошторисної документації та виконання її експертизи) житлового багатоквартирного будинку ОСББ "Еверест 11А" за адресою: м.Чорноморськ, вул.Радісна, 11а</t>
  </si>
  <si>
    <t>Капітальний ремонт (заміна) ліфту за адресою: Одеський район, Одеська область, м.Чорноморськ, проспект Миру, 28 (5п.)</t>
  </si>
  <si>
    <t>Улаштування стаціонарної тимчасової споруди (ТС) "Вбиральня загального користування на три кабінки та одну універсальну кабіну" на кладовище між с.Малодолинське та с.Великодолинське / виконання проєктно-кошторисної документації та її експертизи</t>
  </si>
  <si>
    <t>Реконструкція теплогенераторної (розробка проектно-кошторисної документації та виконання її експертизи) в житловому багатоквартирному будинку ОСББ "НОМЕР ШІСТЬ" за адресою: м.Чорноморськ, вул.Шевченка, 9а</t>
  </si>
  <si>
    <t>1217640</t>
  </si>
  <si>
    <t>7640</t>
  </si>
  <si>
    <t>0470</t>
  </si>
  <si>
    <t>Заходи з енергозбереження</t>
  </si>
  <si>
    <t>Капітальний ремонт (заміна вікон) в житловому багатоквартирному будинку ЖБК "Лазурна 1" за адресою: м.Чорноморськ, вул.Лазурна, 1</t>
  </si>
  <si>
    <t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 за адресою: вул. Віталія Шума, буд. 4, м. Чорноморськ, Одеського району, Одеської області, пошкоджених внаслідок збройної агресії російської федерації"</t>
  </si>
  <si>
    <t>3719770</t>
  </si>
  <si>
    <t>9770</t>
  </si>
  <si>
    <t>Інші субвенції з місцевого бюджету</t>
  </si>
  <si>
    <t>Співфінансування заходів з благоустрою на об'єкті спільного користування, а саме: капітальний ремонт дорожнього покриття на території кладовища за адресою: Одеська область, Одеський район, село Молодіжне, вулиця Огородня, ділянка 47</t>
  </si>
  <si>
    <t>Виконавчий комітет / Капітальні видатки</t>
  </si>
  <si>
    <t xml:space="preserve">Придбання Мамографічної рентгенодіагностичної системи для Комунального некомерційного підприємства "Чорноморська лікарня" Чорноморської міської ради Одеського району Одеської області </t>
  </si>
  <si>
    <t>Капітальні видатки / придбання медичного обладнання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</si>
  <si>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"Чорноиморська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 (розробка проектно-кошторисної документації)</t>
  </si>
  <si>
    <t>Капітальний ремонт харчоблоку в будівлі Чорноморського ліцею № 7 Чорноморської міської ради Одеського району Одеської області, за адресою: Одеська область, Одеський район, м. Чорноморськ, проспект Миру, 43-А (розробка проектно-кошторисної документації та експертиз проекту)</t>
  </si>
  <si>
    <t>Капітальний ремонт вимощення та заміна вікон Чорноморського ліцею № 7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43А</t>
  </si>
  <si>
    <t>Капітальний ремонт приміщень Олександрівського закладу загальної середньої освіти Чорноморської міської ради Одеського району Одеської області, розташованого за адресою: Одеська область, Одеський район, с.Олександрівка, вул.Центральна, 85</t>
  </si>
  <si>
    <t>Капітальний ремонт приміщень (осередку Захисту України) Чорноморського ліцею № 2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17А</t>
  </si>
  <si>
    <t>Придбання та встановлення пандусів в Чорноморському ліцеї  № 1</t>
  </si>
  <si>
    <t>Капітальний ремонт вентиляції (Найпростішого укриття) в будівлі Чорноморського ліцею № 4 Чорноморської міської ради Одеського району Одеської області. За адресою Одеська область, Одеський район, м.Чорноморськ, вулиця
1 Травня, 9-А</t>
  </si>
  <si>
    <t>Капітальний ремонт (заміна) ліфту у 3му під'їзді житлового будинку за адресою: Одеська область, Одеський район, м. Чорноморськ, пр. Миру, 30 (ОСББ "Мирний 30")</t>
  </si>
  <si>
    <t>Міська  цільова програма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</si>
  <si>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Придбання тракторного самоскидного причепа ТСП-16 для КП "Чорноморськводоканал"</t>
  </si>
  <si>
    <t>Капітальний ремонт приміщень сходових клітин лівого крила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</si>
  <si>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Монтажні та пусконалагоджувальні роботи по ліфту в/п 400 кг на 22 зупинки в будівлі за адресою: Одеська обл., м.Чорноморськ, вул.Парусна, 18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</si>
  <si>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</si>
  <si>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Начальник фінансового управління                                                                                          Ольга ЯКОВЕНКО</t>
  </si>
  <si>
    <t>Капітальний ремонт інженерних мереж холодного водопостачання з улаштуванням приладів колективного обліку та водовідведення, електропостачання з улаштуванням приладів індивідуального обліку, автоматичної системи пожежної сигналізації, капітальний ремонт ліфтів, гідроізоляція душових в гуртожитку за адресою: Одеська область, Одеський район, м.Чорноморськ, вул.Олександрійська, 16 - виконання експертизи проектно-кошторисної документації</t>
  </si>
  <si>
    <t>Обсяг видатків бюджету розвитку, грн</t>
  </si>
  <si>
    <t>Капітальні видатки / придбання аналізатору гематологічного автоматичного</t>
  </si>
  <si>
    <t>Капітальні видатки / придбання рентгенографічної системи</t>
  </si>
  <si>
    <t>Капітальний ремонт (технічне переоснащення) частини внутрішньобудинкової зливової каналізації, систем водовідведення та водопостачання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</t>
  </si>
  <si>
    <t>КУ "Муніципальна варта" - придбання комп'ютерної техніки</t>
  </si>
  <si>
    <t>Встановлення генераторів в Чорноморських ліцеях № 2, № 3  Чорноморської міської ради Одеського району Одеської області (розробка проектно-кошторисної документації)</t>
  </si>
  <si>
    <t>Капітальні видатки / Придбання зарядних станцій для закладів загальної середньої освіти</t>
  </si>
  <si>
    <t>Капітальні видатки / Придбання зарядних станцій для Чорноморської спеціальної школи</t>
  </si>
  <si>
    <t>Капітальний ремонт покрівлі Чорноморської спеціальної школи, розташованої за адресою: Одеська область, Одеський район, місто Чорноморськ, вулиця Пляжна, 3</t>
  </si>
  <si>
    <t>0611141</t>
  </si>
  <si>
    <t>1141</t>
  </si>
  <si>
    <t>Забезпечення діяльності інших закладів у сфері освіти</t>
  </si>
  <si>
    <t>Капітальні видатки, разом -
в т.ч.:</t>
  </si>
  <si>
    <t>Придбання шкільного автобусу</t>
  </si>
  <si>
    <t>Придбання зарядних станцій</t>
  </si>
  <si>
    <t>Капітальні видатки / Придбання рятувального надувного човна з двигуном для КДЮСШ</t>
  </si>
  <si>
    <t>Придбання інвентарю для водних видів спорту КДЮСШ</t>
  </si>
  <si>
    <t>1216013</t>
  </si>
  <si>
    <t>6013</t>
  </si>
  <si>
    <t>Забезпечення діяльності водопровідно-каналізаційного господарства</t>
  </si>
  <si>
    <t>Капітальний ремонт ушкоджених ділянок господарсько-побутових самопливних каналізаційних колекторів, що проходять по території головної каналізаційної насосної станції за адресою: Одеська область, Одеський район, м.Чорноморськ, вул.Паркова, 23 / виготовлення проектно-кошторисної документації</t>
  </si>
  <si>
    <t>Придбання автопідйомника телескопічного для виконання заходів з благоустрою</t>
  </si>
  <si>
    <t>КП "Зеленгосп" / капітальні видатки</t>
  </si>
  <si>
    <t>Капітальний ремонт житлового будинку (заміна вікон) за адресою: м.Чорноморськ, вул.Корабельна, 6-А</t>
  </si>
  <si>
    <t>Придбання перетворювача частоти для КП "Чорноморськводоканал"</t>
  </si>
  <si>
    <t>Реконструкція напірного каналізаційного колектору за адресою: Одеська область, Одеський район, м.Чорноморськ, від вул.Космонавтів, 59Г в с.Малодолинське до вул.Світла, 51 в смт.Олександрівка (коригування)</t>
  </si>
  <si>
    <t>Реконструкція водогону Дн 600 мм на рибпорт в с.Бурлача Балка Одеського району Одеської області на ділянці в районі с.Сухий Лиман довжиною 460м</t>
  </si>
  <si>
    <t>3100000</t>
  </si>
  <si>
    <t>Управління комунальної власності та земельних відносин Одеського району Одеської області</t>
  </si>
  <si>
    <t>3110000</t>
  </si>
  <si>
    <t>3117650</t>
  </si>
  <si>
    <t>7650</t>
  </si>
  <si>
    <t>Проведення експертної грошової оцінки земельної ділянки чи права на неї</t>
  </si>
  <si>
    <t>Експертна оцінки земельної ділянки за рахунок авансового внеску, згідно рішення ЧМР від 11.11.2025 № 979/25-VIII "Про надання дозволу на продаж Злобіну Р.В. земельної ділянки площею 0,0800 га за адресою: Одеська область, Одеський район, місто Чорноморськ, вулиця Промислова, 14 та проведення її експертної грошової оцінки"</t>
  </si>
  <si>
    <t>3117693</t>
  </si>
  <si>
    <t>7693</t>
  </si>
  <si>
    <t>Інші заходи, пов`язані з економічною діяльністю</t>
  </si>
  <si>
    <t>Капітальний ремонт покрівлі (заходи з енергозбереження) нежитлової будівлі КП - Фірми "Райдуга"за адресою: Одеська обл., Одеський район, м.Чорноморськ, вул.Захисників України, б.3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</si>
  <si>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</si>
  <si>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субв</t>
  </si>
  <si>
    <t>субв-5000,0</t>
  </si>
  <si>
    <t xml:space="preserve">ЗВІТ
про використання коштів бюджету розвитку у складі бюджету Чорноморської міської територіальної громади  за 2025 рік </t>
  </si>
  <si>
    <t>від  06.02.2026  № 1045-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</si>
</sst>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2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3"/>
      <color indexed="12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Arimo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14"/>
      <name val="Times New Roman"/>
      <family val="1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0" fontId="14" fillId="0" borderId="0"/>
    <xf numFmtId="9" fontId="15" fillId="0" borderId="0" applyFont="0" applyFill="0" applyBorder="0" applyAlignment="0" applyProtection="0"/>
  </cellStyleXfs>
  <cellXfs count="79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12" fillId="0" borderId="5" xfId="5" applyFont="1" applyBorder="1" applyAlignment="1" applyProtection="1">
      <alignment horizontal="left"/>
    </xf>
    <xf numFmtId="0" fontId="11" fillId="0" borderId="0" xfId="5" applyFont="1" applyAlignment="1" applyProtection="1">
      <alignment horizontal="center"/>
    </xf>
    <xf numFmtId="9" fontId="6" fillId="2" borderId="0" xfId="9" applyFont="1" applyFill="1" applyAlignment="1">
      <alignment horizontal="left"/>
    </xf>
    <xf numFmtId="9" fontId="7" fillId="2" borderId="0" xfId="9" applyFont="1" applyFill="1"/>
    <xf numFmtId="9" fontId="7" fillId="2" borderId="0" xfId="9" applyFont="1" applyFill="1" applyAlignment="1">
      <alignment horizontal="center"/>
    </xf>
    <xf numFmtId="9" fontId="7" fillId="2" borderId="0" xfId="9" applyFont="1" applyFill="1" applyAlignment="1">
      <alignment horizontal="left" vertical="center"/>
    </xf>
    <xf numFmtId="0" fontId="3" fillId="2" borderId="0" xfId="0" applyFont="1" applyFill="1"/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left" vertical="center" wrapText="1"/>
    </xf>
    <xf numFmtId="4" fontId="3" fillId="2" borderId="0" xfId="0" applyNumberFormat="1" applyFont="1" applyFill="1"/>
    <xf numFmtId="0" fontId="17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quotePrefix="1" applyFont="1" applyFill="1" applyBorder="1" applyAlignment="1">
      <alignment horizontal="left" vertical="center" wrapText="1"/>
    </xf>
    <xf numFmtId="0" fontId="3" fillId="2" borderId="7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3" fillId="2" borderId="1" xfId="8" quotePrefix="1" applyFont="1" applyFill="1" applyBorder="1" applyAlignment="1">
      <alignment horizontal="left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3" fillId="2" borderId="3" xfId="0" quotePrefix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21" fillId="2" borderId="0" xfId="0" applyFont="1" applyFill="1"/>
    <xf numFmtId="0" fontId="20" fillId="2" borderId="0" xfId="0" applyFont="1" applyFill="1"/>
    <xf numFmtId="0" fontId="18" fillId="2" borderId="0" xfId="0" applyFont="1" applyFill="1"/>
    <xf numFmtId="0" fontId="2" fillId="2" borderId="0" xfId="0" applyFont="1" applyFill="1"/>
    <xf numFmtId="4" fontId="2" fillId="2" borderId="0" xfId="0" applyNumberFormat="1" applyFont="1" applyFill="1"/>
    <xf numFmtId="9" fontId="3" fillId="2" borderId="0" xfId="9" applyFont="1" applyFill="1" applyAlignment="1">
      <alignment horizontal="left"/>
    </xf>
    <xf numFmtId="0" fontId="17" fillId="0" borderId="1" xfId="0" quotePrefix="1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7" fillId="2" borderId="4" xfId="0" quotePrefix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/>
    <xf numFmtId="0" fontId="22" fillId="2" borderId="0" xfId="0" applyFont="1" applyFill="1"/>
    <xf numFmtId="0" fontId="24" fillId="2" borderId="0" xfId="0" applyFont="1" applyFill="1"/>
    <xf numFmtId="9" fontId="17" fillId="0" borderId="0" xfId="9" applyFont="1" applyAlignment="1">
      <alignment horizontal="left"/>
    </xf>
    <xf numFmtId="0" fontId="2" fillId="2" borderId="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17" fillId="2" borderId="1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17" fillId="2" borderId="4" xfId="0" quotePrefix="1" applyFont="1" applyFill="1" applyBorder="1" applyAlignment="1">
      <alignment horizontal="left" vertical="center" wrapText="1"/>
    </xf>
    <xf numFmtId="0" fontId="2" fillId="2" borderId="1" xfId="4" applyFont="1" applyFill="1" applyBorder="1" applyAlignment="1">
      <alignment horizontal="center" vertical="center" wrapText="1"/>
    </xf>
    <xf numFmtId="9" fontId="17" fillId="0" borderId="0" xfId="9" applyFont="1" applyAlignment="1">
      <alignment horizontal="left"/>
    </xf>
    <xf numFmtId="0" fontId="11" fillId="0" borderId="0" xfId="5" applyFont="1" applyAlignment="1" applyProtection="1">
      <alignment horizontal="left"/>
    </xf>
    <xf numFmtId="0" fontId="2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6" fillId="0" borderId="6" xfId="0" applyFont="1" applyBorder="1"/>
    <xf numFmtId="0" fontId="3" fillId="2" borderId="6" xfId="0" applyFont="1" applyFill="1" applyBorder="1" applyAlignment="1">
      <alignment horizontal="center" vertical="center" wrapText="1"/>
    </xf>
  </cellXfs>
  <cellStyles count="10">
    <cellStyle name="Відсотковий" xfId="9" builtinId="5"/>
    <cellStyle name="Гіперпосилання" xfId="5" builtinId="8"/>
    <cellStyle name="Звичайний" xfId="0" builtinId="0"/>
    <cellStyle name="Обычный 10" xfId="7" xr:uid="{00000000-0005-0000-0000-000003000000}"/>
    <cellStyle name="Обычный 2" xfId="1" xr:uid="{00000000-0005-0000-0000-000004000000}"/>
    <cellStyle name="Обычный 2 2" xfId="6" xr:uid="{00000000-0005-0000-0000-000005000000}"/>
    <cellStyle name="Обычный 3" xfId="3" xr:uid="{00000000-0005-0000-0000-000006000000}"/>
    <cellStyle name="Обычный 9" xfId="8" xr:uid="{00000000-0005-0000-0000-000007000000}"/>
    <cellStyle name="Обычный_дод 3" xfId="4" xr:uid="{00000000-0005-0000-0000-000008000000}"/>
    <cellStyle name="Финансовый 2" xfId="2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3"/>
  <sheetViews>
    <sheetView tabSelected="1" view="pageBreakPreview" zoomScale="90" zoomScaleNormal="90" zoomScaleSheetLayoutView="90" workbookViewId="0">
      <selection activeCell="F3" sqref="F3:H3"/>
    </sheetView>
  </sheetViews>
  <sheetFormatPr defaultColWidth="9.109375" defaultRowHeight="18"/>
  <cols>
    <col min="1" max="1" width="15.88671875" style="2" customWidth="1"/>
    <col min="2" max="2" width="14.88671875" style="1" customWidth="1"/>
    <col min="3" max="3" width="16" style="1" customWidth="1"/>
    <col min="4" max="4" width="50" style="1" customWidth="1"/>
    <col min="5" max="5" width="55.5546875" style="3" customWidth="1"/>
    <col min="6" max="6" width="18.5546875" style="1" customWidth="1"/>
    <col min="7" max="7" width="19.33203125" style="1" customWidth="1"/>
    <col min="8" max="8" width="11.109375" style="2" customWidth="1"/>
    <col min="9" max="9" width="24" style="1" customWidth="1"/>
    <col min="10" max="10" width="18.44140625" style="1" bestFit="1" customWidth="1"/>
    <col min="11" max="11" width="16.88671875" style="1" bestFit="1" customWidth="1"/>
    <col min="12" max="12" width="15.5546875" style="1" bestFit="1" customWidth="1"/>
    <col min="13" max="16384" width="9.109375" style="1"/>
  </cols>
  <sheetData>
    <row r="1" spans="1:8" s="9" customFormat="1">
      <c r="A1" s="8"/>
      <c r="D1" s="10"/>
      <c r="E1" s="11"/>
      <c r="F1" s="73" t="s">
        <v>68</v>
      </c>
      <c r="G1" s="73"/>
      <c r="H1" s="73"/>
    </row>
    <row r="2" spans="1:8" s="9" customFormat="1">
      <c r="A2" s="8"/>
      <c r="D2" s="10"/>
      <c r="E2" s="11"/>
      <c r="F2" s="49" t="s">
        <v>49</v>
      </c>
      <c r="G2" s="49"/>
      <c r="H2" s="49"/>
    </row>
    <row r="3" spans="1:8" s="9" customFormat="1">
      <c r="A3" s="8"/>
      <c r="D3" s="10"/>
      <c r="E3" s="11"/>
      <c r="F3" s="66" t="s">
        <v>292</v>
      </c>
      <c r="G3" s="66"/>
      <c r="H3" s="66"/>
    </row>
    <row r="4" spans="1:8" s="4" customFormat="1" ht="36.6" customHeight="1">
      <c r="A4" s="75" t="s">
        <v>291</v>
      </c>
      <c r="B4" s="75"/>
      <c r="C4" s="75"/>
      <c r="D4" s="75"/>
      <c r="E4" s="75"/>
      <c r="F4" s="75"/>
      <c r="G4" s="75"/>
      <c r="H4" s="75"/>
    </row>
    <row r="5" spans="1:8" s="4" customFormat="1" ht="21">
      <c r="A5" s="74">
        <v>1558900000</v>
      </c>
      <c r="B5" s="74"/>
      <c r="C5" s="5"/>
      <c r="D5" s="5"/>
      <c r="E5" s="5"/>
      <c r="F5" s="5"/>
      <c r="G5" s="5"/>
      <c r="H5" s="26"/>
    </row>
    <row r="6" spans="1:8" s="4" customFormat="1" ht="13.2" customHeight="1">
      <c r="A6" s="6" t="s">
        <v>11</v>
      </c>
      <c r="B6" s="7"/>
      <c r="C6" s="5"/>
      <c r="D6" s="5"/>
      <c r="E6" s="5"/>
      <c r="F6" s="5"/>
      <c r="G6" s="5"/>
      <c r="H6" s="26"/>
    </row>
    <row r="7" spans="1:8" ht="42" customHeight="1">
      <c r="A7" s="76" t="s">
        <v>1</v>
      </c>
      <c r="B7" s="76" t="s">
        <v>2</v>
      </c>
      <c r="C7" s="76" t="s">
        <v>3</v>
      </c>
      <c r="D7" s="76" t="s">
        <v>4</v>
      </c>
      <c r="E7" s="76" t="s">
        <v>56</v>
      </c>
      <c r="F7" s="76" t="s">
        <v>250</v>
      </c>
      <c r="G7" s="76" t="s">
        <v>67</v>
      </c>
      <c r="H7" s="76" t="s">
        <v>0</v>
      </c>
    </row>
    <row r="8" spans="1:8" ht="68.400000000000006" customHeight="1">
      <c r="A8" s="77"/>
      <c r="B8" s="77"/>
      <c r="C8" s="77"/>
      <c r="D8" s="78"/>
      <c r="E8" s="78"/>
      <c r="F8" s="78"/>
      <c r="G8" s="78"/>
      <c r="H8" s="78"/>
    </row>
    <row r="9" spans="1:8">
      <c r="A9" s="51">
        <v>1</v>
      </c>
      <c r="B9" s="51">
        <v>2</v>
      </c>
      <c r="C9" s="51">
        <v>3</v>
      </c>
      <c r="D9" s="27">
        <v>4</v>
      </c>
      <c r="E9" s="27">
        <v>5</v>
      </c>
      <c r="F9" s="27">
        <v>6</v>
      </c>
      <c r="G9" s="27">
        <v>7</v>
      </c>
      <c r="H9" s="27">
        <v>8</v>
      </c>
    </row>
    <row r="10" spans="1:8" s="47" customFormat="1" ht="15.6">
      <c r="A10" s="19" t="s">
        <v>12</v>
      </c>
      <c r="B10" s="19"/>
      <c r="C10" s="19"/>
      <c r="D10" s="67" t="s">
        <v>36</v>
      </c>
      <c r="E10" s="68"/>
      <c r="F10" s="53">
        <f t="shared" ref="F10:G10" si="0">F11</f>
        <v>23465138.899999999</v>
      </c>
      <c r="G10" s="53">
        <f t="shared" si="0"/>
        <v>20381401.389999997</v>
      </c>
      <c r="H10" s="28">
        <f>G10/F10</f>
        <v>0.86858217532221804</v>
      </c>
    </row>
    <row r="11" spans="1:8" s="47" customFormat="1" ht="15.6">
      <c r="A11" s="19" t="s">
        <v>13</v>
      </c>
      <c r="B11" s="14"/>
      <c r="C11" s="14"/>
      <c r="D11" s="67" t="s">
        <v>36</v>
      </c>
      <c r="E11" s="68"/>
      <c r="F11" s="53">
        <f>F12+F13+F21+F22+F27+F28+F29+F34+F35</f>
        <v>23465138.899999999</v>
      </c>
      <c r="G11" s="53">
        <f>G12+G13+G21+G22+G27+G28+G29+G34+G35</f>
        <v>20381401.389999997</v>
      </c>
      <c r="H11" s="28">
        <f t="shared" ref="H11:H74" si="1">G11/F11</f>
        <v>0.86858217532221804</v>
      </c>
    </row>
    <row r="12" spans="1:8" s="12" customFormat="1" ht="78">
      <c r="A12" s="14" t="s">
        <v>166</v>
      </c>
      <c r="B12" s="14" t="s">
        <v>148</v>
      </c>
      <c r="C12" s="14" t="s">
        <v>118</v>
      </c>
      <c r="D12" s="20" t="s">
        <v>149</v>
      </c>
      <c r="E12" s="17" t="s">
        <v>232</v>
      </c>
      <c r="F12" s="54">
        <v>52000</v>
      </c>
      <c r="G12" s="54">
        <v>25000</v>
      </c>
      <c r="H12" s="29">
        <f t="shared" si="1"/>
        <v>0.48076923076923078</v>
      </c>
    </row>
    <row r="13" spans="1:8" s="12" customFormat="1" ht="31.2">
      <c r="A13" s="14" t="s">
        <v>42</v>
      </c>
      <c r="B13" s="14" t="s">
        <v>43</v>
      </c>
      <c r="C13" s="14" t="s">
        <v>15</v>
      </c>
      <c r="D13" s="20" t="s">
        <v>16</v>
      </c>
      <c r="E13" s="17" t="s">
        <v>24</v>
      </c>
      <c r="F13" s="54">
        <f>SUM(F14:F20)</f>
        <v>18400020.899999999</v>
      </c>
      <c r="G13" s="54">
        <f>SUM(G14:G20)</f>
        <v>15819745.9</v>
      </c>
      <c r="H13" s="29">
        <f t="shared" si="1"/>
        <v>0.859767822328941</v>
      </c>
    </row>
    <row r="14" spans="1:8" s="12" customFormat="1" ht="124.8">
      <c r="A14" s="14"/>
      <c r="B14" s="14"/>
      <c r="C14" s="14"/>
      <c r="D14" s="20"/>
      <c r="E14" s="20" t="s">
        <v>167</v>
      </c>
      <c r="F14" s="54">
        <f>2036600-65630</f>
        <v>1970970</v>
      </c>
      <c r="G14" s="54"/>
      <c r="H14" s="29">
        <f t="shared" si="1"/>
        <v>0</v>
      </c>
    </row>
    <row r="15" spans="1:8" s="12" customFormat="1" ht="62.4">
      <c r="A15" s="14"/>
      <c r="B15" s="14"/>
      <c r="C15" s="14"/>
      <c r="D15" s="20"/>
      <c r="E15" s="20" t="s">
        <v>168</v>
      </c>
      <c r="F15" s="54">
        <f>1822170-142254.5</f>
        <v>1679915.5</v>
      </c>
      <c r="G15" s="54">
        <v>1679915.5</v>
      </c>
      <c r="H15" s="29">
        <f t="shared" si="1"/>
        <v>1</v>
      </c>
    </row>
    <row r="16" spans="1:8" s="12" customFormat="1" ht="62.4">
      <c r="A16" s="14"/>
      <c r="B16" s="14"/>
      <c r="C16" s="14"/>
      <c r="D16" s="20"/>
      <c r="E16" s="20" t="s">
        <v>233</v>
      </c>
      <c r="F16" s="54">
        <v>5800000</v>
      </c>
      <c r="G16" s="54">
        <v>5800000</v>
      </c>
      <c r="H16" s="29">
        <f t="shared" si="1"/>
        <v>1</v>
      </c>
    </row>
    <row r="17" spans="1:8" s="12" customFormat="1" ht="15.6">
      <c r="A17" s="14"/>
      <c r="B17" s="14"/>
      <c r="C17" s="14"/>
      <c r="D17" s="20"/>
      <c r="E17" s="20" t="s">
        <v>234</v>
      </c>
      <c r="F17" s="54">
        <f>1695270-121251.5+0.1</f>
        <v>1574018.6</v>
      </c>
      <c r="G17" s="54">
        <v>1574018.6</v>
      </c>
      <c r="H17" s="29">
        <f t="shared" si="1"/>
        <v>1</v>
      </c>
    </row>
    <row r="18" spans="1:8" s="12" customFormat="1" ht="31.2">
      <c r="A18" s="14"/>
      <c r="B18" s="14"/>
      <c r="C18" s="14"/>
      <c r="D18" s="20"/>
      <c r="E18" s="20" t="s">
        <v>251</v>
      </c>
      <c r="F18" s="54">
        <v>1234839.8</v>
      </c>
      <c r="G18" s="54">
        <v>1234839.8</v>
      </c>
      <c r="H18" s="29">
        <f t="shared" si="1"/>
        <v>1</v>
      </c>
    </row>
    <row r="19" spans="1:8" s="12" customFormat="1" ht="31.2">
      <c r="A19" s="14"/>
      <c r="B19" s="14"/>
      <c r="C19" s="14"/>
      <c r="D19" s="20"/>
      <c r="E19" s="20" t="s">
        <v>252</v>
      </c>
      <c r="F19" s="54">
        <v>5500000</v>
      </c>
      <c r="G19" s="54">
        <v>5500000</v>
      </c>
      <c r="H19" s="29">
        <f t="shared" si="1"/>
        <v>1</v>
      </c>
    </row>
    <row r="20" spans="1:8" s="12" customFormat="1" ht="124.8">
      <c r="A20" s="14"/>
      <c r="B20" s="14"/>
      <c r="C20" s="14"/>
      <c r="D20" s="20"/>
      <c r="E20" s="20" t="s">
        <v>253</v>
      </c>
      <c r="F20" s="54">
        <v>640277</v>
      </c>
      <c r="G20" s="54">
        <v>30972</v>
      </c>
      <c r="H20" s="29">
        <f t="shared" si="1"/>
        <v>4.8372813641595749E-2</v>
      </c>
    </row>
    <row r="21" spans="1:8" s="12" customFormat="1" ht="31.2">
      <c r="A21" s="14" t="s">
        <v>169</v>
      </c>
      <c r="B21" s="14" t="s">
        <v>170</v>
      </c>
      <c r="C21" s="15" t="s">
        <v>171</v>
      </c>
      <c r="D21" s="16" t="s">
        <v>172</v>
      </c>
      <c r="E21" s="20" t="s">
        <v>173</v>
      </c>
      <c r="F21" s="54">
        <f>962100+687000</f>
        <v>1649100</v>
      </c>
      <c r="G21" s="54">
        <v>1649100</v>
      </c>
      <c r="H21" s="29">
        <f t="shared" si="1"/>
        <v>1</v>
      </c>
    </row>
    <row r="22" spans="1:8" s="12" customFormat="1" ht="46.8">
      <c r="A22" s="14" t="s">
        <v>69</v>
      </c>
      <c r="B22" s="14" t="s">
        <v>70</v>
      </c>
      <c r="C22" s="14" t="s">
        <v>71</v>
      </c>
      <c r="D22" s="20" t="s">
        <v>72</v>
      </c>
      <c r="E22" s="17" t="s">
        <v>24</v>
      </c>
      <c r="F22" s="54">
        <f>F23+F24+F25+F26</f>
        <v>807395</v>
      </c>
      <c r="G22" s="54">
        <f>G23+G24+G25+G26</f>
        <v>794142.55999999994</v>
      </c>
      <c r="H22" s="29">
        <f t="shared" si="1"/>
        <v>0.98358617529214321</v>
      </c>
    </row>
    <row r="23" spans="1:8" s="12" customFormat="1" ht="124.8">
      <c r="A23" s="14"/>
      <c r="B23" s="14"/>
      <c r="C23" s="14"/>
      <c r="D23" s="20"/>
      <c r="E23" s="20" t="s">
        <v>174</v>
      </c>
      <c r="F23" s="54">
        <f>1426100-707200-296299.88</f>
        <v>422600.12</v>
      </c>
      <c r="G23" s="54">
        <v>409348.05</v>
      </c>
      <c r="H23" s="29">
        <f t="shared" si="1"/>
        <v>0.96864158486277763</v>
      </c>
    </row>
    <row r="24" spans="1:8" s="12" customFormat="1" ht="15.6">
      <c r="A24" s="14"/>
      <c r="B24" s="14"/>
      <c r="C24" s="14"/>
      <c r="D24" s="20"/>
      <c r="E24" s="20" t="s">
        <v>73</v>
      </c>
      <c r="F24" s="54">
        <f>192000+60000-3731</f>
        <v>248269</v>
      </c>
      <c r="G24" s="54">
        <f>189069+59199.89</f>
        <v>248268.89</v>
      </c>
      <c r="H24" s="29">
        <f t="shared" si="1"/>
        <v>0.99999955693219855</v>
      </c>
    </row>
    <row r="25" spans="1:8" s="12" customFormat="1" ht="78">
      <c r="A25" s="14"/>
      <c r="B25" s="14"/>
      <c r="C25" s="14"/>
      <c r="D25" s="20"/>
      <c r="E25" s="20" t="s">
        <v>175</v>
      </c>
      <c r="F25" s="54">
        <f>100000-974.12</f>
        <v>99025.88</v>
      </c>
      <c r="G25" s="54">
        <v>99025.62</v>
      </c>
      <c r="H25" s="29">
        <f t="shared" si="1"/>
        <v>0.99999737442373637</v>
      </c>
    </row>
    <row r="26" spans="1:8" s="12" customFormat="1" ht="15.6">
      <c r="A26" s="14"/>
      <c r="B26" s="14"/>
      <c r="C26" s="14"/>
      <c r="D26" s="20"/>
      <c r="E26" s="20" t="s">
        <v>176</v>
      </c>
      <c r="F26" s="54">
        <f>45000-7500</f>
        <v>37500</v>
      </c>
      <c r="G26" s="54">
        <v>37500</v>
      </c>
      <c r="H26" s="29">
        <f t="shared" si="1"/>
        <v>1</v>
      </c>
    </row>
    <row r="27" spans="1:8" s="12" customFormat="1" ht="124.8">
      <c r="A27" s="14" t="s">
        <v>177</v>
      </c>
      <c r="B27" s="14" t="s">
        <v>178</v>
      </c>
      <c r="C27" s="18" t="s">
        <v>153</v>
      </c>
      <c r="D27" s="16" t="s">
        <v>179</v>
      </c>
      <c r="E27" s="50" t="s">
        <v>235</v>
      </c>
      <c r="F27" s="54">
        <v>197300</v>
      </c>
      <c r="G27" s="54"/>
      <c r="H27" s="29">
        <f t="shared" si="1"/>
        <v>0</v>
      </c>
    </row>
    <row r="28" spans="1:8" s="12" customFormat="1" ht="62.4">
      <c r="A28" s="14" t="s">
        <v>74</v>
      </c>
      <c r="B28" s="14" t="s">
        <v>75</v>
      </c>
      <c r="C28" s="18" t="s">
        <v>76</v>
      </c>
      <c r="D28" s="16" t="s">
        <v>77</v>
      </c>
      <c r="E28" s="17" t="s">
        <v>78</v>
      </c>
      <c r="F28" s="54">
        <f>340000-56600</f>
        <v>283400</v>
      </c>
      <c r="G28" s="54">
        <v>283333.33</v>
      </c>
      <c r="H28" s="29">
        <f t="shared" si="1"/>
        <v>0.99976474947071281</v>
      </c>
    </row>
    <row r="29" spans="1:8" s="12" customFormat="1" ht="31.2">
      <c r="A29" s="14" t="s">
        <v>79</v>
      </c>
      <c r="B29" s="14" t="s">
        <v>80</v>
      </c>
      <c r="C29" s="18" t="s">
        <v>81</v>
      </c>
      <c r="D29" s="16" t="s">
        <v>82</v>
      </c>
      <c r="E29" s="17" t="s">
        <v>24</v>
      </c>
      <c r="F29" s="54">
        <f>F30+F31+F32+F33</f>
        <v>978600</v>
      </c>
      <c r="G29" s="54">
        <f>G30+G31+G32+G33</f>
        <v>715900</v>
      </c>
      <c r="H29" s="29">
        <f t="shared" si="1"/>
        <v>0.73155528305742901</v>
      </c>
    </row>
    <row r="30" spans="1:8" s="12" customFormat="1" ht="31.2">
      <c r="A30" s="14"/>
      <c r="B30" s="14"/>
      <c r="C30" s="18"/>
      <c r="D30" s="16"/>
      <c r="E30" s="17" t="s">
        <v>83</v>
      </c>
      <c r="F30" s="54">
        <v>534000</v>
      </c>
      <c r="G30" s="54">
        <v>534000</v>
      </c>
      <c r="H30" s="29">
        <f t="shared" si="1"/>
        <v>1</v>
      </c>
    </row>
    <row r="31" spans="1:8" s="12" customFormat="1" ht="31.2">
      <c r="A31" s="14"/>
      <c r="B31" s="14"/>
      <c r="C31" s="18"/>
      <c r="D31" s="16"/>
      <c r="E31" s="17" t="s">
        <v>84</v>
      </c>
      <c r="F31" s="54">
        <f>191600+40180+159820</f>
        <v>391600</v>
      </c>
      <c r="G31" s="54">
        <v>129000</v>
      </c>
      <c r="H31" s="29">
        <f t="shared" si="1"/>
        <v>0.32941777323799798</v>
      </c>
    </row>
    <row r="32" spans="1:8" s="12" customFormat="1" ht="31.2">
      <c r="A32" s="14"/>
      <c r="B32" s="14"/>
      <c r="C32" s="18"/>
      <c r="D32" s="16"/>
      <c r="E32" s="17" t="s">
        <v>180</v>
      </c>
      <c r="F32" s="54">
        <v>29000</v>
      </c>
      <c r="G32" s="54">
        <v>29000</v>
      </c>
      <c r="H32" s="29">
        <f t="shared" si="1"/>
        <v>1</v>
      </c>
    </row>
    <row r="33" spans="1:8" s="47" customFormat="1" ht="31.2">
      <c r="A33" s="14"/>
      <c r="B33" s="14"/>
      <c r="C33" s="18"/>
      <c r="D33" s="16"/>
      <c r="E33" s="17" t="s">
        <v>254</v>
      </c>
      <c r="F33" s="54">
        <v>24000</v>
      </c>
      <c r="G33" s="54">
        <v>23900</v>
      </c>
      <c r="H33" s="29">
        <f t="shared" si="1"/>
        <v>0.99583333333333335</v>
      </c>
    </row>
    <row r="34" spans="1:8" s="47" customFormat="1" ht="15.6">
      <c r="A34" s="15" t="s">
        <v>85</v>
      </c>
      <c r="B34" s="15" t="s">
        <v>86</v>
      </c>
      <c r="C34" s="15" t="s">
        <v>50</v>
      </c>
      <c r="D34" s="16" t="s">
        <v>87</v>
      </c>
      <c r="E34" s="17" t="s">
        <v>14</v>
      </c>
      <c r="F34" s="54">
        <f>514000+307000+201140+18483</f>
        <v>1040623</v>
      </c>
      <c r="G34" s="54">
        <v>1037524</v>
      </c>
      <c r="H34" s="29">
        <f t="shared" si="1"/>
        <v>0.9970219762584529</v>
      </c>
    </row>
    <row r="35" spans="1:8" s="12" customFormat="1" ht="15.6">
      <c r="A35" s="14" t="s">
        <v>57</v>
      </c>
      <c r="B35" s="14" t="s">
        <v>58</v>
      </c>
      <c r="C35" s="18" t="s">
        <v>50</v>
      </c>
      <c r="D35" s="16" t="s">
        <v>59</v>
      </c>
      <c r="E35" s="17" t="s">
        <v>88</v>
      </c>
      <c r="F35" s="54">
        <f>200500-22800-121000</f>
        <v>56700</v>
      </c>
      <c r="G35" s="54">
        <v>56655.6</v>
      </c>
      <c r="H35" s="29">
        <f t="shared" si="1"/>
        <v>0.99921693121693123</v>
      </c>
    </row>
    <row r="36" spans="1:8" s="12" customFormat="1" ht="15.6">
      <c r="A36" s="19" t="s">
        <v>5</v>
      </c>
      <c r="B36" s="19"/>
      <c r="C36" s="19"/>
      <c r="D36" s="67" t="s">
        <v>61</v>
      </c>
      <c r="E36" s="68"/>
      <c r="F36" s="53">
        <f t="shared" ref="F36:G36" si="2">F37</f>
        <v>20537781.93</v>
      </c>
      <c r="G36" s="53">
        <f t="shared" si="2"/>
        <v>19555303.41</v>
      </c>
      <c r="H36" s="28">
        <f t="shared" si="1"/>
        <v>0.95216238426580668</v>
      </c>
    </row>
    <row r="37" spans="1:8" s="12" customFormat="1" ht="15.6">
      <c r="A37" s="19" t="s">
        <v>6</v>
      </c>
      <c r="B37" s="14"/>
      <c r="C37" s="14"/>
      <c r="D37" s="67" t="s">
        <v>61</v>
      </c>
      <c r="E37" s="68"/>
      <c r="F37" s="53">
        <f>F38+F42+F52+F56+F57+F60+F61+F62+F63+F67</f>
        <v>20537781.93</v>
      </c>
      <c r="G37" s="53">
        <f>G38+G42+G52+G56+G57+G60+G61+G62+G63+G67</f>
        <v>19555303.41</v>
      </c>
      <c r="H37" s="28">
        <f t="shared" si="1"/>
        <v>0.95216238426580668</v>
      </c>
    </row>
    <row r="38" spans="1:8" s="12" customFormat="1" ht="15.6">
      <c r="A38" s="14" t="s">
        <v>51</v>
      </c>
      <c r="B38" s="14" t="s">
        <v>52</v>
      </c>
      <c r="C38" s="15" t="s">
        <v>53</v>
      </c>
      <c r="D38" s="16" t="s">
        <v>54</v>
      </c>
      <c r="E38" s="17" t="s">
        <v>24</v>
      </c>
      <c r="F38" s="54">
        <f>F39+F40+F41</f>
        <v>1000040</v>
      </c>
      <c r="G38" s="54">
        <f>G39+G40+G41</f>
        <v>1000039.97</v>
      </c>
      <c r="H38" s="29">
        <f t="shared" si="1"/>
        <v>0.99999997000119989</v>
      </c>
    </row>
    <row r="39" spans="1:8" s="12" customFormat="1" ht="31.2">
      <c r="A39" s="14"/>
      <c r="B39" s="14"/>
      <c r="C39" s="15"/>
      <c r="D39" s="16"/>
      <c r="E39" s="17" t="s">
        <v>89</v>
      </c>
      <c r="F39" s="54">
        <f>700000-260000-6560</f>
        <v>433440</v>
      </c>
      <c r="G39" s="54">
        <v>433440</v>
      </c>
      <c r="H39" s="29">
        <f t="shared" si="1"/>
        <v>1</v>
      </c>
    </row>
    <row r="40" spans="1:8" s="12" customFormat="1" ht="31.2">
      <c r="A40" s="14"/>
      <c r="B40" s="14"/>
      <c r="C40" s="15"/>
      <c r="D40" s="16"/>
      <c r="E40" s="17" t="s">
        <v>181</v>
      </c>
      <c r="F40" s="54">
        <f>500000-10400</f>
        <v>489600</v>
      </c>
      <c r="G40" s="54">
        <v>489600</v>
      </c>
      <c r="H40" s="29">
        <f t="shared" si="1"/>
        <v>1</v>
      </c>
    </row>
    <row r="41" spans="1:8" s="12" customFormat="1" ht="15.6">
      <c r="A41" s="14"/>
      <c r="B41" s="14"/>
      <c r="C41" s="15"/>
      <c r="D41" s="16"/>
      <c r="E41" s="17" t="s">
        <v>182</v>
      </c>
      <c r="F41" s="54">
        <v>77000</v>
      </c>
      <c r="G41" s="54">
        <v>76999.97</v>
      </c>
      <c r="H41" s="29">
        <f t="shared" si="1"/>
        <v>0.99999961038961038</v>
      </c>
    </row>
    <row r="42" spans="1:8" s="12" customFormat="1" ht="46.8">
      <c r="A42" s="14" t="s">
        <v>21</v>
      </c>
      <c r="B42" s="14" t="s">
        <v>22</v>
      </c>
      <c r="C42" s="15" t="s">
        <v>23</v>
      </c>
      <c r="D42" s="16" t="s">
        <v>44</v>
      </c>
      <c r="E42" s="17" t="s">
        <v>24</v>
      </c>
      <c r="F42" s="54">
        <f>SUM(F43:F51)</f>
        <v>5531586.6099999994</v>
      </c>
      <c r="G42" s="54">
        <f>SUM(G43:G51)</f>
        <v>4669495.43</v>
      </c>
      <c r="H42" s="29">
        <f t="shared" si="1"/>
        <v>0.84415119191273047</v>
      </c>
    </row>
    <row r="43" spans="1:8" s="12" customFormat="1" ht="93.6">
      <c r="A43" s="14"/>
      <c r="B43" s="14"/>
      <c r="C43" s="15"/>
      <c r="D43" s="16"/>
      <c r="E43" s="17" t="s">
        <v>236</v>
      </c>
      <c r="F43" s="54">
        <f>526625</f>
        <v>526625</v>
      </c>
      <c r="G43" s="54">
        <v>526623</v>
      </c>
      <c r="H43" s="29">
        <f t="shared" si="1"/>
        <v>0.99999620223118912</v>
      </c>
    </row>
    <row r="44" spans="1:8" s="12" customFormat="1" ht="78">
      <c r="A44" s="14"/>
      <c r="B44" s="14"/>
      <c r="C44" s="15"/>
      <c r="D44" s="16"/>
      <c r="E44" s="17" t="s">
        <v>237</v>
      </c>
      <c r="F44" s="54">
        <f>2700000-5960-92000-7140</f>
        <v>2594900</v>
      </c>
      <c r="G44" s="54">
        <v>2594900</v>
      </c>
      <c r="H44" s="29">
        <f t="shared" si="1"/>
        <v>1</v>
      </c>
    </row>
    <row r="45" spans="1:8" s="12" customFormat="1" ht="31.2">
      <c r="A45" s="14"/>
      <c r="B45" s="14"/>
      <c r="C45" s="15"/>
      <c r="D45" s="16"/>
      <c r="E45" s="17" t="s">
        <v>89</v>
      </c>
      <c r="F45" s="54">
        <f>800000-340000+5960</f>
        <v>465960</v>
      </c>
      <c r="G45" s="54">
        <v>465960</v>
      </c>
      <c r="H45" s="29">
        <f t="shared" si="1"/>
        <v>1</v>
      </c>
    </row>
    <row r="46" spans="1:8" s="12" customFormat="1" ht="62.4">
      <c r="A46" s="14"/>
      <c r="B46" s="14"/>
      <c r="C46" s="15"/>
      <c r="D46" s="16"/>
      <c r="E46" s="17" t="s">
        <v>255</v>
      </c>
      <c r="F46" s="54">
        <f>600000-200000-62911.39</f>
        <v>337088.61</v>
      </c>
      <c r="G46" s="54"/>
      <c r="H46" s="29">
        <f t="shared" si="1"/>
        <v>0</v>
      </c>
    </row>
    <row r="47" spans="1:8" s="12" customFormat="1" ht="78">
      <c r="A47" s="14"/>
      <c r="B47" s="14"/>
      <c r="C47" s="15"/>
      <c r="D47" s="16"/>
      <c r="E47" s="17" t="s">
        <v>238</v>
      </c>
      <c r="F47" s="54">
        <f>400000+200000-536</f>
        <v>599464</v>
      </c>
      <c r="G47" s="54">
        <v>599464</v>
      </c>
      <c r="H47" s="29">
        <f t="shared" si="1"/>
        <v>1</v>
      </c>
    </row>
    <row r="48" spans="1:8" s="12" customFormat="1" ht="15.6">
      <c r="A48" s="14"/>
      <c r="B48" s="14"/>
      <c r="C48" s="15"/>
      <c r="D48" s="16"/>
      <c r="E48" s="17" t="s">
        <v>182</v>
      </c>
      <c r="F48" s="54">
        <f>9000-1451</f>
        <v>7549</v>
      </c>
      <c r="G48" s="54">
        <v>7548.43</v>
      </c>
      <c r="H48" s="29">
        <f t="shared" si="1"/>
        <v>0.99992449331037225</v>
      </c>
    </row>
    <row r="49" spans="1:10" s="12" customFormat="1" ht="78">
      <c r="A49" s="14"/>
      <c r="B49" s="14"/>
      <c r="C49" s="15"/>
      <c r="D49" s="16"/>
      <c r="E49" s="39" t="s">
        <v>239</v>
      </c>
      <c r="F49" s="54">
        <v>475000</v>
      </c>
      <c r="G49" s="54">
        <v>475000</v>
      </c>
      <c r="H49" s="29">
        <f t="shared" si="1"/>
        <v>1</v>
      </c>
      <c r="J49" s="21"/>
    </row>
    <row r="50" spans="1:10" s="12" customFormat="1" ht="31.2">
      <c r="A50" s="14"/>
      <c r="B50" s="14"/>
      <c r="C50" s="15"/>
      <c r="D50" s="16"/>
      <c r="E50" s="39" t="s">
        <v>240</v>
      </c>
      <c r="F50" s="54">
        <v>75000</v>
      </c>
      <c r="G50" s="54"/>
      <c r="H50" s="29">
        <f t="shared" si="1"/>
        <v>0</v>
      </c>
    </row>
    <row r="51" spans="1:10" s="12" customFormat="1" ht="31.2">
      <c r="A51" s="14"/>
      <c r="B51" s="14"/>
      <c r="C51" s="15"/>
      <c r="D51" s="16"/>
      <c r="E51" s="39" t="s">
        <v>256</v>
      </c>
      <c r="F51" s="54">
        <v>450000</v>
      </c>
      <c r="G51" s="54"/>
      <c r="H51" s="29">
        <f t="shared" si="1"/>
        <v>0</v>
      </c>
    </row>
    <row r="52" spans="1:10" s="12" customFormat="1" ht="78">
      <c r="A52" s="14" t="s">
        <v>183</v>
      </c>
      <c r="B52" s="14" t="s">
        <v>184</v>
      </c>
      <c r="C52" s="15" t="s">
        <v>185</v>
      </c>
      <c r="D52" s="16" t="s">
        <v>186</v>
      </c>
      <c r="E52" s="17" t="s">
        <v>14</v>
      </c>
      <c r="F52" s="54">
        <f>F53+F54+F55</f>
        <v>684069</v>
      </c>
      <c r="G52" s="54">
        <f>G53+G54+G55</f>
        <v>639068.64</v>
      </c>
      <c r="H52" s="29">
        <f t="shared" si="1"/>
        <v>0.93421663604110117</v>
      </c>
      <c r="J52" s="21"/>
    </row>
    <row r="53" spans="1:10" s="12" customFormat="1" ht="15.6">
      <c r="A53" s="14"/>
      <c r="B53" s="14"/>
      <c r="C53" s="15"/>
      <c r="D53" s="16"/>
      <c r="E53" s="17" t="s">
        <v>182</v>
      </c>
      <c r="F53" s="54">
        <f>9100-31</f>
        <v>9069</v>
      </c>
      <c r="G53" s="54">
        <v>9068.64</v>
      </c>
      <c r="H53" s="29">
        <f t="shared" si="1"/>
        <v>0.99996030433344352</v>
      </c>
    </row>
    <row r="54" spans="1:10" s="12" customFormat="1" ht="31.2">
      <c r="A54" s="14"/>
      <c r="B54" s="14"/>
      <c r="C54" s="15"/>
      <c r="D54" s="16"/>
      <c r="E54" s="17" t="s">
        <v>257</v>
      </c>
      <c r="F54" s="54">
        <v>45000</v>
      </c>
      <c r="G54" s="54"/>
      <c r="H54" s="29">
        <f t="shared" si="1"/>
        <v>0</v>
      </c>
    </row>
    <row r="55" spans="1:10" s="12" customFormat="1" ht="62.4">
      <c r="A55" s="14"/>
      <c r="B55" s="14"/>
      <c r="C55" s="15"/>
      <c r="D55" s="16"/>
      <c r="E55" s="17" t="s">
        <v>258</v>
      </c>
      <c r="F55" s="54">
        <v>630000</v>
      </c>
      <c r="G55" s="54">
        <v>630000</v>
      </c>
      <c r="H55" s="29">
        <f t="shared" si="1"/>
        <v>1</v>
      </c>
    </row>
    <row r="56" spans="1:10" s="12" customFormat="1" ht="46.8">
      <c r="A56" s="14" t="s">
        <v>187</v>
      </c>
      <c r="B56" s="14" t="s">
        <v>188</v>
      </c>
      <c r="C56" s="15" t="s">
        <v>189</v>
      </c>
      <c r="D56" s="16" t="s">
        <v>190</v>
      </c>
      <c r="E56" s="17" t="s">
        <v>182</v>
      </c>
      <c r="F56" s="54">
        <f>4000-517</f>
        <v>3483</v>
      </c>
      <c r="G56" s="54">
        <v>3482.02</v>
      </c>
      <c r="H56" s="29">
        <f t="shared" si="1"/>
        <v>0.99971863336204425</v>
      </c>
    </row>
    <row r="57" spans="1:10" s="12" customFormat="1" ht="31.2">
      <c r="A57" s="15" t="s">
        <v>259</v>
      </c>
      <c r="B57" s="15" t="s">
        <v>260</v>
      </c>
      <c r="C57" s="15" t="s">
        <v>92</v>
      </c>
      <c r="D57" s="16" t="s">
        <v>261</v>
      </c>
      <c r="E57" s="17" t="s">
        <v>262</v>
      </c>
      <c r="F57" s="54">
        <f>F58+F59</f>
        <v>3832990</v>
      </c>
      <c r="G57" s="54">
        <f>G58+G59</f>
        <v>3832500</v>
      </c>
      <c r="H57" s="29">
        <f t="shared" si="1"/>
        <v>0.99987216246324673</v>
      </c>
    </row>
    <row r="58" spans="1:10" s="12" customFormat="1" ht="15.6">
      <c r="A58" s="15"/>
      <c r="B58" s="15"/>
      <c r="C58" s="15"/>
      <c r="D58" s="16"/>
      <c r="E58" s="17" t="s">
        <v>263</v>
      </c>
      <c r="F58" s="54">
        <v>3733000</v>
      </c>
      <c r="G58" s="54">
        <v>3733000</v>
      </c>
      <c r="H58" s="29">
        <f t="shared" si="1"/>
        <v>1</v>
      </c>
    </row>
    <row r="59" spans="1:10" s="12" customFormat="1" ht="15.6">
      <c r="A59" s="15"/>
      <c r="B59" s="15"/>
      <c r="C59" s="15"/>
      <c r="D59" s="16"/>
      <c r="E59" s="17" t="s">
        <v>264</v>
      </c>
      <c r="F59" s="54">
        <v>99990</v>
      </c>
      <c r="G59" s="54">
        <v>99500</v>
      </c>
      <c r="H59" s="29">
        <f t="shared" si="1"/>
        <v>0.99509950995099505</v>
      </c>
    </row>
    <row r="60" spans="1:10" s="12" customFormat="1" ht="93.6">
      <c r="A60" s="14" t="s">
        <v>191</v>
      </c>
      <c r="B60" s="14" t="s">
        <v>192</v>
      </c>
      <c r="C60" s="18" t="s">
        <v>92</v>
      </c>
      <c r="D60" s="16" t="s">
        <v>193</v>
      </c>
      <c r="E60" s="17" t="s">
        <v>194</v>
      </c>
      <c r="F60" s="54">
        <f>1400000-400000-35386.2</f>
        <v>964613.8</v>
      </c>
      <c r="G60" s="54">
        <v>964613.8</v>
      </c>
      <c r="H60" s="29">
        <f t="shared" si="1"/>
        <v>1</v>
      </c>
    </row>
    <row r="61" spans="1:10" s="12" customFormat="1" ht="51.6" customHeight="1">
      <c r="A61" s="14" t="s">
        <v>90</v>
      </c>
      <c r="B61" s="14" t="s">
        <v>91</v>
      </c>
      <c r="C61" s="18" t="s">
        <v>92</v>
      </c>
      <c r="D61" s="69" t="s">
        <v>93</v>
      </c>
      <c r="E61" s="69"/>
      <c r="F61" s="54">
        <f>1304329-12529</f>
        <v>1291800</v>
      </c>
      <c r="G61" s="54">
        <v>1291800</v>
      </c>
      <c r="H61" s="29">
        <f t="shared" si="1"/>
        <v>1</v>
      </c>
    </row>
    <row r="62" spans="1:10" s="12" customFormat="1" ht="51.6" customHeight="1">
      <c r="A62" s="14" t="s">
        <v>94</v>
      </c>
      <c r="B62" s="14" t="s">
        <v>95</v>
      </c>
      <c r="C62" s="18" t="s">
        <v>92</v>
      </c>
      <c r="D62" s="70" t="s">
        <v>96</v>
      </c>
      <c r="E62" s="71"/>
      <c r="F62" s="54">
        <v>3043200</v>
      </c>
      <c r="G62" s="54">
        <v>3043200</v>
      </c>
      <c r="H62" s="29">
        <f t="shared" si="1"/>
        <v>1</v>
      </c>
      <c r="I62" s="12" t="s">
        <v>289</v>
      </c>
    </row>
    <row r="63" spans="1:10" s="47" customFormat="1" ht="46.8">
      <c r="A63" s="18" t="s">
        <v>195</v>
      </c>
      <c r="B63" s="18" t="s">
        <v>196</v>
      </c>
      <c r="C63" s="15" t="s">
        <v>197</v>
      </c>
      <c r="D63" s="16" t="s">
        <v>198</v>
      </c>
      <c r="E63" s="52" t="s">
        <v>24</v>
      </c>
      <c r="F63" s="54">
        <f>F64+F65+F66</f>
        <v>477270</v>
      </c>
      <c r="G63" s="54">
        <f>G64+G65+G66</f>
        <v>476210</v>
      </c>
      <c r="H63" s="29">
        <f t="shared" si="1"/>
        <v>0.99777903492781861</v>
      </c>
    </row>
    <row r="64" spans="1:10" s="47" customFormat="1" ht="15.6">
      <c r="A64" s="18"/>
      <c r="B64" s="18"/>
      <c r="C64" s="15"/>
      <c r="D64" s="16"/>
      <c r="E64" s="52" t="s">
        <v>199</v>
      </c>
      <c r="F64" s="54">
        <f>310000-5730</f>
        <v>304270</v>
      </c>
      <c r="G64" s="54">
        <v>304270</v>
      </c>
      <c r="H64" s="29">
        <f t="shared" si="1"/>
        <v>1</v>
      </c>
    </row>
    <row r="65" spans="1:10" s="12" customFormat="1" ht="31.2">
      <c r="A65" s="18"/>
      <c r="B65" s="18"/>
      <c r="C65" s="15"/>
      <c r="D65" s="16"/>
      <c r="E65" s="39" t="s">
        <v>265</v>
      </c>
      <c r="F65" s="54">
        <v>81000</v>
      </c>
      <c r="G65" s="54">
        <v>79940</v>
      </c>
      <c r="H65" s="29">
        <f t="shared" si="1"/>
        <v>0.98691358024691356</v>
      </c>
    </row>
    <row r="66" spans="1:10" s="12" customFormat="1" ht="31.2">
      <c r="A66" s="18"/>
      <c r="B66" s="18"/>
      <c r="C66" s="15"/>
      <c r="D66" s="16"/>
      <c r="E66" s="55" t="s">
        <v>266</v>
      </c>
      <c r="F66" s="54">
        <v>92000</v>
      </c>
      <c r="G66" s="54">
        <v>92000</v>
      </c>
      <c r="H66" s="29">
        <f t="shared" si="1"/>
        <v>1</v>
      </c>
    </row>
    <row r="67" spans="1:10" s="47" customFormat="1" ht="31.2">
      <c r="A67" s="14" t="s">
        <v>55</v>
      </c>
      <c r="B67" s="14" t="s">
        <v>38</v>
      </c>
      <c r="C67" s="18" t="s">
        <v>41</v>
      </c>
      <c r="D67" s="16" t="s">
        <v>39</v>
      </c>
      <c r="E67" s="32" t="s">
        <v>24</v>
      </c>
      <c r="F67" s="54">
        <f>SUM(F68:F73)</f>
        <v>3708729.5199999996</v>
      </c>
      <c r="G67" s="54">
        <f>SUM(G68:G73)</f>
        <v>3634893.55</v>
      </c>
      <c r="H67" s="29">
        <f t="shared" si="1"/>
        <v>0.9800913036117016</v>
      </c>
    </row>
    <row r="68" spans="1:10" s="47" customFormat="1" ht="78">
      <c r="A68" s="14"/>
      <c r="B68" s="14"/>
      <c r="C68" s="18"/>
      <c r="D68" s="16"/>
      <c r="E68" s="41" t="s">
        <v>200</v>
      </c>
      <c r="F68" s="54">
        <f>200000+200000-130000-472</f>
        <v>269528</v>
      </c>
      <c r="G68" s="54">
        <v>269528</v>
      </c>
      <c r="H68" s="29">
        <f t="shared" si="1"/>
        <v>1</v>
      </c>
    </row>
    <row r="69" spans="1:10" s="12" customFormat="1" ht="93.6">
      <c r="A69" s="14"/>
      <c r="B69" s="14"/>
      <c r="C69" s="18"/>
      <c r="D69" s="16"/>
      <c r="E69" s="33" t="s">
        <v>97</v>
      </c>
      <c r="F69" s="54">
        <f>2800119+100000+1820000-4650744.28</f>
        <v>69374.719999999739</v>
      </c>
      <c r="G69" s="54">
        <v>69374.720000000001</v>
      </c>
      <c r="H69" s="29">
        <f t="shared" si="1"/>
        <v>1.0000000000000038</v>
      </c>
    </row>
    <row r="70" spans="1:10" s="12" customFormat="1" ht="93.6">
      <c r="A70" s="14"/>
      <c r="B70" s="14"/>
      <c r="C70" s="18"/>
      <c r="D70" s="16"/>
      <c r="E70" s="33" t="s">
        <v>241</v>
      </c>
      <c r="F70" s="54">
        <f>1194216+295784-1448617.91</f>
        <v>41382.090000000084</v>
      </c>
      <c r="G70" s="54"/>
      <c r="H70" s="29">
        <f t="shared" si="1"/>
        <v>0</v>
      </c>
    </row>
    <row r="71" spans="1:10" s="12" customFormat="1" ht="78">
      <c r="A71" s="14"/>
      <c r="B71" s="14"/>
      <c r="C71" s="18"/>
      <c r="D71" s="16"/>
      <c r="E71" s="33" t="s">
        <v>201</v>
      </c>
      <c r="F71" s="54">
        <f>1400315-211300+180000-2880.29</f>
        <v>1366134.71</v>
      </c>
      <c r="G71" s="54">
        <v>1354848.61</v>
      </c>
      <c r="H71" s="29">
        <f t="shared" si="1"/>
        <v>0.99173866243395581</v>
      </c>
    </row>
    <row r="72" spans="1:10" s="12" customFormat="1" ht="62.4">
      <c r="A72" s="14"/>
      <c r="B72" s="14"/>
      <c r="C72" s="18"/>
      <c r="D72" s="16"/>
      <c r="E72" s="42" t="s">
        <v>202</v>
      </c>
      <c r="F72" s="54">
        <f>500000-100</f>
        <v>499900</v>
      </c>
      <c r="G72" s="54">
        <v>499900</v>
      </c>
      <c r="H72" s="29">
        <f t="shared" si="1"/>
        <v>1</v>
      </c>
    </row>
    <row r="73" spans="1:10" s="12" customFormat="1" ht="109.2">
      <c r="A73" s="14"/>
      <c r="B73" s="14"/>
      <c r="C73" s="18"/>
      <c r="D73" s="16"/>
      <c r="E73" s="33" t="s">
        <v>203</v>
      </c>
      <c r="F73" s="54">
        <f>1500000-37590</f>
        <v>1462410</v>
      </c>
      <c r="G73" s="54">
        <v>1441242.22</v>
      </c>
      <c r="H73" s="29">
        <f t="shared" si="1"/>
        <v>0.98552541352972145</v>
      </c>
    </row>
    <row r="74" spans="1:10" s="47" customFormat="1" ht="15.6">
      <c r="A74" s="19" t="s">
        <v>98</v>
      </c>
      <c r="B74" s="19"/>
      <c r="C74" s="19"/>
      <c r="D74" s="67" t="s">
        <v>99</v>
      </c>
      <c r="E74" s="68"/>
      <c r="F74" s="53">
        <f t="shared" ref="F74:G74" si="3">F75</f>
        <v>15576354</v>
      </c>
      <c r="G74" s="53">
        <f t="shared" si="3"/>
        <v>15537527.359999999</v>
      </c>
      <c r="H74" s="28">
        <f t="shared" si="1"/>
        <v>0.99750733451486784</v>
      </c>
    </row>
    <row r="75" spans="1:10" s="47" customFormat="1" ht="15.6">
      <c r="A75" s="19" t="s">
        <v>100</v>
      </c>
      <c r="B75" s="14"/>
      <c r="C75" s="14"/>
      <c r="D75" s="67" t="s">
        <v>99</v>
      </c>
      <c r="E75" s="68"/>
      <c r="F75" s="53">
        <f>F76+F77</f>
        <v>15576354</v>
      </c>
      <c r="G75" s="53">
        <f>G76+G77</f>
        <v>15537527.359999999</v>
      </c>
      <c r="H75" s="28">
        <f t="shared" ref="H75:H138" si="4">G75/F75</f>
        <v>0.99750733451486784</v>
      </c>
      <c r="J75" s="48"/>
    </row>
    <row r="76" spans="1:10" s="12" customFormat="1" ht="93.6">
      <c r="A76" s="15" t="s">
        <v>101</v>
      </c>
      <c r="B76" s="15" t="s">
        <v>102</v>
      </c>
      <c r="C76" s="15" t="s">
        <v>103</v>
      </c>
      <c r="D76" s="16" t="s">
        <v>104</v>
      </c>
      <c r="E76" s="34" t="s">
        <v>204</v>
      </c>
      <c r="F76" s="56">
        <v>991625</v>
      </c>
      <c r="G76" s="56">
        <v>952798.71</v>
      </c>
      <c r="H76" s="29">
        <f t="shared" si="4"/>
        <v>0.96084579352073618</v>
      </c>
    </row>
    <row r="77" spans="1:10" s="47" customFormat="1" ht="170.4" customHeight="1">
      <c r="A77" s="18" t="s">
        <v>205</v>
      </c>
      <c r="B77" s="15">
        <v>3225</v>
      </c>
      <c r="C77" s="15">
        <v>1060</v>
      </c>
      <c r="D77" s="70" t="s">
        <v>206</v>
      </c>
      <c r="E77" s="71"/>
      <c r="F77" s="56">
        <f>6648674+7936055</f>
        <v>14584729</v>
      </c>
      <c r="G77" s="56">
        <v>14584728.65</v>
      </c>
      <c r="H77" s="29">
        <f t="shared" si="4"/>
        <v>0.99999997600229662</v>
      </c>
      <c r="I77" s="12" t="s">
        <v>289</v>
      </c>
    </row>
    <row r="78" spans="1:10" s="47" customFormat="1" ht="15.6">
      <c r="A78" s="19" t="s">
        <v>105</v>
      </c>
      <c r="B78" s="19"/>
      <c r="C78" s="19"/>
      <c r="D78" s="67" t="s">
        <v>106</v>
      </c>
      <c r="E78" s="68"/>
      <c r="F78" s="53">
        <f t="shared" ref="F78:G78" si="5">F79</f>
        <v>500100</v>
      </c>
      <c r="G78" s="53">
        <f t="shared" si="5"/>
        <v>500062</v>
      </c>
      <c r="H78" s="28">
        <f t="shared" si="4"/>
        <v>0.99992401519696061</v>
      </c>
    </row>
    <row r="79" spans="1:10" s="12" customFormat="1" ht="15.6">
      <c r="A79" s="19" t="s">
        <v>107</v>
      </c>
      <c r="B79" s="14"/>
      <c r="C79" s="14"/>
      <c r="D79" s="67" t="s">
        <v>106</v>
      </c>
      <c r="E79" s="68"/>
      <c r="F79" s="53">
        <f>F80+F84</f>
        <v>500100</v>
      </c>
      <c r="G79" s="53">
        <f>G80+G84</f>
        <v>500062</v>
      </c>
      <c r="H79" s="28">
        <f t="shared" si="4"/>
        <v>0.99992401519696061</v>
      </c>
    </row>
    <row r="80" spans="1:10" s="12" customFormat="1" ht="46.8">
      <c r="A80" s="15" t="s">
        <v>108</v>
      </c>
      <c r="B80" s="15" t="s">
        <v>109</v>
      </c>
      <c r="C80" s="15" t="s">
        <v>110</v>
      </c>
      <c r="D80" s="16" t="s">
        <v>111</v>
      </c>
      <c r="E80" s="34" t="s">
        <v>24</v>
      </c>
      <c r="F80" s="56">
        <f>F81+F82+F83</f>
        <v>420100</v>
      </c>
      <c r="G80" s="56">
        <f>G81+G82+G83</f>
        <v>420062</v>
      </c>
      <c r="H80" s="29">
        <f t="shared" si="4"/>
        <v>0.99990954534634613</v>
      </c>
    </row>
    <row r="81" spans="1:9" s="12" customFormat="1" ht="15.6">
      <c r="A81" s="15"/>
      <c r="B81" s="15"/>
      <c r="C81" s="15"/>
      <c r="D81" s="16"/>
      <c r="E81" s="42" t="s">
        <v>112</v>
      </c>
      <c r="F81" s="56">
        <v>200000</v>
      </c>
      <c r="G81" s="56">
        <v>200000</v>
      </c>
      <c r="H81" s="29">
        <f t="shared" si="4"/>
        <v>1</v>
      </c>
      <c r="I81" s="21"/>
    </row>
    <row r="82" spans="1:9" s="12" customFormat="1" ht="15.6">
      <c r="A82" s="15"/>
      <c r="B82" s="15"/>
      <c r="C82" s="15"/>
      <c r="D82" s="16"/>
      <c r="E82" s="42" t="s">
        <v>14</v>
      </c>
      <c r="F82" s="56">
        <v>30000</v>
      </c>
      <c r="G82" s="56">
        <v>30000</v>
      </c>
      <c r="H82" s="29">
        <f t="shared" si="4"/>
        <v>1</v>
      </c>
    </row>
    <row r="83" spans="1:9" s="12" customFormat="1" ht="15.6">
      <c r="A83" s="15"/>
      <c r="B83" s="15"/>
      <c r="C83" s="15"/>
      <c r="D83" s="16"/>
      <c r="E83" s="42" t="s">
        <v>207</v>
      </c>
      <c r="F83" s="56">
        <v>190100</v>
      </c>
      <c r="G83" s="56">
        <v>190062</v>
      </c>
      <c r="H83" s="29">
        <f t="shared" si="4"/>
        <v>0.99980010520778539</v>
      </c>
    </row>
    <row r="84" spans="1:9" s="12" customFormat="1" ht="31.2">
      <c r="A84" s="14" t="s">
        <v>208</v>
      </c>
      <c r="B84" s="14" t="s">
        <v>80</v>
      </c>
      <c r="C84" s="18" t="s">
        <v>81</v>
      </c>
      <c r="D84" s="16" t="s">
        <v>82</v>
      </c>
      <c r="E84" s="17" t="s">
        <v>209</v>
      </c>
      <c r="F84" s="56">
        <v>80000</v>
      </c>
      <c r="G84" s="56">
        <v>80000</v>
      </c>
      <c r="H84" s="29">
        <f t="shared" si="4"/>
        <v>1</v>
      </c>
    </row>
    <row r="85" spans="1:9" s="12" customFormat="1" ht="15.6">
      <c r="A85" s="19" t="s">
        <v>113</v>
      </c>
      <c r="B85" s="19"/>
      <c r="C85" s="19"/>
      <c r="D85" s="72" t="s">
        <v>114</v>
      </c>
      <c r="E85" s="72"/>
      <c r="F85" s="53">
        <f t="shared" ref="F85:G85" si="6">F86</f>
        <v>35000</v>
      </c>
      <c r="G85" s="53">
        <f t="shared" si="6"/>
        <v>35000</v>
      </c>
      <c r="H85" s="28">
        <f t="shared" si="4"/>
        <v>1</v>
      </c>
    </row>
    <row r="86" spans="1:9" s="12" customFormat="1" ht="15.6">
      <c r="A86" s="19" t="s">
        <v>115</v>
      </c>
      <c r="B86" s="14"/>
      <c r="C86" s="14"/>
      <c r="D86" s="67" t="s">
        <v>114</v>
      </c>
      <c r="E86" s="68"/>
      <c r="F86" s="53">
        <f>F87</f>
        <v>35000</v>
      </c>
      <c r="G86" s="53">
        <f>G87</f>
        <v>35000</v>
      </c>
      <c r="H86" s="28">
        <f t="shared" si="4"/>
        <v>1</v>
      </c>
    </row>
    <row r="87" spans="1:9" s="12" customFormat="1" ht="46.8">
      <c r="A87" s="15" t="s">
        <v>116</v>
      </c>
      <c r="B87" s="15" t="s">
        <v>117</v>
      </c>
      <c r="C87" s="15" t="s">
        <v>118</v>
      </c>
      <c r="D87" s="16" t="s">
        <v>119</v>
      </c>
      <c r="E87" s="34" t="s">
        <v>120</v>
      </c>
      <c r="F87" s="56">
        <v>35000</v>
      </c>
      <c r="G87" s="56">
        <v>35000</v>
      </c>
      <c r="H87" s="29">
        <f t="shared" si="4"/>
        <v>1</v>
      </c>
    </row>
    <row r="88" spans="1:9" s="46" customFormat="1" ht="15.6">
      <c r="A88" s="19" t="s">
        <v>26</v>
      </c>
      <c r="B88" s="19"/>
      <c r="C88" s="19"/>
      <c r="D88" s="67" t="s">
        <v>62</v>
      </c>
      <c r="E88" s="68"/>
      <c r="F88" s="53">
        <f t="shared" ref="F88:G88" si="7">F89</f>
        <v>31066015.82</v>
      </c>
      <c r="G88" s="53">
        <f t="shared" si="7"/>
        <v>27184718.73</v>
      </c>
      <c r="H88" s="28">
        <f t="shared" si="4"/>
        <v>0.8750629268816229</v>
      </c>
    </row>
    <row r="89" spans="1:9" s="46" customFormat="1" ht="15.6">
      <c r="A89" s="19" t="s">
        <v>27</v>
      </c>
      <c r="B89" s="14"/>
      <c r="C89" s="14"/>
      <c r="D89" s="67" t="s">
        <v>62</v>
      </c>
      <c r="E89" s="68"/>
      <c r="F89" s="53">
        <f>F90+F106+F107+F117+F118+F124+F129+F133+F138+F139</f>
        <v>31066015.82</v>
      </c>
      <c r="G89" s="53">
        <f>G90+G106+G107+G117+G118+G124+G129+G133+G138+G139</f>
        <v>27184718.73</v>
      </c>
      <c r="H89" s="28">
        <f t="shared" si="4"/>
        <v>0.8750629268816229</v>
      </c>
    </row>
    <row r="90" spans="1:9" s="46" customFormat="1" ht="31.2">
      <c r="A90" s="14" t="s">
        <v>63</v>
      </c>
      <c r="B90" s="14" t="s">
        <v>45</v>
      </c>
      <c r="C90" s="18" t="s">
        <v>25</v>
      </c>
      <c r="D90" s="16" t="s">
        <v>28</v>
      </c>
      <c r="E90" s="32" t="s">
        <v>24</v>
      </c>
      <c r="F90" s="54">
        <f>F91+F92+F93+F94+F95+F96+F97</f>
        <v>4709123.75</v>
      </c>
      <c r="G90" s="54">
        <f>G91+G92+G93+G94+G95+G96+G97</f>
        <v>2898913.11</v>
      </c>
      <c r="H90" s="29">
        <f t="shared" si="4"/>
        <v>0.61559501595174682</v>
      </c>
    </row>
    <row r="91" spans="1:9" s="46" customFormat="1" ht="156">
      <c r="A91" s="14"/>
      <c r="B91" s="14"/>
      <c r="C91" s="18"/>
      <c r="D91" s="16"/>
      <c r="E91" s="38" t="s">
        <v>249</v>
      </c>
      <c r="F91" s="54">
        <f>43200+27908-6487.25-13046</f>
        <v>51574.75</v>
      </c>
      <c r="G91" s="54">
        <v>51574.02</v>
      </c>
      <c r="H91" s="29">
        <f t="shared" si="4"/>
        <v>0.99998584578694028</v>
      </c>
    </row>
    <row r="92" spans="1:9" s="46" customFormat="1" ht="46.8">
      <c r="A92" s="14"/>
      <c r="B92" s="14"/>
      <c r="C92" s="18"/>
      <c r="D92" s="16"/>
      <c r="E92" s="39" t="s">
        <v>121</v>
      </c>
      <c r="F92" s="54">
        <f>94300-56347</f>
        <v>37953</v>
      </c>
      <c r="G92" s="54">
        <v>37952.699999999997</v>
      </c>
      <c r="H92" s="29">
        <f t="shared" si="4"/>
        <v>0.99999209548652268</v>
      </c>
    </row>
    <row r="93" spans="1:9" s="46" customFormat="1" ht="46.8">
      <c r="A93" s="14"/>
      <c r="B93" s="14"/>
      <c r="C93" s="18"/>
      <c r="D93" s="16"/>
      <c r="E93" s="39" t="s">
        <v>210</v>
      </c>
      <c r="F93" s="57">
        <v>878000</v>
      </c>
      <c r="G93" s="57">
        <v>702732.25</v>
      </c>
      <c r="H93" s="29">
        <f t="shared" si="4"/>
        <v>0.80037841685649203</v>
      </c>
    </row>
    <row r="94" spans="1:9" s="46" customFormat="1" ht="46.8">
      <c r="A94" s="14"/>
      <c r="B94" s="14"/>
      <c r="C94" s="18"/>
      <c r="D94" s="16"/>
      <c r="E94" s="39" t="s">
        <v>211</v>
      </c>
      <c r="F94" s="57">
        <v>522000</v>
      </c>
      <c r="G94" s="57"/>
      <c r="H94" s="29">
        <f t="shared" si="4"/>
        <v>0</v>
      </c>
    </row>
    <row r="95" spans="1:9" s="46" customFormat="1" ht="46.8">
      <c r="A95" s="14"/>
      <c r="B95" s="14"/>
      <c r="C95" s="18"/>
      <c r="D95" s="16"/>
      <c r="E95" s="39" t="s">
        <v>212</v>
      </c>
      <c r="F95" s="57">
        <f>35100</f>
        <v>35100</v>
      </c>
      <c r="G95" s="57">
        <v>35031.85</v>
      </c>
      <c r="H95" s="29">
        <f t="shared" si="4"/>
        <v>0.99805840455840455</v>
      </c>
    </row>
    <row r="96" spans="1:9" s="12" customFormat="1" ht="46.8">
      <c r="A96" s="14"/>
      <c r="B96" s="14"/>
      <c r="C96" s="18"/>
      <c r="D96" s="16"/>
      <c r="E96" s="39" t="s">
        <v>213</v>
      </c>
      <c r="F96" s="57">
        <f>56150-2124</f>
        <v>54026</v>
      </c>
      <c r="G96" s="57">
        <v>54025.53</v>
      </c>
      <c r="H96" s="29">
        <f t="shared" si="4"/>
        <v>0.99999130048495166</v>
      </c>
    </row>
    <row r="97" spans="1:8" s="12" customFormat="1" ht="93.6">
      <c r="A97" s="14"/>
      <c r="B97" s="14"/>
      <c r="C97" s="18"/>
      <c r="D97" s="16"/>
      <c r="E97" s="39" t="s">
        <v>122</v>
      </c>
      <c r="F97" s="56">
        <f>SUM(F98:F105)</f>
        <v>3130470</v>
      </c>
      <c r="G97" s="56">
        <f>SUM(G98:G105)</f>
        <v>2017596.7599999998</v>
      </c>
      <c r="H97" s="29">
        <f t="shared" si="4"/>
        <v>0.64450282545432469</v>
      </c>
    </row>
    <row r="98" spans="1:8" ht="62.4">
      <c r="A98" s="14"/>
      <c r="B98" s="14"/>
      <c r="C98" s="18"/>
      <c r="D98" s="16"/>
      <c r="E98" s="40" t="s">
        <v>214</v>
      </c>
      <c r="F98" s="58">
        <f>153000+90000</f>
        <v>243000</v>
      </c>
      <c r="G98" s="58">
        <v>224693.03</v>
      </c>
      <c r="H98" s="29">
        <f t="shared" si="4"/>
        <v>0.92466267489711929</v>
      </c>
    </row>
    <row r="99" spans="1:8" ht="62.4">
      <c r="A99" s="14"/>
      <c r="B99" s="14"/>
      <c r="C99" s="18"/>
      <c r="D99" s="16"/>
      <c r="E99" s="40" t="s">
        <v>215</v>
      </c>
      <c r="F99" s="58">
        <f>225000-89</f>
        <v>224911</v>
      </c>
      <c r="G99" s="58">
        <v>157573.29999999999</v>
      </c>
      <c r="H99" s="29">
        <f t="shared" si="4"/>
        <v>0.7006029051491478</v>
      </c>
    </row>
    <row r="100" spans="1:8" ht="46.8">
      <c r="A100" s="14"/>
      <c r="B100" s="14"/>
      <c r="C100" s="18"/>
      <c r="D100" s="16"/>
      <c r="E100" s="35" t="s">
        <v>124</v>
      </c>
      <c r="F100" s="59">
        <f>45000-64</f>
        <v>44936</v>
      </c>
      <c r="G100" s="59">
        <v>44766.78</v>
      </c>
      <c r="H100" s="29">
        <f t="shared" si="4"/>
        <v>0.99623419975075655</v>
      </c>
    </row>
    <row r="101" spans="1:8" ht="46.8">
      <c r="A101" s="14"/>
      <c r="B101" s="14"/>
      <c r="C101" s="18"/>
      <c r="D101" s="16"/>
      <c r="E101" s="35" t="s">
        <v>123</v>
      </c>
      <c r="F101" s="59">
        <f>36894-30067</f>
        <v>6827</v>
      </c>
      <c r="G101" s="59">
        <v>6825.37</v>
      </c>
      <c r="H101" s="29">
        <f t="shared" si="4"/>
        <v>0.99976124212684925</v>
      </c>
    </row>
    <row r="102" spans="1:8" ht="46.8">
      <c r="A102" s="14"/>
      <c r="B102" s="14"/>
      <c r="C102" s="18"/>
      <c r="D102" s="16"/>
      <c r="E102" s="40" t="s">
        <v>216</v>
      </c>
      <c r="F102" s="58">
        <f>450000-17006</f>
        <v>432994</v>
      </c>
      <c r="G102" s="58">
        <v>432986.64</v>
      </c>
      <c r="H102" s="29">
        <f t="shared" si="4"/>
        <v>0.99998300207393176</v>
      </c>
    </row>
    <row r="103" spans="1:8" ht="62.4">
      <c r="A103" s="14"/>
      <c r="B103" s="14"/>
      <c r="C103" s="18"/>
      <c r="D103" s="16"/>
      <c r="E103" s="40" t="s">
        <v>217</v>
      </c>
      <c r="F103" s="58">
        <v>450000</v>
      </c>
      <c r="G103" s="58">
        <v>449980.97</v>
      </c>
      <c r="H103" s="29">
        <f t="shared" si="4"/>
        <v>0.99995771111111109</v>
      </c>
    </row>
    <row r="104" spans="1:8" ht="78">
      <c r="A104" s="14"/>
      <c r="B104" s="14"/>
      <c r="C104" s="18"/>
      <c r="D104" s="16"/>
      <c r="E104" s="40" t="s">
        <v>218</v>
      </c>
      <c r="F104" s="58">
        <f>135000+15300-621</f>
        <v>149679</v>
      </c>
      <c r="G104" s="58">
        <v>149678.9</v>
      </c>
      <c r="H104" s="29">
        <f t="shared" si="4"/>
        <v>0.99999933190360701</v>
      </c>
    </row>
    <row r="105" spans="1:8" s="44" customFormat="1" ht="62.4">
      <c r="A105" s="14"/>
      <c r="B105" s="14"/>
      <c r="C105" s="18"/>
      <c r="D105" s="16"/>
      <c r="E105" s="35" t="s">
        <v>64</v>
      </c>
      <c r="F105" s="59">
        <f>1578123-3701+3701</f>
        <v>1578123</v>
      </c>
      <c r="G105" s="59">
        <v>551091.77</v>
      </c>
      <c r="H105" s="29">
        <f t="shared" si="4"/>
        <v>0.34920710869811794</v>
      </c>
    </row>
    <row r="106" spans="1:8" ht="93.6">
      <c r="A106" s="14" t="s">
        <v>267</v>
      </c>
      <c r="B106" s="14" t="s">
        <v>268</v>
      </c>
      <c r="C106" s="18" t="s">
        <v>18</v>
      </c>
      <c r="D106" s="16" t="s">
        <v>269</v>
      </c>
      <c r="E106" s="60" t="s">
        <v>270</v>
      </c>
      <c r="F106" s="56">
        <v>137117</v>
      </c>
      <c r="G106" s="56">
        <v>137116.79999999999</v>
      </c>
      <c r="H106" s="29">
        <f t="shared" si="4"/>
        <v>0.99999854139165811</v>
      </c>
    </row>
    <row r="107" spans="1:8" ht="31.2">
      <c r="A107" s="14" t="s">
        <v>29</v>
      </c>
      <c r="B107" s="14" t="s">
        <v>30</v>
      </c>
      <c r="C107" s="18" t="s">
        <v>18</v>
      </c>
      <c r="D107" s="16" t="s">
        <v>31</v>
      </c>
      <c r="E107" s="32" t="s">
        <v>24</v>
      </c>
      <c r="F107" s="54">
        <f>SUM(F108:F115)</f>
        <v>6754192.25</v>
      </c>
      <c r="G107" s="54">
        <f>SUM(G108:G115)</f>
        <v>6754187.6799999997</v>
      </c>
      <c r="H107" s="29">
        <f t="shared" si="4"/>
        <v>0.99999932338319208</v>
      </c>
    </row>
    <row r="108" spans="1:8" ht="46.8">
      <c r="A108" s="14"/>
      <c r="B108" s="14"/>
      <c r="C108" s="18"/>
      <c r="D108" s="16"/>
      <c r="E108" s="30" t="s">
        <v>125</v>
      </c>
      <c r="F108" s="59">
        <f>1503280-51935.79</f>
        <v>1451344.21</v>
      </c>
      <c r="G108" s="59">
        <v>1451343.78</v>
      </c>
      <c r="H108" s="29">
        <f t="shared" si="4"/>
        <v>0.99999970372293701</v>
      </c>
    </row>
    <row r="109" spans="1:8" ht="46.8">
      <c r="A109" s="14"/>
      <c r="B109" s="14"/>
      <c r="C109" s="18"/>
      <c r="D109" s="16"/>
      <c r="E109" s="30" t="s">
        <v>126</v>
      </c>
      <c r="F109" s="59">
        <f>1444546-43160.86</f>
        <v>1401385.14</v>
      </c>
      <c r="G109" s="59">
        <v>1401385.08</v>
      </c>
      <c r="H109" s="29">
        <f t="shared" si="4"/>
        <v>0.99999995718521761</v>
      </c>
    </row>
    <row r="110" spans="1:8" ht="46.8">
      <c r="A110" s="14"/>
      <c r="B110" s="14"/>
      <c r="C110" s="18"/>
      <c r="D110" s="16"/>
      <c r="E110" s="30" t="s">
        <v>219</v>
      </c>
      <c r="F110" s="59">
        <f>1448646+41354+6487.25-3701-48143</f>
        <v>1444643.25</v>
      </c>
      <c r="G110" s="59">
        <v>1444642.67</v>
      </c>
      <c r="H110" s="29">
        <f t="shared" si="4"/>
        <v>0.99999959851679643</v>
      </c>
    </row>
    <row r="111" spans="1:8" ht="46.8">
      <c r="A111" s="14"/>
      <c r="B111" s="14"/>
      <c r="C111" s="18"/>
      <c r="D111" s="16"/>
      <c r="E111" s="30" t="s">
        <v>127</v>
      </c>
      <c r="F111" s="59">
        <f>286470-40195.96</f>
        <v>246274.04</v>
      </c>
      <c r="G111" s="59">
        <v>246273.22</v>
      </c>
      <c r="H111" s="29">
        <f t="shared" si="4"/>
        <v>0.99999667037581386</v>
      </c>
    </row>
    <row r="112" spans="1:8" ht="46.8">
      <c r="A112" s="14"/>
      <c r="B112" s="14"/>
      <c r="C112" s="18"/>
      <c r="D112" s="16"/>
      <c r="E112" s="30" t="s">
        <v>128</v>
      </c>
      <c r="F112" s="59">
        <f>122370-38372.01</f>
        <v>83997.989999999991</v>
      </c>
      <c r="G112" s="59">
        <v>83997.48</v>
      </c>
      <c r="H112" s="29">
        <f t="shared" si="4"/>
        <v>0.99999392842614454</v>
      </c>
    </row>
    <row r="113" spans="1:8" ht="46.8">
      <c r="A113" s="14"/>
      <c r="B113" s="14"/>
      <c r="C113" s="18"/>
      <c r="D113" s="16"/>
      <c r="E113" s="30" t="s">
        <v>129</v>
      </c>
      <c r="F113" s="59">
        <f>314517-94371.64+0.63</f>
        <v>220145.99</v>
      </c>
      <c r="G113" s="59">
        <v>220144.77</v>
      </c>
      <c r="H113" s="29">
        <f t="shared" si="4"/>
        <v>0.99999445822292743</v>
      </c>
    </row>
    <row r="114" spans="1:8" ht="46.8">
      <c r="A114" s="14"/>
      <c r="B114" s="14"/>
      <c r="C114" s="18"/>
      <c r="D114" s="16"/>
      <c r="E114" s="30" t="s">
        <v>130</v>
      </c>
      <c r="F114" s="59">
        <f>296125-95302.37</f>
        <v>200822.63</v>
      </c>
      <c r="G114" s="59">
        <v>200822.3</v>
      </c>
      <c r="H114" s="29">
        <f t="shared" si="4"/>
        <v>0.99999835675889703</v>
      </c>
    </row>
    <row r="115" spans="1:8" s="44" customFormat="1" ht="93.6">
      <c r="A115" s="14"/>
      <c r="B115" s="14"/>
      <c r="C115" s="18"/>
      <c r="D115" s="16"/>
      <c r="E115" s="30" t="s">
        <v>122</v>
      </c>
      <c r="F115" s="54">
        <f>F116</f>
        <v>1705579</v>
      </c>
      <c r="G115" s="54">
        <f>G116</f>
        <v>1705578.38</v>
      </c>
      <c r="H115" s="29">
        <f t="shared" si="4"/>
        <v>0.99999963648708146</v>
      </c>
    </row>
    <row r="116" spans="1:8" ht="62.4">
      <c r="A116" s="14"/>
      <c r="B116" s="14"/>
      <c r="C116" s="18"/>
      <c r="D116" s="16"/>
      <c r="E116" s="35" t="s">
        <v>242</v>
      </c>
      <c r="F116" s="59">
        <f>1799333-15300-78454</f>
        <v>1705579</v>
      </c>
      <c r="G116" s="59">
        <v>1705578.38</v>
      </c>
      <c r="H116" s="29">
        <f t="shared" si="4"/>
        <v>0.99999963648708146</v>
      </c>
    </row>
    <row r="117" spans="1:8" ht="78">
      <c r="A117" s="14" t="s">
        <v>131</v>
      </c>
      <c r="B117" s="14" t="s">
        <v>132</v>
      </c>
      <c r="C117" s="18" t="s">
        <v>18</v>
      </c>
      <c r="D117" s="16" t="s">
        <v>133</v>
      </c>
      <c r="E117" s="32" t="s">
        <v>134</v>
      </c>
      <c r="F117" s="54">
        <v>1095000</v>
      </c>
      <c r="G117" s="54">
        <v>70017.3</v>
      </c>
      <c r="H117" s="29">
        <f t="shared" si="4"/>
        <v>6.3942739726027403E-2</v>
      </c>
    </row>
    <row r="118" spans="1:8">
      <c r="A118" s="14" t="s">
        <v>32</v>
      </c>
      <c r="B118" s="14" t="s">
        <v>17</v>
      </c>
      <c r="C118" s="18" t="s">
        <v>18</v>
      </c>
      <c r="D118" s="16" t="s">
        <v>19</v>
      </c>
      <c r="E118" s="32" t="s">
        <v>24</v>
      </c>
      <c r="F118" s="54">
        <f>F119+F120+F121+F122+F123</f>
        <v>7241679</v>
      </c>
      <c r="G118" s="54">
        <f>G119+G120+G121+G122+G123</f>
        <v>6382130.75</v>
      </c>
      <c r="H118" s="29">
        <f t="shared" si="4"/>
        <v>0.8813053920230377</v>
      </c>
    </row>
    <row r="119" spans="1:8" s="44" customFormat="1" ht="31.2">
      <c r="A119" s="14"/>
      <c r="B119" s="14"/>
      <c r="C119" s="18"/>
      <c r="D119" s="16"/>
      <c r="E119" s="32" t="s">
        <v>65</v>
      </c>
      <c r="F119" s="54">
        <v>839500</v>
      </c>
      <c r="G119" s="54"/>
      <c r="H119" s="29">
        <f t="shared" si="4"/>
        <v>0</v>
      </c>
    </row>
    <row r="120" spans="1:8" ht="31.2">
      <c r="A120" s="14"/>
      <c r="B120" s="14"/>
      <c r="C120" s="18"/>
      <c r="D120" s="16"/>
      <c r="E120" s="32" t="s">
        <v>135</v>
      </c>
      <c r="F120" s="54">
        <v>252000</v>
      </c>
      <c r="G120" s="54">
        <v>251579.99</v>
      </c>
      <c r="H120" s="29">
        <f t="shared" si="4"/>
        <v>0.9983332936507936</v>
      </c>
    </row>
    <row r="121" spans="1:8" ht="78">
      <c r="A121" s="14"/>
      <c r="B121" s="14"/>
      <c r="C121" s="18"/>
      <c r="D121" s="16"/>
      <c r="E121" s="32" t="s">
        <v>220</v>
      </c>
      <c r="F121" s="54">
        <v>34000</v>
      </c>
      <c r="G121" s="54">
        <v>33971.760000000002</v>
      </c>
      <c r="H121" s="29">
        <f t="shared" si="4"/>
        <v>0.99916941176470597</v>
      </c>
    </row>
    <row r="122" spans="1:8" ht="31.2">
      <c r="A122" s="14"/>
      <c r="B122" s="14"/>
      <c r="C122" s="18"/>
      <c r="D122" s="16"/>
      <c r="E122" s="32" t="s">
        <v>271</v>
      </c>
      <c r="F122" s="54">
        <v>6088600</v>
      </c>
      <c r="G122" s="54">
        <v>6069000</v>
      </c>
      <c r="H122" s="29">
        <f t="shared" si="4"/>
        <v>0.99678086916532538</v>
      </c>
    </row>
    <row r="123" spans="1:8">
      <c r="A123" s="14"/>
      <c r="B123" s="14"/>
      <c r="C123" s="18"/>
      <c r="D123" s="16"/>
      <c r="E123" s="32" t="s">
        <v>272</v>
      </c>
      <c r="F123" s="54">
        <v>27579</v>
      </c>
      <c r="G123" s="54">
        <v>27579</v>
      </c>
      <c r="H123" s="29">
        <f t="shared" si="4"/>
        <v>1</v>
      </c>
    </row>
    <row r="124" spans="1:8" ht="31.2">
      <c r="A124" s="15">
        <v>1216091</v>
      </c>
      <c r="B124" s="15">
        <v>6091</v>
      </c>
      <c r="C124" s="18" t="s">
        <v>136</v>
      </c>
      <c r="D124" s="16" t="s">
        <v>137</v>
      </c>
      <c r="E124" s="17" t="s">
        <v>24</v>
      </c>
      <c r="F124" s="54">
        <f>SUM(F125:F127)</f>
        <v>6559841</v>
      </c>
      <c r="G124" s="54">
        <f>SUM(G125:G127)</f>
        <v>6559840.9100000001</v>
      </c>
      <c r="H124" s="29">
        <f t="shared" si="4"/>
        <v>0.9999999862801553</v>
      </c>
    </row>
    <row r="125" spans="1:8" ht="46.8">
      <c r="A125" s="14"/>
      <c r="B125" s="14"/>
      <c r="C125" s="18"/>
      <c r="D125" s="16"/>
      <c r="E125" s="17" t="s">
        <v>138</v>
      </c>
      <c r="F125" s="54">
        <v>5800000</v>
      </c>
      <c r="G125" s="54">
        <v>5800000</v>
      </c>
      <c r="H125" s="29">
        <f t="shared" si="4"/>
        <v>1</v>
      </c>
    </row>
    <row r="126" spans="1:8" s="45" customFormat="1" ht="46.8">
      <c r="A126" s="14"/>
      <c r="B126" s="14"/>
      <c r="C126" s="18"/>
      <c r="D126" s="16"/>
      <c r="E126" s="17" t="s">
        <v>139</v>
      </c>
      <c r="F126" s="54">
        <v>600000</v>
      </c>
      <c r="G126" s="54">
        <v>600000</v>
      </c>
      <c r="H126" s="29">
        <f t="shared" si="4"/>
        <v>1</v>
      </c>
    </row>
    <row r="127" spans="1:8" s="45" customFormat="1" ht="93.6">
      <c r="A127" s="14"/>
      <c r="B127" s="14"/>
      <c r="C127" s="18"/>
      <c r="D127" s="16"/>
      <c r="E127" s="30" t="s">
        <v>243</v>
      </c>
      <c r="F127" s="54">
        <f>F128</f>
        <v>159841</v>
      </c>
      <c r="G127" s="54">
        <f>G128</f>
        <v>159840.91</v>
      </c>
      <c r="H127" s="29">
        <f t="shared" si="4"/>
        <v>0.99999943694045956</v>
      </c>
    </row>
    <row r="128" spans="1:8" ht="78">
      <c r="A128" s="14"/>
      <c r="B128" s="14"/>
      <c r="C128" s="18"/>
      <c r="D128" s="16"/>
      <c r="E128" s="40" t="s">
        <v>221</v>
      </c>
      <c r="F128" s="61">
        <f>171000-11159</f>
        <v>159841</v>
      </c>
      <c r="G128" s="61">
        <v>159840.91</v>
      </c>
      <c r="H128" s="29">
        <f t="shared" si="4"/>
        <v>0.99999943694045956</v>
      </c>
    </row>
    <row r="129" spans="1:8">
      <c r="A129" s="14" t="s">
        <v>222</v>
      </c>
      <c r="B129" s="14" t="s">
        <v>223</v>
      </c>
      <c r="C129" s="18" t="s">
        <v>224</v>
      </c>
      <c r="D129" s="16" t="s">
        <v>225</v>
      </c>
      <c r="E129" s="30" t="s">
        <v>24</v>
      </c>
      <c r="F129" s="54">
        <f>F130+F131</f>
        <v>742900</v>
      </c>
      <c r="G129" s="54">
        <f>G130+G131</f>
        <v>556408.52</v>
      </c>
      <c r="H129" s="29">
        <f t="shared" si="4"/>
        <v>0.748968259523489</v>
      </c>
    </row>
    <row r="130" spans="1:8" ht="31.2">
      <c r="A130" s="14"/>
      <c r="B130" s="14"/>
      <c r="C130" s="18"/>
      <c r="D130" s="16"/>
      <c r="E130" s="30" t="s">
        <v>273</v>
      </c>
      <c r="F130" s="54">
        <v>220000</v>
      </c>
      <c r="G130" s="54">
        <v>94215.48</v>
      </c>
      <c r="H130" s="29">
        <f t="shared" si="4"/>
        <v>0.42825218181818181</v>
      </c>
    </row>
    <row r="131" spans="1:8" ht="93.6">
      <c r="A131" s="14"/>
      <c r="B131" s="14"/>
      <c r="C131" s="18"/>
      <c r="D131" s="16"/>
      <c r="E131" s="30" t="s">
        <v>122</v>
      </c>
      <c r="F131" s="54">
        <f>F132</f>
        <v>522900</v>
      </c>
      <c r="G131" s="54">
        <f>G132</f>
        <v>462193.04</v>
      </c>
      <c r="H131" s="29">
        <f t="shared" si="4"/>
        <v>0.88390330847198317</v>
      </c>
    </row>
    <row r="132" spans="1:8" ht="46.8">
      <c r="A132" s="14"/>
      <c r="B132" s="14"/>
      <c r="C132" s="18"/>
      <c r="D132" s="16"/>
      <c r="E132" s="40" t="s">
        <v>226</v>
      </c>
      <c r="F132" s="61">
        <f>360000+162900</f>
        <v>522900</v>
      </c>
      <c r="G132" s="61">
        <v>462193.04</v>
      </c>
      <c r="H132" s="29">
        <f t="shared" si="4"/>
        <v>0.88390330847198317</v>
      </c>
    </row>
    <row r="133" spans="1:8" ht="31.2">
      <c r="A133" s="14" t="s">
        <v>140</v>
      </c>
      <c r="B133" s="14" t="s">
        <v>141</v>
      </c>
      <c r="C133" s="18" t="s">
        <v>20</v>
      </c>
      <c r="D133" s="16" t="s">
        <v>142</v>
      </c>
      <c r="E133" s="32" t="s">
        <v>24</v>
      </c>
      <c r="F133" s="54">
        <f>SUM(F134:F137)</f>
        <v>3403797.82</v>
      </c>
      <c r="G133" s="54">
        <f>SUM(G134:G137)</f>
        <v>3403794.3600000003</v>
      </c>
      <c r="H133" s="29">
        <f t="shared" si="4"/>
        <v>0.99999898348839078</v>
      </c>
    </row>
    <row r="134" spans="1:8" ht="31.2">
      <c r="A134" s="14"/>
      <c r="B134" s="14"/>
      <c r="C134" s="18"/>
      <c r="D134" s="16"/>
      <c r="E134" s="36" t="s">
        <v>143</v>
      </c>
      <c r="F134" s="54">
        <f>600000-9490</f>
        <v>590510</v>
      </c>
      <c r="G134" s="54">
        <v>590506.80000000005</v>
      </c>
      <c r="H134" s="29">
        <f t="shared" si="4"/>
        <v>0.99999458095544536</v>
      </c>
    </row>
    <row r="135" spans="1:8">
      <c r="A135" s="14"/>
      <c r="B135" s="14"/>
      <c r="C135" s="18"/>
      <c r="D135" s="16"/>
      <c r="E135" s="22" t="s">
        <v>144</v>
      </c>
      <c r="F135" s="54">
        <v>1460000</v>
      </c>
      <c r="G135" s="54">
        <v>1459999.8</v>
      </c>
      <c r="H135" s="29">
        <f t="shared" si="4"/>
        <v>0.9999998630136987</v>
      </c>
    </row>
    <row r="136" spans="1:8" ht="31.2">
      <c r="A136" s="14"/>
      <c r="B136" s="14"/>
      <c r="C136" s="18"/>
      <c r="D136" s="16"/>
      <c r="E136" s="43" t="s">
        <v>244</v>
      </c>
      <c r="F136" s="54">
        <v>600000</v>
      </c>
      <c r="G136" s="54">
        <v>600000</v>
      </c>
      <c r="H136" s="29">
        <f t="shared" si="4"/>
        <v>1</v>
      </c>
    </row>
    <row r="137" spans="1:8" s="45" customFormat="1" ht="31.2">
      <c r="A137" s="14"/>
      <c r="B137" s="14"/>
      <c r="C137" s="18"/>
      <c r="D137" s="16"/>
      <c r="E137" s="43" t="s">
        <v>274</v>
      </c>
      <c r="F137" s="54">
        <v>753287.82</v>
      </c>
      <c r="G137" s="54">
        <v>753287.76</v>
      </c>
      <c r="H137" s="29">
        <f t="shared" si="4"/>
        <v>0.99999992034917018</v>
      </c>
    </row>
    <row r="138" spans="1:8" s="45" customFormat="1" ht="109.2">
      <c r="A138" s="14" t="s">
        <v>145</v>
      </c>
      <c r="B138" s="14" t="s">
        <v>38</v>
      </c>
      <c r="C138" s="18" t="s">
        <v>41</v>
      </c>
      <c r="D138" s="16" t="s">
        <v>39</v>
      </c>
      <c r="E138" s="32" t="s">
        <v>146</v>
      </c>
      <c r="F138" s="54">
        <f>378921-50556</f>
        <v>328365</v>
      </c>
      <c r="G138" s="54">
        <v>328364.3</v>
      </c>
      <c r="H138" s="29">
        <f t="shared" si="4"/>
        <v>0.99999786822590708</v>
      </c>
    </row>
    <row r="139" spans="1:8">
      <c r="A139" s="14" t="s">
        <v>147</v>
      </c>
      <c r="B139" s="14" t="s">
        <v>58</v>
      </c>
      <c r="C139" s="18" t="s">
        <v>50</v>
      </c>
      <c r="D139" s="16" t="s">
        <v>59</v>
      </c>
      <c r="E139" s="17" t="s">
        <v>88</v>
      </c>
      <c r="F139" s="54">
        <f>200000-106000</f>
        <v>94000</v>
      </c>
      <c r="G139" s="54">
        <v>93945</v>
      </c>
      <c r="H139" s="29">
        <f t="shared" ref="H139:H171" si="8">G139/F139</f>
        <v>0.99941489361702129</v>
      </c>
    </row>
    <row r="140" spans="1:8" ht="29.4" customHeight="1">
      <c r="A140" s="19" t="s">
        <v>33</v>
      </c>
      <c r="B140" s="19"/>
      <c r="C140" s="19"/>
      <c r="D140" s="67" t="s">
        <v>66</v>
      </c>
      <c r="E140" s="68"/>
      <c r="F140" s="53">
        <f t="shared" ref="F140:G140" si="9">F141</f>
        <v>25638465</v>
      </c>
      <c r="G140" s="53">
        <f t="shared" si="9"/>
        <v>16532728.82</v>
      </c>
      <c r="H140" s="28">
        <f t="shared" si="8"/>
        <v>0.64484082100859008</v>
      </c>
    </row>
    <row r="141" spans="1:8" s="44" customFormat="1" ht="29.4" customHeight="1">
      <c r="A141" s="19" t="s">
        <v>34</v>
      </c>
      <c r="B141" s="14"/>
      <c r="C141" s="14"/>
      <c r="D141" s="67" t="s">
        <v>66</v>
      </c>
      <c r="E141" s="68"/>
      <c r="F141" s="53">
        <f>F142+F145+F146+F149+F154+F155</f>
        <v>25638465</v>
      </c>
      <c r="G141" s="53">
        <f>G142+G145+G146+G149+G154+G155</f>
        <v>16532728.82</v>
      </c>
      <c r="H141" s="28">
        <f t="shared" si="8"/>
        <v>0.64484082100859008</v>
      </c>
    </row>
    <row r="142" spans="1:8" s="44" customFormat="1" ht="78">
      <c r="A142" s="15">
        <v>1510150</v>
      </c>
      <c r="B142" s="18" t="s">
        <v>148</v>
      </c>
      <c r="C142" s="18" t="s">
        <v>118</v>
      </c>
      <c r="D142" s="16" t="s">
        <v>149</v>
      </c>
      <c r="E142" s="37" t="s">
        <v>24</v>
      </c>
      <c r="F142" s="54">
        <f>F143+F144</f>
        <v>1220000</v>
      </c>
      <c r="G142" s="54">
        <f>G143+G144</f>
        <v>1059491.79</v>
      </c>
      <c r="H142" s="29">
        <f t="shared" si="8"/>
        <v>0.86843589344262295</v>
      </c>
    </row>
    <row r="143" spans="1:8" s="44" customFormat="1" ht="78">
      <c r="A143" s="15"/>
      <c r="B143" s="18"/>
      <c r="C143" s="18"/>
      <c r="D143" s="16"/>
      <c r="E143" s="37" t="s">
        <v>150</v>
      </c>
      <c r="F143" s="54">
        <v>590000</v>
      </c>
      <c r="G143" s="54">
        <v>568375.53</v>
      </c>
      <c r="H143" s="29">
        <f t="shared" si="8"/>
        <v>0.96334835593220347</v>
      </c>
    </row>
    <row r="144" spans="1:8" ht="78">
      <c r="A144" s="15"/>
      <c r="B144" s="18"/>
      <c r="C144" s="18"/>
      <c r="D144" s="16"/>
      <c r="E144" s="37" t="s">
        <v>245</v>
      </c>
      <c r="F144" s="54">
        <v>630000</v>
      </c>
      <c r="G144" s="54">
        <v>491116.26</v>
      </c>
      <c r="H144" s="29">
        <f t="shared" si="8"/>
        <v>0.7795496190476191</v>
      </c>
    </row>
    <row r="145" spans="1:9" ht="124.8">
      <c r="A145" s="14" t="s">
        <v>151</v>
      </c>
      <c r="B145" s="14" t="s">
        <v>152</v>
      </c>
      <c r="C145" s="18" t="s">
        <v>153</v>
      </c>
      <c r="D145" s="16" t="s">
        <v>154</v>
      </c>
      <c r="E145" s="32" t="s">
        <v>227</v>
      </c>
      <c r="F145" s="54">
        <f>550000+2000000+5000000</f>
        <v>7550000</v>
      </c>
      <c r="G145" s="54">
        <v>499270.91</v>
      </c>
      <c r="H145" s="29">
        <f t="shared" si="8"/>
        <v>6.6128597350993371E-2</v>
      </c>
      <c r="I145" s="65" t="s">
        <v>290</v>
      </c>
    </row>
    <row r="146" spans="1:9" ht="31.2">
      <c r="A146" s="15">
        <v>1516015</v>
      </c>
      <c r="B146" s="18" t="s">
        <v>30</v>
      </c>
      <c r="C146" s="18" t="s">
        <v>18</v>
      </c>
      <c r="D146" s="16" t="s">
        <v>31</v>
      </c>
      <c r="E146" s="32" t="s">
        <v>24</v>
      </c>
      <c r="F146" s="54">
        <f>F147+F148</f>
        <v>1122000</v>
      </c>
      <c r="G146" s="54">
        <f>G147+G148</f>
        <v>1122000</v>
      </c>
      <c r="H146" s="29">
        <f t="shared" si="8"/>
        <v>1</v>
      </c>
    </row>
    <row r="147" spans="1:9" ht="62.4">
      <c r="A147" s="15"/>
      <c r="B147" s="18"/>
      <c r="C147" s="18"/>
      <c r="D147" s="16"/>
      <c r="E147" s="32" t="s">
        <v>155</v>
      </c>
      <c r="F147" s="54">
        <v>486000</v>
      </c>
      <c r="G147" s="54">
        <v>486000</v>
      </c>
      <c r="H147" s="29">
        <f t="shared" si="8"/>
        <v>1</v>
      </c>
      <c r="I147" s="1" t="s">
        <v>289</v>
      </c>
    </row>
    <row r="148" spans="1:9" ht="46.8">
      <c r="A148" s="15"/>
      <c r="B148" s="18"/>
      <c r="C148" s="18"/>
      <c r="D148" s="16"/>
      <c r="E148" s="32" t="s">
        <v>246</v>
      </c>
      <c r="F148" s="54">
        <v>636000</v>
      </c>
      <c r="G148" s="54">
        <v>636000</v>
      </c>
      <c r="H148" s="29">
        <f t="shared" si="8"/>
        <v>1</v>
      </c>
    </row>
    <row r="149" spans="1:9" ht="31.2">
      <c r="A149" s="14" t="s">
        <v>156</v>
      </c>
      <c r="B149" s="14" t="s">
        <v>157</v>
      </c>
      <c r="C149" s="18" t="s">
        <v>136</v>
      </c>
      <c r="D149" s="16" t="s">
        <v>137</v>
      </c>
      <c r="E149" s="32" t="s">
        <v>24</v>
      </c>
      <c r="F149" s="54">
        <f>SUM(F150:F153)</f>
        <v>2034577</v>
      </c>
      <c r="G149" s="54">
        <f>SUM(G150:G153)</f>
        <v>1034575.8</v>
      </c>
      <c r="H149" s="29">
        <f t="shared" si="8"/>
        <v>0.50849675387070636</v>
      </c>
    </row>
    <row r="150" spans="1:9" ht="46.8">
      <c r="A150" s="14"/>
      <c r="B150" s="14"/>
      <c r="C150" s="18"/>
      <c r="D150" s="16"/>
      <c r="E150" s="31" t="s">
        <v>158</v>
      </c>
      <c r="F150" s="54">
        <v>926970</v>
      </c>
      <c r="G150" s="54">
        <v>926968.8</v>
      </c>
      <c r="H150" s="29">
        <f t="shared" si="8"/>
        <v>0.99999870545972369</v>
      </c>
    </row>
    <row r="151" spans="1:9" ht="46.8">
      <c r="A151" s="14"/>
      <c r="B151" s="14"/>
      <c r="C151" s="18"/>
      <c r="D151" s="16"/>
      <c r="E151" s="31" t="s">
        <v>159</v>
      </c>
      <c r="F151" s="54">
        <f>136176-28569</f>
        <v>107607</v>
      </c>
      <c r="G151" s="54">
        <v>107607</v>
      </c>
      <c r="H151" s="29">
        <f t="shared" si="8"/>
        <v>1</v>
      </c>
    </row>
    <row r="152" spans="1:9" ht="78">
      <c r="A152" s="14"/>
      <c r="B152" s="14"/>
      <c r="C152" s="18"/>
      <c r="D152" s="16"/>
      <c r="E152" s="39" t="s">
        <v>275</v>
      </c>
      <c r="F152" s="54">
        <v>500000</v>
      </c>
      <c r="G152" s="54"/>
      <c r="H152" s="29">
        <f t="shared" si="8"/>
        <v>0</v>
      </c>
    </row>
    <row r="153" spans="1:9" ht="46.8">
      <c r="A153" s="14"/>
      <c r="B153" s="14"/>
      <c r="C153" s="18"/>
      <c r="D153" s="16"/>
      <c r="E153" s="39" t="s">
        <v>276</v>
      </c>
      <c r="F153" s="54">
        <v>500000</v>
      </c>
      <c r="G153" s="54"/>
      <c r="H153" s="29">
        <f t="shared" si="8"/>
        <v>0</v>
      </c>
    </row>
    <row r="154" spans="1:9" ht="31.2">
      <c r="A154" s="14" t="s">
        <v>160</v>
      </c>
      <c r="B154" s="14" t="s">
        <v>46</v>
      </c>
      <c r="C154" s="18" t="s">
        <v>20</v>
      </c>
      <c r="D154" s="16" t="s">
        <v>35</v>
      </c>
      <c r="E154" s="32" t="s">
        <v>161</v>
      </c>
      <c r="F154" s="54">
        <f>19920588-5000000-3000000</f>
        <v>11920588</v>
      </c>
      <c r="G154" s="54">
        <v>11283372.140000001</v>
      </c>
      <c r="H154" s="29">
        <f t="shared" si="8"/>
        <v>0.94654493050175048</v>
      </c>
    </row>
    <row r="155" spans="1:9" ht="93.6">
      <c r="A155" s="14" t="s">
        <v>37</v>
      </c>
      <c r="B155" s="14" t="s">
        <v>38</v>
      </c>
      <c r="C155" s="18" t="s">
        <v>41</v>
      </c>
      <c r="D155" s="16" t="s">
        <v>39</v>
      </c>
      <c r="E155" s="32" t="s">
        <v>60</v>
      </c>
      <c r="F155" s="54">
        <v>1791300</v>
      </c>
      <c r="G155" s="54">
        <v>1534018.18</v>
      </c>
      <c r="H155" s="29">
        <f t="shared" si="8"/>
        <v>0.85637145090157984</v>
      </c>
    </row>
    <row r="156" spans="1:9">
      <c r="A156" s="19" t="s">
        <v>277</v>
      </c>
      <c r="B156" s="19"/>
      <c r="C156" s="19"/>
      <c r="D156" s="67" t="s">
        <v>278</v>
      </c>
      <c r="E156" s="68"/>
      <c r="F156" s="53">
        <f>F157</f>
        <v>890000</v>
      </c>
      <c r="G156" s="53">
        <f>G157</f>
        <v>62226.35</v>
      </c>
      <c r="H156" s="28">
        <f t="shared" si="8"/>
        <v>6.9917247191011236E-2</v>
      </c>
    </row>
    <row r="157" spans="1:9">
      <c r="A157" s="19" t="s">
        <v>279</v>
      </c>
      <c r="B157" s="14"/>
      <c r="C157" s="14"/>
      <c r="D157" s="67" t="s">
        <v>278</v>
      </c>
      <c r="E157" s="68"/>
      <c r="F157" s="53">
        <f>F159+F158</f>
        <v>890000</v>
      </c>
      <c r="G157" s="53">
        <f>G159+G158</f>
        <v>62226.35</v>
      </c>
      <c r="H157" s="28">
        <f t="shared" si="8"/>
        <v>6.9917247191011236E-2</v>
      </c>
    </row>
    <row r="158" spans="1:9" ht="109.2">
      <c r="A158" s="18" t="s">
        <v>280</v>
      </c>
      <c r="B158" s="18" t="s">
        <v>281</v>
      </c>
      <c r="C158" s="18" t="s">
        <v>20</v>
      </c>
      <c r="D158" s="16" t="s">
        <v>282</v>
      </c>
      <c r="E158" s="37" t="s">
        <v>283</v>
      </c>
      <c r="F158" s="54">
        <v>40000</v>
      </c>
      <c r="G158" s="54">
        <v>40000</v>
      </c>
      <c r="H158" s="29">
        <f t="shared" si="8"/>
        <v>1</v>
      </c>
    </row>
    <row r="159" spans="1:9" ht="62.4">
      <c r="A159" s="14" t="s">
        <v>284</v>
      </c>
      <c r="B159" s="14" t="s">
        <v>285</v>
      </c>
      <c r="C159" s="18" t="s">
        <v>20</v>
      </c>
      <c r="D159" s="16" t="s">
        <v>286</v>
      </c>
      <c r="E159" s="32" t="s">
        <v>287</v>
      </c>
      <c r="F159" s="54">
        <v>850000</v>
      </c>
      <c r="G159" s="54">
        <v>22226.35</v>
      </c>
      <c r="H159" s="29">
        <f t="shared" si="8"/>
        <v>2.6148647058823526E-2</v>
      </c>
    </row>
    <row r="160" spans="1:9">
      <c r="A160" s="19" t="s">
        <v>7</v>
      </c>
      <c r="B160" s="19"/>
      <c r="C160" s="19"/>
      <c r="D160" s="67" t="s">
        <v>162</v>
      </c>
      <c r="E160" s="68"/>
      <c r="F160" s="53">
        <f t="shared" ref="F160:G160" si="10">F161</f>
        <v>54880782</v>
      </c>
      <c r="G160" s="53">
        <f t="shared" si="10"/>
        <v>51711010</v>
      </c>
      <c r="H160" s="28">
        <f t="shared" si="8"/>
        <v>0.94224258684943663</v>
      </c>
    </row>
    <row r="161" spans="1:8">
      <c r="A161" s="19" t="s">
        <v>8</v>
      </c>
      <c r="B161" s="14"/>
      <c r="C161" s="14"/>
      <c r="D161" s="67" t="s">
        <v>162</v>
      </c>
      <c r="E161" s="68"/>
      <c r="F161" s="53">
        <f>F162+F163+F166</f>
        <v>54880782</v>
      </c>
      <c r="G161" s="53">
        <f>G162+G163+G166</f>
        <v>51711010</v>
      </c>
      <c r="H161" s="28">
        <f t="shared" si="8"/>
        <v>0.94224258684943663</v>
      </c>
    </row>
    <row r="162" spans="1:8" ht="31.2">
      <c r="A162" s="15">
        <v>3717520</v>
      </c>
      <c r="B162" s="15">
        <v>7520</v>
      </c>
      <c r="C162" s="18" t="s">
        <v>81</v>
      </c>
      <c r="D162" s="16" t="s">
        <v>82</v>
      </c>
      <c r="E162" s="37" t="s">
        <v>14</v>
      </c>
      <c r="F162" s="54">
        <v>25000</v>
      </c>
      <c r="G162" s="54">
        <v>24996</v>
      </c>
      <c r="H162" s="29">
        <f t="shared" si="8"/>
        <v>0.99983999999999995</v>
      </c>
    </row>
    <row r="163" spans="1:8">
      <c r="A163" s="15" t="s">
        <v>228</v>
      </c>
      <c r="B163" s="15" t="s">
        <v>229</v>
      </c>
      <c r="C163" s="15" t="s">
        <v>9</v>
      </c>
      <c r="D163" s="16" t="s">
        <v>230</v>
      </c>
      <c r="E163" s="32" t="s">
        <v>24</v>
      </c>
      <c r="F163" s="54">
        <f>F164+F165</f>
        <v>1341300</v>
      </c>
      <c r="G163" s="54">
        <f>G164+G165</f>
        <v>1341300</v>
      </c>
      <c r="H163" s="29">
        <f t="shared" si="8"/>
        <v>1</v>
      </c>
    </row>
    <row r="164" spans="1:8" ht="78">
      <c r="A164" s="15"/>
      <c r="B164" s="15"/>
      <c r="C164" s="15"/>
      <c r="D164" s="16"/>
      <c r="E164" s="37" t="s">
        <v>231</v>
      </c>
      <c r="F164" s="54">
        <v>1041300</v>
      </c>
      <c r="G164" s="54">
        <v>1041300</v>
      </c>
      <c r="H164" s="29">
        <f t="shared" si="8"/>
        <v>1</v>
      </c>
    </row>
    <row r="165" spans="1:8" ht="93.6">
      <c r="A165" s="15"/>
      <c r="B165" s="15"/>
      <c r="C165" s="15"/>
      <c r="D165" s="16"/>
      <c r="E165" s="32" t="s">
        <v>288</v>
      </c>
      <c r="F165" s="54">
        <v>300000</v>
      </c>
      <c r="G165" s="54">
        <v>300000</v>
      </c>
      <c r="H165" s="29">
        <f t="shared" si="8"/>
        <v>1</v>
      </c>
    </row>
    <row r="166" spans="1:8" ht="46.8">
      <c r="A166" s="14" t="s">
        <v>47</v>
      </c>
      <c r="B166" s="14" t="s">
        <v>48</v>
      </c>
      <c r="C166" s="18" t="s">
        <v>9</v>
      </c>
      <c r="D166" s="16" t="s">
        <v>40</v>
      </c>
      <c r="E166" s="32" t="s">
        <v>24</v>
      </c>
      <c r="F166" s="54">
        <f>F167+F168+F169+F170</f>
        <v>53514482</v>
      </c>
      <c r="G166" s="54">
        <f>G167+G168+G169+G170</f>
        <v>50344714</v>
      </c>
      <c r="H166" s="29">
        <f t="shared" si="8"/>
        <v>0.94076803359509298</v>
      </c>
    </row>
    <row r="167" spans="1:8" ht="78">
      <c r="A167" s="14"/>
      <c r="B167" s="14"/>
      <c r="C167" s="18"/>
      <c r="D167" s="16"/>
      <c r="E167" s="32" t="s">
        <v>163</v>
      </c>
      <c r="F167" s="54">
        <f>6810000+5874082+6000000+2000000+4300000-2000000+5500000+1500000+1000000+2120000+4085400+2500000+5400000+5000000</f>
        <v>50089482</v>
      </c>
      <c r="G167" s="54">
        <v>46980764</v>
      </c>
      <c r="H167" s="29">
        <f t="shared" si="8"/>
        <v>0.93793671094462505</v>
      </c>
    </row>
    <row r="168" spans="1:8" ht="46.8">
      <c r="A168" s="14"/>
      <c r="B168" s="14"/>
      <c r="C168" s="18"/>
      <c r="D168" s="16"/>
      <c r="E168" s="32" t="s">
        <v>164</v>
      </c>
      <c r="F168" s="54">
        <f>1000000+130000-100000</f>
        <v>1030000</v>
      </c>
      <c r="G168" s="54">
        <v>1022088</v>
      </c>
      <c r="H168" s="29">
        <f t="shared" si="8"/>
        <v>0.99231844660194179</v>
      </c>
    </row>
    <row r="169" spans="1:8" ht="46.8">
      <c r="A169" s="14"/>
      <c r="B169" s="14"/>
      <c r="C169" s="18"/>
      <c r="D169" s="16"/>
      <c r="E169" s="32" t="s">
        <v>165</v>
      </c>
      <c r="F169" s="54">
        <v>1295000</v>
      </c>
      <c r="G169" s="54">
        <v>1241862</v>
      </c>
      <c r="H169" s="29">
        <f t="shared" si="8"/>
        <v>0.95896679536679541</v>
      </c>
    </row>
    <row r="170" spans="1:8" ht="62.4">
      <c r="A170" s="14"/>
      <c r="B170" s="14"/>
      <c r="C170" s="18"/>
      <c r="D170" s="16"/>
      <c r="E170" s="32" t="s">
        <v>247</v>
      </c>
      <c r="F170" s="54">
        <v>1100000</v>
      </c>
      <c r="G170" s="54">
        <v>1100000</v>
      </c>
      <c r="H170" s="29">
        <f t="shared" si="8"/>
        <v>1</v>
      </c>
    </row>
    <row r="171" spans="1:8">
      <c r="A171" s="23"/>
      <c r="B171" s="13"/>
      <c r="C171" s="13"/>
      <c r="D171" s="24"/>
      <c r="E171" s="25" t="s">
        <v>10</v>
      </c>
      <c r="F171" s="62">
        <f>F10+F36+F74+F78+F85+F88+F140+F156+F160</f>
        <v>172589637.65000001</v>
      </c>
      <c r="G171" s="62">
        <f>G10+G36+G74+G78+G85+G88+G140+G156+G160</f>
        <v>151499978.06</v>
      </c>
      <c r="H171" s="28">
        <f t="shared" si="8"/>
        <v>0.87780460126599025</v>
      </c>
    </row>
    <row r="173" spans="1:8">
      <c r="A173" s="64"/>
      <c r="B173" s="63" t="s">
        <v>248</v>
      </c>
      <c r="C173" s="63"/>
      <c r="D173" s="63"/>
      <c r="E173" s="63"/>
      <c r="F173" s="63"/>
      <c r="H173" s="1"/>
    </row>
  </sheetData>
  <customSheetViews>
    <customSheetView guid="{02AC496F-F7D9-465B-9A66-D319977CD4A2}" scale="80" showPageBreaks="1" printArea="1" view="pageBreakPreview" topLeftCell="A88">
      <selection activeCell="K94" sqref="K94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1"/>
    </customSheetView>
    <customSheetView guid="{9D5EF3DD-3431-45D7-BCA1-2268CCD9FD10}" scale="80" showPageBreaks="1" printArea="1" view="pageBreakPreview">
      <selection activeCell="G407" sqref="G407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2"/>
    </customSheetView>
    <customSheetView guid="{71B4C162-96A9-4CA7-B3F0-0C57B820C4BA}" scale="80" showPageBreaks="1" printArea="1" view="pageBreakPreview" topLeftCell="A48">
      <selection activeCell="G35" sqref="G35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3"/>
    </customSheetView>
    <customSheetView guid="{6174BFC3-8EFC-491A-B8A3-28DB8186A904}" scale="80" showPageBreaks="1" fitToPage="1" printArea="1" view="pageBreakPreview">
      <selection activeCell="G142" sqref="G142"/>
      <rowBreaks count="1" manualBreakCount="1">
        <brk id="101" max="7" man="1"/>
      </rowBreaks>
      <pageMargins left="0.19685039370078741" right="0.19685039370078741" top="0.19685039370078741" bottom="0.19685039370078741" header="0.19685039370078741" footer="0.19685039370078741"/>
      <pageSetup paperSize="9" scale="47" fitToHeight="36" orientation="portrait" r:id="rId4"/>
    </customSheetView>
  </customSheetViews>
  <mergeCells count="32">
    <mergeCell ref="D88:E88"/>
    <mergeCell ref="D89:E89"/>
    <mergeCell ref="F1:H1"/>
    <mergeCell ref="A5:B5"/>
    <mergeCell ref="A4:H4"/>
    <mergeCell ref="A7:A8"/>
    <mergeCell ref="B7:B8"/>
    <mergeCell ref="C7:C8"/>
    <mergeCell ref="D7:D8"/>
    <mergeCell ref="E7:E8"/>
    <mergeCell ref="G7:G8"/>
    <mergeCell ref="H7:H8"/>
    <mergeCell ref="F7:F8"/>
    <mergeCell ref="D10:E10"/>
    <mergeCell ref="D11:E11"/>
    <mergeCell ref="D79:E79"/>
    <mergeCell ref="D75:E75"/>
    <mergeCell ref="D78:E78"/>
    <mergeCell ref="D85:E85"/>
    <mergeCell ref="D86:E86"/>
    <mergeCell ref="D77:E77"/>
    <mergeCell ref="D36:E36"/>
    <mergeCell ref="D37:E37"/>
    <mergeCell ref="D61:E61"/>
    <mergeCell ref="D62:E62"/>
    <mergeCell ref="D74:E74"/>
    <mergeCell ref="D161:E161"/>
    <mergeCell ref="D140:E140"/>
    <mergeCell ref="D141:E141"/>
    <mergeCell ref="D156:E156"/>
    <mergeCell ref="D157:E157"/>
    <mergeCell ref="D160:E160"/>
  </mergeCells>
  <pageMargins left="0.19685039370078741" right="0.19685039370078741" top="0.19685039370078741" bottom="0.19685039370078741" header="0.19685039370078741" footer="0.19685039370078741"/>
  <pageSetup paperSize="9" scale="49" fitToHeight="37" orientation="portrait" r:id="rId5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Tofan</cp:lastModifiedBy>
  <cp:lastPrinted>2026-01-13T06:21:04Z</cp:lastPrinted>
  <dcterms:created xsi:type="dcterms:W3CDTF">2019-04-10T18:00:09Z</dcterms:created>
  <dcterms:modified xsi:type="dcterms:W3CDTF">2026-02-09T13:09:52Z</dcterms:modified>
</cp:coreProperties>
</file>