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ЭтаКнига" defaultThemeVersion="124226"/>
  <xr:revisionPtr revIDLastSave="0" documentId="13_ncr:1_{28807EEE-0EE1-4F67-9EAF-140A39402338}" xr6:coauthVersionLast="47" xr6:coauthVersionMax="47" xr10:uidLastSave="{00000000-0000-0000-0000-000000000000}"/>
  <bookViews>
    <workbookView xWindow="-28920" yWindow="-4905" windowWidth="29040" windowHeight="15990" tabRatio="937" firstSheet="74" activeTab="82" xr2:uid="{00000000-000D-0000-FFFF-FFFF00000000}"/>
  </bookViews>
  <sheets>
    <sheet name="Вхідні дані" sheetId="24" state="hidden" r:id="rId1"/>
    <sheet name="Д 1_Заява" sheetId="32" state="hidden" r:id="rId2"/>
    <sheet name="КОНТРОЛЬ" sheetId="115" state="hidden" r:id="rId3"/>
    <sheet name="Д 2_Т на В" sheetId="55" state="hidden" r:id="rId4"/>
    <sheet name="Д 3_Т на Т з ЦТП" sheetId="61" state="hidden" r:id="rId5"/>
    <sheet name="Д 3.1_Т на Т без ЦТП" sheetId="92" state="hidden" r:id="rId6"/>
    <sheet name="Д 4_Т на П" sheetId="57" state="hidden" r:id="rId7"/>
    <sheet name="Д 5 Т на ТЕ з ЦТП" sheetId="58" state="hidden" r:id="rId8"/>
    <sheet name="Д 5.1 Т на ТЕ без ЦТП" sheetId="93" state="hidden" r:id="rId9"/>
    <sheet name="Д 6_Втрати" sheetId="26" state="hidden" r:id="rId10"/>
    <sheet name="Д 7_РП" sheetId="54" state="hidden" r:id="rId11"/>
    <sheet name="Д 8_Паливо" sheetId="20" state="hidden" r:id="rId12"/>
    <sheet name="Д 9_ЕЕ" sheetId="21" state="hidden" r:id="rId13"/>
    <sheet name="Д 10" sheetId="22" state="hidden" r:id="rId14"/>
    <sheet name="Д 11" sheetId="27" state="hidden" r:id="rId15"/>
    <sheet name="Д 13_12" sheetId="29" state="hidden" r:id="rId16"/>
    <sheet name="Д 14" sheetId="30" state="hidden" r:id="rId17"/>
    <sheet name="Д 15_13_Реєстр" sheetId="31" state="hidden" r:id="rId18"/>
    <sheet name="Розрахунки Річного плану" sheetId="49" state="hidden" r:id="rId19"/>
    <sheet name="Ср. за 5 лет" sheetId="62" state="hidden" r:id="rId20"/>
    <sheet name="Виробництво_Транспортування_1ст" sheetId="84" state="hidden" r:id="rId21"/>
    <sheet name="ТР_КА 1-2" sheetId="127" state="hidden" r:id="rId22"/>
    <sheet name="Постачання_1ст" sheetId="83" state="hidden" r:id="rId23"/>
    <sheet name="ЗВВ_1ст" sheetId="78" state="hidden" r:id="rId24"/>
    <sheet name="Адміністративні_1ст" sheetId="66" state="hidden" r:id="rId25"/>
    <sheet name="БАЗИ РОЗПОДІЛУ" sheetId="90" state="hidden" r:id="rId26"/>
    <sheet name="ТЕ_1ст_вих" sheetId="98" state="hidden" r:id="rId27"/>
    <sheet name="Покриття втрат в мережах" sheetId="129" state="hidden" r:id="rId28"/>
    <sheet name="2-х став на одиницю" sheetId="145" state="hidden" r:id="rId29"/>
    <sheet name="распределение" sheetId="146" state="hidden" r:id="rId30"/>
    <sheet name="Рішення 1Д" sheetId="150" state="hidden" r:id="rId31"/>
    <sheet name="Рішення 2Д" sheetId="151" state="hidden" r:id="rId32"/>
    <sheet name="Рішення 3Д" sheetId="140" state="hidden" r:id="rId33"/>
    <sheet name="Рішення 4Д" sheetId="142" state="hidden" r:id="rId34"/>
    <sheet name="Рішення 5Д" sheetId="138" state="hidden" r:id="rId35"/>
    <sheet name="Рішення 6Д" sheetId="139" state="hidden" r:id="rId36"/>
    <sheet name="Рішення 7Д" sheetId="144" state="hidden" r:id="rId37"/>
    <sheet name="Структура тарифу" sheetId="109" state="hidden" r:id="rId38"/>
    <sheet name="Порівняння структур" sheetId="110" state="hidden" r:id="rId39"/>
    <sheet name="Зв'язок" sheetId="63" state="hidden" r:id="rId40"/>
    <sheet name="ПММ" sheetId="67" state="hidden" r:id="rId41"/>
    <sheet name="ОП" sheetId="68" state="hidden" r:id="rId42"/>
    <sheet name="ФОП" sheetId="69" state="hidden" r:id="rId43"/>
    <sheet name="Амортизація" sheetId="70" state="hidden" r:id="rId44"/>
    <sheet name="Утилизація" sheetId="75" state="hidden" r:id="rId45"/>
    <sheet name="Страхування" sheetId="87" state="hidden" r:id="rId46"/>
    <sheet name="ТО" sheetId="88" state="hidden" r:id="rId47"/>
    <sheet name="Періодичні видання" sheetId="123" state="hidden" r:id="rId48"/>
    <sheet name="Котел-повірка Юст" sheetId="89" state="hidden" r:id="rId49"/>
    <sheet name="Абон обсл 2021-22" sheetId="124" state="hidden" r:id="rId50"/>
    <sheet name="гран розмір" sheetId="125" state="hidden" r:id="rId51"/>
    <sheet name="Профпослуги2" sheetId="113" state="hidden" r:id="rId52"/>
    <sheet name="Запчастини" sheetId="116" state="hidden" r:id="rId53"/>
    <sheet name="по городам" sheetId="148" state="hidden" r:id="rId54"/>
    <sheet name="СВЕДЕНО_И" sheetId="147" state="hidden" r:id="rId55"/>
    <sheet name="сведено" sheetId="107" state="hidden" r:id="rId56"/>
    <sheet name="стр_тар_1 Гкал" sheetId="128" state="hidden" r:id="rId57"/>
    <sheet name="структури %" sheetId="108" state="hidden" r:id="rId58"/>
    <sheet name="інвестпрограма" sheetId="111" state="hidden" r:id="rId59"/>
    <sheet name="Сравнение 1 и 2 " sheetId="112" state="hidden" r:id="rId60"/>
    <sheet name="прибуток" sheetId="114" state="hidden" r:id="rId61"/>
    <sheet name="АО" sheetId="120" state="hidden" r:id="rId62"/>
    <sheet name="ВКО" sheetId="121" state="hidden" r:id="rId63"/>
    <sheet name="Примечания" sheetId="122" state="hidden" r:id="rId64"/>
    <sheet name="СПЕЦХАРЧ" sheetId="91" state="hidden" r:id="rId65"/>
    <sheet name="Ремонт" sheetId="117" state="hidden" r:id="rId66"/>
    <sheet name="Профпослуги" sheetId="77" state="hidden" r:id="rId67"/>
    <sheet name="Картріджі" sheetId="76" state="hidden" r:id="rId68"/>
    <sheet name="Ціна ее" sheetId="118" state="hidden" r:id="rId69"/>
    <sheet name="Ціна газ" sheetId="119" state="hidden" r:id="rId70"/>
    <sheet name="Коригування витрат" sheetId="155" state="hidden" r:id="rId71"/>
    <sheet name="ВОДА" sheetId="85" state="hidden" r:id="rId72"/>
    <sheet name="ТО ТЗ" sheetId="81" state="hidden" r:id="rId73"/>
    <sheet name="Техконтроль ТЗ" sheetId="82" state="hidden" r:id="rId74"/>
    <sheet name="Додаток 1 до рішення" sheetId="130" r:id="rId75"/>
    <sheet name="Додаток 2 до рішення" sheetId="131" r:id="rId76"/>
    <sheet name="Додаток 3 до рішення" sheetId="132" r:id="rId77"/>
    <sheet name="Додаток 4 до рішення" sheetId="134" r:id="rId78"/>
    <sheet name="Додаток 5 до рішення" sheetId="133" r:id="rId79"/>
    <sheet name="Додаток 6 до рішення" sheetId="135" r:id="rId80"/>
    <sheet name="Додаток 10 до рішення" sheetId="153" state="hidden" r:id="rId81"/>
    <sheet name="Додаток 11 до рішення" sheetId="154" state="hidden" r:id="rId82"/>
    <sheet name="ДОДАТОК 7 до рішення" sheetId="156" r:id="rId83"/>
    <sheet name="Додаток 8 до рішення" sheetId="152" state="hidden"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definedNames>
    <definedName name="__gvp14" localSheetId="20">[1]рік!#REF!</definedName>
    <definedName name="__gvp14" localSheetId="5">[1]рік!#REF!</definedName>
    <definedName name="__gvp14" localSheetId="8">[1]рік!#REF!</definedName>
    <definedName name="__gvp14" localSheetId="23">[1]рік!#REF!</definedName>
    <definedName name="__gvp14" localSheetId="22">[1]рік!#REF!</definedName>
    <definedName name="__gvp14">[1]рік!#REF!</definedName>
    <definedName name="__gvp2" localSheetId="20">[1]рік!#REF!</definedName>
    <definedName name="__gvp2" localSheetId="5">[1]рік!#REF!</definedName>
    <definedName name="__gvp2" localSheetId="8">[1]рік!#REF!</definedName>
    <definedName name="__gvp2" localSheetId="23">[1]рік!#REF!</definedName>
    <definedName name="__gvp2" localSheetId="22">[1]рік!#REF!</definedName>
    <definedName name="__gvp2">[1]рік!#REF!</definedName>
    <definedName name="__xlnm.Print_Area" localSheetId="5">#REF!</definedName>
    <definedName name="__xlnm.Print_Area" localSheetId="8">#REF!</definedName>
    <definedName name="__xlnm.Print_Area">#REF!</definedName>
    <definedName name="__xlnm.Print_Titles" localSheetId="5">(#REF!,#REF!)</definedName>
    <definedName name="__xlnm.Print_Titles" localSheetId="8">(#REF!,#REF!)</definedName>
    <definedName name="__xlnm.Print_Titles">(#REF!,#REF!)</definedName>
    <definedName name="_gvp14" localSheetId="20">[2]рік!#REF!</definedName>
    <definedName name="_gvp14" localSheetId="71">[3]рік!#REF!</definedName>
    <definedName name="_gvp14" localSheetId="5">[2]рік!#REF!</definedName>
    <definedName name="_gvp14" localSheetId="8">[2]рік!#REF!</definedName>
    <definedName name="_gvp14" localSheetId="23">[2]рік!#REF!</definedName>
    <definedName name="_gvp14" localSheetId="22">[2]рік!#REF!</definedName>
    <definedName name="_gvp14">[2]рік!#REF!</definedName>
    <definedName name="_gvp2" localSheetId="20">[2]рік!#REF!</definedName>
    <definedName name="_gvp2" localSheetId="71">[3]рік!#REF!</definedName>
    <definedName name="_gvp2" localSheetId="5">[2]рік!#REF!</definedName>
    <definedName name="_gvp2" localSheetId="8">[2]рік!#REF!</definedName>
    <definedName name="_gvp2" localSheetId="23">[2]рік!#REF!</definedName>
    <definedName name="_gvp2" localSheetId="22">[2]рік!#REF!</definedName>
    <definedName name="_gvp2">[2]рік!#REF!</definedName>
    <definedName name="_wrn2" hidden="1">{#N/A,#N/A,FALSE,"9PS0"}</definedName>
    <definedName name="_xlnm._FilterDatabase" localSheetId="12" hidden="1">'Д 9_ЕЕ'!$B$8:$T$83</definedName>
    <definedName name="A1048999" localSheetId="20">#REF!</definedName>
    <definedName name="A1048999" localSheetId="71">'[4]1_Структура по елементах'!#REF!</definedName>
    <definedName name="A1048999" localSheetId="3">#REF!</definedName>
    <definedName name="A1048999" localSheetId="5">#REF!</definedName>
    <definedName name="A1048999" localSheetId="4">#REF!</definedName>
    <definedName name="A1048999" localSheetId="8">#REF!</definedName>
    <definedName name="A1048999" localSheetId="10">#REF!</definedName>
    <definedName name="A1048999" localSheetId="23">#REF!</definedName>
    <definedName name="A1048999" localSheetId="22">#REF!</definedName>
    <definedName name="A1048999" localSheetId="19">'[5]1_Структура по елементах'!#REF!</definedName>
    <definedName name="A1048999">#REF!</definedName>
    <definedName name="A1049000" localSheetId="20">#REF!</definedName>
    <definedName name="A1049000" localSheetId="71">'[4]1_Структура по елементах'!#REF!</definedName>
    <definedName name="A1049000" localSheetId="3">#REF!</definedName>
    <definedName name="A1049000" localSheetId="5">#REF!</definedName>
    <definedName name="A1049000" localSheetId="4">#REF!</definedName>
    <definedName name="A1049000" localSheetId="8">#REF!</definedName>
    <definedName name="A1049000" localSheetId="10">#REF!</definedName>
    <definedName name="A1049000" localSheetId="23">#REF!</definedName>
    <definedName name="A1049000" localSheetId="22">#REF!</definedName>
    <definedName name="A1049000" localSheetId="19">'[5]1_Структура по елементах'!#REF!</definedName>
    <definedName name="A1049000">#REF!</definedName>
    <definedName name="A1049999" localSheetId="20">#REF!</definedName>
    <definedName name="A1049999" localSheetId="71">'[4]1_Структура по елементах'!#REF!</definedName>
    <definedName name="A1049999" localSheetId="3">#REF!</definedName>
    <definedName name="A1049999" localSheetId="5">#REF!</definedName>
    <definedName name="A1049999" localSheetId="4">#REF!</definedName>
    <definedName name="A1049999" localSheetId="8">#REF!</definedName>
    <definedName name="A1049999" localSheetId="10">#REF!</definedName>
    <definedName name="A1049999" localSheetId="23">#REF!</definedName>
    <definedName name="A1049999" localSheetId="22">#REF!</definedName>
    <definedName name="A1049999" localSheetId="19">'[5]1_Структура по елементах'!#REF!</definedName>
    <definedName name="A1049999">#REF!</definedName>
    <definedName name="A1050000" localSheetId="20">#REF!</definedName>
    <definedName name="A1050000" localSheetId="71">'[4]1_Структура по елементах'!#REF!</definedName>
    <definedName name="A1050000" localSheetId="3">#REF!</definedName>
    <definedName name="A1050000" localSheetId="5">#REF!</definedName>
    <definedName name="A1050000" localSheetId="4">#REF!</definedName>
    <definedName name="A1050000" localSheetId="8">#REF!</definedName>
    <definedName name="A1050000" localSheetId="10">#REF!</definedName>
    <definedName name="A1050000" localSheetId="23">#REF!</definedName>
    <definedName name="A1050000" localSheetId="22">#REF!</definedName>
    <definedName name="A1050000" localSheetId="19">'[5]1_Структура по елементах'!#REF!</definedName>
    <definedName name="A1050000">#REF!</definedName>
    <definedName name="A1060000" localSheetId="20">#REF!</definedName>
    <definedName name="A1060000" localSheetId="71">'[4]1_Структура по елементах'!#REF!</definedName>
    <definedName name="A1060000" localSheetId="3">#REF!</definedName>
    <definedName name="A1060000" localSheetId="5">#REF!</definedName>
    <definedName name="A1060000" localSheetId="4">#REF!</definedName>
    <definedName name="A1060000" localSheetId="8">#REF!</definedName>
    <definedName name="A1060000" localSheetId="10">#REF!</definedName>
    <definedName name="A1060000" localSheetId="23">#REF!</definedName>
    <definedName name="A1060000" localSheetId="22">#REF!</definedName>
    <definedName name="A1060000" localSheetId="19">'[5]1_Структура по елементах'!#REF!</definedName>
    <definedName name="A1060000">#REF!</definedName>
    <definedName name="A1999999" localSheetId="20">#REF!</definedName>
    <definedName name="A1999999" localSheetId="71">'[4]1_Структура по елементах'!#REF!</definedName>
    <definedName name="A1999999" localSheetId="3">#REF!</definedName>
    <definedName name="A1999999" localSheetId="5">#REF!</definedName>
    <definedName name="A1999999" localSheetId="4">#REF!</definedName>
    <definedName name="A1999999" localSheetId="8">#REF!</definedName>
    <definedName name="A1999999" localSheetId="10">#REF!</definedName>
    <definedName name="A1999999" localSheetId="23">#REF!</definedName>
    <definedName name="A1999999" localSheetId="22">#REF!</definedName>
    <definedName name="A1999999" localSheetId="19">'[5]1_Структура по елементах'!#REF!</definedName>
    <definedName name="A1999999">#REF!</definedName>
    <definedName name="A2000021" localSheetId="20">#REF!</definedName>
    <definedName name="A2000021" localSheetId="71">'[4]1_Структура по елементах'!#REF!</definedName>
    <definedName name="A2000021" localSheetId="3">#REF!</definedName>
    <definedName name="A2000021" localSheetId="5">#REF!</definedName>
    <definedName name="A2000021" localSheetId="4">#REF!</definedName>
    <definedName name="A2000021" localSheetId="8">#REF!</definedName>
    <definedName name="A2000021" localSheetId="10">#REF!</definedName>
    <definedName name="A2000021" localSheetId="23">#REF!</definedName>
    <definedName name="A2000021" localSheetId="22">#REF!</definedName>
    <definedName name="A2000021" localSheetId="19">'[5]1_Структура по елементах'!#REF!</definedName>
    <definedName name="A2000021">#REF!</definedName>
    <definedName name="A6000000" localSheetId="20">#REF!</definedName>
    <definedName name="A6000000" localSheetId="71">'[4]1_Структура по елементах'!#REF!</definedName>
    <definedName name="A6000000" localSheetId="3">#REF!</definedName>
    <definedName name="A6000000" localSheetId="5">#REF!</definedName>
    <definedName name="A6000000" localSheetId="4">#REF!</definedName>
    <definedName name="A6000000" localSheetId="8">#REF!</definedName>
    <definedName name="A6000000" localSheetId="10">#REF!</definedName>
    <definedName name="A6000000" localSheetId="23">#REF!</definedName>
    <definedName name="A6000000" localSheetId="22">#REF!</definedName>
    <definedName name="A6000000" localSheetId="19">'[5]1_Структура по елементах'!#REF!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20">#REF!</definedName>
    <definedName name="adhdfharh" localSheetId="5">#REF!</definedName>
    <definedName name="adhdfharh" localSheetId="8">#REF!</definedName>
    <definedName name="adhdfharh" localSheetId="23">#REF!</definedName>
    <definedName name="adhdfharh" localSheetId="22">#REF!</definedName>
    <definedName name="adhdfharh">#REF!</definedName>
    <definedName name="bbb" hidden="1">{#N/A,#N/A,FALSE,"9PS0"}</definedName>
    <definedName name="Button_21">"Ltke22_LTKE1_0798__3__Таблица"</definedName>
    <definedName name="chel20" localSheetId="20">[2]рік!#REF!</definedName>
    <definedName name="chel20" localSheetId="71">[3]рік!#REF!</definedName>
    <definedName name="chel20" localSheetId="5">[2]рік!#REF!</definedName>
    <definedName name="chel20" localSheetId="8">[2]рік!#REF!</definedName>
    <definedName name="chel20" localSheetId="23">[2]рік!#REF!</definedName>
    <definedName name="chel20" localSheetId="22">[2]рік!#REF!</definedName>
    <definedName name="chel20">[2]рік!#REF!</definedName>
    <definedName name="DataLevels">[6]Ini!$C$47:$C$49</definedName>
    <definedName name="dtjuwr6wu" localSheetId="20">#REF!</definedName>
    <definedName name="dtjuwr6wu" localSheetId="5">#REF!</definedName>
    <definedName name="dtjuwr6wu" localSheetId="8">#REF!</definedName>
    <definedName name="dtjuwr6wu" localSheetId="23">#REF!</definedName>
    <definedName name="dtjuwr6wu" localSheetId="22">#REF!</definedName>
    <definedName name="dtjuwr6wu">#REF!</definedName>
    <definedName name="Excel_BuiltIn_Print_Area_1" localSheetId="24">#REF!</definedName>
    <definedName name="Excel_BuiltIn_Print_Area_1" localSheetId="20">#REF!</definedName>
    <definedName name="Excel_BuiltIn_Print_Area_1" localSheetId="71">#REF!</definedName>
    <definedName name="Excel_BuiltIn_Print_Area_1" localSheetId="5">#REF!</definedName>
    <definedName name="Excel_BuiltIn_Print_Area_1" localSheetId="8">#REF!</definedName>
    <definedName name="Excel_BuiltIn_Print_Area_1" localSheetId="23">#REF!</definedName>
    <definedName name="Excel_BuiltIn_Print_Area_1" localSheetId="22">#REF!</definedName>
    <definedName name="Excel_BuiltIn_Print_Area_1">#REF!</definedName>
    <definedName name="Excel_BuiltIn_Print_Area_3" localSheetId="24">#REF!</definedName>
    <definedName name="Excel_BuiltIn_Print_Area_3" localSheetId="20">#REF!</definedName>
    <definedName name="Excel_BuiltIn_Print_Area_3" localSheetId="71">#REF!</definedName>
    <definedName name="Excel_BuiltIn_Print_Area_3" localSheetId="5">#REF!</definedName>
    <definedName name="Excel_BuiltIn_Print_Area_3" localSheetId="8">#REF!</definedName>
    <definedName name="Excel_BuiltIn_Print_Area_3" localSheetId="23">#REF!</definedName>
    <definedName name="Excel_BuiltIn_Print_Area_3" localSheetId="22">#REF!</definedName>
    <definedName name="Excel_BuiltIn_Print_Area_3">#REF!</definedName>
    <definedName name="Excel_BuiltIn_Print_Area_9" localSheetId="24">#REF!</definedName>
    <definedName name="Excel_BuiltIn_Print_Area_9" localSheetId="20">#REF!</definedName>
    <definedName name="Excel_BuiltIn_Print_Area_9" localSheetId="71">#REF!</definedName>
    <definedName name="Excel_BuiltIn_Print_Area_9" localSheetId="5">#REF!</definedName>
    <definedName name="Excel_BuiltIn_Print_Area_9" localSheetId="8">#REF!</definedName>
    <definedName name="Excel_BuiltIn_Print_Area_9" localSheetId="23">#REF!</definedName>
    <definedName name="Excel_BuiltIn_Print_Area_9" localSheetId="22">#REF!</definedName>
    <definedName name="Excel_BuiltIn_Print_Area_9">#REF!</definedName>
    <definedName name="f" hidden="1">'[7]3 утв.'!$F$1:$H$65536,'[7]3 утв.'!$P$1:$AQ$65536</definedName>
    <definedName name="fdf" localSheetId="5">#REF!</definedName>
    <definedName name="fdf" localSheetId="8">#REF!</definedName>
    <definedName name="fdf">#REF!</definedName>
    <definedName name="fsdgfag" localSheetId="5">#REF!</definedName>
    <definedName name="fsdgfag" localSheetId="8">#REF!</definedName>
    <definedName name="fsdgfag">#REF!</definedName>
    <definedName name="Id_TypeList" localSheetId="20">'[8]Типи данних філії'!#REF!</definedName>
    <definedName name="Id_TypeList" localSheetId="5">'[8]Типи данних філії'!#REF!</definedName>
    <definedName name="Id_TypeList" localSheetId="8">'[8]Типи данних філії'!#REF!</definedName>
    <definedName name="Id_TypeList" localSheetId="23">'[8]Типи данних філії'!#REF!</definedName>
    <definedName name="Id_TypeList" localSheetId="22">'[8]Типи данних філії'!#REF!</definedName>
    <definedName name="Id_TypeList">'[8]Типи данних філії'!#REF!</definedName>
    <definedName name="koef_e_T5">[9]KOEF!$C$2</definedName>
    <definedName name="koef_e_T6">[9]KOEF!$D$2</definedName>
    <definedName name="koefE_1.1.1." localSheetId="20">#REF!</definedName>
    <definedName name="koefE_1.1.1." localSheetId="5">#REF!</definedName>
    <definedName name="koefE_1.1.1." localSheetId="8">#REF!</definedName>
    <definedName name="koefE_1.1.1." localSheetId="23">#REF!</definedName>
    <definedName name="koefE_1.1.1." localSheetId="22">#REF!</definedName>
    <definedName name="koefE_1.1.1.">#REF!</definedName>
    <definedName name="koefE_1.1.2." localSheetId="20">#REF!</definedName>
    <definedName name="koefE_1.1.2." localSheetId="5">#REF!</definedName>
    <definedName name="koefE_1.1.2." localSheetId="8">#REF!</definedName>
    <definedName name="koefE_1.1.2." localSheetId="23">#REF!</definedName>
    <definedName name="koefE_1.1.2." localSheetId="22">#REF!</definedName>
    <definedName name="koefE_1.1.2.">#REF!</definedName>
    <definedName name="koefT_1.2." localSheetId="20">#REF!</definedName>
    <definedName name="koefT_1.2." localSheetId="5">#REF!</definedName>
    <definedName name="koefT_1.2." localSheetId="8">#REF!</definedName>
    <definedName name="koefT_1.2." localSheetId="23">#REF!</definedName>
    <definedName name="koefT_1.2." localSheetId="22">#REF!</definedName>
    <definedName name="koefT_1.2.">#REF!</definedName>
    <definedName name="kot" hidden="1">{#N/A,#N/A,FALSE,"9PS0"}</definedName>
    <definedName name="l">[10]Ф2!$F$4</definedName>
    <definedName name="LastDataLev">[6]Ini!$C$46</definedName>
    <definedName name="LastDtLev">[6]Ini!$C$38</definedName>
    <definedName name="LastItem" localSheetId="19">[11]Лист1!$A$1</definedName>
    <definedName name="LastItem">[12]Лист1!$A$1</definedName>
    <definedName name="LevNames">[6]Ini!$C$40:$C$44</definedName>
    <definedName name="Ltke22_LTKE1_0798__3__Таблица" localSheetId="5">#REF!</definedName>
    <definedName name="Ltke22_LTKE1_0798__3__Таблица" localSheetId="8">#REF!</definedName>
    <definedName name="Ltke22_LTKE1_0798__3__Таблица">#REF!</definedName>
    <definedName name="QКТМ" localSheetId="20">[2]рік!#REF!</definedName>
    <definedName name="QКТМ" localSheetId="71">[3]рік!#REF!</definedName>
    <definedName name="QКТМ" localSheetId="5">[2]рік!#REF!</definedName>
    <definedName name="QКТМ" localSheetId="8">[2]рік!#REF!</definedName>
    <definedName name="QКТМ" localSheetId="23">[2]рік!#REF!</definedName>
    <definedName name="QКТМ" localSheetId="22">[2]рік!#REF!</definedName>
    <definedName name="QКТМ">[2]рік!#REF!</definedName>
    <definedName name="QКТМ1" localSheetId="20">[2]рік!#REF!</definedName>
    <definedName name="QКТМ1" localSheetId="71">[3]рік!#REF!</definedName>
    <definedName name="QКТМ1" localSheetId="5">[2]рік!#REF!</definedName>
    <definedName name="QКТМ1" localSheetId="8">[2]рік!#REF!</definedName>
    <definedName name="QКТМ1" localSheetId="23">[2]рік!#REF!</definedName>
    <definedName name="QКТМ1" localSheetId="22">[2]рік!#REF!</definedName>
    <definedName name="QКТМ1">[2]рік!#REF!</definedName>
    <definedName name="Qрозрах" localSheetId="20">[2]рік!#REF!</definedName>
    <definedName name="Qрозрах" localSheetId="71">[3]рік!#REF!</definedName>
    <definedName name="Qрозрах" localSheetId="5">[2]рік!#REF!</definedName>
    <definedName name="Qрозрах" localSheetId="8">[2]рік!#REF!</definedName>
    <definedName name="Qрозрах" localSheetId="23">[2]рік!#REF!</definedName>
    <definedName name="Qрозрах" localSheetId="22">[2]рік!#REF!</definedName>
    <definedName name="Qрозрах">[2]рік!#REF!</definedName>
    <definedName name="ReportsList" localSheetId="20">#REF!</definedName>
    <definedName name="ReportsList" localSheetId="5">#REF!</definedName>
    <definedName name="ReportsList" localSheetId="8">#REF!</definedName>
    <definedName name="ReportsList" localSheetId="23">#REF!</definedName>
    <definedName name="ReportsList" localSheetId="22">#REF!</definedName>
    <definedName name="ReportsList">#REF!</definedName>
    <definedName name="s" hidden="1">{#N/A,#N/A,FALSE,"9PS0"}</definedName>
    <definedName name="ShowFil" localSheetId="20">[12]!ShowFil</definedName>
    <definedName name="ShowFil" localSheetId="3">[12]!ShowFil</definedName>
    <definedName name="ShowFil" localSheetId="5">[12]!ShowFil</definedName>
    <definedName name="ShowFil" localSheetId="4">[12]!ShowFil</definedName>
    <definedName name="ShowFil" localSheetId="8">[12]!ShowFil</definedName>
    <definedName name="ShowFil" localSheetId="10">[12]!ShowFil</definedName>
    <definedName name="ShowFil" localSheetId="23">[12]!ShowFil</definedName>
    <definedName name="ShowFil" localSheetId="22">[12]!ShowFil</definedName>
    <definedName name="ShowFil" localSheetId="19">[11]!ShowFil</definedName>
    <definedName name="ShowFil">[12]!ShowFil</definedName>
    <definedName name="Skk" localSheetId="20">[13]рік!#REF!</definedName>
    <definedName name="Skk" localSheetId="71">[14]рік!#REF!</definedName>
    <definedName name="Skk" localSheetId="5">[13]рік!#REF!</definedName>
    <definedName name="Skk" localSheetId="8">[13]рік!#REF!</definedName>
    <definedName name="Skk" localSheetId="23">[13]рік!#REF!</definedName>
    <definedName name="Skk" localSheetId="22">[13]рік!#REF!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20" hidden="1">#REF!</definedName>
    <definedName name="solver_opt" localSheetId="5" hidden="1">#REF!</definedName>
    <definedName name="solver_opt" localSheetId="8" hidden="1">#REF!</definedName>
    <definedName name="solver_opt" localSheetId="23" hidden="1">#REF!</definedName>
    <definedName name="solver_opt" localSheetId="2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20">#REF!</definedName>
    <definedName name="st" localSheetId="5">#REF!</definedName>
    <definedName name="st" localSheetId="8">#REF!</definedName>
    <definedName name="st" localSheetId="23">#REF!</definedName>
    <definedName name="st" localSheetId="22">#REF!</definedName>
    <definedName name="st">#REF!</definedName>
    <definedName name="stroka">'[15]tar ee 99'!$CT$95:$CT$110</definedName>
    <definedName name="SZFHDFHA" localSheetId="20">'[16]Вхідні дані'!#REF!</definedName>
    <definedName name="SZFHDFHA" localSheetId="5">'[16]Вхідні дані'!#REF!</definedName>
    <definedName name="SZFHDFHA" localSheetId="8">'[16]Вхідні дані'!#REF!</definedName>
    <definedName name="SZFHDFHA" localSheetId="23">'[16]Вхідні дані'!#REF!</definedName>
    <definedName name="SZFHDFHA" localSheetId="22">'[16]Вхідні дані'!#REF!</definedName>
    <definedName name="SZFHDFHA">'[16]Вхідні дані'!#REF!</definedName>
    <definedName name="t" hidden="1">{#N/A,#N/A,FALSE,"9PS0"}</definedName>
    <definedName name="tgfaf" localSheetId="5">#REF!</definedName>
    <definedName name="tgfaf" localSheetId="8">#REF!</definedName>
    <definedName name="tgfaf">#REF!</definedName>
    <definedName name="ver" hidden="1">{#N/A,#N/A,FALSE,"9PS0"}</definedName>
    <definedName name="voda100" localSheetId="20">[2]рік!#REF!</definedName>
    <definedName name="voda100" localSheetId="71">[3]рік!#REF!</definedName>
    <definedName name="voda100" localSheetId="5">[2]рік!#REF!</definedName>
    <definedName name="voda100" localSheetId="8">[2]рік!#REF!</definedName>
    <definedName name="voda100" localSheetId="23">[2]рік!#REF!</definedName>
    <definedName name="voda100" localSheetId="22">[2]рік!#REF!</definedName>
    <definedName name="voda100">[2]рік!#REF!</definedName>
    <definedName name="wrn.r1." hidden="1">{#N/A,#N/A,FALSE,"9PS0"}</definedName>
    <definedName name="xff1" localSheetId="20">#REF!</definedName>
    <definedName name="xff1" localSheetId="71">'[4]1_Структура по елементах'!#REF!</definedName>
    <definedName name="xff1" localSheetId="3">#REF!</definedName>
    <definedName name="xff1" localSheetId="5">#REF!</definedName>
    <definedName name="xff1" localSheetId="4">#REF!</definedName>
    <definedName name="xff1" localSheetId="8">#REF!</definedName>
    <definedName name="xff1" localSheetId="10">#REF!</definedName>
    <definedName name="xff1" localSheetId="23">#REF!</definedName>
    <definedName name="xff1" localSheetId="22">#REF!</definedName>
    <definedName name="xff1" localSheetId="19">'[5]1_Структура по елементах'!#REF!</definedName>
    <definedName name="xff1">#REF!</definedName>
    <definedName name="xgg" localSheetId="20">#REF!</definedName>
    <definedName name="xgg" localSheetId="71">'[4]1_Структура по елементах'!#REF!</definedName>
    <definedName name="xgg" localSheetId="3">#REF!</definedName>
    <definedName name="xgg" localSheetId="5">#REF!</definedName>
    <definedName name="xgg" localSheetId="4">#REF!</definedName>
    <definedName name="xgg" localSheetId="8">#REF!</definedName>
    <definedName name="xgg" localSheetId="10">#REF!</definedName>
    <definedName name="xgg" localSheetId="23">#REF!</definedName>
    <definedName name="xgg" localSheetId="22">#REF!</definedName>
    <definedName name="xgg" localSheetId="19">'[5]1_Структура по елементах'!#REF!</definedName>
    <definedName name="xgg">#REF!</definedName>
    <definedName name="xgg1" localSheetId="20">#REF!</definedName>
    <definedName name="xgg1" localSheetId="71">'[4]1_Структура по елементах'!#REF!</definedName>
    <definedName name="xgg1" localSheetId="3">#REF!</definedName>
    <definedName name="xgg1" localSheetId="5">#REF!</definedName>
    <definedName name="xgg1" localSheetId="4">#REF!</definedName>
    <definedName name="xgg1" localSheetId="8">#REF!</definedName>
    <definedName name="xgg1" localSheetId="10">#REF!</definedName>
    <definedName name="xgg1" localSheetId="23">#REF!</definedName>
    <definedName name="xgg1" localSheetId="22">#REF!</definedName>
    <definedName name="xgg1" localSheetId="19">'[5]1_Структура по елементах'!#REF!</definedName>
    <definedName name="xgg1">#REF!</definedName>
    <definedName name="xxx1" localSheetId="20">#REF!</definedName>
    <definedName name="xxx1" localSheetId="71">'[4]1_Структура по елементах'!#REF!</definedName>
    <definedName name="xxx1" localSheetId="3">#REF!</definedName>
    <definedName name="xxx1" localSheetId="5">#REF!</definedName>
    <definedName name="xxx1" localSheetId="4">#REF!</definedName>
    <definedName name="xxx1" localSheetId="8">#REF!</definedName>
    <definedName name="xxx1" localSheetId="10">#REF!</definedName>
    <definedName name="xxx1" localSheetId="23">#REF!</definedName>
    <definedName name="xxx1" localSheetId="22">#REF!</definedName>
    <definedName name="xxx1" localSheetId="19">'[5]1_Структура по елементах'!#REF!</definedName>
    <definedName name="xxx1">#REF!</definedName>
    <definedName name="Year" localSheetId="20">#REF!</definedName>
    <definedName name="Year" localSheetId="5">#REF!</definedName>
    <definedName name="Year" localSheetId="8">#REF!</definedName>
    <definedName name="Year" localSheetId="23">#REF!</definedName>
    <definedName name="Year" localSheetId="22">#REF!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20">#REF!</definedName>
    <definedName name="zzz1" localSheetId="71">'[4]1_Структура по елементах'!#REF!</definedName>
    <definedName name="zzz1" localSheetId="3">#REF!</definedName>
    <definedName name="zzz1" localSheetId="5">#REF!</definedName>
    <definedName name="zzz1" localSheetId="4">#REF!</definedName>
    <definedName name="zzz1" localSheetId="8">#REF!</definedName>
    <definedName name="zzz1" localSheetId="10">#REF!</definedName>
    <definedName name="zzz1" localSheetId="23">#REF!</definedName>
    <definedName name="zzz1" localSheetId="22">#REF!</definedName>
    <definedName name="zzz1" localSheetId="19">'[5]1_Структура по елементах'!#REF!</definedName>
    <definedName name="zzz1">#REF!</definedName>
    <definedName name="А1" localSheetId="20">#REF!</definedName>
    <definedName name="А1" localSheetId="5">#REF!</definedName>
    <definedName name="А1" localSheetId="8">#REF!</definedName>
    <definedName name="А1" localSheetId="23">#REF!</definedName>
    <definedName name="А1" localSheetId="22">#REF!</definedName>
    <definedName name="А1">#REF!</definedName>
    <definedName name="ааола" localSheetId="20">#REF!</definedName>
    <definedName name="ааола" localSheetId="5">#REF!</definedName>
    <definedName name="ааола" localSheetId="8">#REF!</definedName>
    <definedName name="ааола" localSheetId="23">#REF!</definedName>
    <definedName name="ааола" localSheetId="22">#REF!</definedName>
    <definedName name="ааола">#REF!</definedName>
    <definedName name="АвтоподборВС" localSheetId="20">#REF!</definedName>
    <definedName name="АвтоподборВС" localSheetId="3">#REF!</definedName>
    <definedName name="АвтоподборВС" localSheetId="5">#REF!</definedName>
    <definedName name="АвтоподборВС" localSheetId="4">#REF!</definedName>
    <definedName name="АвтоподборВС" localSheetId="8">#REF!</definedName>
    <definedName name="АвтоподборВС" localSheetId="10">#REF!</definedName>
    <definedName name="АвтоподборВС" localSheetId="23">#REF!</definedName>
    <definedName name="АвтоподборВС" localSheetId="22">#REF!</definedName>
    <definedName name="АвтоподборВС">#REF!</definedName>
    <definedName name="аеочапо" localSheetId="20">#REF!</definedName>
    <definedName name="аеочапо" localSheetId="5">#REF!</definedName>
    <definedName name="аеочапо" localSheetId="8">#REF!</definedName>
    <definedName name="аеочапо" localSheetId="23">#REF!</definedName>
    <definedName name="аеочапо" localSheetId="22">#REF!</definedName>
    <definedName name="аеочапо">#REF!</definedName>
    <definedName name="ап" localSheetId="20">#REF!</definedName>
    <definedName name="ап" localSheetId="5">#REF!</definedName>
    <definedName name="ап" localSheetId="8">#REF!</definedName>
    <definedName name="ап" localSheetId="23">#REF!</definedName>
    <definedName name="ап" localSheetId="22">#REF!</definedName>
    <definedName name="ап">#REF!</definedName>
    <definedName name="_xlnm.Database" localSheetId="20">#REF!</definedName>
    <definedName name="_xlnm.Database" localSheetId="5">#REF!</definedName>
    <definedName name="_xlnm.Database" localSheetId="8">#REF!</definedName>
    <definedName name="_xlnm.Database" localSheetId="23">#REF!</definedName>
    <definedName name="_xlnm.Database" localSheetId="22">#REF!</definedName>
    <definedName name="_xlnm.Database">#REF!</definedName>
    <definedName name="База_данных_ИМ" localSheetId="20">#REF!</definedName>
    <definedName name="База_данных_ИМ" localSheetId="5">#REF!</definedName>
    <definedName name="База_данных_ИМ" localSheetId="8">#REF!</definedName>
    <definedName name="База_данных_ИМ" localSheetId="23">#REF!</definedName>
    <definedName name="База_данных_ИМ" localSheetId="22">#REF!</definedName>
    <definedName name="База_данных_ИМ">#REF!</definedName>
    <definedName name="Баланс">[0]!Баланс</definedName>
    <definedName name="Безраб" localSheetId="20">#REF!</definedName>
    <definedName name="Безраб" localSheetId="5">#REF!</definedName>
    <definedName name="Безраб" localSheetId="8">#REF!</definedName>
    <definedName name="Безраб" localSheetId="23">#REF!</definedName>
    <definedName name="Безраб" localSheetId="22">#REF!</definedName>
    <definedName name="Безраб">#REF!</definedName>
    <definedName name="бер">'[18]812'!$P$1:$P$65536</definedName>
    <definedName name="БПн">[19]Ф2!$E$2</definedName>
    <definedName name="бюдж_п">[20]м_812!$I$1:$I$65536</definedName>
    <definedName name="Бюдж1" localSheetId="20">[2]рік!#REF!</definedName>
    <definedName name="Бюдж1" localSheetId="71">[3]рік!#REF!</definedName>
    <definedName name="Бюдж1" localSheetId="5">[2]рік!#REF!</definedName>
    <definedName name="Бюдж1" localSheetId="8">[2]рік!#REF!</definedName>
    <definedName name="Бюдж1" localSheetId="23">[2]рік!#REF!</definedName>
    <definedName name="Бюдж1" localSheetId="22">[2]рік!#REF!</definedName>
    <definedName name="Бюдж1">[2]рік!#REF!</definedName>
    <definedName name="Бюдж2" localSheetId="20">[2]рік!#REF!</definedName>
    <definedName name="Бюдж2" localSheetId="71">[3]рік!#REF!</definedName>
    <definedName name="Бюдж2" localSheetId="5">[2]рік!#REF!</definedName>
    <definedName name="Бюдж2" localSheetId="8">[2]рік!#REF!</definedName>
    <definedName name="Бюдж2" localSheetId="23">[2]рік!#REF!</definedName>
    <definedName name="Бюдж2" localSheetId="22">[2]рік!#REF!</definedName>
    <definedName name="Бюдж2">[2]рік!#REF!</definedName>
    <definedName name="вадлрфпвдаот" localSheetId="20">#REF!</definedName>
    <definedName name="вадлрфпвдаот" localSheetId="5">#REF!</definedName>
    <definedName name="вадлрфпвдаот" localSheetId="8">#REF!</definedName>
    <definedName name="вадлрфпвдаот" localSheetId="23">#REF!</definedName>
    <definedName name="вадлрфпвдаот" localSheetId="22">#REF!</definedName>
    <definedName name="вадлрфпвдаот">#REF!</definedName>
    <definedName name="ВДЛпрфюпод" localSheetId="20">'[16]Вхідні дані'!#REF!</definedName>
    <definedName name="ВДЛпрфюпод" localSheetId="5">'[16]Вхідні дані'!#REF!</definedName>
    <definedName name="ВДЛпрфюпод" localSheetId="8">'[16]Вхідні дані'!#REF!</definedName>
    <definedName name="ВДЛпрфюпод" localSheetId="23">'[16]Вхідні дані'!#REF!</definedName>
    <definedName name="ВДЛпрфюпод" localSheetId="22">'[16]Вхідні дані'!#REF!</definedName>
    <definedName name="ВДЛпрфюпод">'[16]Вхідні дані'!#REF!</definedName>
    <definedName name="вер">'[18]812'!$X$1:$X$65536</definedName>
    <definedName name="_xlnm.Extract" localSheetId="20">#REF!</definedName>
    <definedName name="_xlnm.Extract" localSheetId="5">#REF!</definedName>
    <definedName name="_xlnm.Extract" localSheetId="8">#REF!</definedName>
    <definedName name="_xlnm.Extract" localSheetId="23">#REF!</definedName>
    <definedName name="_xlnm.Extract" localSheetId="22">#REF!</definedName>
    <definedName name="_xlnm.Extract">#REF!</definedName>
    <definedName name="врівар" localSheetId="20">#REF!</definedName>
    <definedName name="врівар" localSheetId="5">#REF!</definedName>
    <definedName name="врівар" localSheetId="8">#REF!</definedName>
    <definedName name="врівар" localSheetId="23">#REF!</definedName>
    <definedName name="врівар" localSheetId="22">#REF!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20">#REF!</definedName>
    <definedName name="ВСЬОГО" localSheetId="5">#REF!</definedName>
    <definedName name="ВСЬОГО" localSheetId="8">#REF!</definedName>
    <definedName name="ВСЬОГО" localSheetId="23">#REF!</definedName>
    <definedName name="ВСЬОГО" localSheetId="22">#REF!</definedName>
    <definedName name="ВСЬОГО">#REF!</definedName>
    <definedName name="ВчерашнийДень">[0]!ВчерашнийДень</definedName>
    <definedName name="Г123" localSheetId="20">'[22]ВД (анал)'!#REF!</definedName>
    <definedName name="Г123" localSheetId="5">'[22]ВД (анал)'!#REF!</definedName>
    <definedName name="Г123" localSheetId="8">'[22]ВД (анал)'!#REF!</definedName>
    <definedName name="Г123" localSheetId="23">'[22]ВД (анал)'!#REF!</definedName>
    <definedName name="Г123" localSheetId="22">'[22]ВД (анал)'!#REF!</definedName>
    <definedName name="Г123">'[22]ВД (анал)'!#REF!</definedName>
    <definedName name="г154" localSheetId="20">#REF!</definedName>
    <definedName name="г154" localSheetId="5">#REF!</definedName>
    <definedName name="г154" localSheetId="8">#REF!</definedName>
    <definedName name="г154" localSheetId="23">#REF!</definedName>
    <definedName name="г154" localSheetId="22">#REF!</definedName>
    <definedName name="г154">#REF!</definedName>
    <definedName name="Год">'[23]Технич лист'!$F$2:$F$100</definedName>
    <definedName name="груд">'[18]812'!$AB$1:$AB$65536</definedName>
    <definedName name="ГРУДЕНЬ" hidden="1">{#N/A,#N/A,FALSE,"9PS0"}</definedName>
    <definedName name="Д" localSheetId="20">#REF!</definedName>
    <definedName name="Д" localSheetId="71">#REF!</definedName>
    <definedName name="Д" localSheetId="5">#REF!</definedName>
    <definedName name="Д" localSheetId="8">#REF!</definedName>
    <definedName name="Д" localSheetId="23">#REF!</definedName>
    <definedName name="Д" localSheetId="22">#REF!</definedName>
    <definedName name="Д">#REF!</definedName>
    <definedName name="ДДД" localSheetId="20">#REF!</definedName>
    <definedName name="ДДД" localSheetId="5">#REF!</definedName>
    <definedName name="ДДД" localSheetId="8">#REF!</definedName>
    <definedName name="ДДД" localSheetId="23">#REF!</definedName>
    <definedName name="ДДД" localSheetId="22">#REF!</definedName>
    <definedName name="ДДД">#REF!</definedName>
    <definedName name="ДепЕЗ" hidden="1">{#N/A,#N/A,FALSE,"9PS0"}</definedName>
    <definedName name="додаток" localSheetId="20">#REF!</definedName>
    <definedName name="додаток" localSheetId="5">#REF!</definedName>
    <definedName name="додаток" localSheetId="8">#REF!</definedName>
    <definedName name="додаток" localSheetId="23">#REF!</definedName>
    <definedName name="додаток" localSheetId="22">#REF!</definedName>
    <definedName name="додаток">#REF!</definedName>
    <definedName name="Доро" localSheetId="20">#REF!</definedName>
    <definedName name="Доро" localSheetId="5">#REF!</definedName>
    <definedName name="Доро" localSheetId="8">#REF!</definedName>
    <definedName name="Доро" localSheetId="23">#REF!</definedName>
    <definedName name="Доро" localSheetId="22">#REF!</definedName>
    <definedName name="Доро">#REF!</definedName>
    <definedName name="дохпожу" localSheetId="20">#REF!</definedName>
    <definedName name="дохпожу" localSheetId="5">#REF!</definedName>
    <definedName name="дохпожу" localSheetId="8">#REF!</definedName>
    <definedName name="дохпожу" localSheetId="23">#REF!</definedName>
    <definedName name="дохпожу" localSheetId="22">#REF!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20">#REF!</definedName>
    <definedName name="жвалдофрждвао" localSheetId="5">#REF!</definedName>
    <definedName name="жвалдофрждвао" localSheetId="8">#REF!</definedName>
    <definedName name="жвалдофрждвао" localSheetId="23">#REF!</definedName>
    <definedName name="жвалдофрждвао" localSheetId="22">#REF!</definedName>
    <definedName name="жвалдофрждвао">#REF!</definedName>
    <definedName name="жжж" localSheetId="20">#REF!</definedName>
    <definedName name="жжж" localSheetId="5">#REF!</definedName>
    <definedName name="жжж" localSheetId="8">#REF!</definedName>
    <definedName name="жжж" localSheetId="23">#REF!</definedName>
    <definedName name="жжж" localSheetId="22">#REF!</definedName>
    <definedName name="жжж">#REF!</definedName>
    <definedName name="жовт">'[18]812'!$Z$1:$Z$65536</definedName>
    <definedName name="жовтень" hidden="1">{#N/A,#N/A,FALSE,"9PS0"}</definedName>
    <definedName name="_xlnm.Print_Titles" localSheetId="24">Адміністративні_1ст!$6:$7</definedName>
    <definedName name="_xlnm.Print_Titles" localSheetId="13">'Д 10'!$11:$11</definedName>
    <definedName name="_xlnm.Print_Titles" localSheetId="15">'Д 13_12'!$13:$13</definedName>
    <definedName name="_xlnm.Print_Titles" localSheetId="3">'Д 2_Т на В'!$11:$11</definedName>
    <definedName name="_xlnm.Print_Titles" localSheetId="5">'Д 3.1_Т на Т без ЦТП'!$10:$10</definedName>
    <definedName name="_xlnm.Print_Titles" localSheetId="4">'Д 3_Т на Т з ЦТП'!$10:$10</definedName>
    <definedName name="_xlnm.Print_Titles" localSheetId="7">'Д 5 Т на ТЕ з ЦТП'!$8:$8</definedName>
    <definedName name="_xlnm.Print_Titles" localSheetId="8">'Д 5.1 Т на ТЕ без ЦТП'!$11:$11</definedName>
    <definedName name="_xlnm.Print_Titles" localSheetId="23">ЗВВ_1ст!$6:$7</definedName>
    <definedName name="_xlnm.Print_Titles" localSheetId="41">ОП!$48:$48</definedName>
    <definedName name="_xlnm.Print_Titles" localSheetId="32">'Рішення 3Д'!$11:$11</definedName>
    <definedName name="_xlnm.Print_Titles" localSheetId="33">'Рішення 4Д'!$11:$11</definedName>
    <definedName name="_xlnm.Print_Titles" localSheetId="34">'Рішення 5Д'!$9:$9</definedName>
    <definedName name="_xlnm.Print_Titles" localSheetId="35">'Рішення 6Д'!$9:$9</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20">#REF!</definedName>
    <definedName name="ЗведКоштор1КВбезСЗ" localSheetId="5">#REF!</definedName>
    <definedName name="ЗведКоштор1КВбезСЗ" localSheetId="8">#REF!</definedName>
    <definedName name="ЗведКоштор1КВбезСЗ" localSheetId="23">#REF!</definedName>
    <definedName name="ЗведКоштор1КВбезСЗ" localSheetId="22">#REF!</definedName>
    <definedName name="ЗведКоштор1КВбезСЗ">#REF!</definedName>
    <definedName name="ЗЗЗ" localSheetId="20">#REF!</definedName>
    <definedName name="ЗЗЗ" localSheetId="5">#REF!</definedName>
    <definedName name="ЗЗЗ" localSheetId="8">#REF!</definedName>
    <definedName name="ЗЗЗ" localSheetId="23">#REF!</definedName>
    <definedName name="ЗЗЗ" localSheetId="22">#REF!</definedName>
    <definedName name="ЗЗЗ">#REF!</definedName>
    <definedName name="иваиява" localSheetId="20">'[26]Вхідні дані'!#REF!</definedName>
    <definedName name="иваиява" localSheetId="5">'[26]Вхідні дані'!#REF!</definedName>
    <definedName name="иваиява" localSheetId="8">'[26]Вхідні дані'!#REF!</definedName>
    <definedName name="иваиява" localSheetId="23">'[26]Вхідні дані'!#REF!</definedName>
    <definedName name="иваиява" localSheetId="22">'[26]Вхідні дані'!#REF!</definedName>
    <definedName name="иваиява">'[26]Вхідні дані'!#REF!</definedName>
    <definedName name="Извлечение_ИМ" localSheetId="20">#REF!</definedName>
    <definedName name="Извлечение_ИМ" localSheetId="5">#REF!</definedName>
    <definedName name="Извлечение_ИМ" localSheetId="8">#REF!</definedName>
    <definedName name="Извлечение_ИМ" localSheetId="23">#REF!</definedName>
    <definedName name="Извлечение_ИМ" localSheetId="22">#REF!</definedName>
    <definedName name="Извлечение_ИМ">#REF!</definedName>
    <definedName name="Инно" localSheetId="20">#REF!</definedName>
    <definedName name="Инно" localSheetId="5">#REF!</definedName>
    <definedName name="Инно" localSheetId="8">#REF!</definedName>
    <definedName name="Инно" localSheetId="23">#REF!</definedName>
    <definedName name="Инно" localSheetId="22">#REF!</definedName>
    <definedName name="Инно">#REF!</definedName>
    <definedName name="ИсключитьПраздник">[0]!ИсключитьПраздник</definedName>
    <definedName name="іва" localSheetId="20">#REF!</definedName>
    <definedName name="іва" localSheetId="5">#REF!</definedName>
    <definedName name="іва" localSheetId="8">#REF!</definedName>
    <definedName name="іва" localSheetId="23">#REF!</definedName>
    <definedName name="іва" localSheetId="22">#REF!</definedName>
    <definedName name="іва">#REF!</definedName>
    <definedName name="іваіф" localSheetId="20">#REF!</definedName>
    <definedName name="іваіф" localSheetId="5">#REF!</definedName>
    <definedName name="іваіф" localSheetId="8">#REF!</definedName>
    <definedName name="іваіф" localSheetId="23">#REF!</definedName>
    <definedName name="іваіф" localSheetId="22">#REF!</definedName>
    <definedName name="іваіф">#REF!</definedName>
    <definedName name="івп" localSheetId="20">#REF!</definedName>
    <definedName name="івп" localSheetId="5">#REF!</definedName>
    <definedName name="івп" localSheetId="8">#REF!</definedName>
    <definedName name="івп" localSheetId="23">#REF!</definedName>
    <definedName name="івп" localSheetId="22">#REF!</definedName>
    <definedName name="івп">#REF!</definedName>
    <definedName name="Інші1" localSheetId="20">[2]рік!#REF!</definedName>
    <definedName name="Інші1" localSheetId="71">[3]рік!#REF!</definedName>
    <definedName name="Інші1" localSheetId="5">[2]рік!#REF!</definedName>
    <definedName name="Інші1" localSheetId="8">[2]рік!#REF!</definedName>
    <definedName name="Інші1" localSheetId="23">[2]рік!#REF!</definedName>
    <definedName name="Інші1" localSheetId="22">[2]рік!#REF!</definedName>
    <definedName name="Інші1">[2]рік!#REF!</definedName>
    <definedName name="Інші2" localSheetId="20">[2]рік!#REF!</definedName>
    <definedName name="Інші2" localSheetId="71">[3]рік!#REF!</definedName>
    <definedName name="Інші2" localSheetId="5">[2]рік!#REF!</definedName>
    <definedName name="Інші2" localSheetId="8">[2]рік!#REF!</definedName>
    <definedName name="Інші2" localSheetId="23">[2]рік!#REF!</definedName>
    <definedName name="Інші2" localSheetId="22">[2]рік!#REF!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20">#REF!</definedName>
    <definedName name="ккк" localSheetId="3">#REF!</definedName>
    <definedName name="ккк" localSheetId="5">#REF!</definedName>
    <definedName name="ккк" localSheetId="4">#REF!</definedName>
    <definedName name="ккк" localSheetId="8">#REF!</definedName>
    <definedName name="ккк" localSheetId="10">#REF!</definedName>
    <definedName name="ккк" localSheetId="23">#REF!</definedName>
    <definedName name="ккк" localSheetId="22">#REF!</definedName>
    <definedName name="ккк">#REF!</definedName>
    <definedName name="клімат1" localSheetId="20">[2]рік!#REF!</definedName>
    <definedName name="клімат1" localSheetId="71">[3]рік!#REF!</definedName>
    <definedName name="клімат1" localSheetId="5">[2]рік!#REF!</definedName>
    <definedName name="клімат1" localSheetId="8">[2]рік!#REF!</definedName>
    <definedName name="клімат1" localSheetId="23">[2]рік!#REF!</definedName>
    <definedName name="клімат1" localSheetId="22">[2]рік!#REF!</definedName>
    <definedName name="клімат1">[2]рік!#REF!</definedName>
    <definedName name="клімат2" localSheetId="20">[2]рік!#REF!</definedName>
    <definedName name="клімат2" localSheetId="71">[3]рік!#REF!</definedName>
    <definedName name="клімат2" localSheetId="5">[2]рік!#REF!</definedName>
    <definedName name="клімат2" localSheetId="8">[2]рік!#REF!</definedName>
    <definedName name="клімат2" localSheetId="23">[2]рік!#REF!</definedName>
    <definedName name="клімат2" localSheetId="22">[2]рік!#REF!</definedName>
    <definedName name="клімат2">[2]рік!#REF!</definedName>
    <definedName name="клімат3" localSheetId="20">[2]рік!#REF!</definedName>
    <definedName name="клімат3" localSheetId="71">[3]рік!#REF!</definedName>
    <definedName name="клімат3" localSheetId="5">[2]рік!#REF!</definedName>
    <definedName name="клімат3" localSheetId="8">[2]рік!#REF!</definedName>
    <definedName name="клімат3" localSheetId="23">[2]рік!#REF!</definedName>
    <definedName name="клімат3" localSheetId="22">[2]рік!#REF!</definedName>
    <definedName name="клімат3">[2]рік!#REF!</definedName>
    <definedName name="КМКП_НАСЕЛЕННЯ" localSheetId="20">#REF!</definedName>
    <definedName name="КМКП_НАСЕЛЕННЯ" localSheetId="5">#REF!</definedName>
    <definedName name="КМКП_НАСЕЛЕННЯ" localSheetId="8">#REF!</definedName>
    <definedName name="КМКП_НАСЕЛЕННЯ" localSheetId="23">#REF!</definedName>
    <definedName name="КМКП_НАСЕЛЕННЯ" localSheetId="22">#REF!</definedName>
    <definedName name="КМКП_НАСЕЛЕННЯ">#REF!</definedName>
    <definedName name="копия">[19]Ф2!$E$2</definedName>
    <definedName name="Критерии_ИМ" localSheetId="20">#REF!</definedName>
    <definedName name="Критерии_ИМ" localSheetId="5">#REF!</definedName>
    <definedName name="Критерии_ИМ" localSheetId="8">#REF!</definedName>
    <definedName name="Критерии_ИМ" localSheetId="23">#REF!</definedName>
    <definedName name="Критерии_ИМ" localSheetId="22">#REF!</definedName>
    <definedName name="Критерии_ИМ">#REF!</definedName>
    <definedName name="КТМ1" localSheetId="20">[2]рік!#REF!</definedName>
    <definedName name="КТМ1" localSheetId="71">[3]рік!#REF!</definedName>
    <definedName name="КТМ1" localSheetId="5">[2]рік!#REF!</definedName>
    <definedName name="КТМ1" localSheetId="8">[2]рік!#REF!</definedName>
    <definedName name="КТМ1" localSheetId="23">[2]рік!#REF!</definedName>
    <definedName name="КТМ1" localSheetId="22">[2]рік!#REF!</definedName>
    <definedName name="КТМ1">[2]рік!#REF!</definedName>
    <definedName name="КТМ2" localSheetId="20">[2]рік!#REF!</definedName>
    <definedName name="КТМ2" localSheetId="71">[3]рік!#REF!</definedName>
    <definedName name="КТМ2" localSheetId="5">[2]рік!#REF!</definedName>
    <definedName name="КТМ2" localSheetId="8">[2]рік!#REF!</definedName>
    <definedName name="КТМ2" localSheetId="23">[2]рік!#REF!</definedName>
    <definedName name="КТМ2" localSheetId="22">[2]рік!#REF!</definedName>
    <definedName name="КТМ2">[2]рік!#REF!</definedName>
    <definedName name="КТМ3" localSheetId="20">[2]рік!#REF!</definedName>
    <definedName name="КТМ3" localSheetId="71">[3]рік!#REF!</definedName>
    <definedName name="КТМ3" localSheetId="5">[2]рік!#REF!</definedName>
    <definedName name="КТМ3" localSheetId="8">[2]рік!#REF!</definedName>
    <definedName name="КТМ3" localSheetId="23">[2]рік!#REF!</definedName>
    <definedName name="КТМ3" localSheetId="22">[2]рік!#REF!</definedName>
    <definedName name="КТМ3">[2]рік!#REF!</definedName>
    <definedName name="кфк" localSheetId="20">#REF!</definedName>
    <definedName name="кфк" localSheetId="5">#REF!</definedName>
    <definedName name="кфк" localSheetId="8">#REF!</definedName>
    <definedName name="кфк" localSheetId="23">#REF!</definedName>
    <definedName name="кфк" localSheetId="22">#REF!</definedName>
    <definedName name="кфк">#REF!</definedName>
    <definedName name="лип">'[18]812'!$V$1:$V$65536</definedName>
    <definedName name="лист">'[18]812'!$AA$1:$AA$65536</definedName>
    <definedName name="Лист2" localSheetId="20">#REF!</definedName>
    <definedName name="Лист2" localSheetId="5">#REF!</definedName>
    <definedName name="Лист2" localSheetId="8">#REF!</definedName>
    <definedName name="Лист2" localSheetId="23">#REF!</definedName>
    <definedName name="Лист2" localSheetId="22">#REF!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20">#REF!</definedName>
    <definedName name="Накоп" localSheetId="5">#REF!</definedName>
    <definedName name="Накоп" localSheetId="8">#REF!</definedName>
    <definedName name="Накоп" localSheetId="23">#REF!</definedName>
    <definedName name="Накоп" localSheetId="22">#REF!</definedName>
    <definedName name="Накоп">#REF!</definedName>
    <definedName name="НАСЕЛЕННЯ" localSheetId="20">#REF!</definedName>
    <definedName name="НАСЕЛЕННЯ" localSheetId="5">#REF!</definedName>
    <definedName name="НАСЕЛЕННЯ" localSheetId="8">#REF!</definedName>
    <definedName name="НАСЕЛЕННЯ" localSheetId="23">#REF!</definedName>
    <definedName name="НАСЕЛЕННЯ" localSheetId="22">#REF!</definedName>
    <definedName name="НАСЕЛЕННЯ">#REF!</definedName>
    <definedName name="НДС" localSheetId="20">#REF!</definedName>
    <definedName name="НДС" localSheetId="5">#REF!</definedName>
    <definedName name="НДС" localSheetId="8">#REF!</definedName>
    <definedName name="НДС" localSheetId="23">#REF!</definedName>
    <definedName name="НДС" localSheetId="22">#REF!</definedName>
    <definedName name="НДС">#REF!</definedName>
    <definedName name="_xlnm.Print_Area" localSheetId="24">Адміністративні_1ст!$A$1:$M$76</definedName>
    <definedName name="_xlnm.Print_Area" localSheetId="43">Амортизація!$A$112:$D$126</definedName>
    <definedName name="_xlnm.Print_Area" localSheetId="25">'БАЗИ РОЗПОДІЛУ'!$B$1:$M$28</definedName>
    <definedName name="_xlnm.Print_Area" localSheetId="20">Виробництво_Транспортування_1ст!$B$2:$L$171</definedName>
    <definedName name="_xlnm.Print_Area" localSheetId="71">ВОДА!$A$3:$W$110</definedName>
    <definedName name="_xlnm.Print_Area" localSheetId="0">'Вхідні дані'!$B$2:$F$77</definedName>
    <definedName name="_xlnm.Print_Area" localSheetId="1">'Д 1_Заява'!$A$1:$B$42</definedName>
    <definedName name="_xlnm.Print_Area" localSheetId="13">'Д 10'!$A$1:$G$130</definedName>
    <definedName name="_xlnm.Print_Area" localSheetId="15">'Д 13_12'!$A$1:$N$46</definedName>
    <definedName name="_xlnm.Print_Area" localSheetId="3">'Д 2_Т на В'!$B$1:$X$71</definedName>
    <definedName name="_xlnm.Print_Area" localSheetId="5">'Д 3.1_Т на Т без ЦТП'!$A$1:$K$69</definedName>
    <definedName name="_xlnm.Print_Area" localSheetId="4">'Д 3_Т на Т з ЦТП'!$A$1:$K$69</definedName>
    <definedName name="_xlnm.Print_Area" localSheetId="6">'Д 4_Т на П'!$A$1:$G$55</definedName>
    <definedName name="_xlnm.Print_Area" localSheetId="7">'Д 5 Т на ТЕ з ЦТП'!$A$1:$H$48</definedName>
    <definedName name="_xlnm.Print_Area" localSheetId="8">'Д 5.1 Т на ТЕ без ЦТП'!$A$1:$H$59</definedName>
    <definedName name="_xlnm.Print_Area" localSheetId="9">'Д 6_Втрати'!$A:$F</definedName>
    <definedName name="_xlnm.Print_Area" localSheetId="10">'Д 7_РП'!$B$1:$S$154</definedName>
    <definedName name="_xlnm.Print_Area" localSheetId="11">'Д 8_Паливо'!$A$1:$I$58</definedName>
    <definedName name="_xlnm.Print_Area" localSheetId="12">'Д 9_ЕЕ'!$B$1:$P$89</definedName>
    <definedName name="_xlnm.Print_Area" localSheetId="74">'Додаток 1 до рішення'!$A$1:$G$51</definedName>
    <definedName name="_xlnm.Print_Area" localSheetId="80">'Додаток 10 до рішення'!$B$1:$F$23</definedName>
    <definedName name="_xlnm.Print_Area" localSheetId="81">'Додаток 11 до рішення'!$B$1:$F$27</definedName>
    <definedName name="_xlnm.Print_Area" localSheetId="75">'Додаток 2 до рішення'!$A$1:$G$50</definedName>
    <definedName name="_xlnm.Print_Area" localSheetId="76">'Додаток 3 до рішення'!$A$1:$G$43</definedName>
    <definedName name="_xlnm.Print_Area" localSheetId="77">'Додаток 4 до рішення'!$A$1:$G$44</definedName>
    <definedName name="_xlnm.Print_Area" localSheetId="78">'Додаток 5 до рішення'!$A$1:$G$44</definedName>
    <definedName name="_xlnm.Print_Area" localSheetId="79">'Додаток 6 до рішення'!$A$1:$G$39</definedName>
    <definedName name="_xlnm.Print_Area" localSheetId="82">'ДОДАТОК 7 до рішення'!$A$1:$F$21</definedName>
    <definedName name="_xlnm.Print_Area" localSheetId="83">'Додаток 8 до рішення'!$B$1:$F$124</definedName>
    <definedName name="_xlnm.Print_Area" localSheetId="23">ЗВВ_1ст!$B$1:$N$75</definedName>
    <definedName name="_xlnm.Print_Area" localSheetId="39">'Зв''язок'!$B$1:$M$66</definedName>
    <definedName name="_xlnm.Print_Area" localSheetId="67">Картріджі!$B$50:$E$67</definedName>
    <definedName name="_xlnm.Print_Area" localSheetId="41">ОП!$B$128:$S$161</definedName>
    <definedName name="_xlnm.Print_Area" localSheetId="47">'Періодичні видання'!$A$1:$I$28</definedName>
    <definedName name="_xlnm.Print_Area" localSheetId="40">ПММ!$A$1:$P$25</definedName>
    <definedName name="_xlnm.Print_Area" localSheetId="27">'Покриття втрат в мережах'!$A$1:$L$40</definedName>
    <definedName name="_xlnm.Print_Area" localSheetId="38">'Порівняння структур'!$A$1:$J$72</definedName>
    <definedName name="_xlnm.Print_Area" localSheetId="22">Постачання_1ст!$B$1:$J$68</definedName>
    <definedName name="_xlnm.Print_Area" localSheetId="66">Профпослуги!$B$3:$H$33</definedName>
    <definedName name="_xlnm.Print_Area" localSheetId="29">распределение!$A$1:$K$16</definedName>
    <definedName name="_xlnm.Print_Area" localSheetId="65">Ремонт!$B$1:$Q$20</definedName>
    <definedName name="_xlnm.Print_Area" localSheetId="32">'Рішення 3Д'!$A$1:$G$135</definedName>
    <definedName name="_xlnm.Print_Area" localSheetId="33">'Рішення 4Д'!$A$1:$G$135</definedName>
    <definedName name="_xlnm.Print_Area" localSheetId="34">'Рішення 5Д'!$A$1:$E$39</definedName>
    <definedName name="_xlnm.Print_Area" localSheetId="35">'Рішення 6Д'!$B$1:$F$48</definedName>
    <definedName name="_xlnm.Print_Area" localSheetId="18">'Розрахунки Річного плану'!$A$1:$O$216</definedName>
    <definedName name="_xlnm.Print_Area" localSheetId="55">сведено!$A$167:$H$217</definedName>
    <definedName name="_xlnm.Print_Area" localSheetId="54">СВЕДЕНО_И!$A$3:$H$32</definedName>
    <definedName name="_xlnm.Print_Area" localSheetId="57">'структури %'!$A$1:$J$17</definedName>
    <definedName name="_xlnm.Print_Area" localSheetId="26">ТЕ_1ст_вих!$A$1:$I$83</definedName>
    <definedName name="_xlnm.Print_Area" localSheetId="73">'Техконтроль ТЗ'!$B$3:$I$49</definedName>
    <definedName name="_xlnm.Print_Area" localSheetId="72">'ТО ТЗ'!$B$1:$I$45</definedName>
    <definedName name="_xlnm.Print_Area" localSheetId="44">Утилизація!$B$3:$G$27</definedName>
    <definedName name="_xlnm.Print_Area" localSheetId="42">ФОП!$A$1:$H$61</definedName>
    <definedName name="_xlnm.Print_Area" localSheetId="68">'Ціна ее'!$A$1:$G$22</definedName>
    <definedName name="облік" localSheetId="24">[29]скрыть!$D$4:$D$6</definedName>
    <definedName name="облік" localSheetId="20">[29]скрыть!$D$4:$D$6</definedName>
    <definedName name="облік" localSheetId="23">[29]скрыть!$D$4:$D$6</definedName>
    <definedName name="облік" localSheetId="22">[29]скрыть!$D$4:$D$6</definedName>
    <definedName name="облік" localSheetId="19">[30]скрыть!$D$4:$D$6</definedName>
    <definedName name="облік">[31]скрыть!$D$4:$D$6</definedName>
    <definedName name="облікГВП" localSheetId="24">[29]скрыть!$G$4:$G$6</definedName>
    <definedName name="облікГВП" localSheetId="20">[29]скрыть!$G$4:$G$6</definedName>
    <definedName name="облікГВП" localSheetId="23">[29]скрыть!$G$4:$G$6</definedName>
    <definedName name="облікГВП" localSheetId="22">[29]скрыть!$G$4:$G$6</definedName>
    <definedName name="облікГВП" localSheetId="19">[30]скрыть!$G$4:$G$6</definedName>
    <definedName name="облікГВП">[31]скрыть!$G$4:$G$6</definedName>
    <definedName name="Од" localSheetId="20">#REF!</definedName>
    <definedName name="Од" localSheetId="3">#REF!</definedName>
    <definedName name="Од" localSheetId="5">#REF!</definedName>
    <definedName name="Од" localSheetId="4">#REF!</definedName>
    <definedName name="Од" localSheetId="8">#REF!</definedName>
    <definedName name="Од" localSheetId="10">#REF!</definedName>
    <definedName name="Од" localSheetId="23">#REF!</definedName>
    <definedName name="Од" localSheetId="22">#REF!</definedName>
    <definedName name="Од">#REF!</definedName>
    <definedName name="Од_Б" localSheetId="20">#REF!</definedName>
    <definedName name="Од_Б" localSheetId="3">#REF!</definedName>
    <definedName name="Од_Б" localSheetId="5">#REF!</definedName>
    <definedName name="Од_Б" localSheetId="4">#REF!</definedName>
    <definedName name="Од_Б" localSheetId="8">#REF!</definedName>
    <definedName name="Од_Б" localSheetId="10">#REF!</definedName>
    <definedName name="Од_Б" localSheetId="23">#REF!</definedName>
    <definedName name="Од_Б" localSheetId="22">#REF!</definedName>
    <definedName name="Од_Б">#REF!</definedName>
    <definedName name="Од_БI" localSheetId="20">#REF!</definedName>
    <definedName name="Од_БI" localSheetId="3">#REF!</definedName>
    <definedName name="Од_БI" localSheetId="5">#REF!</definedName>
    <definedName name="Од_БI" localSheetId="4">#REF!</definedName>
    <definedName name="Од_БI" localSheetId="8">#REF!</definedName>
    <definedName name="Од_БI" localSheetId="10">#REF!</definedName>
    <definedName name="Од_БI" localSheetId="23">#REF!</definedName>
    <definedName name="Од_БI" localSheetId="22">#REF!</definedName>
    <definedName name="Од_БI">#REF!</definedName>
    <definedName name="Од_І" localSheetId="20">#REF!</definedName>
    <definedName name="Од_І" localSheetId="3">#REF!</definedName>
    <definedName name="Од_І" localSheetId="5">#REF!</definedName>
    <definedName name="Од_І" localSheetId="4">#REF!</definedName>
    <definedName name="Од_І" localSheetId="8">#REF!</definedName>
    <definedName name="Од_І" localSheetId="10">#REF!</definedName>
    <definedName name="Од_І" localSheetId="23">#REF!</definedName>
    <definedName name="Од_І" localSheetId="22">#REF!</definedName>
    <definedName name="Од_І">#REF!</definedName>
    <definedName name="Од_Н" localSheetId="20">#REF!</definedName>
    <definedName name="Од_Н" localSheetId="3">#REF!</definedName>
    <definedName name="Од_Н" localSheetId="5">#REF!</definedName>
    <definedName name="Од_Н" localSheetId="4">#REF!</definedName>
    <definedName name="Од_Н" localSheetId="8">#REF!</definedName>
    <definedName name="Од_Н" localSheetId="10">#REF!</definedName>
    <definedName name="Од_Н" localSheetId="23">#REF!</definedName>
    <definedName name="Од_Н" localSheetId="22">#REF!</definedName>
    <definedName name="Од_Н">#REF!</definedName>
    <definedName name="ооо" localSheetId="20">'[26]Вхідні дані'!#REF!</definedName>
    <definedName name="ооо" localSheetId="5">'[26]Вхідні дані'!#REF!</definedName>
    <definedName name="ооо" localSheetId="8">'[26]Вхідні дані'!#REF!</definedName>
    <definedName name="ооо" localSheetId="23">'[26]Вхідні дані'!#REF!</definedName>
    <definedName name="ооо" localSheetId="22">'[26]Вхідні дані'!#REF!</definedName>
    <definedName name="ооо">'[26]Вхідні дані'!#REF!</definedName>
    <definedName name="отклонение" localSheetId="20">#REF!</definedName>
    <definedName name="отклонение" localSheetId="5">#REF!</definedName>
    <definedName name="отклонение" localSheetId="8">#REF!</definedName>
    <definedName name="отклонение" localSheetId="23">#REF!</definedName>
    <definedName name="отклонение" localSheetId="40">'[32]Вхідні дані'!#REF!</definedName>
    <definedName name="отклонение" localSheetId="22">#REF!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20">'[33]Вхідні дані'!#REF!</definedName>
    <definedName name="отклонение_2" localSheetId="5">'[33]Вхідні дані'!#REF!</definedName>
    <definedName name="отклонение_2" localSheetId="8">'[33]Вхідні дані'!#REF!</definedName>
    <definedName name="отклонение_2" localSheetId="23">'[33]Вхідні дані'!#REF!</definedName>
    <definedName name="отклонение_2" localSheetId="22">'[33]Вхідні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20">#REF!</definedName>
    <definedName name="Отсорт_Д_СВ" localSheetId="3">#REF!</definedName>
    <definedName name="Отсорт_Д_СВ" localSheetId="5">#REF!</definedName>
    <definedName name="Отсорт_Д_СВ" localSheetId="4">#REF!</definedName>
    <definedName name="Отсорт_Д_СВ" localSheetId="8">#REF!</definedName>
    <definedName name="Отсорт_Д_СВ" localSheetId="10">#REF!</definedName>
    <definedName name="Отсорт_Д_СВ" localSheetId="23">#REF!</definedName>
    <definedName name="Отсорт_Д_СВ" localSheetId="22">#REF!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20">#REF!</definedName>
    <definedName name="пдв" localSheetId="5">#REF!</definedName>
    <definedName name="пдв" localSheetId="8">#REF!</definedName>
    <definedName name="пдв" localSheetId="23">#REF!</definedName>
    <definedName name="пдв" localSheetId="40">'[32]Вхідні дані'!#REF!</definedName>
    <definedName name="пдв" localSheetId="22">#REF!</definedName>
    <definedName name="пдв">#REF!</definedName>
    <definedName name="пдв_15">"$#ССЫЛ!.$#ССЫЛ!$#ССЫЛ!"</definedName>
    <definedName name="пдв_18">NA()</definedName>
    <definedName name="пдв_18_15">NA()</definedName>
    <definedName name="пдв_2" localSheetId="20">'[33]Вхідні дані'!#REF!</definedName>
    <definedName name="пдв_2" localSheetId="5">'[33]Вхідні дані'!#REF!</definedName>
    <definedName name="пдв_2" localSheetId="8">'[33]Вхідні дані'!#REF!</definedName>
    <definedName name="пдв_2" localSheetId="23">'[33]Вхідні дані'!#REF!</definedName>
    <definedName name="пдв_2" localSheetId="22">'[33]Вхідні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20">#REF!</definedName>
    <definedName name="Пенс" localSheetId="5">#REF!</definedName>
    <definedName name="Пенс" localSheetId="8">#REF!</definedName>
    <definedName name="Пенс" localSheetId="23">#REF!</definedName>
    <definedName name="Пенс" localSheetId="22">#REF!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4">[29]скрыть!$B$4:$B$9</definedName>
    <definedName name="поверхи" localSheetId="20">[29]скрыть!$B$4:$B$9</definedName>
    <definedName name="поверхи" localSheetId="23">[29]скрыть!$B$4:$B$9</definedName>
    <definedName name="поверхи" localSheetId="22">[29]скрыть!$B$4:$B$9</definedName>
    <definedName name="поверхи" localSheetId="19">[30]скрыть!$B$4:$B$9</definedName>
    <definedName name="поверхи">[31]скрыть!$B$4:$B$9</definedName>
    <definedName name="ппп" localSheetId="20">#REF!</definedName>
    <definedName name="ппп" localSheetId="3">#REF!</definedName>
    <definedName name="ппп" localSheetId="5">#REF!</definedName>
    <definedName name="ппп" localSheetId="4">#REF!</definedName>
    <definedName name="ппп" localSheetId="8">#REF!</definedName>
    <definedName name="ппп" localSheetId="10">#REF!</definedName>
    <definedName name="ппп" localSheetId="23">#REF!</definedName>
    <definedName name="ппп" localSheetId="22">#REF!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20">#REF!</definedName>
    <definedName name="проь" localSheetId="5">#REF!</definedName>
    <definedName name="проь" localSheetId="8">#REF!</definedName>
    <definedName name="проь" localSheetId="23">#REF!</definedName>
    <definedName name="проь" localSheetId="22">#REF!</definedName>
    <definedName name="проь">#REF!</definedName>
    <definedName name="РЕГ" localSheetId="20">#REF!</definedName>
    <definedName name="РЕГ" localSheetId="3">#REF!</definedName>
    <definedName name="РЕГ" localSheetId="5">#REF!</definedName>
    <definedName name="РЕГ" localSheetId="4">#REF!</definedName>
    <definedName name="РЕГ" localSheetId="8">#REF!</definedName>
    <definedName name="РЕГ" localSheetId="10">#REF!</definedName>
    <definedName name="РЕГ" localSheetId="23">#REF!</definedName>
    <definedName name="РЕГ" localSheetId="22">#REF!</definedName>
    <definedName name="РЕГ">#REF!</definedName>
    <definedName name="Регіон" localSheetId="20">#REF!</definedName>
    <definedName name="Регіон" localSheetId="3">#REF!</definedName>
    <definedName name="Регіон" localSheetId="5">#REF!</definedName>
    <definedName name="Регіон" localSheetId="4">#REF!</definedName>
    <definedName name="Регіон" localSheetId="8">#REF!</definedName>
    <definedName name="Регіон" localSheetId="10">#REF!</definedName>
    <definedName name="Регіон" localSheetId="23">#REF!</definedName>
    <definedName name="Регіон" localSheetId="22">#REF!</definedName>
    <definedName name="Регіон">#REF!</definedName>
    <definedName name="рік" hidden="1">{#N/A,#N/A,FALSE,"9PS0"}</definedName>
    <definedName name="рое" hidden="1">{#N/A,#N/A,FALSE,"9PS0"}</definedName>
    <definedName name="Розр1" localSheetId="20">[2]рік!#REF!</definedName>
    <definedName name="Розр1" localSheetId="71">[3]рік!#REF!</definedName>
    <definedName name="Розр1" localSheetId="5">[2]рік!#REF!</definedName>
    <definedName name="Розр1" localSheetId="8">[2]рік!#REF!</definedName>
    <definedName name="Розр1" localSheetId="23">[2]рік!#REF!</definedName>
    <definedName name="Розр1" localSheetId="22">[2]рік!#REF!</definedName>
    <definedName name="Розр1">[2]рік!#REF!</definedName>
    <definedName name="Розр2" localSheetId="20">[2]рік!#REF!</definedName>
    <definedName name="Розр2" localSheetId="71">[3]рік!#REF!</definedName>
    <definedName name="Розр2" localSheetId="5">[2]рік!#REF!</definedName>
    <definedName name="Розр2" localSheetId="8">[2]рік!#REF!</definedName>
    <definedName name="Розр2" localSheetId="23">[2]рік!#REF!</definedName>
    <definedName name="Розр2" localSheetId="22">[2]рік!#REF!</definedName>
    <definedName name="Розр2">[2]рік!#REF!</definedName>
    <definedName name="Розр3" localSheetId="20">[2]рік!#REF!</definedName>
    <definedName name="Розр3" localSheetId="71">[3]рік!#REF!</definedName>
    <definedName name="Розр3" localSheetId="5">[2]рік!#REF!</definedName>
    <definedName name="Розр3" localSheetId="8">[2]рік!#REF!</definedName>
    <definedName name="Розр3" localSheetId="23">[2]рік!#REF!</definedName>
    <definedName name="Розр3" localSheetId="22">[2]рік!#REF!</definedName>
    <definedName name="Розр3">[2]рік!#REF!</definedName>
    <definedName name="рр" localSheetId="20">#REF!</definedName>
    <definedName name="рр" localSheetId="3">#REF!</definedName>
    <definedName name="рр" localSheetId="5">#REF!</definedName>
    <definedName name="рр" localSheetId="4">#REF!</definedName>
    <definedName name="рр" localSheetId="8">#REF!</definedName>
    <definedName name="рр" localSheetId="10">#REF!</definedName>
    <definedName name="рр" localSheetId="23">#REF!</definedName>
    <definedName name="рр" localSheetId="22">#REF!</definedName>
    <definedName name="рр">#REF!</definedName>
    <definedName name="ррр" localSheetId="20">#REF!</definedName>
    <definedName name="ррр" localSheetId="5">#REF!</definedName>
    <definedName name="ррр" localSheetId="8">#REF!</definedName>
    <definedName name="ррр" localSheetId="23">#REF!</definedName>
    <definedName name="ррр" localSheetId="22">#REF!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20">#REF!</definedName>
    <definedName name="Соц" localSheetId="5">#REF!</definedName>
    <definedName name="Соц" localSheetId="8">#REF!</definedName>
    <definedName name="Соц" localSheetId="23">#REF!</definedName>
    <definedName name="Соц" localSheetId="22">#REF!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20">OFFSET(#REF!,,,COUNTA(#REF!),1)</definedName>
    <definedName name="Список_компах" localSheetId="3">OFFSET(#REF!,,,COUNTA(#REF!),1)</definedName>
    <definedName name="Список_компах" localSheetId="5">OFFSET(#REF!,,,COUNTA(#REF!),1)</definedName>
    <definedName name="Список_компах" localSheetId="4">OFFSET(#REF!,,,COUNTA(#REF!),1)</definedName>
    <definedName name="Список_компах" localSheetId="8">OFFSET(#REF!,,,COUNTA(#REF!),1)</definedName>
    <definedName name="Список_компах" localSheetId="10">OFFSET(#REF!,,,COUNTA(#REF!),1)</definedName>
    <definedName name="Список_компах" localSheetId="23">OFFSET(#REF!,,,COUNTA(#REF!),1)</definedName>
    <definedName name="Список_компах" localSheetId="22">OFFSET(#REF!,,,COUNTA(#REF!),1)</definedName>
    <definedName name="Список_компах">OFFSET(#REF!,,,COUNTA(#REF!),1)</definedName>
    <definedName name="статьи">[20]м_812!$D$1:$D$65536</definedName>
    <definedName name="Тело_СТ" localSheetId="20">#REF!</definedName>
    <definedName name="Тело_СТ" localSheetId="3">#REF!</definedName>
    <definedName name="Тело_СТ" localSheetId="5">#REF!</definedName>
    <definedName name="Тело_СТ" localSheetId="4">#REF!</definedName>
    <definedName name="Тело_СТ" localSheetId="8">#REF!</definedName>
    <definedName name="Тело_СТ" localSheetId="10">#REF!</definedName>
    <definedName name="Тело_СТ" localSheetId="23">#REF!</definedName>
    <definedName name="Тело_СТ" localSheetId="22">#REF!</definedName>
    <definedName name="Тело_СТ">#REF!</definedName>
    <definedName name="тепло" localSheetId="20">'[33]Вхідні дані'!#REF!</definedName>
    <definedName name="тепло" localSheetId="5">'[33]Вхідні дані'!#REF!</definedName>
    <definedName name="тепло" localSheetId="8">'[33]Вхідні дані'!#REF!</definedName>
    <definedName name="тепло" localSheetId="23">'[33]Вхідні дані'!#REF!</definedName>
    <definedName name="тепло" localSheetId="22">'[33]Вхідні дані'!#REF!</definedName>
    <definedName name="тепло">'[33]Вхідні дані'!#REF!</definedName>
    <definedName name="трав">'[18]812'!$S$1:$S$65536</definedName>
    <definedName name="травень" hidden="1">{#N/A,#N/A,FALSE,"9PS0"}</definedName>
    <definedName name="Уз" localSheetId="20">#REF!</definedName>
    <definedName name="Уз" localSheetId="3">#REF!</definedName>
    <definedName name="Уз" localSheetId="5">#REF!</definedName>
    <definedName name="Уз" localSheetId="4">#REF!</definedName>
    <definedName name="Уз" localSheetId="8">#REF!</definedName>
    <definedName name="Уз" localSheetId="10">#REF!</definedName>
    <definedName name="Уз" localSheetId="23">#REF!</definedName>
    <definedName name="Уз" localSheetId="22">#REF!</definedName>
    <definedName name="Уз">#REF!</definedName>
    <definedName name="Уз_б" localSheetId="20">#REF!</definedName>
    <definedName name="Уз_б" localSheetId="3">#REF!</definedName>
    <definedName name="Уз_б" localSheetId="5">#REF!</definedName>
    <definedName name="Уз_б" localSheetId="4">#REF!</definedName>
    <definedName name="Уз_б" localSheetId="8">#REF!</definedName>
    <definedName name="Уз_б" localSheetId="10">#REF!</definedName>
    <definedName name="Уз_б" localSheetId="23">#REF!</definedName>
    <definedName name="Уз_б" localSheetId="22">#REF!</definedName>
    <definedName name="Уз_б">#REF!</definedName>
    <definedName name="Уз_і" localSheetId="20">#REF!</definedName>
    <definedName name="Уз_і" localSheetId="3">#REF!</definedName>
    <definedName name="Уз_і" localSheetId="5">#REF!</definedName>
    <definedName name="Уз_і" localSheetId="4">#REF!</definedName>
    <definedName name="Уз_і" localSheetId="8">#REF!</definedName>
    <definedName name="Уз_і" localSheetId="10">#REF!</definedName>
    <definedName name="Уз_і" localSheetId="23">#REF!</definedName>
    <definedName name="Уз_і" localSheetId="22">#REF!</definedName>
    <definedName name="Уз_і">#REF!</definedName>
    <definedName name="Уз_н" localSheetId="20">#REF!</definedName>
    <definedName name="Уз_н" localSheetId="3">#REF!</definedName>
    <definedName name="Уз_н" localSheetId="5">#REF!</definedName>
    <definedName name="Уз_н" localSheetId="4">#REF!</definedName>
    <definedName name="Уз_н" localSheetId="8">#REF!</definedName>
    <definedName name="Уз_н" localSheetId="10">#REF!</definedName>
    <definedName name="Уз_н" localSheetId="23">#REF!</definedName>
    <definedName name="Уз_н" localSheetId="22">#REF!</definedName>
    <definedName name="Уз_н">#REF!</definedName>
    <definedName name="_xlnm.Criteria" localSheetId="20">#REF!</definedName>
    <definedName name="_xlnm.Criteria" localSheetId="5">#REF!</definedName>
    <definedName name="_xlnm.Criteria" localSheetId="8">#REF!</definedName>
    <definedName name="_xlnm.Criteria" localSheetId="23">#REF!</definedName>
    <definedName name="_xlnm.Criteria" localSheetId="22">#REF!</definedName>
    <definedName name="_xlnm.Criteria">#REF!</definedName>
    <definedName name="Уп" localSheetId="20">#REF!</definedName>
    <definedName name="Уп" localSheetId="3">#REF!</definedName>
    <definedName name="Уп" localSheetId="5">#REF!</definedName>
    <definedName name="Уп" localSheetId="4">#REF!</definedName>
    <definedName name="Уп" localSheetId="8">#REF!</definedName>
    <definedName name="Уп" localSheetId="10">#REF!</definedName>
    <definedName name="Уп" localSheetId="23">#REF!</definedName>
    <definedName name="Уп" localSheetId="22">#REF!</definedName>
    <definedName name="Уп">#REF!</definedName>
    <definedName name="Уп_б" localSheetId="20">#REF!</definedName>
    <definedName name="Уп_б" localSheetId="3">#REF!</definedName>
    <definedName name="Уп_б" localSheetId="5">#REF!</definedName>
    <definedName name="Уп_б" localSheetId="4">#REF!</definedName>
    <definedName name="Уп_б" localSheetId="8">#REF!</definedName>
    <definedName name="Уп_б" localSheetId="10">#REF!</definedName>
    <definedName name="Уп_б" localSheetId="23">#REF!</definedName>
    <definedName name="Уп_б" localSheetId="22">#REF!</definedName>
    <definedName name="Уп_б">#REF!</definedName>
    <definedName name="Уп_і" localSheetId="20">#REF!</definedName>
    <definedName name="Уп_і" localSheetId="3">#REF!</definedName>
    <definedName name="Уп_і" localSheetId="5">#REF!</definedName>
    <definedName name="Уп_і" localSheetId="4">#REF!</definedName>
    <definedName name="Уп_і" localSheetId="8">#REF!</definedName>
    <definedName name="Уп_і" localSheetId="10">#REF!</definedName>
    <definedName name="Уп_і" localSheetId="23">#REF!</definedName>
    <definedName name="Уп_і" localSheetId="22">#REF!</definedName>
    <definedName name="Уп_і">#REF!</definedName>
    <definedName name="Уп_н" localSheetId="20">#REF!</definedName>
    <definedName name="Уп_н" localSheetId="3">#REF!</definedName>
    <definedName name="Уп_н" localSheetId="5">#REF!</definedName>
    <definedName name="Уп_н" localSheetId="4">#REF!</definedName>
    <definedName name="Уп_н" localSheetId="8">#REF!</definedName>
    <definedName name="Уп_н" localSheetId="10">#REF!</definedName>
    <definedName name="Уп_н" localSheetId="23">#REF!</definedName>
    <definedName name="Уп_н" localSheetId="22">#REF!</definedName>
    <definedName name="Уп_н">#REF!</definedName>
    <definedName name="ууй" localSheetId="20">#REF!</definedName>
    <definedName name="ууй" localSheetId="5">#REF!</definedName>
    <definedName name="ууй" localSheetId="8">#REF!</definedName>
    <definedName name="ууй" localSheetId="23">#REF!</definedName>
    <definedName name="ууй" localSheetId="22">#REF!</definedName>
    <definedName name="ууй">#REF!</definedName>
    <definedName name="УХ" localSheetId="20">#REF!</definedName>
    <definedName name="УХ" localSheetId="3">#REF!</definedName>
    <definedName name="УХ" localSheetId="5">#REF!</definedName>
    <definedName name="УХ" localSheetId="4">#REF!</definedName>
    <definedName name="УХ" localSheetId="8">#REF!</definedName>
    <definedName name="УХ" localSheetId="10">#REF!</definedName>
    <definedName name="УХ" localSheetId="23">#REF!</definedName>
    <definedName name="УХ" localSheetId="22">#REF!</definedName>
    <definedName name="УХ">#REF!</definedName>
    <definedName name="ухват" localSheetId="20">#REF!</definedName>
    <definedName name="ухват" localSheetId="3">#REF!</definedName>
    <definedName name="ухват" localSheetId="5">#REF!</definedName>
    <definedName name="ухват" localSheetId="4">#REF!</definedName>
    <definedName name="ухват" localSheetId="8">#REF!</definedName>
    <definedName name="ухват" localSheetId="10">#REF!</definedName>
    <definedName name="ухват" localSheetId="23">#REF!</definedName>
    <definedName name="ухват" localSheetId="22">#REF!</definedName>
    <definedName name="ухват">#REF!</definedName>
    <definedName name="Ф" localSheetId="20">#REF!</definedName>
    <definedName name="Ф" localSheetId="5">#REF!</definedName>
    <definedName name="Ф" localSheetId="8">#REF!</definedName>
    <definedName name="Ф" localSheetId="23">#REF!</definedName>
    <definedName name="Ф" localSheetId="22">#REF!</definedName>
    <definedName name="Ф">#REF!</definedName>
    <definedName name="фдпшгфж" localSheetId="20">#REF!</definedName>
    <definedName name="фдпшгфж" localSheetId="5">#REF!</definedName>
    <definedName name="фдпшгфж" localSheetId="8">#REF!</definedName>
    <definedName name="фдпшгфж" localSheetId="23">#REF!</definedName>
    <definedName name="фдпшгфж" localSheetId="22">#REF!</definedName>
    <definedName name="фдпшгфж">#REF!</definedName>
    <definedName name="філії">[35]Лист1!$C$4:$C$11</definedName>
    <definedName name="ццц" localSheetId="20">#REF!</definedName>
    <definedName name="ццц" localSheetId="5">#REF!</definedName>
    <definedName name="ццц" localSheetId="8">#REF!</definedName>
    <definedName name="ццц" localSheetId="23">#REF!</definedName>
    <definedName name="ццц" localSheetId="22">#REF!</definedName>
    <definedName name="ццц">#REF!</definedName>
    <definedName name="чапельник" localSheetId="20">#REF!</definedName>
    <definedName name="чапельник" localSheetId="3">#REF!</definedName>
    <definedName name="чапельник" localSheetId="5">#REF!</definedName>
    <definedName name="чапельник" localSheetId="4">#REF!</definedName>
    <definedName name="чапельник" localSheetId="8">#REF!</definedName>
    <definedName name="чапельник" localSheetId="10">#REF!</definedName>
    <definedName name="чапельник" localSheetId="23">#REF!</definedName>
    <definedName name="чапельник" localSheetId="22">#REF!</definedName>
    <definedName name="чапельник">#REF!</definedName>
    <definedName name="черв">'[18]812'!$T$1:$T$65536</definedName>
    <definedName name="Черта" localSheetId="20">#REF!</definedName>
    <definedName name="Черта" localSheetId="3">#REF!</definedName>
    <definedName name="Черта" localSheetId="5">#REF!</definedName>
    <definedName name="Черта" localSheetId="4">#REF!</definedName>
    <definedName name="Черта" localSheetId="8">#REF!</definedName>
    <definedName name="Черта" localSheetId="10">#REF!</definedName>
    <definedName name="Черта" localSheetId="23">#REF!</definedName>
    <definedName name="Черта" localSheetId="22">#REF!</definedName>
    <definedName name="Черта">#REF!</definedName>
    <definedName name="чпапат" localSheetId="20">#REF!</definedName>
    <definedName name="чпапат" localSheetId="5">#REF!</definedName>
    <definedName name="чпапат" localSheetId="8">#REF!</definedName>
    <definedName name="чпапат" localSheetId="23">#REF!</definedName>
    <definedName name="чпапат" localSheetId="22">#REF!</definedName>
    <definedName name="чпапат">#REF!</definedName>
    <definedName name="яаиаипфа" localSheetId="20">#REF!</definedName>
    <definedName name="яаиаипфа" localSheetId="5">#REF!</definedName>
    <definedName name="яаиаипфа" localSheetId="8">#REF!</definedName>
    <definedName name="яаиаипфа" localSheetId="23">#REF!</definedName>
    <definedName name="яаиаипфа" localSheetId="22">#REF!</definedName>
    <definedName name="яаиаипфа">#REF!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 i="156" l="1"/>
  <c r="E16" i="156"/>
  <c r="E15" i="156"/>
  <c r="E11" i="156"/>
  <c r="E10" i="156"/>
  <c r="G11" i="131"/>
  <c r="G10" i="130"/>
  <c r="G8" i="135"/>
  <c r="D4" i="84"/>
  <c r="C165" i="107" l="1"/>
  <c r="C200" i="107" s="1"/>
  <c r="C156" i="107"/>
  <c r="C147" i="107"/>
  <c r="C199" i="107" s="1"/>
  <c r="C138" i="107"/>
  <c r="C193" i="107"/>
  <c r="C176" i="107" l="1"/>
  <c r="C182" i="107" s="1"/>
  <c r="C163" i="107"/>
  <c r="C164" i="107"/>
  <c r="C187" i="107" s="1"/>
  <c r="C154" i="107"/>
  <c r="C155" i="107"/>
  <c r="C145" i="107"/>
  <c r="C146" i="107"/>
  <c r="C192" i="107" s="1"/>
  <c r="C144" i="107"/>
  <c r="C136" i="107"/>
  <c r="C173" i="107" s="1"/>
  <c r="C179" i="107" s="1"/>
  <c r="C137" i="107"/>
  <c r="F59" i="69"/>
  <c r="C174" i="107" l="1"/>
  <c r="C180" i="107" s="1"/>
  <c r="C186" i="107"/>
  <c r="B13" i="152"/>
  <c r="B14" i="152" s="1"/>
  <c r="B15" i="152" s="1"/>
  <c r="B16" i="152" s="1"/>
  <c r="B17" i="152" s="1"/>
  <c r="B18" i="152" s="1"/>
  <c r="B19" i="152" s="1"/>
  <c r="B20" i="152" s="1"/>
  <c r="B21" i="152" s="1"/>
  <c r="B22" i="152" s="1"/>
  <c r="B23" i="152" s="1"/>
  <c r="B24" i="152" s="1"/>
  <c r="B25" i="152" s="1"/>
  <c r="B26" i="152" s="1"/>
  <c r="B27" i="152" s="1"/>
  <c r="B28" i="152" s="1"/>
  <c r="B29" i="152" s="1"/>
  <c r="B30" i="152" s="1"/>
  <c r="B31" i="152" s="1"/>
  <c r="B32" i="152" s="1"/>
  <c r="B33" i="152" s="1"/>
  <c r="B34" i="152" s="1"/>
  <c r="B35" i="152" s="1"/>
  <c r="B36" i="152" s="1"/>
  <c r="B37" i="152" s="1"/>
  <c r="B38" i="152" s="1"/>
  <c r="B39" i="152" s="1"/>
  <c r="B40" i="152" s="1"/>
  <c r="B41" i="152" s="1"/>
  <c r="B42" i="152" s="1"/>
  <c r="B43" i="152" s="1"/>
  <c r="B44" i="152" s="1"/>
  <c r="B45" i="152" s="1"/>
  <c r="B46" i="152" s="1"/>
  <c r="B47" i="152" s="1"/>
  <c r="B48" i="152" s="1"/>
  <c r="B49" i="152" s="1"/>
  <c r="B50" i="152" s="1"/>
  <c r="B51" i="152" s="1"/>
  <c r="B52" i="152" s="1"/>
  <c r="B53" i="152" s="1"/>
  <c r="B54" i="152" s="1"/>
  <c r="B55" i="152" s="1"/>
  <c r="B56" i="152" s="1"/>
  <c r="B57" i="152" s="1"/>
  <c r="B58" i="152" s="1"/>
  <c r="B59" i="152" s="1"/>
  <c r="B60" i="152" s="1"/>
  <c r="B61" i="152" s="1"/>
  <c r="B62" i="152" s="1"/>
  <c r="B63" i="152" s="1"/>
  <c r="B64" i="152" s="1"/>
  <c r="B65" i="152" s="1"/>
  <c r="B66" i="152" s="1"/>
  <c r="B67" i="152" s="1"/>
  <c r="B68" i="152" s="1"/>
  <c r="B69" i="152" s="1"/>
  <c r="B70" i="152" s="1"/>
  <c r="B71" i="152" s="1"/>
  <c r="B72" i="152" s="1"/>
  <c r="B73" i="152" s="1"/>
  <c r="B74" i="152" s="1"/>
  <c r="B75" i="152" s="1"/>
  <c r="B76" i="152" s="1"/>
  <c r="B77" i="152" s="1"/>
  <c r="B78" i="152" s="1"/>
  <c r="B79" i="152" s="1"/>
  <c r="B80" i="152" s="1"/>
  <c r="B81" i="152" s="1"/>
  <c r="B82" i="152" s="1"/>
  <c r="B83" i="152" s="1"/>
  <c r="B84" i="152" s="1"/>
  <c r="B85" i="152" s="1"/>
  <c r="B86" i="152" s="1"/>
  <c r="B87" i="152" s="1"/>
  <c r="B88" i="152" s="1"/>
  <c r="B89" i="152" s="1"/>
  <c r="B90" i="152" s="1"/>
  <c r="B91" i="152" s="1"/>
  <c r="B92" i="152" s="1"/>
  <c r="B93" i="152" s="1"/>
  <c r="B94" i="152" s="1"/>
  <c r="B95" i="152" s="1"/>
  <c r="B96" i="152" s="1"/>
  <c r="B97" i="152" s="1"/>
  <c r="B98" i="152" s="1"/>
  <c r="B99" i="152" s="1"/>
  <c r="B100" i="152" s="1"/>
  <c r="B101" i="152" s="1"/>
  <c r="B102" i="152" s="1"/>
  <c r="B103" i="152" s="1"/>
  <c r="B104" i="152" s="1"/>
  <c r="B105" i="152" s="1"/>
  <c r="B106" i="152" s="1"/>
  <c r="B107" i="152" s="1"/>
  <c r="B108" i="152" s="1"/>
  <c r="B109" i="152" s="1"/>
  <c r="B110" i="152" s="1"/>
  <c r="B111" i="152" s="1"/>
  <c r="B112" i="152" s="1"/>
  <c r="B113" i="152" s="1"/>
  <c r="B114" i="152" s="1"/>
  <c r="B115" i="152" s="1"/>
  <c r="B116" i="152" s="1"/>
  <c r="B117" i="152" s="1"/>
  <c r="B118" i="152" s="1"/>
  <c r="B119" i="152" s="1"/>
  <c r="B120" i="152" s="1"/>
  <c r="B121" i="152" s="1"/>
  <c r="L185" i="49" l="1"/>
  <c r="M34" i="62"/>
  <c r="M45" i="29"/>
  <c r="N29" i="29"/>
  <c r="M29" i="29"/>
  <c r="F30" i="78" l="1"/>
  <c r="F11" i="66"/>
  <c r="F25" i="66"/>
  <c r="F40" i="66"/>
  <c r="F42" i="66"/>
  <c r="F57" i="66" l="1"/>
  <c r="F18" i="78" l="1"/>
  <c r="F51" i="78"/>
  <c r="F56" i="78"/>
  <c r="F57" i="78"/>
  <c r="F67" i="78" l="1"/>
  <c r="F68" i="78"/>
  <c r="F34" i="84"/>
  <c r="D10" i="20" l="1"/>
  <c r="N22" i="29" l="1"/>
  <c r="J29" i="29"/>
  <c r="I29" i="29" s="1"/>
  <c r="L29" i="29" l="1"/>
  <c r="F8" i="54"/>
  <c r="F63" i="78" l="1"/>
  <c r="F50" i="78" l="1"/>
  <c r="F31" i="66"/>
  <c r="F44" i="66"/>
  <c r="F47" i="66"/>
  <c r="F48" i="66"/>
  <c r="F49" i="66"/>
  <c r="F63" i="66"/>
  <c r="F66" i="66"/>
  <c r="F53" i="78"/>
  <c r="F17" i="78" l="1"/>
  <c r="F44" i="78"/>
  <c r="F37" i="78"/>
  <c r="F25" i="78"/>
  <c r="F27" i="66"/>
  <c r="F18" i="66"/>
  <c r="F19" i="66"/>
  <c r="F17" i="66"/>
  <c r="F14" i="66"/>
  <c r="F13" i="66"/>
  <c r="F12" i="66"/>
  <c r="F10" i="66"/>
  <c r="F59" i="66"/>
  <c r="F60" i="66"/>
  <c r="F53" i="66"/>
  <c r="F43" i="66"/>
  <c r="F32" i="66"/>
  <c r="F26" i="66"/>
  <c r="F15" i="66"/>
  <c r="F16" i="66"/>
  <c r="F36" i="66" l="1"/>
  <c r="N64" i="66" l="1"/>
  <c r="N65" i="66"/>
  <c r="G20" i="20"/>
  <c r="G16" i="20"/>
  <c r="G10" i="20"/>
  <c r="C38" i="132" l="1"/>
  <c r="C32" i="132"/>
  <c r="C39" i="134"/>
  <c r="E36" i="135"/>
  <c r="F36" i="135"/>
  <c r="C14" i="110"/>
  <c r="B14" i="110"/>
  <c r="C34" i="110"/>
  <c r="D34" i="110"/>
  <c r="E34" i="110"/>
  <c r="B34" i="110"/>
  <c r="C30" i="110"/>
  <c r="D30" i="110"/>
  <c r="E30" i="110"/>
  <c r="E18" i="154" l="1"/>
  <c r="F18" i="154" s="1"/>
  <c r="E14" i="154"/>
  <c r="F14" i="154" s="1"/>
  <c r="E13" i="154"/>
  <c r="F13" i="154" s="1"/>
  <c r="E10" i="154"/>
  <c r="F10" i="154" s="1"/>
  <c r="E10" i="153"/>
  <c r="F10" i="153" s="1"/>
  <c r="E9" i="153"/>
  <c r="F9" i="153" s="1"/>
  <c r="C34" i="135" l="1"/>
  <c r="X11" i="92" l="1"/>
  <c r="F14" i="78" l="1"/>
  <c r="F11" i="78"/>
  <c r="F10" i="78"/>
  <c r="C54" i="66" l="1"/>
  <c r="F54" i="66" s="1"/>
  <c r="F51" i="66"/>
  <c r="F41" i="66" l="1"/>
  <c r="F15" i="78" l="1"/>
  <c r="F43" i="78" l="1"/>
  <c r="F48" i="78"/>
  <c r="E23" i="147" l="1"/>
  <c r="B23" i="147"/>
  <c r="F122" i="84"/>
  <c r="F32" i="84"/>
  <c r="H23" i="147" l="1"/>
  <c r="J23" i="147"/>
  <c r="F10" i="20"/>
  <c r="C39" i="133" l="1"/>
  <c r="F32" i="133"/>
  <c r="D43" i="110"/>
  <c r="D44" i="110"/>
  <c r="R14" i="55"/>
  <c r="F12" i="92"/>
  <c r="F19" i="61"/>
  <c r="E77" i="22"/>
  <c r="D77" i="22"/>
  <c r="F75" i="22"/>
  <c r="F43" i="22"/>
  <c r="F36" i="22"/>
  <c r="F24" i="22" l="1"/>
  <c r="E37" i="98" l="1"/>
  <c r="D37" i="98" l="1"/>
  <c r="D35" i="98"/>
  <c r="D71" i="110"/>
  <c r="E71" i="110"/>
  <c r="D70" i="110"/>
  <c r="C69" i="110"/>
  <c r="D69" i="110"/>
  <c r="E69" i="110"/>
  <c r="E68" i="110"/>
  <c r="D67" i="110"/>
  <c r="C65" i="110"/>
  <c r="D65" i="110"/>
  <c r="C64" i="110"/>
  <c r="B71" i="110"/>
  <c r="B69" i="110"/>
  <c r="B65" i="110"/>
  <c r="B64" i="110"/>
  <c r="D59" i="110"/>
  <c r="C57" i="110"/>
  <c r="E54" i="110"/>
  <c r="F54" i="110"/>
  <c r="G54" i="110"/>
  <c r="H54" i="110"/>
  <c r="I54" i="110"/>
  <c r="J54" i="110"/>
  <c r="B54" i="110"/>
  <c r="C47" i="110"/>
  <c r="D47" i="110"/>
  <c r="E47" i="110"/>
  <c r="B47" i="110"/>
  <c r="D46" i="110"/>
  <c r="D45" i="110"/>
  <c r="E45" i="110"/>
  <c r="B45" i="110"/>
  <c r="D41" i="110"/>
  <c r="D40" i="110"/>
  <c r="D35" i="110"/>
  <c r="D33" i="110"/>
  <c r="D32" i="110"/>
  <c r="D29" i="110"/>
  <c r="D28" i="110"/>
  <c r="B30" i="110"/>
  <c r="D23" i="110"/>
  <c r="D22" i="110"/>
  <c r="D21" i="110"/>
  <c r="D17" i="110"/>
  <c r="D16" i="110"/>
  <c r="G17" i="58" l="1"/>
  <c r="H14" i="62"/>
  <c r="H28" i="62" s="1"/>
  <c r="H23" i="62"/>
  <c r="J28" i="62"/>
  <c r="G14" i="20" l="1"/>
  <c r="C80" i="20" l="1"/>
  <c r="C81" i="20"/>
  <c r="C82" i="20"/>
  <c r="C83" i="20"/>
  <c r="C84" i="20"/>
  <c r="C85" i="20"/>
  <c r="C86" i="20"/>
  <c r="C87" i="20"/>
  <c r="C88" i="20"/>
  <c r="C89" i="20"/>
  <c r="F145" i="84" l="1"/>
  <c r="E14" i="20" l="1"/>
  <c r="E65" i="20"/>
  <c r="D65" i="20"/>
  <c r="E12" i="20"/>
  <c r="D13" i="84"/>
  <c r="C13" i="84"/>
  <c r="C14" i="84"/>
  <c r="D14" i="84"/>
  <c r="E21" i="110" l="1"/>
  <c r="E33" i="110" l="1"/>
  <c r="F30" i="66" l="1"/>
  <c r="F31" i="78"/>
  <c r="F39" i="84"/>
  <c r="F46" i="84"/>
  <c r="F52" i="66"/>
  <c r="E16" i="93" l="1"/>
  <c r="E9" i="154" s="1"/>
  <c r="F9" i="154" s="1"/>
  <c r="F16" i="93"/>
  <c r="F29" i="69" l="1"/>
  <c r="W53" i="55" l="1"/>
  <c r="E23" i="83" l="1"/>
  <c r="G29" i="55"/>
  <c r="G58" i="55"/>
  <c r="F29" i="83"/>
  <c r="E44" i="110" s="1"/>
  <c r="F43" i="83"/>
  <c r="F55" i="83"/>
  <c r="F146" i="84" l="1"/>
  <c r="F138" i="84" l="1"/>
  <c r="F26" i="84" l="1"/>
  <c r="F115" i="84"/>
  <c r="F107" i="84" l="1"/>
  <c r="F70" i="84" l="1"/>
  <c r="E22" i="110" s="1"/>
  <c r="F67" i="84" l="1"/>
  <c r="F59" i="84" l="1"/>
  <c r="F58" i="84"/>
  <c r="F56" i="84" l="1"/>
  <c r="F16" i="84" l="1"/>
  <c r="E20" i="110" s="1"/>
  <c r="F44" i="84"/>
  <c r="F131" i="84"/>
  <c r="F124" i="84"/>
  <c r="E35" i="110" s="1"/>
  <c r="F40" i="84" l="1"/>
  <c r="E23" i="110"/>
  <c r="F65" i="78"/>
  <c r="E58" i="110" s="1"/>
  <c r="E57" i="110"/>
  <c r="F27" i="78"/>
  <c r="E56" i="110" s="1"/>
  <c r="F12" i="78"/>
  <c r="F13" i="78"/>
  <c r="F16" i="78"/>
  <c r="F19" i="78"/>
  <c r="F9" i="78" l="1"/>
  <c r="E21" i="78"/>
  <c r="E68" i="78"/>
  <c r="E63" i="78"/>
  <c r="E60" i="78"/>
  <c r="E48" i="78"/>
  <c r="E56" i="78"/>
  <c r="E44" i="78"/>
  <c r="E46" i="78"/>
  <c r="E45" i="78"/>
  <c r="E65" i="78"/>
  <c r="D58" i="110" s="1"/>
  <c r="E41" i="78"/>
  <c r="E40" i="78"/>
  <c r="E37" i="78"/>
  <c r="D57" i="110" s="1"/>
  <c r="E30" i="78"/>
  <c r="E28" i="78"/>
  <c r="D55" i="110" s="1"/>
  <c r="E27" i="78"/>
  <c r="E23" i="78"/>
  <c r="E12" i="78"/>
  <c r="E17" i="78"/>
  <c r="F84" i="78" l="1"/>
  <c r="D56" i="110"/>
  <c r="F80" i="78"/>
  <c r="D53" i="110"/>
  <c r="D4" i="110" s="1"/>
  <c r="F79" i="78"/>
  <c r="D52" i="110"/>
  <c r="E20" i="78"/>
  <c r="D63" i="78"/>
  <c r="D68" i="78"/>
  <c r="D62" i="78"/>
  <c r="D43" i="78"/>
  <c r="D60" i="78"/>
  <c r="D11" i="78"/>
  <c r="D45" i="78"/>
  <c r="F45" i="78" s="1"/>
  <c r="D48" i="78"/>
  <c r="D47" i="78"/>
  <c r="F47" i="78" s="1"/>
  <c r="D46" i="78"/>
  <c r="F46" i="78" s="1"/>
  <c r="D67" i="78"/>
  <c r="D54" i="78"/>
  <c r="D40" i="78"/>
  <c r="F40" i="78" s="1"/>
  <c r="D65" i="78"/>
  <c r="C58" i="110" s="1"/>
  <c r="D55" i="78"/>
  <c r="D53" i="78"/>
  <c r="D50" i="78"/>
  <c r="D41" i="78"/>
  <c r="F41" i="78" s="1"/>
  <c r="D51" i="78"/>
  <c r="D32" i="78"/>
  <c r="F32" i="78" s="1"/>
  <c r="D28" i="78"/>
  <c r="C55" i="110" s="1"/>
  <c r="D27" i="78"/>
  <c r="C56" i="110" s="1"/>
  <c r="D25" i="78"/>
  <c r="C59" i="110" s="1"/>
  <c r="D23" i="78"/>
  <c r="C53" i="110" s="1"/>
  <c r="D21" i="78"/>
  <c r="C52" i="110" s="1"/>
  <c r="D18" i="78"/>
  <c r="D17" i="78"/>
  <c r="D15" i="78"/>
  <c r="D14" i="78"/>
  <c r="D12" i="78"/>
  <c r="D10" i="78"/>
  <c r="C63" i="78" l="1"/>
  <c r="C68" i="78"/>
  <c r="C67" i="78"/>
  <c r="C46" i="78"/>
  <c r="C48" i="78"/>
  <c r="D67" i="84"/>
  <c r="C67" i="84"/>
  <c r="C56" i="78"/>
  <c r="C60" i="78"/>
  <c r="C50" i="78"/>
  <c r="C51" i="78"/>
  <c r="C41" i="78"/>
  <c r="C55" i="78"/>
  <c r="C54" i="78"/>
  <c r="C53" i="78"/>
  <c r="C65" i="78"/>
  <c r="B58" i="110" s="1"/>
  <c r="C35" i="78"/>
  <c r="C11" i="78"/>
  <c r="C32" i="78"/>
  <c r="C28" i="78"/>
  <c r="B55" i="110" s="1"/>
  <c r="C27" i="78"/>
  <c r="B56" i="110" s="1"/>
  <c r="C25" i="78"/>
  <c r="B59" i="110" s="1"/>
  <c r="C12" i="78"/>
  <c r="C37" i="78"/>
  <c r="B57" i="110" s="1"/>
  <c r="C23" i="78"/>
  <c r="B53" i="110" s="1"/>
  <c r="C21" i="78"/>
  <c r="B52" i="110" s="1"/>
  <c r="C18" i="78" l="1"/>
  <c r="C17" i="78"/>
  <c r="C15" i="78"/>
  <c r="C14" i="78"/>
  <c r="N60" i="66" l="1"/>
  <c r="N59" i="66"/>
  <c r="E70" i="110"/>
  <c r="N56" i="66"/>
  <c r="N61" i="66"/>
  <c r="F46" i="66" l="1"/>
  <c r="F111" i="66"/>
  <c r="F107" i="66"/>
  <c r="E27" i="66"/>
  <c r="D68" i="110" s="1"/>
  <c r="E21" i="66"/>
  <c r="E20" i="66" l="1"/>
  <c r="D64" i="110"/>
  <c r="D3" i="110" s="1"/>
  <c r="F106" i="66"/>
  <c r="D66" i="66"/>
  <c r="D59" i="66"/>
  <c r="D62" i="66"/>
  <c r="N62" i="66" s="1"/>
  <c r="D48" i="66"/>
  <c r="D51" i="66"/>
  <c r="D49" i="66"/>
  <c r="D57" i="66"/>
  <c r="C70" i="110" s="1"/>
  <c r="D53" i="66"/>
  <c r="D40" i="66"/>
  <c r="D54" i="66"/>
  <c r="D39" i="66"/>
  <c r="D28" i="66"/>
  <c r="C67" i="110" s="1"/>
  <c r="D27" i="66"/>
  <c r="C68" i="110" s="1"/>
  <c r="D25" i="66"/>
  <c r="C71" i="110" s="1"/>
  <c r="D11" i="66"/>
  <c r="D12" i="66"/>
  <c r="D10" i="66"/>
  <c r="C10" i="66"/>
  <c r="C66" i="66"/>
  <c r="C11" i="66" l="1"/>
  <c r="C12" i="66"/>
  <c r="C62" i="66" l="1"/>
  <c r="C61" i="66"/>
  <c r="C60" i="66"/>
  <c r="C59" i="66"/>
  <c r="C58" i="66"/>
  <c r="C55" i="66"/>
  <c r="C51" i="66"/>
  <c r="N54" i="66"/>
  <c r="C48" i="66"/>
  <c r="C53" i="66"/>
  <c r="C63" i="66"/>
  <c r="C57" i="66"/>
  <c r="B70" i="110" s="1"/>
  <c r="C49" i="66"/>
  <c r="C40" i="66"/>
  <c r="C39" i="66"/>
  <c r="C28" i="66"/>
  <c r="B67" i="110" s="1"/>
  <c r="C27" i="66"/>
  <c r="F55" i="66" l="1"/>
  <c r="N55" i="66" s="1"/>
  <c r="C24" i="66"/>
  <c r="B68" i="110"/>
  <c r="C38" i="66"/>
  <c r="F47" i="83"/>
  <c r="F62" i="83"/>
  <c r="D38" i="83" l="1"/>
  <c r="D40" i="83"/>
  <c r="C38" i="83"/>
  <c r="C40" i="83"/>
  <c r="D62" i="83"/>
  <c r="D53" i="83"/>
  <c r="F53" i="83" s="1"/>
  <c r="D60" i="83"/>
  <c r="F60" i="83" s="1"/>
  <c r="D61" i="83"/>
  <c r="F61" i="83" s="1"/>
  <c r="D56" i="83"/>
  <c r="D55" i="83"/>
  <c r="D50" i="83"/>
  <c r="F50" i="83" s="1"/>
  <c r="D45" i="83"/>
  <c r="F45" i="83" s="1"/>
  <c r="D44" i="83"/>
  <c r="F44" i="83" s="1"/>
  <c r="D43" i="83"/>
  <c r="D42" i="83"/>
  <c r="D41" i="83"/>
  <c r="D39" i="83"/>
  <c r="F39" i="83" s="1"/>
  <c r="D47" i="83"/>
  <c r="D15" i="83"/>
  <c r="D18" i="83"/>
  <c r="D58" i="83"/>
  <c r="D46" i="83"/>
  <c r="D30" i="83"/>
  <c r="D29" i="83"/>
  <c r="C44" i="110" s="1"/>
  <c r="C44" i="83"/>
  <c r="C50" i="83"/>
  <c r="C45" i="83"/>
  <c r="C43" i="83"/>
  <c r="C42" i="83"/>
  <c r="C39" i="83"/>
  <c r="C61" i="83"/>
  <c r="C41" i="83"/>
  <c r="C56" i="83"/>
  <c r="C55" i="83"/>
  <c r="C60" i="83"/>
  <c r="C53" i="83"/>
  <c r="C58" i="83"/>
  <c r="B46" i="110" s="1"/>
  <c r="C30" i="83"/>
  <c r="C29" i="83"/>
  <c r="B44" i="110" s="1"/>
  <c r="C24" i="83"/>
  <c r="B41" i="110" s="1"/>
  <c r="C21" i="83"/>
  <c r="B40" i="110" s="1"/>
  <c r="D24" i="83"/>
  <c r="C41" i="110" s="1"/>
  <c r="D21" i="83"/>
  <c r="C40" i="110" s="1"/>
  <c r="C12" i="83"/>
  <c r="C15" i="83"/>
  <c r="C18" i="83"/>
  <c r="C13" i="83"/>
  <c r="F15" i="83"/>
  <c r="D13" i="83"/>
  <c r="F58" i="83" l="1"/>
  <c r="E46" i="110" s="1"/>
  <c r="C46" i="110"/>
  <c r="B43" i="110"/>
  <c r="D79" i="22"/>
  <c r="C43" i="110"/>
  <c r="E79" i="22"/>
  <c r="D147" i="84"/>
  <c r="F147" i="84" s="1"/>
  <c r="C147" i="84"/>
  <c r="D146" i="84"/>
  <c r="C146" i="84"/>
  <c r="D145" i="84"/>
  <c r="C145" i="84"/>
  <c r="D144" i="84"/>
  <c r="C144" i="84"/>
  <c r="D46" i="84"/>
  <c r="F157" i="84"/>
  <c r="F156" i="84"/>
  <c r="D156" i="84"/>
  <c r="D142" i="84"/>
  <c r="F142" i="84" s="1"/>
  <c r="C142" i="84"/>
  <c r="D141" i="84"/>
  <c r="C141" i="84"/>
  <c r="D140" i="84"/>
  <c r="C140" i="84"/>
  <c r="D139" i="84"/>
  <c r="F139" i="84" s="1"/>
  <c r="C139" i="84"/>
  <c r="D138" i="84" l="1"/>
  <c r="F137" i="84"/>
  <c r="D137" i="84"/>
  <c r="C137" i="84"/>
  <c r="D131" i="84"/>
  <c r="C131" i="84"/>
  <c r="C130" i="84" l="1"/>
  <c r="F126" i="84" l="1"/>
  <c r="D124" i="84"/>
  <c r="C124" i="84"/>
  <c r="D122" i="84"/>
  <c r="C122" i="84"/>
  <c r="D121" i="84"/>
  <c r="C29" i="110" s="1"/>
  <c r="C121" i="84"/>
  <c r="B29" i="110" s="1"/>
  <c r="D118" i="84"/>
  <c r="C118" i="84"/>
  <c r="D108" i="84"/>
  <c r="C108" i="84"/>
  <c r="E46" i="22" l="1"/>
  <c r="C33" i="110"/>
  <c r="D44" i="22"/>
  <c r="D45" i="22" s="1"/>
  <c r="B35" i="110"/>
  <c r="E43" i="22"/>
  <c r="C28" i="110"/>
  <c r="E44" i="22"/>
  <c r="E45" i="22" s="1"/>
  <c r="C35" i="110"/>
  <c r="D46" i="22"/>
  <c r="B33" i="110"/>
  <c r="D43" i="22"/>
  <c r="B28" i="110"/>
  <c r="D115" i="84"/>
  <c r="C115" i="84"/>
  <c r="D112" i="84"/>
  <c r="C112" i="84"/>
  <c r="D111" i="84"/>
  <c r="F111" i="84" s="1"/>
  <c r="C111" i="84"/>
  <c r="D109" i="84"/>
  <c r="C109" i="84"/>
  <c r="D107" i="84"/>
  <c r="C107" i="84"/>
  <c r="F106" i="84"/>
  <c r="E32" i="110" s="1"/>
  <c r="D106" i="84"/>
  <c r="C32" i="110" s="1"/>
  <c r="C106" i="84"/>
  <c r="B32" i="110" s="1"/>
  <c r="E105" i="84"/>
  <c r="D31" i="110" s="1"/>
  <c r="D105" i="84"/>
  <c r="C105" i="84"/>
  <c r="D47" i="22" l="1"/>
  <c r="B31" i="110"/>
  <c r="E47" i="22"/>
  <c r="C31" i="110"/>
  <c r="D76" i="84"/>
  <c r="D41" i="84"/>
  <c r="D60" i="84"/>
  <c r="F60" i="84" s="1"/>
  <c r="C60" i="84"/>
  <c r="D59" i="84"/>
  <c r="C59" i="84"/>
  <c r="D58" i="84"/>
  <c r="C58" i="84"/>
  <c r="D57" i="84"/>
  <c r="C57" i="84"/>
  <c r="D56" i="84"/>
  <c r="C56" i="84"/>
  <c r="D55" i="84"/>
  <c r="F55" i="84" s="1"/>
  <c r="C55" i="84"/>
  <c r="D52" i="84"/>
  <c r="C53" i="84"/>
  <c r="C54" i="84"/>
  <c r="C65" i="84"/>
  <c r="D72" i="84"/>
  <c r="D70" i="84"/>
  <c r="C22" i="110" s="1"/>
  <c r="C70" i="84"/>
  <c r="B22" i="110" s="1"/>
  <c r="F54" i="84" l="1"/>
  <c r="F51" i="84"/>
  <c r="D51" i="84"/>
  <c r="C51" i="84"/>
  <c r="F50" i="84"/>
  <c r="D50" i="84"/>
  <c r="C50" i="84"/>
  <c r="D49" i="84"/>
  <c r="C49" i="84"/>
  <c r="D48" i="84"/>
  <c r="C48" i="84"/>
  <c r="D47" i="84"/>
  <c r="C47" i="84"/>
  <c r="F47" i="84"/>
  <c r="D44" i="84"/>
  <c r="C44" i="84"/>
  <c r="F45" i="84"/>
  <c r="D45" i="84"/>
  <c r="F43" i="84"/>
  <c r="D40" i="84"/>
  <c r="C40" i="84"/>
  <c r="F36" i="84"/>
  <c r="F20" i="84"/>
  <c r="F18" i="84"/>
  <c r="F17" i="84"/>
  <c r="D43" i="84"/>
  <c r="C43" i="84"/>
  <c r="C41" i="84"/>
  <c r="D39" i="84"/>
  <c r="C39" i="84"/>
  <c r="C80" i="84"/>
  <c r="D34" i="84"/>
  <c r="C34" i="84"/>
  <c r="D32" i="84"/>
  <c r="C32" i="84"/>
  <c r="D31" i="84"/>
  <c r="C17" i="110" s="1"/>
  <c r="C31" i="84"/>
  <c r="D28" i="84"/>
  <c r="C16" i="110" s="1"/>
  <c r="C28" i="84"/>
  <c r="D19" i="84"/>
  <c r="F19" i="84" s="1"/>
  <c r="C19" i="84"/>
  <c r="D22" i="84"/>
  <c r="F22" i="84" s="1"/>
  <c r="C22" i="84"/>
  <c r="D26" i="84"/>
  <c r="C26" i="84"/>
  <c r="D20" i="84"/>
  <c r="C20" i="84"/>
  <c r="D23" i="84"/>
  <c r="C23" i="84"/>
  <c r="D18" i="84"/>
  <c r="C18" i="84"/>
  <c r="D17" i="84"/>
  <c r="C17" i="84"/>
  <c r="E16" i="84"/>
  <c r="D20" i="110" s="1"/>
  <c r="D16" i="84"/>
  <c r="C20" i="110" s="1"/>
  <c r="C16" i="84"/>
  <c r="E15" i="84"/>
  <c r="D15" i="84"/>
  <c r="C15" i="84"/>
  <c r="B19" i="110" s="1"/>
  <c r="E14" i="84"/>
  <c r="G17" i="55" s="1"/>
  <c r="F17" i="55"/>
  <c r="E13" i="84"/>
  <c r="G16" i="55" s="1"/>
  <c r="F16" i="55"/>
  <c r="E12" i="84"/>
  <c r="G15" i="55" s="1"/>
  <c r="D12" i="84"/>
  <c r="F15" i="55" s="1"/>
  <c r="C12" i="84"/>
  <c r="E11" i="84"/>
  <c r="E28" i="22" l="1"/>
  <c r="C19" i="110"/>
  <c r="G18" i="55"/>
  <c r="D19" i="110"/>
  <c r="F14" i="55"/>
  <c r="U18" i="55"/>
  <c r="D28" i="22"/>
  <c r="U27" i="55"/>
  <c r="D27" i="22"/>
  <c r="B21" i="110"/>
  <c r="E27" i="22"/>
  <c r="C21" i="110"/>
  <c r="U24" i="55"/>
  <c r="B16" i="110"/>
  <c r="D25" i="22"/>
  <c r="D26" i="22" s="1"/>
  <c r="B23" i="110"/>
  <c r="U22" i="55"/>
  <c r="B20" i="110"/>
  <c r="E25" i="22"/>
  <c r="E26" i="22" s="1"/>
  <c r="C23" i="110"/>
  <c r="G14" i="55"/>
  <c r="D18" i="110"/>
  <c r="U26" i="55"/>
  <c r="B17" i="110"/>
  <c r="E17" i="55"/>
  <c r="U17" i="55"/>
  <c r="E16" i="55"/>
  <c r="U16" i="55"/>
  <c r="E15" i="55"/>
  <c r="U15" i="55"/>
  <c r="C11" i="84"/>
  <c r="B18" i="110" s="1"/>
  <c r="D11" i="84"/>
  <c r="C18" i="110" s="1"/>
  <c r="F54" i="22"/>
  <c r="J19" i="29"/>
  <c r="E70" i="22"/>
  <c r="E48" i="54"/>
  <c r="F112" i="54"/>
  <c r="E112" i="54"/>
  <c r="F109" i="54"/>
  <c r="E109" i="54"/>
  <c r="E71" i="54"/>
  <c r="F91" i="54"/>
  <c r="E91" i="54"/>
  <c r="F48" i="54"/>
  <c r="F39" i="54"/>
  <c r="E39" i="54"/>
  <c r="F33" i="54"/>
  <c r="D54" i="22"/>
  <c r="H35" i="49"/>
  <c r="H31" i="49" s="1"/>
  <c r="U14" i="55" l="1"/>
  <c r="E14" i="55"/>
  <c r="E95" i="54"/>
  <c r="C23" i="62" l="1"/>
  <c r="D23" i="62"/>
  <c r="E23" i="62"/>
  <c r="F23" i="62"/>
  <c r="G23" i="62"/>
  <c r="C14" i="69" l="1"/>
  <c r="E14" i="69" s="1"/>
  <c r="C9" i="69"/>
  <c r="E44" i="69"/>
  <c r="E9" i="69" l="1"/>
  <c r="D38" i="24"/>
  <c r="D37" i="24"/>
  <c r="D34" i="24"/>
  <c r="D30" i="24"/>
  <c r="K180" i="21" l="1"/>
  <c r="M180" i="21"/>
  <c r="E179" i="21"/>
  <c r="F179" i="21"/>
  <c r="G179" i="21"/>
  <c r="H179" i="21"/>
  <c r="I179" i="21"/>
  <c r="J179" i="21"/>
  <c r="K179" i="21"/>
  <c r="L179" i="21"/>
  <c r="M179" i="21"/>
  <c r="N179" i="21"/>
  <c r="O179" i="21"/>
  <c r="P179" i="21"/>
  <c r="F180" i="21"/>
  <c r="G180" i="21"/>
  <c r="H180" i="21"/>
  <c r="I180" i="21"/>
  <c r="J180" i="21"/>
  <c r="L180" i="21"/>
  <c r="N180" i="21"/>
  <c r="O180" i="21"/>
  <c r="P180" i="21"/>
  <c r="S117" i="21"/>
  <c r="E115" i="21" s="1"/>
  <c r="U115" i="21"/>
  <c r="U116" i="21" s="1"/>
  <c r="U117" i="21" s="1"/>
  <c r="G115" i="21" s="1"/>
  <c r="T115" i="21"/>
  <c r="T116" i="21" s="1"/>
  <c r="T117" i="21" s="1"/>
  <c r="F115" i="21" s="1"/>
  <c r="S115" i="21"/>
  <c r="S116" i="21" s="1"/>
  <c r="E116" i="21" s="1"/>
  <c r="AD115" i="21"/>
  <c r="AD116" i="21" s="1"/>
  <c r="AD117" i="21" s="1"/>
  <c r="P115" i="21" s="1"/>
  <c r="AC115" i="21"/>
  <c r="AC116" i="21" s="1"/>
  <c r="AC117" i="21" s="1"/>
  <c r="O115" i="21" s="1"/>
  <c r="AB115" i="21"/>
  <c r="AB116" i="21" s="1"/>
  <c r="AB117" i="21" s="1"/>
  <c r="N115" i="21" s="1"/>
  <c r="AA115" i="21"/>
  <c r="AA116" i="21" s="1"/>
  <c r="AA117" i="21" s="1"/>
  <c r="M115" i="21" s="1"/>
  <c r="Z115" i="21"/>
  <c r="Z116" i="21" s="1"/>
  <c r="Z117" i="21" s="1"/>
  <c r="L115" i="21" s="1"/>
  <c r="Y115" i="21"/>
  <c r="Y116" i="21" s="1"/>
  <c r="Y117" i="21" s="1"/>
  <c r="K115" i="21" s="1"/>
  <c r="X115" i="21"/>
  <c r="X116" i="21" s="1"/>
  <c r="X117" i="21" s="1"/>
  <c r="J115" i="21" s="1"/>
  <c r="V115" i="21"/>
  <c r="V116" i="21" s="1"/>
  <c r="V117" i="21" s="1"/>
  <c r="H115" i="21" s="1"/>
  <c r="W115" i="21"/>
  <c r="W116" i="21" s="1"/>
  <c r="W117" i="21" s="1"/>
  <c r="I115" i="21" s="1"/>
  <c r="D117" i="21"/>
  <c r="D118" i="21"/>
  <c r="E114" i="21"/>
  <c r="N116" i="21" l="1"/>
  <c r="H116" i="21"/>
  <c r="M116" i="21"/>
  <c r="G116" i="21"/>
  <c r="L116" i="21"/>
  <c r="F116" i="21"/>
  <c r="K116" i="21"/>
  <c r="R117" i="21"/>
  <c r="P116" i="21"/>
  <c r="J116" i="21"/>
  <c r="O116" i="21"/>
  <c r="I116" i="21"/>
  <c r="R116" i="21"/>
  <c r="R115" i="21"/>
  <c r="E15" i="21" l="1"/>
  <c r="F15" i="21"/>
  <c r="G15" i="21"/>
  <c r="H15" i="21"/>
  <c r="I15" i="21"/>
  <c r="J15" i="21"/>
  <c r="K15" i="21"/>
  <c r="L15" i="21"/>
  <c r="M15" i="21"/>
  <c r="N15" i="21"/>
  <c r="O15" i="21"/>
  <c r="P15" i="21"/>
  <c r="D15" i="21"/>
  <c r="H15" i="49"/>
  <c r="T175" i="54"/>
  <c r="J141" i="49"/>
  <c r="J140" i="49" s="1"/>
  <c r="O132" i="54"/>
  <c r="P132" i="54"/>
  <c r="Q132" i="54"/>
  <c r="R132" i="54"/>
  <c r="S132" i="54"/>
  <c r="O131" i="54"/>
  <c r="P131" i="54"/>
  <c r="Q131" i="54"/>
  <c r="R131" i="54"/>
  <c r="S131" i="54"/>
  <c r="O129" i="54"/>
  <c r="P129" i="54"/>
  <c r="Q129" i="54"/>
  <c r="R129" i="54"/>
  <c r="S129" i="54"/>
  <c r="O128" i="54"/>
  <c r="P128" i="54"/>
  <c r="Q128" i="54"/>
  <c r="R128" i="54"/>
  <c r="S128" i="54"/>
  <c r="H106" i="49"/>
  <c r="I106" i="49"/>
  <c r="J106" i="49"/>
  <c r="K106" i="49"/>
  <c r="L106" i="49"/>
  <c r="H99" i="49"/>
  <c r="I99" i="49"/>
  <c r="J99" i="49"/>
  <c r="K99" i="49"/>
  <c r="L99" i="49"/>
  <c r="C142" i="49"/>
  <c r="H167" i="49"/>
  <c r="I167" i="49"/>
  <c r="J167" i="49"/>
  <c r="K167" i="49"/>
  <c r="L167" i="49"/>
  <c r="H164" i="49"/>
  <c r="I164" i="49"/>
  <c r="J164" i="49"/>
  <c r="K164" i="49"/>
  <c r="L164" i="49"/>
  <c r="H163" i="49"/>
  <c r="I163" i="49"/>
  <c r="J163" i="49"/>
  <c r="K163" i="49"/>
  <c r="L163" i="49"/>
  <c r="H161" i="49"/>
  <c r="I161" i="49"/>
  <c r="J161" i="49"/>
  <c r="K161" i="49"/>
  <c r="L161" i="49"/>
  <c r="H158" i="49"/>
  <c r="I158" i="49"/>
  <c r="J158" i="49"/>
  <c r="K158" i="49"/>
  <c r="L158" i="49"/>
  <c r="H157" i="49"/>
  <c r="I157" i="49"/>
  <c r="J157" i="49"/>
  <c r="K157" i="49"/>
  <c r="L157" i="49"/>
  <c r="H141" i="49"/>
  <c r="H140" i="49" s="1"/>
  <c r="I141" i="49"/>
  <c r="I140" i="49" s="1"/>
  <c r="K141" i="49"/>
  <c r="K140" i="49" s="1"/>
  <c r="L141" i="49"/>
  <c r="L140" i="49" s="1"/>
  <c r="M141" i="49"/>
  <c r="N141" i="49"/>
  <c r="T18" i="54"/>
  <c r="T17" i="54"/>
  <c r="E134" i="49"/>
  <c r="F134" i="49"/>
  <c r="G134" i="49"/>
  <c r="H134" i="49"/>
  <c r="I134" i="49"/>
  <c r="J134" i="49"/>
  <c r="K134" i="49"/>
  <c r="L134" i="49"/>
  <c r="M134" i="49"/>
  <c r="N134" i="49"/>
  <c r="O134" i="49"/>
  <c r="D134" i="49"/>
  <c r="E133" i="49"/>
  <c r="F133" i="49"/>
  <c r="G133" i="49"/>
  <c r="G132" i="49" s="1"/>
  <c r="H133" i="49"/>
  <c r="H132" i="49" s="1"/>
  <c r="I133" i="49"/>
  <c r="I132" i="49" s="1"/>
  <c r="P73" i="54" s="1"/>
  <c r="J133" i="49"/>
  <c r="J132" i="49" s="1"/>
  <c r="J166" i="49" s="1"/>
  <c r="K133" i="49"/>
  <c r="L133" i="49"/>
  <c r="M133" i="49"/>
  <c r="M132" i="49" s="1"/>
  <c r="N133" i="49"/>
  <c r="N132" i="49" s="1"/>
  <c r="O133" i="49"/>
  <c r="O132" i="49" s="1"/>
  <c r="D133" i="49"/>
  <c r="D132" i="49" s="1"/>
  <c r="E131" i="49"/>
  <c r="F131" i="49"/>
  <c r="G131" i="49"/>
  <c r="H131" i="49"/>
  <c r="I131" i="49"/>
  <c r="J131" i="49"/>
  <c r="K131" i="49"/>
  <c r="L131" i="49"/>
  <c r="M131" i="49"/>
  <c r="N131" i="49"/>
  <c r="O131" i="49"/>
  <c r="D131" i="49"/>
  <c r="E130" i="49"/>
  <c r="E129" i="49" s="1"/>
  <c r="F130" i="49"/>
  <c r="F129" i="49" s="1"/>
  <c r="G130" i="49"/>
  <c r="G129" i="49" s="1"/>
  <c r="H130" i="49"/>
  <c r="I130" i="49"/>
  <c r="J130" i="49"/>
  <c r="J129" i="49" s="1"/>
  <c r="K130" i="49"/>
  <c r="K129" i="49" s="1"/>
  <c r="K160" i="49" s="1"/>
  <c r="L130" i="49"/>
  <c r="M130" i="49"/>
  <c r="N130" i="49"/>
  <c r="N129" i="49" s="1"/>
  <c r="N128" i="49" s="1"/>
  <c r="O130" i="49"/>
  <c r="O129" i="49" s="1"/>
  <c r="O128" i="49" s="1"/>
  <c r="D130" i="49"/>
  <c r="D129" i="49" s="1"/>
  <c r="D128" i="49" s="1"/>
  <c r="E132" i="49"/>
  <c r="F132" i="49"/>
  <c r="K132" i="49"/>
  <c r="E127" i="49"/>
  <c r="F127" i="49"/>
  <c r="G127" i="49"/>
  <c r="H127" i="49"/>
  <c r="I127" i="49"/>
  <c r="J127" i="49"/>
  <c r="K127" i="49"/>
  <c r="L127" i="49"/>
  <c r="M127" i="49"/>
  <c r="N127" i="49"/>
  <c r="O127" i="49"/>
  <c r="D127" i="49"/>
  <c r="E126" i="49"/>
  <c r="E125" i="49" s="1"/>
  <c r="L145" i="54" s="1"/>
  <c r="F126" i="49"/>
  <c r="F125" i="49" s="1"/>
  <c r="M145" i="54" s="1"/>
  <c r="G126" i="49"/>
  <c r="G125" i="49" s="1"/>
  <c r="N145" i="54" s="1"/>
  <c r="H126" i="49"/>
  <c r="H125" i="49" s="1"/>
  <c r="H165" i="49" s="1"/>
  <c r="I126" i="49"/>
  <c r="I125" i="49" s="1"/>
  <c r="I165" i="49" s="1"/>
  <c r="J126" i="49"/>
  <c r="J125" i="49" s="1"/>
  <c r="K126" i="49"/>
  <c r="K125" i="49" s="1"/>
  <c r="L126" i="49"/>
  <c r="L125" i="49" s="1"/>
  <c r="L165" i="49" s="1"/>
  <c r="M126" i="49"/>
  <c r="M125" i="49" s="1"/>
  <c r="H145" i="54" s="1"/>
  <c r="N126" i="49"/>
  <c r="N125" i="49" s="1"/>
  <c r="I145" i="54" s="1"/>
  <c r="O126" i="49"/>
  <c r="O125" i="49" s="1"/>
  <c r="J145" i="54" s="1"/>
  <c r="D126" i="49"/>
  <c r="E124" i="49"/>
  <c r="F124" i="49"/>
  <c r="G124" i="49"/>
  <c r="H124" i="49"/>
  <c r="I124" i="49"/>
  <c r="J124" i="49"/>
  <c r="K124" i="49"/>
  <c r="L124" i="49"/>
  <c r="M124" i="49"/>
  <c r="N124" i="49"/>
  <c r="O124" i="49"/>
  <c r="D124" i="49"/>
  <c r="E123" i="49"/>
  <c r="E122" i="49" s="1"/>
  <c r="L144" i="54" s="1"/>
  <c r="F123" i="49"/>
  <c r="G123" i="49"/>
  <c r="H123" i="49"/>
  <c r="H122" i="49" s="1"/>
  <c r="O144" i="54" s="1"/>
  <c r="O93" i="54" s="1"/>
  <c r="I123" i="49"/>
  <c r="I122" i="49" s="1"/>
  <c r="P144" i="54" s="1"/>
  <c r="J123" i="49"/>
  <c r="K123" i="49"/>
  <c r="L123" i="49"/>
  <c r="M123" i="49"/>
  <c r="M122" i="49" s="1"/>
  <c r="N123" i="49"/>
  <c r="N122" i="49" s="1"/>
  <c r="O123" i="49"/>
  <c r="O122" i="49" s="1"/>
  <c r="D123" i="49"/>
  <c r="D122" i="49" s="1"/>
  <c r="D69" i="49"/>
  <c r="E69" i="49"/>
  <c r="F69" i="49"/>
  <c r="G69" i="49"/>
  <c r="H69" i="49"/>
  <c r="I69" i="49"/>
  <c r="J69" i="49"/>
  <c r="K69" i="49"/>
  <c r="L69" i="49"/>
  <c r="M69" i="49"/>
  <c r="N69" i="49"/>
  <c r="O69" i="49"/>
  <c r="D72" i="49"/>
  <c r="E72" i="49"/>
  <c r="F72" i="49"/>
  <c r="G72" i="49"/>
  <c r="H72" i="49"/>
  <c r="I72" i="49"/>
  <c r="J72" i="49"/>
  <c r="K72" i="49"/>
  <c r="L72" i="49"/>
  <c r="M72" i="49"/>
  <c r="N72" i="49"/>
  <c r="O72" i="49"/>
  <c r="C69" i="49"/>
  <c r="C72" i="49"/>
  <c r="I62" i="49"/>
  <c r="J62" i="49"/>
  <c r="K62" i="49"/>
  <c r="L62" i="49"/>
  <c r="M62" i="49"/>
  <c r="N62" i="49"/>
  <c r="O62" i="49"/>
  <c r="I65" i="49"/>
  <c r="J65" i="49"/>
  <c r="K65" i="49"/>
  <c r="L65" i="49"/>
  <c r="M65" i="49"/>
  <c r="N65" i="49"/>
  <c r="O65" i="49"/>
  <c r="D62" i="49"/>
  <c r="E62" i="49"/>
  <c r="F62" i="49"/>
  <c r="G62" i="49"/>
  <c r="D65" i="49"/>
  <c r="E65" i="49"/>
  <c r="F65" i="49"/>
  <c r="G65" i="49"/>
  <c r="C65" i="49"/>
  <c r="C62" i="49"/>
  <c r="H62" i="49"/>
  <c r="H65" i="49"/>
  <c r="D52" i="49"/>
  <c r="E52" i="49" s="1"/>
  <c r="F52" i="49" s="1"/>
  <c r="G52" i="49" s="1"/>
  <c r="M52" i="49" s="1"/>
  <c r="N52" i="49" s="1"/>
  <c r="O52" i="49" s="1"/>
  <c r="D51" i="49"/>
  <c r="E51" i="49" s="1"/>
  <c r="F51" i="49" s="1"/>
  <c r="G51" i="49" s="1"/>
  <c r="M51" i="49" s="1"/>
  <c r="N51" i="49" s="1"/>
  <c r="O51" i="49" s="1"/>
  <c r="D42" i="49"/>
  <c r="E42" i="49" s="1"/>
  <c r="F42" i="49" s="1"/>
  <c r="G42" i="49" s="1"/>
  <c r="M42" i="49" s="1"/>
  <c r="N42" i="49" s="1"/>
  <c r="O42" i="49" s="1"/>
  <c r="K122" i="49" l="1"/>
  <c r="S127" i="54"/>
  <c r="C61" i="49"/>
  <c r="J122" i="49"/>
  <c r="D125" i="49"/>
  <c r="C125" i="49" s="1"/>
  <c r="I75" i="49"/>
  <c r="P127" i="54"/>
  <c r="G61" i="49"/>
  <c r="F122" i="49"/>
  <c r="F121" i="49" s="1"/>
  <c r="L75" i="49"/>
  <c r="N121" i="49"/>
  <c r="N120" i="49" s="1"/>
  <c r="G122" i="49"/>
  <c r="G121" i="49" s="1"/>
  <c r="J61" i="49"/>
  <c r="K61" i="49"/>
  <c r="S130" i="54"/>
  <c r="P130" i="54"/>
  <c r="P93" i="54"/>
  <c r="Q130" i="54"/>
  <c r="K165" i="49"/>
  <c r="R145" i="54"/>
  <c r="R94" i="54" s="1"/>
  <c r="K75" i="49"/>
  <c r="R130" i="54"/>
  <c r="F128" i="49"/>
  <c r="O61" i="49"/>
  <c r="H75" i="49"/>
  <c r="O127" i="54"/>
  <c r="K121" i="49"/>
  <c r="R127" i="54"/>
  <c r="I61" i="49"/>
  <c r="Q145" i="54"/>
  <c r="Q94" i="54" s="1"/>
  <c r="J165" i="49"/>
  <c r="J162" i="49" s="1"/>
  <c r="J153" i="49" s="1"/>
  <c r="I144" i="54"/>
  <c r="I143" i="54" s="1"/>
  <c r="H68" i="49"/>
  <c r="E128" i="49"/>
  <c r="C134" i="49"/>
  <c r="Q73" i="54"/>
  <c r="N61" i="49"/>
  <c r="C126" i="49"/>
  <c r="H121" i="49"/>
  <c r="I159" i="49"/>
  <c r="O130" i="54"/>
  <c r="H159" i="49"/>
  <c r="E61" i="49"/>
  <c r="C68" i="49"/>
  <c r="C60" i="49" s="1"/>
  <c r="D60" i="49" s="1"/>
  <c r="E60" i="49" s="1"/>
  <c r="F60" i="49" s="1"/>
  <c r="G60" i="49" s="1"/>
  <c r="H60" i="49" s="1"/>
  <c r="I60" i="49" s="1"/>
  <c r="J60" i="49" s="1"/>
  <c r="K60" i="49" s="1"/>
  <c r="L60" i="49" s="1"/>
  <c r="M60" i="49" s="1"/>
  <c r="N60" i="49" s="1"/>
  <c r="O60" i="49" s="1"/>
  <c r="L143" i="54"/>
  <c r="G128" i="49"/>
  <c r="E121" i="49"/>
  <c r="O145" i="54"/>
  <c r="O94" i="54" s="1"/>
  <c r="O121" i="49"/>
  <c r="O120" i="49" s="1"/>
  <c r="J144" i="54"/>
  <c r="J143" i="54" s="1"/>
  <c r="C131" i="49"/>
  <c r="N68" i="49"/>
  <c r="I129" i="49"/>
  <c r="S145" i="54"/>
  <c r="S94" i="54" s="1"/>
  <c r="Q127" i="54"/>
  <c r="J68" i="49"/>
  <c r="H144" i="54"/>
  <c r="M121" i="49"/>
  <c r="J160" i="49"/>
  <c r="J128" i="49"/>
  <c r="Q72" i="54"/>
  <c r="I166" i="49"/>
  <c r="I162" i="49" s="1"/>
  <c r="M68" i="49"/>
  <c r="G68" i="49"/>
  <c r="H166" i="49"/>
  <c r="H162" i="49" s="1"/>
  <c r="O73" i="54"/>
  <c r="H129" i="49"/>
  <c r="C133" i="49"/>
  <c r="T144" i="54"/>
  <c r="J75" i="49"/>
  <c r="D68" i="49"/>
  <c r="J159" i="49"/>
  <c r="J121" i="49"/>
  <c r="R73" i="54"/>
  <c r="K166" i="49"/>
  <c r="K128" i="49"/>
  <c r="M61" i="49"/>
  <c r="C130" i="49"/>
  <c r="D61" i="49"/>
  <c r="K144" i="54"/>
  <c r="C124" i="49"/>
  <c r="C127" i="49"/>
  <c r="P145" i="54"/>
  <c r="P94" i="54" s="1"/>
  <c r="R72" i="54"/>
  <c r="K68" i="49"/>
  <c r="E68" i="49"/>
  <c r="R144" i="54"/>
  <c r="K159" i="49"/>
  <c r="K156" i="49" s="1"/>
  <c r="C123" i="49"/>
  <c r="L129" i="49"/>
  <c r="L132" i="49"/>
  <c r="C132" i="49" s="1"/>
  <c r="I121" i="49"/>
  <c r="Q144" i="54"/>
  <c r="Q93" i="54" s="1"/>
  <c r="F61" i="49"/>
  <c r="L61" i="49"/>
  <c r="O68" i="49"/>
  <c r="I68" i="49"/>
  <c r="H61" i="49"/>
  <c r="L68" i="49"/>
  <c r="F68" i="49"/>
  <c r="M129" i="49"/>
  <c r="M128" i="49" s="1"/>
  <c r="J150" i="49"/>
  <c r="Q61" i="54" s="1"/>
  <c r="L122" i="49"/>
  <c r="I36" i="49"/>
  <c r="D121" i="49" l="1"/>
  <c r="K145" i="54"/>
  <c r="C122" i="49"/>
  <c r="N144" i="54"/>
  <c r="N143" i="54" s="1"/>
  <c r="G120" i="49"/>
  <c r="K120" i="49"/>
  <c r="K178" i="49" s="1"/>
  <c r="K179" i="49" s="1"/>
  <c r="M144" i="54"/>
  <c r="M143" i="54" s="1"/>
  <c r="F120" i="49"/>
  <c r="K143" i="54"/>
  <c r="C129" i="49"/>
  <c r="N27" i="29"/>
  <c r="K162" i="49"/>
  <c r="K149" i="49" s="1"/>
  <c r="H150" i="49"/>
  <c r="O61" i="54" s="1"/>
  <c r="H151" i="49"/>
  <c r="O62" i="54" s="1"/>
  <c r="J149" i="49"/>
  <c r="J36" i="49"/>
  <c r="I35" i="49"/>
  <c r="I31" i="49" s="1"/>
  <c r="I15" i="49" s="1"/>
  <c r="J120" i="49"/>
  <c r="J178" i="49" s="1"/>
  <c r="J179" i="49" s="1"/>
  <c r="M120" i="49"/>
  <c r="G145" i="54"/>
  <c r="J152" i="49"/>
  <c r="N203" i="54" s="1"/>
  <c r="O143" i="54"/>
  <c r="J181" i="49"/>
  <c r="N124" i="21" s="1"/>
  <c r="M27" i="29"/>
  <c r="P143" i="54"/>
  <c r="J151" i="49"/>
  <c r="Q62" i="54" s="1"/>
  <c r="Q143" i="54"/>
  <c r="H152" i="49"/>
  <c r="L203" i="54" s="1"/>
  <c r="E120" i="49"/>
  <c r="K153" i="49"/>
  <c r="K147" i="49"/>
  <c r="K180" i="49"/>
  <c r="O123" i="21" s="1"/>
  <c r="K144" i="49"/>
  <c r="K146" i="49"/>
  <c r="R55" i="54" s="1"/>
  <c r="K143" i="49"/>
  <c r="K145" i="49"/>
  <c r="R54" i="54" s="1"/>
  <c r="I153" i="49"/>
  <c r="I181" i="49"/>
  <c r="M124" i="21" s="1"/>
  <c r="I151" i="49"/>
  <c r="P62" i="54" s="1"/>
  <c r="I150" i="49"/>
  <c r="P61" i="54" s="1"/>
  <c r="I149" i="49"/>
  <c r="I152" i="49"/>
  <c r="R93" i="54"/>
  <c r="R143" i="54"/>
  <c r="J156" i="49"/>
  <c r="K152" i="49"/>
  <c r="R63" i="54" s="1"/>
  <c r="R41" i="54" s="1"/>
  <c r="H149" i="49"/>
  <c r="H160" i="49"/>
  <c r="O72" i="54"/>
  <c r="H128" i="49"/>
  <c r="H143" i="54"/>
  <c r="I160" i="49"/>
  <c r="P72" i="54"/>
  <c r="I128" i="49"/>
  <c r="I120" i="49" s="1"/>
  <c r="I178" i="49" s="1"/>
  <c r="I179" i="49" s="1"/>
  <c r="S144" i="54"/>
  <c r="L121" i="49"/>
  <c r="L159" i="49"/>
  <c r="S73" i="54"/>
  <c r="L166" i="49"/>
  <c r="S72" i="54"/>
  <c r="L160" i="49"/>
  <c r="L128" i="49"/>
  <c r="H153" i="49"/>
  <c r="H181" i="49"/>
  <c r="L124" i="21" s="1"/>
  <c r="D120" i="49"/>
  <c r="I29" i="62"/>
  <c r="D64" i="24" s="1"/>
  <c r="K155" i="49" l="1"/>
  <c r="K181" i="49"/>
  <c r="O124" i="21" s="1"/>
  <c r="Q63" i="54"/>
  <c r="Q41" i="54" s="1"/>
  <c r="L27" i="29"/>
  <c r="H8" i="49"/>
  <c r="J8" i="49"/>
  <c r="I8" i="49"/>
  <c r="K8" i="49"/>
  <c r="L8" i="49"/>
  <c r="K151" i="49"/>
  <c r="R62" i="54" s="1"/>
  <c r="K150" i="49"/>
  <c r="R61" i="54" s="1"/>
  <c r="K36" i="49"/>
  <c r="J35" i="49"/>
  <c r="J31" i="49" s="1"/>
  <c r="J15" i="49" s="1"/>
  <c r="L120" i="49"/>
  <c r="L178" i="49" s="1"/>
  <c r="L179" i="49" s="1"/>
  <c r="O63" i="54"/>
  <c r="O41" i="54" s="1"/>
  <c r="S93" i="54"/>
  <c r="S143" i="54"/>
  <c r="G143" i="54" s="1"/>
  <c r="G133" i="54" s="1"/>
  <c r="M203" i="54"/>
  <c r="P63" i="54"/>
  <c r="P41" i="54" s="1"/>
  <c r="H120" i="49"/>
  <c r="H178" i="49" s="1"/>
  <c r="H179" i="49" s="1"/>
  <c r="C128" i="49"/>
  <c r="J147" i="49"/>
  <c r="J180" i="49"/>
  <c r="N123" i="21" s="1"/>
  <c r="J146" i="49"/>
  <c r="Q55" i="54" s="1"/>
  <c r="J144" i="49"/>
  <c r="J143" i="49"/>
  <c r="J155" i="49"/>
  <c r="L162" i="49"/>
  <c r="L152" i="49" s="1"/>
  <c r="S63" i="54" s="1"/>
  <c r="S41" i="54" s="1"/>
  <c r="H156" i="49"/>
  <c r="C121" i="49"/>
  <c r="I156" i="49"/>
  <c r="I146" i="49" s="1"/>
  <c r="P55" i="54" s="1"/>
  <c r="J145" i="49"/>
  <c r="Q54" i="54" s="1"/>
  <c r="Q37" i="54" s="1"/>
  <c r="L156" i="49"/>
  <c r="L145" i="49" s="1"/>
  <c r="S54" i="54" s="1"/>
  <c r="G144" i="54"/>
  <c r="P12" i="21"/>
  <c r="AD12" i="21" s="1"/>
  <c r="AD13" i="21" s="1"/>
  <c r="O12" i="21"/>
  <c r="AC12" i="21" s="1"/>
  <c r="AC13" i="21" s="1"/>
  <c r="N12" i="21"/>
  <c r="AB12" i="21" s="1"/>
  <c r="AB13" i="21" s="1"/>
  <c r="M12" i="21"/>
  <c r="AA12" i="21" s="1"/>
  <c r="AA13" i="21" s="1"/>
  <c r="L12" i="21"/>
  <c r="Z12" i="21" s="1"/>
  <c r="Z13" i="21" s="1"/>
  <c r="K12" i="21"/>
  <c r="Y12" i="21" s="1"/>
  <c r="Y13" i="21" s="1"/>
  <c r="J12" i="21"/>
  <c r="X12" i="21" s="1"/>
  <c r="X13" i="21" s="1"/>
  <c r="I12" i="21"/>
  <c r="W12" i="21" s="1"/>
  <c r="W13" i="21" s="1"/>
  <c r="H12" i="21"/>
  <c r="V12" i="21" s="1"/>
  <c r="V13" i="21" s="1"/>
  <c r="G12" i="21"/>
  <c r="U12" i="21" s="1"/>
  <c r="U13" i="21" s="1"/>
  <c r="F12" i="21"/>
  <c r="T12" i="21" s="1"/>
  <c r="T13" i="21" s="1"/>
  <c r="E12" i="21"/>
  <c r="E16" i="21" l="1"/>
  <c r="S12" i="21"/>
  <c r="S13" i="21" s="1"/>
  <c r="R13" i="21" s="1"/>
  <c r="D12" i="21"/>
  <c r="F57" i="84" s="1"/>
  <c r="L36" i="49"/>
  <c r="L35" i="49" s="1"/>
  <c r="L31" i="49" s="1"/>
  <c r="L15" i="49" s="1"/>
  <c r="K35" i="49"/>
  <c r="K31" i="49" s="1"/>
  <c r="K15" i="49" s="1"/>
  <c r="C120" i="49"/>
  <c r="L153" i="49"/>
  <c r="L181" i="49"/>
  <c r="P124" i="21" s="1"/>
  <c r="L150" i="49"/>
  <c r="S61" i="54" s="1"/>
  <c r="L149" i="49"/>
  <c r="L151" i="49"/>
  <c r="S62" i="54" s="1"/>
  <c r="I147" i="49"/>
  <c r="I180" i="49"/>
  <c r="M123" i="21" s="1"/>
  <c r="I145" i="49"/>
  <c r="P54" i="54" s="1"/>
  <c r="I155" i="49"/>
  <c r="I144" i="49"/>
  <c r="I143" i="49"/>
  <c r="H147" i="49"/>
  <c r="H180" i="49"/>
  <c r="L123" i="21" s="1"/>
  <c r="H145" i="49"/>
  <c r="O54" i="54" s="1"/>
  <c r="H144" i="49"/>
  <c r="H143" i="49"/>
  <c r="H155" i="49"/>
  <c r="L147" i="49"/>
  <c r="L180" i="49"/>
  <c r="P123" i="21" s="1"/>
  <c r="L143" i="49"/>
  <c r="L155" i="49"/>
  <c r="L144" i="49"/>
  <c r="L146" i="49"/>
  <c r="S55" i="54" s="1"/>
  <c r="H146" i="49"/>
  <c r="O55" i="54" s="1"/>
  <c r="D7" i="21"/>
  <c r="D16" i="21" l="1"/>
  <c r="G10" i="118"/>
  <c r="G11" i="118"/>
  <c r="G12" i="118"/>
  <c r="G13" i="118"/>
  <c r="G9" i="118"/>
  <c r="E9" i="118"/>
  <c r="G8" i="118"/>
  <c r="Q18" i="62" l="1"/>
  <c r="D19" i="21" l="1"/>
  <c r="T15" i="115" l="1"/>
  <c r="U15" i="115"/>
  <c r="V15" i="115"/>
  <c r="W15" i="115"/>
  <c r="K9" i="92" l="1"/>
  <c r="J9" i="92"/>
  <c r="I9" i="92"/>
  <c r="H9" i="92"/>
  <c r="G9" i="92"/>
  <c r="H9" i="61"/>
  <c r="I9" i="61"/>
  <c r="J9" i="61"/>
  <c r="K9" i="61"/>
  <c r="D38" i="58"/>
  <c r="B7" i="125"/>
  <c r="B16" i="155" l="1"/>
  <c r="C16" i="155" s="1"/>
  <c r="D16" i="155" s="1"/>
  <c r="B8" i="155" l="1"/>
  <c r="D7" i="155"/>
  <c r="C7" i="155"/>
  <c r="C5" i="155"/>
  <c r="D4" i="155"/>
  <c r="C4" i="155"/>
  <c r="E4" i="155" l="1"/>
  <c r="C6" i="155"/>
  <c r="C8" i="155" s="1"/>
  <c r="C9" i="155" s="1"/>
  <c r="E7" i="155"/>
  <c r="D5" i="155"/>
  <c r="E5" i="155" s="1"/>
  <c r="D6" i="155"/>
  <c r="D8" i="155" l="1"/>
  <c r="D9" i="155" s="1"/>
  <c r="E6" i="155"/>
  <c r="E8" i="155" s="1"/>
  <c r="E9" i="155" l="1"/>
  <c r="E16" i="155"/>
  <c r="H16" i="155" s="1"/>
  <c r="H44" i="55"/>
  <c r="C34" i="132" s="1"/>
  <c r="H21" i="154" l="1"/>
  <c r="H16" i="154"/>
  <c r="H11" i="154"/>
  <c r="H10" i="154"/>
  <c r="H17" i="153"/>
  <c r="H16" i="153"/>
  <c r="H12" i="153"/>
  <c r="F137" i="150" l="1"/>
  <c r="E137" i="150"/>
  <c r="D137" i="150"/>
  <c r="C137" i="150"/>
  <c r="F136" i="150"/>
  <c r="E136" i="150"/>
  <c r="D136" i="150"/>
  <c r="C136" i="150"/>
  <c r="F135" i="150"/>
  <c r="E135" i="150"/>
  <c r="D135" i="150"/>
  <c r="C135" i="150"/>
  <c r="F134" i="150"/>
  <c r="E134" i="150"/>
  <c r="D134" i="150"/>
  <c r="C134" i="150"/>
  <c r="E86" i="150"/>
  <c r="E87" i="150"/>
  <c r="E88" i="150"/>
  <c r="E89" i="150"/>
  <c r="E90" i="150"/>
  <c r="E91" i="150"/>
  <c r="E92" i="150"/>
  <c r="E93" i="150"/>
  <c r="E95" i="150"/>
  <c r="E96" i="150"/>
  <c r="E97" i="150"/>
  <c r="E98" i="150"/>
  <c r="E100" i="150"/>
  <c r="E101" i="150"/>
  <c r="E102" i="150"/>
  <c r="E103" i="150"/>
  <c r="D104" i="150"/>
  <c r="E104" i="150"/>
  <c r="F104" i="150"/>
  <c r="G104" i="150"/>
  <c r="E106" i="150"/>
  <c r="D107" i="150"/>
  <c r="E107" i="150"/>
  <c r="F107" i="150"/>
  <c r="G107" i="150"/>
  <c r="D108" i="150"/>
  <c r="E108" i="150"/>
  <c r="F108" i="150"/>
  <c r="G108" i="150"/>
  <c r="D109" i="150"/>
  <c r="E109" i="150"/>
  <c r="F109" i="150"/>
  <c r="G109" i="150"/>
  <c r="E111" i="150"/>
  <c r="E112" i="150"/>
  <c r="E113" i="150"/>
  <c r="E114" i="150"/>
  <c r="C107" i="150"/>
  <c r="C108" i="150"/>
  <c r="C109" i="150"/>
  <c r="C104" i="150"/>
  <c r="C74" i="150"/>
  <c r="C72" i="150"/>
  <c r="J33" i="124"/>
  <c r="G37" i="120"/>
  <c r="E37" i="120"/>
  <c r="E14" i="120"/>
  <c r="E13" i="120"/>
  <c r="E12" i="120"/>
  <c r="E10" i="120"/>
  <c r="E9" i="120"/>
  <c r="E110" i="150" l="1"/>
  <c r="E85" i="150"/>
  <c r="E94" i="150"/>
  <c r="E99" i="150"/>
  <c r="E84" i="150" l="1"/>
  <c r="E105" i="150" s="1"/>
  <c r="G11" i="20" l="1"/>
  <c r="F60" i="98" s="1"/>
  <c r="G60" i="98" l="1"/>
  <c r="H60" i="98"/>
  <c r="C46" i="146"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7" i="145"/>
  <c r="D59" i="145"/>
  <c r="D60" i="145"/>
  <c r="D61" i="145"/>
  <c r="D62" i="145"/>
  <c r="D63" i="145"/>
  <c r="D65" i="145"/>
  <c r="D66" i="145"/>
  <c r="C8" i="145"/>
  <c r="C9" i="145"/>
  <c r="C10" i="145"/>
  <c r="C11" i="145"/>
  <c r="C12" i="145"/>
  <c r="C13" i="145"/>
  <c r="C14" i="145"/>
  <c r="C15" i="145"/>
  <c r="C16" i="145"/>
  <c r="C17" i="145"/>
  <c r="C19" i="145"/>
  <c r="C20" i="145"/>
  <c r="C21" i="145"/>
  <c r="C22" i="145"/>
  <c r="C23" i="145"/>
  <c r="C24" i="145"/>
  <c r="C70" i="145"/>
  <c r="C73" i="145"/>
  <c r="C77" i="145"/>
  <c r="C95" i="145"/>
  <c r="C96" i="145"/>
  <c r="C97" i="145"/>
  <c r="C98" i="145"/>
  <c r="C101"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J1" i="110"/>
  <c r="I1" i="110"/>
  <c r="F193" i="107"/>
  <c r="G193" i="107"/>
  <c r="F192" i="107"/>
  <c r="G192" i="107"/>
  <c r="F191" i="107"/>
  <c r="G191" i="107"/>
  <c r="F187" i="107"/>
  <c r="G187" i="107"/>
  <c r="F186" i="107"/>
  <c r="G186" i="107"/>
  <c r="F185" i="107"/>
  <c r="G185" i="107"/>
  <c r="F206" i="107"/>
  <c r="G206" i="107"/>
  <c r="F205" i="107"/>
  <c r="G205" i="107"/>
  <c r="F204" i="107"/>
  <c r="G204" i="107"/>
  <c r="F200" i="107"/>
  <c r="G200" i="107"/>
  <c r="F199" i="107"/>
  <c r="G199" i="107"/>
  <c r="F198" i="107"/>
  <c r="G198" i="107"/>
  <c r="E213" i="107"/>
  <c r="F213" i="107"/>
  <c r="G213" i="107"/>
  <c r="E212" i="107"/>
  <c r="F212" i="107"/>
  <c r="G212" i="107"/>
  <c r="E211" i="107"/>
  <c r="F211" i="107"/>
  <c r="G211" i="107"/>
  <c r="F179" i="107"/>
  <c r="G179" i="107"/>
  <c r="F174" i="107"/>
  <c r="F180" i="107" s="1"/>
  <c r="G174" i="107"/>
  <c r="G180" i="107" s="1"/>
  <c r="F173" i="107"/>
  <c r="G173" i="107"/>
  <c r="F172" i="107"/>
  <c r="F178" i="107" s="1"/>
  <c r="G172" i="107"/>
  <c r="G178" i="107" s="1"/>
  <c r="C213" i="107"/>
  <c r="C162" i="107"/>
  <c r="E189" i="107" l="1"/>
  <c r="E18" i="147" s="1"/>
  <c r="G201" i="107"/>
  <c r="G202" i="107" s="1"/>
  <c r="G188" i="107"/>
  <c r="G189" i="107" s="1"/>
  <c r="F207" i="107"/>
  <c r="F208" i="107" s="1"/>
  <c r="E182" i="107"/>
  <c r="E13" i="147" s="1"/>
  <c r="F188" i="107"/>
  <c r="F189" i="107" s="1"/>
  <c r="E214" i="107"/>
  <c r="E215" i="107" s="1"/>
  <c r="E30" i="147" s="1"/>
  <c r="G207" i="107"/>
  <c r="G208" i="107" s="1"/>
  <c r="E176" i="107"/>
  <c r="E11" i="147" s="1"/>
  <c r="F175" i="107"/>
  <c r="F176" i="107" s="1"/>
  <c r="G175" i="107"/>
  <c r="G176" i="107" s="1"/>
  <c r="N13" i="146"/>
  <c r="G214" i="107"/>
  <c r="G215" i="107" s="1"/>
  <c r="G30" i="147" s="1"/>
  <c r="F214" i="107"/>
  <c r="F215" i="107" s="1"/>
  <c r="F30" i="147" s="1"/>
  <c r="F201" i="107"/>
  <c r="F202" i="107" s="1"/>
  <c r="G181" i="107"/>
  <c r="G182" i="107" s="1"/>
  <c r="F181" i="107"/>
  <c r="F182" i="107" s="1"/>
  <c r="D162" i="20"/>
  <c r="D163" i="20"/>
  <c r="D164" i="20"/>
  <c r="D165" i="20"/>
  <c r="C162" i="20"/>
  <c r="C163" i="20"/>
  <c r="C164" i="20"/>
  <c r="C165" i="20"/>
  <c r="D161" i="20"/>
  <c r="C161" i="20"/>
  <c r="A154" i="20"/>
  <c r="B159" i="20"/>
  <c r="B158" i="20"/>
  <c r="B157" i="20"/>
  <c r="B156" i="20"/>
  <c r="B155" i="20"/>
  <c r="A148" i="20"/>
  <c r="D147" i="20"/>
  <c r="D146" i="20"/>
  <c r="D141" i="20"/>
  <c r="J65" i="115"/>
  <c r="I65" i="115"/>
  <c r="F194" i="107" l="1"/>
  <c r="F195" i="107" s="1"/>
  <c r="G194" i="107"/>
  <c r="G195" i="107" s="1"/>
  <c r="A123" i="20"/>
  <c r="A122" i="20"/>
  <c r="A121" i="20"/>
  <c r="E12" i="128"/>
  <c r="E23" i="128" s="1"/>
  <c r="D12" i="128"/>
  <c r="D23" i="128" s="1"/>
  <c r="C12" i="128"/>
  <c r="C23" i="128" s="1"/>
  <c r="C25" i="110"/>
  <c r="D25" i="110"/>
  <c r="E25" i="110"/>
  <c r="E12" i="110" s="1"/>
  <c r="B25" i="110"/>
  <c r="G9" i="112"/>
  <c r="G19" i="138" l="1"/>
  <c r="G26" i="138"/>
  <c r="G28" i="138"/>
  <c r="G35" i="138"/>
  <c r="G17" i="138"/>
  <c r="C113" i="150"/>
  <c r="C141" i="150"/>
  <c r="E36" i="134"/>
  <c r="E25" i="134"/>
  <c r="E20" i="134"/>
  <c r="E11" i="134"/>
  <c r="E10" i="134" l="1"/>
  <c r="E31" i="134" s="1"/>
  <c r="E8" i="134" s="1"/>
  <c r="E10" i="150" s="1"/>
  <c r="Q26" i="115" l="1"/>
  <c r="Q16" i="115" s="1"/>
  <c r="E11" i="130"/>
  <c r="E29" i="130" s="1"/>
  <c r="E42" i="150"/>
  <c r="E9" i="150"/>
  <c r="E27" i="150"/>
  <c r="E18" i="150"/>
  <c r="E35" i="150"/>
  <c r="E25" i="150"/>
  <c r="E16" i="150"/>
  <c r="E23" i="150"/>
  <c r="E41" i="150"/>
  <c r="E30" i="150"/>
  <c r="E21" i="150"/>
  <c r="E11" i="150"/>
  <c r="E38" i="150"/>
  <c r="E19" i="150"/>
  <c r="E36" i="150"/>
  <c r="E26" i="150"/>
  <c r="E17" i="150"/>
  <c r="E43" i="150"/>
  <c r="E32" i="150"/>
  <c r="E15" i="150"/>
  <c r="E31" i="150"/>
  <c r="E22" i="150"/>
  <c r="E40" i="150"/>
  <c r="E33" i="150"/>
  <c r="E28" i="150"/>
  <c r="E23" i="130" l="1"/>
  <c r="E27" i="130"/>
  <c r="E26" i="130"/>
  <c r="E37" i="130"/>
  <c r="E43" i="130"/>
  <c r="E16" i="130"/>
  <c r="E19" i="130"/>
  <c r="E34" i="130"/>
  <c r="E24" i="130"/>
  <c r="E44" i="130"/>
  <c r="E31" i="130"/>
  <c r="E42" i="130"/>
  <c r="E22" i="130"/>
  <c r="E17" i="130"/>
  <c r="E39" i="130"/>
  <c r="E41" i="130"/>
  <c r="E32" i="130"/>
  <c r="E12" i="130"/>
  <c r="E33" i="130"/>
  <c r="E20" i="130"/>
  <c r="E18" i="130"/>
  <c r="E10" i="130"/>
  <c r="E36" i="130"/>
  <c r="E28" i="130"/>
  <c r="E14" i="150"/>
  <c r="E29" i="150"/>
  <c r="E8" i="150"/>
  <c r="E39" i="150"/>
  <c r="E24" i="150"/>
  <c r="E20" i="150"/>
  <c r="E25" i="130" l="1"/>
  <c r="E9" i="130"/>
  <c r="N26" i="115" s="1"/>
  <c r="N16" i="115" s="1"/>
  <c r="E15" i="130"/>
  <c r="E40" i="130"/>
  <c r="E21" i="130"/>
  <c r="E30" i="130"/>
  <c r="E13" i="150"/>
  <c r="E44" i="150" s="1"/>
  <c r="G18" i="107"/>
  <c r="J56" i="115"/>
  <c r="I56" i="115"/>
  <c r="J47" i="115"/>
  <c r="I47" i="115"/>
  <c r="H47" i="115"/>
  <c r="F47" i="115"/>
  <c r="E14" i="130" l="1"/>
  <c r="E45" i="130" s="1"/>
  <c r="I60" i="98"/>
  <c r="O110" i="70"/>
  <c r="I26" i="128"/>
  <c r="I27" i="128" s="1"/>
  <c r="I22" i="128"/>
  <c r="I11" i="128"/>
  <c r="I15" i="128"/>
  <c r="J23" i="128"/>
  <c r="G6" i="128"/>
  <c r="F6" i="128"/>
  <c r="G5" i="128"/>
  <c r="F5" i="128"/>
  <c r="G4" i="128"/>
  <c r="F4" i="128"/>
  <c r="G3" i="128"/>
  <c r="F3" i="128"/>
  <c r="E7" i="128"/>
  <c r="E8" i="128" s="1"/>
  <c r="D7" i="128"/>
  <c r="D8" i="128" s="1"/>
  <c r="C7" i="128"/>
  <c r="C8" i="128" s="1"/>
  <c r="B7" i="128"/>
  <c r="B8" i="128" s="1"/>
  <c r="I29" i="128" l="1"/>
  <c r="G23" i="128"/>
  <c r="F23" i="128"/>
  <c r="K23" i="128"/>
  <c r="I16" i="128"/>
  <c r="I18" i="128" s="1"/>
  <c r="F7" i="128"/>
  <c r="F8" i="128" s="1"/>
  <c r="G7" i="128"/>
  <c r="G8" i="128" s="1"/>
  <c r="F80" i="83" l="1"/>
  <c r="F78" i="83"/>
  <c r="F74" i="83"/>
  <c r="F73" i="83"/>
  <c r="E54" i="108" s="1"/>
  <c r="F205" i="84"/>
  <c r="F204" i="84"/>
  <c r="F203" i="84"/>
  <c r="F202" i="84"/>
  <c r="F201" i="84"/>
  <c r="E42" i="108" s="1"/>
  <c r="F200" i="84"/>
  <c r="F199" i="84"/>
  <c r="F198" i="84"/>
  <c r="F188" i="84"/>
  <c r="E29" i="108" s="1"/>
  <c r="F187" i="84"/>
  <c r="F186" i="84"/>
  <c r="E27" i="108" s="1"/>
  <c r="F185" i="84"/>
  <c r="E26" i="108" s="1"/>
  <c r="F184" i="84"/>
  <c r="E25" i="108" s="1"/>
  <c r="F183" i="84"/>
  <c r="E24" i="108" s="1"/>
  <c r="F182" i="84"/>
  <c r="E23" i="108" s="1"/>
  <c r="E44" i="88"/>
  <c r="C93" i="108"/>
  <c r="E93"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C78" i="108"/>
  <c r="E78"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E61" i="108"/>
  <c r="C60" i="108"/>
  <c r="E60" i="108"/>
  <c r="E59"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15" i="66"/>
  <c r="G93" i="108" s="1"/>
  <c r="H112" i="66"/>
  <c r="G90" i="108" s="1"/>
  <c r="H110" i="66"/>
  <c r="G88" i="108" s="1"/>
  <c r="H109" i="66"/>
  <c r="G87" i="108" s="1"/>
  <c r="H108" i="66"/>
  <c r="G86" i="108" s="1"/>
  <c r="H88" i="78"/>
  <c r="G78" i="108" s="1"/>
  <c r="H85" i="78"/>
  <c r="G75" i="108" s="1"/>
  <c r="H83" i="78"/>
  <c r="G73" i="108" s="1"/>
  <c r="H82" i="78"/>
  <c r="G72" i="108" s="1"/>
  <c r="H81" i="78"/>
  <c r="D80" i="83"/>
  <c r="H80" i="83" s="1"/>
  <c r="G61" i="108" s="1"/>
  <c r="H82" i="83"/>
  <c r="G63" i="108" s="1"/>
  <c r="H79" i="83"/>
  <c r="G60" i="108" s="1"/>
  <c r="H77" i="83"/>
  <c r="G58" i="108" s="1"/>
  <c r="H76" i="83"/>
  <c r="G57" i="108" s="1"/>
  <c r="H75" i="83"/>
  <c r="G56" i="108" s="1"/>
  <c r="H207" i="84"/>
  <c r="G48" i="108" s="1"/>
  <c r="H191" i="84"/>
  <c r="G32" i="108" s="1"/>
  <c r="F92" i="109"/>
  <c r="F94" i="109" s="1"/>
  <c r="E93" i="109" s="1"/>
  <c r="I27" i="29"/>
  <c r="N18" i="29"/>
  <c r="N17" i="29"/>
  <c r="K27" i="29"/>
  <c r="J27" i="29"/>
  <c r="J28" i="29" s="1"/>
  <c r="K22" i="29"/>
  <c r="K19" i="29" s="1"/>
  <c r="K18" i="29"/>
  <c r="K17" i="29"/>
  <c r="G27" i="29"/>
  <c r="G25" i="29"/>
  <c r="G24" i="29"/>
  <c r="G21" i="29"/>
  <c r="G20" i="29"/>
  <c r="G17" i="29"/>
  <c r="G16" i="29"/>
  <c r="D15" i="29"/>
  <c r="R10" i="87"/>
  <c r="D20" i="87"/>
  <c r="P20" i="87"/>
  <c r="N20" i="87"/>
  <c r="L20" i="87"/>
  <c r="J20" i="87"/>
  <c r="H20" i="87"/>
  <c r="F20" i="87"/>
  <c r="E38" i="88"/>
  <c r="G71" i="108" l="1"/>
  <c r="D54" i="110"/>
  <c r="K28" i="29"/>
  <c r="I28" i="29" s="1"/>
  <c r="L17" i="29"/>
  <c r="L21" i="29"/>
  <c r="E55" i="108"/>
  <c r="C61" i="108"/>
  <c r="I18" i="29"/>
  <c r="I16" i="29"/>
  <c r="L22" i="29"/>
  <c r="I14" i="29"/>
  <c r="L16" i="29"/>
  <c r="L14" i="29"/>
  <c r="L18" i="29"/>
  <c r="I19" i="29"/>
  <c r="E43" i="108"/>
  <c r="E39" i="108"/>
  <c r="E44" i="108"/>
  <c r="E45" i="108"/>
  <c r="E46" i="108"/>
  <c r="E28" i="108"/>
  <c r="E27" i="61" l="1"/>
  <c r="F93" i="22" l="1"/>
  <c r="F94" i="22"/>
  <c r="F96" i="22"/>
  <c r="F97" i="22"/>
  <c r="F91" i="22"/>
  <c r="F85" i="22"/>
  <c r="F83" i="22"/>
  <c r="F82" i="22"/>
  <c r="F81" i="22"/>
  <c r="F68" i="22"/>
  <c r="F92" i="22" s="1"/>
  <c r="F45" i="22"/>
  <c r="F33" i="22"/>
  <c r="F26" i="22"/>
  <c r="F18" i="22"/>
  <c r="F74" i="22"/>
  <c r="F98" i="22" s="1"/>
  <c r="G91" i="107" l="1"/>
  <c r="G120" i="107" s="1"/>
  <c r="F91" i="107"/>
  <c r="F120" i="107" s="1"/>
  <c r="E91" i="107"/>
  <c r="E120" i="107" s="1"/>
  <c r="D91" i="107"/>
  <c r="D120" i="107" s="1"/>
  <c r="C91" i="107"/>
  <c r="C120" i="107" s="1"/>
  <c r="E83" i="107"/>
  <c r="E112" i="107" s="1"/>
  <c r="E82" i="107"/>
  <c r="E111" i="107" s="1"/>
  <c r="B16" i="108" l="1"/>
  <c r="F200" i="54" l="1"/>
  <c r="E200" i="54"/>
  <c r="G47" i="127" l="1"/>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B45" i="146"/>
  <c r="I66" i="127"/>
  <c r="E182" i="54"/>
  <c r="F182" i="54"/>
  <c r="E183" i="54"/>
  <c r="F183" i="54"/>
  <c r="D63" i="98"/>
  <c r="F40" i="69" l="1"/>
  <c r="F39" i="69"/>
  <c r="E40" i="69"/>
  <c r="E39" i="69"/>
  <c r="E54" i="69" s="1"/>
  <c r="D40" i="69"/>
  <c r="D39" i="69"/>
  <c r="C40" i="69"/>
  <c r="C39" i="69"/>
  <c r="O5" i="66" l="1"/>
  <c r="O18" i="124"/>
  <c r="O17" i="124"/>
  <c r="O16" i="124"/>
  <c r="O15" i="124"/>
  <c r="N14" i="124"/>
  <c r="B4" i="125"/>
  <c r="J37" i="124" s="1"/>
  <c r="K31" i="124" l="1"/>
  <c r="J26" i="124"/>
  <c r="K24" i="124"/>
  <c r="I19" i="124"/>
  <c r="E19" i="124"/>
  <c r="D19" i="124"/>
  <c r="I15" i="124"/>
  <c r="E15" i="124"/>
  <c r="D15" i="124"/>
  <c r="I14" i="124"/>
  <c r="E14" i="124"/>
  <c r="D14" i="124"/>
  <c r="J13" i="124"/>
  <c r="K13" i="124" s="1"/>
  <c r="I13" i="124"/>
  <c r="E13" i="124"/>
  <c r="D13" i="124"/>
  <c r="I12" i="124"/>
  <c r="E12" i="124"/>
  <c r="D12" i="124"/>
  <c r="I10" i="124"/>
  <c r="E10" i="124"/>
  <c r="D10" i="124"/>
  <c r="I9" i="124"/>
  <c r="E9" i="124"/>
  <c r="D9" i="124"/>
  <c r="B7" i="124"/>
  <c r="C7" i="124" s="1"/>
  <c r="D7" i="124" s="1"/>
  <c r="E7" i="124" s="1"/>
  <c r="I7" i="124" s="1"/>
  <c r="J7" i="124" s="1"/>
  <c r="K7" i="124" s="1"/>
  <c r="E11" i="124" l="1"/>
  <c r="E8" i="124" s="1"/>
  <c r="I11" i="124"/>
  <c r="I8" i="124" s="1"/>
  <c r="D11" i="124"/>
  <c r="D8" i="124" s="1"/>
  <c r="K28" i="124"/>
  <c r="K30" i="124"/>
  <c r="K23" i="124"/>
  <c r="K29" i="124"/>
  <c r="K27" i="124"/>
  <c r="K26" i="124" l="1"/>
  <c r="J9" i="124"/>
  <c r="K9" i="124" s="1"/>
  <c r="J14" i="124" l="1"/>
  <c r="K14" i="124" l="1"/>
  <c r="B149" i="84" l="1"/>
  <c r="C12" i="113"/>
  <c r="N12" i="113"/>
  <c r="B53" i="127" l="1"/>
  <c r="E53" i="127"/>
  <c r="E11" i="70"/>
  <c r="F11" i="70"/>
  <c r="G11" i="70"/>
  <c r="H11" i="70"/>
  <c r="I11" i="70"/>
  <c r="J11" i="70"/>
  <c r="K11" i="70"/>
  <c r="L11" i="70"/>
  <c r="M11" i="70"/>
  <c r="N11" i="70"/>
  <c r="D11" i="70"/>
  <c r="C11" i="70"/>
  <c r="N14" i="70"/>
  <c r="M14" i="70"/>
  <c r="L14" i="70"/>
  <c r="K14" i="70"/>
  <c r="J14" i="70"/>
  <c r="I14" i="70"/>
  <c r="H14" i="70"/>
  <c r="G14" i="70"/>
  <c r="F14" i="70"/>
  <c r="E14" i="70"/>
  <c r="D14" i="70"/>
  <c r="C14" i="70"/>
  <c r="B110" i="70"/>
  <c r="B11" i="70" s="1"/>
  <c r="Q11" i="70" s="1"/>
  <c r="Q12" i="70"/>
  <c r="Q13" i="70"/>
  <c r="Q16" i="70"/>
  <c r="P14" i="70"/>
  <c r="Q15" i="70"/>
  <c r="B10" i="70"/>
  <c r="P9" i="70"/>
  <c r="B8" i="70"/>
  <c r="P8" i="70"/>
  <c r="Q9" i="70" l="1"/>
  <c r="P17" i="70"/>
  <c r="Q8" i="70"/>
  <c r="B14" i="70"/>
  <c r="Q14" i="70" s="1"/>
  <c r="R32" i="88"/>
  <c r="R34" i="88"/>
  <c r="R37" i="88"/>
  <c r="R38" i="88"/>
  <c r="R40" i="88"/>
  <c r="R41" i="88"/>
  <c r="R42" i="88"/>
  <c r="R43" i="88"/>
  <c r="R44" i="88"/>
  <c r="R45" i="88"/>
  <c r="R46" i="88"/>
  <c r="R47" i="88"/>
  <c r="R48" i="88"/>
  <c r="R49" i="88"/>
  <c r="R50" i="88"/>
  <c r="R51" i="88"/>
  <c r="R52" i="88"/>
  <c r="R53" i="88"/>
  <c r="R54" i="88"/>
  <c r="R55" i="88"/>
  <c r="S51" i="88"/>
  <c r="N25" i="89"/>
  <c r="E31" i="88"/>
  <c r="D32" i="75" l="1"/>
  <c r="E32" i="75"/>
  <c r="F32" i="75"/>
  <c r="G32" i="75"/>
  <c r="H32" i="75"/>
  <c r="I32" i="75"/>
  <c r="C32" i="75"/>
  <c r="J77" i="89" l="1"/>
  <c r="J79" i="89" s="1"/>
  <c r="S14" i="89"/>
  <c r="Q14" i="89"/>
  <c r="D71" i="24"/>
  <c r="D70" i="24"/>
  <c r="D69" i="24"/>
  <c r="D61" i="24"/>
  <c r="D60" i="24"/>
  <c r="H95" i="85"/>
  <c r="H94" i="85"/>
  <c r="H93" i="85"/>
  <c r="H92" i="85"/>
  <c r="L28" i="85"/>
  <c r="J28" i="85"/>
  <c r="V28" i="85"/>
  <c r="T28" i="85"/>
  <c r="R28" i="85"/>
  <c r="P28" i="85"/>
  <c r="N28" i="85"/>
  <c r="L37" i="85"/>
  <c r="J25" i="85"/>
  <c r="L22" i="85"/>
  <c r="L20" i="85"/>
  <c r="L19" i="85"/>
  <c r="J18" i="85"/>
  <c r="B32" i="88"/>
  <c r="B33" i="88" s="1"/>
  <c r="B34" i="88" s="1"/>
  <c r="B35" i="88" s="1"/>
  <c r="B36" i="88" s="1"/>
  <c r="S2" i="89"/>
  <c r="G25" i="89"/>
  <c r="G29" i="89" s="1"/>
  <c r="M24" i="89"/>
  <c r="J24" i="89"/>
  <c r="M23" i="89"/>
  <c r="J23" i="89"/>
  <c r="M22" i="89"/>
  <c r="J22" i="89"/>
  <c r="M21" i="89"/>
  <c r="J21" i="89"/>
  <c r="M20" i="89"/>
  <c r="J20" i="89"/>
  <c r="M19" i="89"/>
  <c r="J19" i="89"/>
  <c r="M18" i="89"/>
  <c r="J18" i="89"/>
  <c r="M17" i="89"/>
  <c r="J17" i="89"/>
  <c r="M16" i="89"/>
  <c r="J16" i="89"/>
  <c r="M15" i="89"/>
  <c r="J15" i="89"/>
  <c r="M14" i="89"/>
  <c r="J14" i="89"/>
  <c r="M13" i="89"/>
  <c r="J13" i="89"/>
  <c r="M12" i="89"/>
  <c r="J12" i="89"/>
  <c r="M11" i="89"/>
  <c r="J11" i="89"/>
  <c r="M10" i="89"/>
  <c r="J10" i="89"/>
  <c r="J9" i="89"/>
  <c r="B9" i="89"/>
  <c r="B10" i="89" s="1"/>
  <c r="B11" i="89" s="1"/>
  <c r="B12" i="89" s="1"/>
  <c r="B13" i="89" s="1"/>
  <c r="B14" i="89" s="1"/>
  <c r="B15" i="89" s="1"/>
  <c r="B16" i="89" s="1"/>
  <c r="B17" i="89" s="1"/>
  <c r="B18" i="89" s="1"/>
  <c r="B19" i="89" s="1"/>
  <c r="B20" i="89" s="1"/>
  <c r="B21" i="89" s="1"/>
  <c r="B22" i="89" s="1"/>
  <c r="B23" i="89" s="1"/>
  <c r="M8" i="89"/>
  <c r="J8" i="89"/>
  <c r="M3" i="89"/>
  <c r="H3" i="89"/>
  <c r="M25" i="89" l="1"/>
  <c r="J25" i="89"/>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J64" i="89"/>
  <c r="E36" i="88"/>
  <c r="R36" i="88" s="1"/>
  <c r="E35" i="88"/>
  <c r="R35" i="88" s="1"/>
  <c r="B59" i="88" l="1"/>
  <c r="G6" i="117"/>
  <c r="I32" i="85" l="1"/>
  <c r="H32" i="85"/>
  <c r="H102" i="21"/>
  <c r="I102" i="21"/>
  <c r="G103" i="21"/>
  <c r="H103" i="21"/>
  <c r="I103" i="21"/>
  <c r="D150" i="20" l="1"/>
  <c r="D151" i="20"/>
  <c r="G19" i="20"/>
  <c r="A27" i="123"/>
  <c r="A25" i="123"/>
  <c r="F27" i="123"/>
  <c r="F25" i="123"/>
  <c r="F62" i="84"/>
  <c r="G23" i="87"/>
  <c r="F22" i="87"/>
  <c r="E21" i="87"/>
  <c r="D22" i="87" s="1"/>
  <c r="D149" i="20" l="1"/>
  <c r="D152" i="20"/>
  <c r="D153" i="20"/>
  <c r="B81" i="63"/>
  <c r="D81" i="63"/>
  <c r="D78" i="63"/>
  <c r="D204" i="84" s="1"/>
  <c r="D9" i="67"/>
  <c r="F20" i="117"/>
  <c r="F5" i="117" s="1"/>
  <c r="E9" i="67" l="1"/>
  <c r="C45" i="108"/>
  <c r="H204" i="84"/>
  <c r="G45" i="108" s="1"/>
  <c r="F9" i="67"/>
  <c r="B99" i="70"/>
  <c r="B91" i="70"/>
  <c r="B83" i="70"/>
  <c r="B75" i="70"/>
  <c r="B67" i="70"/>
  <c r="B51" i="70"/>
  <c r="B59" i="70"/>
  <c r="P35" i="70"/>
  <c r="Q35" i="70" s="1"/>
  <c r="F108" i="70"/>
  <c r="E108" i="70"/>
  <c r="G108" i="70"/>
  <c r="H108" i="70"/>
  <c r="I108" i="70"/>
  <c r="J108" i="70"/>
  <c r="K108" i="70"/>
  <c r="L108" i="70"/>
  <c r="M108" i="70"/>
  <c r="N108" i="70"/>
  <c r="D108" i="70"/>
  <c r="N103" i="70"/>
  <c r="M103" i="70"/>
  <c r="L103" i="70"/>
  <c r="K103" i="70"/>
  <c r="J103" i="70"/>
  <c r="I103" i="70"/>
  <c r="H103" i="70"/>
  <c r="G103" i="70"/>
  <c r="F103" i="70"/>
  <c r="E103" i="70"/>
  <c r="D103" i="70"/>
  <c r="C103" i="70"/>
  <c r="N95" i="70"/>
  <c r="M95" i="70"/>
  <c r="L95" i="70"/>
  <c r="K95" i="70"/>
  <c r="J95" i="70"/>
  <c r="I95" i="70"/>
  <c r="H95" i="70"/>
  <c r="G95" i="70"/>
  <c r="F95" i="70"/>
  <c r="N87" i="70"/>
  <c r="M87" i="70"/>
  <c r="L87" i="70"/>
  <c r="K87" i="70"/>
  <c r="J87" i="70"/>
  <c r="I87" i="70"/>
  <c r="H87" i="70"/>
  <c r="G87" i="70"/>
  <c r="F87" i="70"/>
  <c r="E87" i="70"/>
  <c r="D87" i="70"/>
  <c r="C87" i="70"/>
  <c r="N79" i="70"/>
  <c r="M79" i="70"/>
  <c r="L79" i="70"/>
  <c r="K79" i="70"/>
  <c r="J79" i="70"/>
  <c r="I79" i="70"/>
  <c r="H79" i="70"/>
  <c r="G79" i="70"/>
  <c r="F79" i="70"/>
  <c r="E79" i="70"/>
  <c r="D79" i="70"/>
  <c r="C79" i="70"/>
  <c r="N71" i="70"/>
  <c r="M71" i="70"/>
  <c r="L71" i="70"/>
  <c r="K71" i="70"/>
  <c r="J71" i="70"/>
  <c r="I71" i="70"/>
  <c r="H71" i="70"/>
  <c r="G71" i="70"/>
  <c r="F71" i="70"/>
  <c r="E71" i="70"/>
  <c r="D71" i="70"/>
  <c r="C71" i="70"/>
  <c r="N63" i="70"/>
  <c r="M63" i="70"/>
  <c r="L63" i="70"/>
  <c r="K63" i="70"/>
  <c r="J63" i="70"/>
  <c r="I63" i="70"/>
  <c r="H63" i="70"/>
  <c r="G63" i="70"/>
  <c r="F63" i="70"/>
  <c r="E63" i="70"/>
  <c r="D63" i="70"/>
  <c r="C63" i="70"/>
  <c r="N55" i="70"/>
  <c r="M55" i="70"/>
  <c r="L55" i="70"/>
  <c r="K55" i="70"/>
  <c r="J55" i="70"/>
  <c r="I55" i="70"/>
  <c r="H55" i="70"/>
  <c r="G55" i="70"/>
  <c r="F55" i="70"/>
  <c r="E55" i="70"/>
  <c r="D55" i="70"/>
  <c r="C55" i="70"/>
  <c r="O102" i="70"/>
  <c r="O101" i="70"/>
  <c r="O99" i="70"/>
  <c r="O104" i="70" s="1"/>
  <c r="O94" i="70"/>
  <c r="O93" i="70"/>
  <c r="O91" i="70"/>
  <c r="O86" i="70"/>
  <c r="O85" i="70"/>
  <c r="O83" i="70"/>
  <c r="O78" i="70"/>
  <c r="O77" i="70"/>
  <c r="O75" i="70"/>
  <c r="O70" i="70"/>
  <c r="O69" i="70"/>
  <c r="O67" i="70"/>
  <c r="O62" i="70"/>
  <c r="O61" i="70"/>
  <c r="O59" i="70"/>
  <c r="O54" i="70"/>
  <c r="O53" i="70"/>
  <c r="O51" i="70"/>
  <c r="O46" i="70"/>
  <c r="O45" i="70"/>
  <c r="O43" i="70"/>
  <c r="O10" i="70"/>
  <c r="G7" i="117"/>
  <c r="G5" i="117" s="1"/>
  <c r="C16" i="117"/>
  <c r="C15" i="117"/>
  <c r="O20" i="117"/>
  <c r="O7" i="117" s="1"/>
  <c r="Q6" i="117"/>
  <c r="Q5" i="117" s="1"/>
  <c r="F56" i="92"/>
  <c r="F53" i="92" s="1"/>
  <c r="F50" i="92"/>
  <c r="F47" i="92"/>
  <c r="F39" i="92"/>
  <c r="F31" i="92"/>
  <c r="F19" i="92"/>
  <c r="F23" i="92"/>
  <c r="F27" i="92"/>
  <c r="F56" i="61"/>
  <c r="F53" i="61" s="1"/>
  <c r="F50" i="61"/>
  <c r="F47" i="61"/>
  <c r="F39" i="61"/>
  <c r="F31" i="61"/>
  <c r="F23" i="61"/>
  <c r="F27" i="61"/>
  <c r="F12" i="61"/>
  <c r="G47" i="55"/>
  <c r="G48" i="55"/>
  <c r="G49" i="55"/>
  <c r="G50" i="55"/>
  <c r="G46" i="55"/>
  <c r="K33" i="55"/>
  <c r="K14" i="55"/>
  <c r="K13" i="55" s="1"/>
  <c r="K55" i="55"/>
  <c r="S14" i="55"/>
  <c r="F11" i="61" l="1"/>
  <c r="F37" i="61" s="1"/>
  <c r="F45" i="61" s="1"/>
  <c r="F46" i="61" s="1"/>
  <c r="O64" i="70"/>
  <c r="O56" i="70"/>
  <c r="O88" i="70"/>
  <c r="P99" i="70"/>
  <c r="Q99" i="70" s="1"/>
  <c r="F11" i="92"/>
  <c r="F37" i="92" s="1"/>
  <c r="F45" i="92" s="1"/>
  <c r="F46" i="92" s="1"/>
  <c r="O72" i="70"/>
  <c r="B53" i="70"/>
  <c r="O80" i="70"/>
  <c r="O48" i="70"/>
  <c r="O96" i="70"/>
  <c r="P91" i="70"/>
  <c r="Q91" i="70" s="1"/>
  <c r="R91" i="70" s="1"/>
  <c r="P83" i="70"/>
  <c r="Q83" i="70" s="1"/>
  <c r="P75" i="70"/>
  <c r="Q75" i="70" s="1"/>
  <c r="P67" i="70"/>
  <c r="Q67" i="70" s="1"/>
  <c r="P59" i="70"/>
  <c r="Q59" i="70" s="1"/>
  <c r="P51" i="70"/>
  <c r="Q51" i="70" s="1"/>
  <c r="P43" i="70"/>
  <c r="Q43" i="70" s="1"/>
  <c r="F44" i="57"/>
  <c r="C5" i="122"/>
  <c r="G88" i="120" l="1"/>
  <c r="H11" i="77"/>
  <c r="H12" i="77"/>
  <c r="H14" i="77"/>
  <c r="H17" i="77"/>
  <c r="H19" i="77"/>
  <c r="H22" i="77"/>
  <c r="H23" i="77"/>
  <c r="H24" i="77"/>
  <c r="H25" i="77"/>
  <c r="H26" i="77"/>
  <c r="H28" i="77"/>
  <c r="H29" i="77"/>
  <c r="H30" i="77"/>
  <c r="H31" i="77"/>
  <c r="H32" i="77"/>
  <c r="H21" i="123"/>
  <c r="E21" i="123"/>
  <c r="L21" i="123" l="1"/>
  <c r="I11" i="123" l="1"/>
  <c r="G15" i="123"/>
  <c r="I15" i="123" s="1"/>
  <c r="G23" i="123"/>
  <c r="I23" i="123" s="1"/>
  <c r="I22" i="123"/>
  <c r="I21" i="123"/>
  <c r="I20" i="123"/>
  <c r="I19" i="123"/>
  <c r="I18" i="123"/>
  <c r="I17" i="123"/>
  <c r="I16" i="123"/>
  <c r="I14" i="123"/>
  <c r="I13" i="123"/>
  <c r="I12" i="123"/>
  <c r="I10" i="123"/>
  <c r="I9" i="123"/>
  <c r="I8" i="123"/>
  <c r="I7" i="123"/>
  <c r="I6" i="123"/>
  <c r="I5" i="123"/>
  <c r="I4" i="123"/>
  <c r="H3" i="123"/>
  <c r="F3" i="123"/>
  <c r="E3" i="123"/>
  <c r="D3" i="123"/>
  <c r="C3" i="123"/>
  <c r="B3" i="123"/>
  <c r="G3" i="123" l="1"/>
  <c r="I3" i="123"/>
  <c r="E58" i="76" l="1"/>
  <c r="E59" i="76"/>
  <c r="E60" i="76"/>
  <c r="E61" i="76"/>
  <c r="E62" i="76"/>
  <c r="E63" i="76"/>
  <c r="E57" i="76"/>
  <c r="L15" i="113"/>
  <c r="K15" i="113"/>
  <c r="J15" i="113"/>
  <c r="I15" i="113"/>
  <c r="H15" i="113"/>
  <c r="G15" i="113"/>
  <c r="F15" i="113"/>
  <c r="E15" i="113"/>
  <c r="D15" i="113"/>
  <c r="F13" i="77"/>
  <c r="G13" i="77"/>
  <c r="H13" i="77" l="1"/>
  <c r="E64" i="76"/>
  <c r="I15" i="82"/>
  <c r="I14" i="82"/>
  <c r="I13" i="82"/>
  <c r="I23" i="81"/>
  <c r="I24" i="81"/>
  <c r="I16" i="81"/>
  <c r="I15" i="81"/>
  <c r="I13" i="81"/>
  <c r="I12" i="81"/>
  <c r="I43" i="81" s="1"/>
  <c r="B17" i="82"/>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F9" i="63"/>
  <c r="F10" i="63"/>
  <c r="G11" i="63"/>
  <c r="H11" i="63"/>
  <c r="I11" i="63"/>
  <c r="J11" i="63"/>
  <c r="K11" i="63"/>
  <c r="L12" i="63"/>
  <c r="L13" i="63" s="1"/>
  <c r="L14" i="63" s="1"/>
  <c r="M12" i="63"/>
  <c r="M13" i="63" s="1"/>
  <c r="M14" i="63" s="1"/>
  <c r="G14" i="63"/>
  <c r="H14" i="63"/>
  <c r="I14" i="63"/>
  <c r="J14" i="63"/>
  <c r="K14" i="63"/>
  <c r="J15" i="63"/>
  <c r="J17" i="63" s="1"/>
  <c r="F16" i="63"/>
  <c r="G17" i="63"/>
  <c r="H17" i="63"/>
  <c r="I17" i="63"/>
  <c r="K17" i="63"/>
  <c r="L17" i="63"/>
  <c r="M17" i="63"/>
  <c r="F18" i="63"/>
  <c r="F20" i="63"/>
  <c r="G22" i="63"/>
  <c r="G24" i="63" s="1"/>
  <c r="H22" i="63"/>
  <c r="I22" i="63"/>
  <c r="J22" i="63"/>
  <c r="J24" i="63" s="1"/>
  <c r="K22" i="63"/>
  <c r="K24" i="63" s="1"/>
  <c r="L22" i="63"/>
  <c r="M22" i="63"/>
  <c r="M24" i="63" s="1"/>
  <c r="F25" i="63"/>
  <c r="F26" i="63"/>
  <c r="F27" i="63"/>
  <c r="F28" i="63"/>
  <c r="F29" i="63"/>
  <c r="F30" i="63"/>
  <c r="F31" i="63"/>
  <c r="F32" i="63"/>
  <c r="F33" i="63"/>
  <c r="F34" i="63"/>
  <c r="F35" i="63"/>
  <c r="F36" i="63"/>
  <c r="F37" i="63"/>
  <c r="F38" i="63"/>
  <c r="F39" i="63"/>
  <c r="F40" i="63"/>
  <c r="G41" i="63"/>
  <c r="H41" i="63"/>
  <c r="I41" i="63"/>
  <c r="J41" i="63"/>
  <c r="K41" i="63"/>
  <c r="L41" i="63"/>
  <c r="M41" i="63"/>
  <c r="G42" i="63"/>
  <c r="H42" i="63" s="1"/>
  <c r="L42" i="63"/>
  <c r="M42" i="63"/>
  <c r="G44" i="63"/>
  <c r="H44" i="63" s="1"/>
  <c r="I44" i="63" s="1"/>
  <c r="J44" i="63" s="1"/>
  <c r="K44" i="63" s="1"/>
  <c r="L44" i="63" s="1"/>
  <c r="F46" i="63"/>
  <c r="G53" i="63"/>
  <c r="G54" i="63" s="1"/>
  <c r="G55" i="63" s="1"/>
  <c r="F54" i="63"/>
  <c r="L55" i="63"/>
  <c r="M55" i="63"/>
  <c r="G57" i="63"/>
  <c r="G58" i="63" s="1"/>
  <c r="M57" i="63"/>
  <c r="M58" i="63" s="1"/>
  <c r="L58" i="63"/>
  <c r="G27" i="77"/>
  <c r="H27" i="77" s="1"/>
  <c r="F11" i="63" l="1"/>
  <c r="F13" i="63" s="1"/>
  <c r="I42" i="81"/>
  <c r="H53" i="63"/>
  <c r="I53" i="63" s="1"/>
  <c r="J53" i="63" s="1"/>
  <c r="F22" i="63"/>
  <c r="F58" i="63"/>
  <c r="F41" i="63"/>
  <c r="G45" i="63"/>
  <c r="G49" i="63" s="1"/>
  <c r="F17" i="63"/>
  <c r="L45" i="63"/>
  <c r="M44" i="63"/>
  <c r="M45" i="63" s="1"/>
  <c r="I42" i="63"/>
  <c r="H45" i="63"/>
  <c r="F24" i="63"/>
  <c r="F14" i="63"/>
  <c r="G48" i="63" l="1"/>
  <c r="I54" i="63"/>
  <c r="I55" i="63" s="1"/>
  <c r="H54" i="63"/>
  <c r="H55" i="63" s="1"/>
  <c r="H48" i="63"/>
  <c r="H49" i="63"/>
  <c r="K53" i="63"/>
  <c r="J54" i="63"/>
  <c r="J55" i="63" s="1"/>
  <c r="L48" i="63"/>
  <c r="L49" i="63"/>
  <c r="M48" i="63"/>
  <c r="M49" i="63"/>
  <c r="J42" i="63"/>
  <c r="I45" i="63"/>
  <c r="K42" i="63" l="1"/>
  <c r="K45" i="63" s="1"/>
  <c r="J45" i="63"/>
  <c r="I48" i="63"/>
  <c r="I49" i="63"/>
  <c r="K54" i="63"/>
  <c r="K55" i="63" s="1"/>
  <c r="F55" i="63" s="1"/>
  <c r="L53" i="63"/>
  <c r="M53" i="63" s="1"/>
  <c r="F45" i="63" l="1"/>
  <c r="K48" i="63"/>
  <c r="K49" i="63"/>
  <c r="J48" i="63"/>
  <c r="J49" i="63"/>
  <c r="F49" i="63" s="1"/>
  <c r="F48" i="63" l="1"/>
  <c r="Q30" i="88"/>
  <c r="O30" i="88"/>
  <c r="M30" i="88"/>
  <c r="K30" i="88"/>
  <c r="I30" i="88"/>
  <c r="G10" i="77"/>
  <c r="H10" i="77" s="1"/>
  <c r="E15" i="116"/>
  <c r="C15" i="116" s="1"/>
  <c r="D14" i="116"/>
  <c r="C14" i="116" s="1"/>
  <c r="J13" i="116"/>
  <c r="J5" i="116" s="1"/>
  <c r="I20" i="81"/>
  <c r="E12" i="116"/>
  <c r="C12" i="116" s="1"/>
  <c r="G58" i="88"/>
  <c r="R58" i="88" s="1"/>
  <c r="G57" i="88"/>
  <c r="R57" i="88" s="1"/>
  <c r="G9" i="77"/>
  <c r="H9" i="77" s="1"/>
  <c r="B10" i="88"/>
  <c r="B11" i="88" s="1"/>
  <c r="B12" i="88" s="1"/>
  <c r="B13" i="88" s="1"/>
  <c r="B14" i="88" s="1"/>
  <c r="B15" i="88" s="1"/>
  <c r="B16" i="88" s="1"/>
  <c r="B17" i="88" s="1"/>
  <c r="B18" i="88" s="1"/>
  <c r="B19" i="88"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G26" i="68"/>
  <c r="C77" i="63"/>
  <c r="K11" i="116"/>
  <c r="C11" i="116" s="1"/>
  <c r="K10" i="116"/>
  <c r="C10" i="116" s="1"/>
  <c r="F9" i="116"/>
  <c r="C9" i="116" s="1"/>
  <c r="H5" i="113"/>
  <c r="F5" i="113"/>
  <c r="G18" i="77"/>
  <c r="H18" i="77" s="1"/>
  <c r="E7" i="116"/>
  <c r="C7" i="116" s="1"/>
  <c r="E6" i="116"/>
  <c r="C6" i="116" s="1"/>
  <c r="C28" i="116"/>
  <c r="C27" i="116"/>
  <c r="C26" i="116"/>
  <c r="C25" i="116"/>
  <c r="C24" i="116"/>
  <c r="C23" i="116"/>
  <c r="C22" i="116"/>
  <c r="C21" i="116"/>
  <c r="C20" i="116"/>
  <c r="C19" i="116"/>
  <c r="C18" i="116"/>
  <c r="C17" i="116"/>
  <c r="C16" i="116"/>
  <c r="C13" i="116"/>
  <c r="C8" i="116"/>
  <c r="L5" i="116"/>
  <c r="I5" i="116"/>
  <c r="G5" i="116"/>
  <c r="C14" i="113"/>
  <c r="C15" i="113"/>
  <c r="O15" i="113" s="1"/>
  <c r="C17" i="113"/>
  <c r="C18" i="113"/>
  <c r="C19" i="113"/>
  <c r="C20" i="113"/>
  <c r="C21" i="113"/>
  <c r="C22" i="113"/>
  <c r="C23" i="113"/>
  <c r="C24" i="113"/>
  <c r="C25" i="113"/>
  <c r="C26" i="113"/>
  <c r="C27" i="113"/>
  <c r="C28" i="113"/>
  <c r="K5" i="113"/>
  <c r="I5" i="113"/>
  <c r="D5" i="113"/>
  <c r="L5" i="113"/>
  <c r="J5" i="113"/>
  <c r="G5" i="113"/>
  <c r="E5" i="113"/>
  <c r="E56" i="88"/>
  <c r="R56" i="88" s="1"/>
  <c r="D66" i="98"/>
  <c r="B32" i="91"/>
  <c r="H170" i="68"/>
  <c r="H171" i="68"/>
  <c r="D40" i="98"/>
  <c r="D5" i="116" l="1"/>
  <c r="K5" i="116"/>
  <c r="C5" i="116"/>
  <c r="E5" i="116"/>
  <c r="T184" i="54"/>
  <c r="E197" i="54"/>
  <c r="F197" i="54"/>
  <c r="E196" i="54"/>
  <c r="F196" i="54"/>
  <c r="E195" i="54"/>
  <c r="F195" i="54"/>
  <c r="E179" i="54"/>
  <c r="F179" i="54"/>
  <c r="F176" i="54"/>
  <c r="E176" i="54"/>
  <c r="T193" i="54"/>
  <c r="F180" i="54"/>
  <c r="O180" i="54"/>
  <c r="P180" i="54"/>
  <c r="Q180" i="54"/>
  <c r="R180" i="54"/>
  <c r="S180" i="54"/>
  <c r="O179" i="54"/>
  <c r="P179" i="54"/>
  <c r="Q179" i="54"/>
  <c r="R179" i="54"/>
  <c r="S179" i="54"/>
  <c r="T179" i="54"/>
  <c r="F177" i="54"/>
  <c r="F175" i="54"/>
  <c r="F174" i="54"/>
  <c r="F173" i="54"/>
  <c r="F186" i="54" s="1"/>
  <c r="F170" i="54"/>
  <c r="F169" i="54"/>
  <c r="T168" i="54"/>
  <c r="F167" i="54"/>
  <c r="F166" i="54"/>
  <c r="E180" i="54"/>
  <c r="E177" i="54"/>
  <c r="E175" i="54"/>
  <c r="E174" i="54"/>
  <c r="E173" i="54"/>
  <c r="E170" i="54"/>
  <c r="E169" i="54"/>
  <c r="E167" i="54"/>
  <c r="E166" i="54"/>
  <c r="F193" i="54" l="1"/>
  <c r="F190" i="54"/>
  <c r="E187" i="54"/>
  <c r="E190" i="54"/>
  <c r="E186" i="54"/>
  <c r="E189" i="54"/>
  <c r="F187" i="54"/>
  <c r="F192" i="54"/>
  <c r="E193" i="54"/>
  <c r="F189" i="54"/>
  <c r="E192" i="54"/>
  <c r="G13" i="120" l="1"/>
  <c r="G54" i="120"/>
  <c r="G55" i="120"/>
  <c r="G56" i="120"/>
  <c r="G57" i="120"/>
  <c r="G58" i="120"/>
  <c r="G53" i="120"/>
  <c r="E63" i="120"/>
  <c r="F63" i="120"/>
  <c r="H63" i="120"/>
  <c r="E50" i="120"/>
  <c r="F50" i="120"/>
  <c r="H50" i="120"/>
  <c r="D47" i="120"/>
  <c r="D50" i="120"/>
  <c r="F49" i="120" l="1"/>
  <c r="E49" i="120"/>
  <c r="H49" i="120"/>
  <c r="D63" i="120"/>
  <c r="D49" i="120" s="1"/>
  <c r="G19" i="120" l="1"/>
  <c r="B38" i="120"/>
  <c r="F31" i="120"/>
  <c r="F29" i="120"/>
  <c r="F24" i="120"/>
  <c r="F22" i="120"/>
  <c r="F21" i="120"/>
  <c r="F20" i="120"/>
  <c r="E19" i="120"/>
  <c r="F18" i="120"/>
  <c r="F17" i="120"/>
  <c r="F16" i="120"/>
  <c r="E15" i="120"/>
  <c r="F14" i="120"/>
  <c r="F13" i="120"/>
  <c r="F12" i="120"/>
  <c r="F10" i="120"/>
  <c r="B7" i="120"/>
  <c r="C7" i="120" s="1"/>
  <c r="D7" i="120" s="1"/>
  <c r="E7" i="120" s="1"/>
  <c r="F7" i="120" s="1"/>
  <c r="G7" i="120" s="1"/>
  <c r="H7" i="120" s="1"/>
  <c r="E11" i="120" l="1"/>
  <c r="E8" i="120" s="1"/>
  <c r="E25" i="120" s="1"/>
  <c r="E30" i="120" s="1"/>
  <c r="F11" i="120"/>
  <c r="F15" i="120"/>
  <c r="F19" i="120"/>
  <c r="F9" i="120"/>
  <c r="F8" i="120" l="1"/>
  <c r="F25" i="120" s="1"/>
  <c r="F30" i="120"/>
  <c r="E28" i="120"/>
  <c r="F28" i="120" s="1"/>
  <c r="E27" i="120" l="1"/>
  <c r="F27" i="120" l="1"/>
  <c r="F26" i="120" s="1"/>
  <c r="F32" i="120" s="1"/>
  <c r="E26" i="120"/>
  <c r="E32" i="120" s="1"/>
  <c r="E34" i="120" s="1"/>
  <c r="E35" i="120" s="1"/>
  <c r="I35" i="85" l="1"/>
  <c r="I38" i="85" s="1"/>
  <c r="K35" i="85"/>
  <c r="K38" i="85" s="1"/>
  <c r="H35" i="85"/>
  <c r="H38" i="85" s="1"/>
  <c r="J35" i="85"/>
  <c r="J38" i="85" s="1"/>
  <c r="J39" i="85" s="1"/>
  <c r="G90" i="85"/>
  <c r="D90" i="85"/>
  <c r="E90" i="85" s="1"/>
  <c r="W87" i="85"/>
  <c r="V87" i="85"/>
  <c r="U87" i="85"/>
  <c r="T87" i="85"/>
  <c r="S87" i="85"/>
  <c r="R87" i="85"/>
  <c r="Q87" i="85"/>
  <c r="P87" i="85"/>
  <c r="O87" i="85"/>
  <c r="N87" i="85"/>
  <c r="M87" i="85"/>
  <c r="L87" i="85"/>
  <c r="K87" i="85"/>
  <c r="J87" i="85"/>
  <c r="I87" i="85"/>
  <c r="H87" i="85"/>
  <c r="E87" i="85"/>
  <c r="D87" i="85"/>
  <c r="W84" i="85"/>
  <c r="V84" i="85"/>
  <c r="U84" i="85"/>
  <c r="T84" i="85"/>
  <c r="S84" i="85"/>
  <c r="R84" i="85"/>
  <c r="Q84" i="85"/>
  <c r="P84" i="85"/>
  <c r="O84" i="85"/>
  <c r="N84" i="85"/>
  <c r="M84" i="85"/>
  <c r="L84" i="85"/>
  <c r="K84" i="85"/>
  <c r="J84" i="85"/>
  <c r="I84" i="85"/>
  <c r="H84" i="85"/>
  <c r="E84" i="85"/>
  <c r="D84" i="85"/>
  <c r="W81" i="85"/>
  <c r="V81" i="85"/>
  <c r="U81" i="85"/>
  <c r="T81" i="85"/>
  <c r="S81" i="85"/>
  <c r="R81" i="85"/>
  <c r="Q81" i="85"/>
  <c r="P81" i="85"/>
  <c r="O81" i="85"/>
  <c r="N81" i="85"/>
  <c r="M81" i="85"/>
  <c r="L81" i="85"/>
  <c r="K81" i="85"/>
  <c r="J81" i="85"/>
  <c r="E80" i="85"/>
  <c r="D80" i="85"/>
  <c r="I79" i="85"/>
  <c r="I80" i="85" s="1"/>
  <c r="H79" i="85"/>
  <c r="H80" i="85" s="1"/>
  <c r="W78" i="85"/>
  <c r="V78" i="85"/>
  <c r="U78" i="85"/>
  <c r="T78" i="85"/>
  <c r="S78" i="85"/>
  <c r="R78" i="85"/>
  <c r="Q78" i="85"/>
  <c r="P78" i="85"/>
  <c r="O78" i="85"/>
  <c r="N78" i="85"/>
  <c r="M78" i="85"/>
  <c r="L78" i="85"/>
  <c r="K78" i="85"/>
  <c r="J78" i="85"/>
  <c r="E77" i="85"/>
  <c r="D77" i="85"/>
  <c r="I76" i="85"/>
  <c r="I77" i="85" s="1"/>
  <c r="H76" i="85"/>
  <c r="H77" i="85" s="1"/>
  <c r="W75" i="85"/>
  <c r="V75" i="85"/>
  <c r="U75" i="85"/>
  <c r="T75" i="85"/>
  <c r="S75" i="85"/>
  <c r="R75" i="85"/>
  <c r="Q75" i="85"/>
  <c r="P75" i="85"/>
  <c r="O75" i="85"/>
  <c r="N75" i="85"/>
  <c r="M75" i="85"/>
  <c r="L75" i="85"/>
  <c r="K75" i="85"/>
  <c r="J75" i="85"/>
  <c r="E74" i="85"/>
  <c r="D74" i="85"/>
  <c r="I73" i="85"/>
  <c r="I74" i="85" s="1"/>
  <c r="H73" i="85"/>
  <c r="H74" i="85" s="1"/>
  <c r="W72" i="85"/>
  <c r="V72" i="85"/>
  <c r="U72" i="85"/>
  <c r="T72" i="85"/>
  <c r="S72" i="85"/>
  <c r="R72" i="85"/>
  <c r="Q72" i="85"/>
  <c r="P72" i="85"/>
  <c r="O72" i="85"/>
  <c r="N72" i="85"/>
  <c r="M72" i="85"/>
  <c r="L72" i="85"/>
  <c r="K72" i="85"/>
  <c r="J72" i="85"/>
  <c r="E71" i="85"/>
  <c r="D71" i="85"/>
  <c r="I70" i="85"/>
  <c r="I71" i="85" s="1"/>
  <c r="H70" i="85"/>
  <c r="H71" i="85" s="1"/>
  <c r="W69" i="85"/>
  <c r="V69" i="85"/>
  <c r="U69" i="85"/>
  <c r="T69" i="85"/>
  <c r="S69" i="85"/>
  <c r="R69" i="85"/>
  <c r="Q69" i="85"/>
  <c r="P69" i="85"/>
  <c r="O69" i="85"/>
  <c r="N69" i="85"/>
  <c r="M69" i="85"/>
  <c r="L69" i="85"/>
  <c r="K69" i="85"/>
  <c r="J69" i="85"/>
  <c r="E68" i="85"/>
  <c r="D68" i="85"/>
  <c r="I67" i="85"/>
  <c r="I68" i="85" s="1"/>
  <c r="H67" i="85"/>
  <c r="H68" i="85" s="1"/>
  <c r="W66" i="85"/>
  <c r="V66" i="85"/>
  <c r="U66" i="85"/>
  <c r="T66" i="85"/>
  <c r="S66" i="85"/>
  <c r="R66" i="85"/>
  <c r="Q66" i="85"/>
  <c r="P66" i="85"/>
  <c r="O66" i="85"/>
  <c r="N66" i="85"/>
  <c r="M66" i="85"/>
  <c r="L66" i="85"/>
  <c r="K66" i="85"/>
  <c r="J66" i="85"/>
  <c r="E65" i="85"/>
  <c r="D65" i="85"/>
  <c r="I64" i="85"/>
  <c r="I65" i="85" s="1"/>
  <c r="H64" i="85"/>
  <c r="H65" i="85" s="1"/>
  <c r="W63" i="85"/>
  <c r="V63" i="85"/>
  <c r="U63" i="85"/>
  <c r="T63" i="85"/>
  <c r="S63" i="85"/>
  <c r="R63" i="85"/>
  <c r="Q63" i="85"/>
  <c r="P63" i="85"/>
  <c r="O63" i="85"/>
  <c r="N63" i="85"/>
  <c r="M63" i="85"/>
  <c r="L63" i="85"/>
  <c r="K63" i="85"/>
  <c r="J63" i="85"/>
  <c r="E62" i="85"/>
  <c r="D62" i="85"/>
  <c r="I61" i="85"/>
  <c r="I62" i="85" s="1"/>
  <c r="H61" i="85"/>
  <c r="H62" i="85" s="1"/>
  <c r="W60" i="85"/>
  <c r="V60" i="85"/>
  <c r="U60" i="85"/>
  <c r="T60" i="85"/>
  <c r="S60" i="85"/>
  <c r="R60" i="85"/>
  <c r="Q60" i="85"/>
  <c r="P60" i="85"/>
  <c r="O60" i="85"/>
  <c r="N60" i="85"/>
  <c r="M60" i="85"/>
  <c r="L60" i="85"/>
  <c r="K60" i="85"/>
  <c r="J60" i="85"/>
  <c r="E59" i="85"/>
  <c r="D59" i="85"/>
  <c r="I58" i="85"/>
  <c r="I59" i="85" s="1"/>
  <c r="H58" i="85"/>
  <c r="H59" i="85" s="1"/>
  <c r="W57" i="85"/>
  <c r="V57" i="85"/>
  <c r="U57" i="85"/>
  <c r="T57" i="85"/>
  <c r="S57" i="85"/>
  <c r="R57" i="85"/>
  <c r="Q57" i="85"/>
  <c r="P57" i="85"/>
  <c r="O57" i="85"/>
  <c r="N57" i="85"/>
  <c r="M57" i="85"/>
  <c r="L57" i="85"/>
  <c r="K57" i="85"/>
  <c r="J57" i="85"/>
  <c r="E56" i="85"/>
  <c r="D56" i="85"/>
  <c r="I55" i="85"/>
  <c r="I56" i="85" s="1"/>
  <c r="H55" i="85"/>
  <c r="H56" i="85" s="1"/>
  <c r="W54" i="85"/>
  <c r="V54" i="85"/>
  <c r="U54" i="85"/>
  <c r="T54" i="85"/>
  <c r="S54" i="85"/>
  <c r="R54" i="85"/>
  <c r="Q54" i="85"/>
  <c r="P54" i="85"/>
  <c r="O54" i="85"/>
  <c r="N54" i="85"/>
  <c r="M54" i="85"/>
  <c r="L54" i="85"/>
  <c r="K54" i="85"/>
  <c r="J54" i="85"/>
  <c r="E53" i="85"/>
  <c r="D53" i="85"/>
  <c r="I52" i="85"/>
  <c r="I53" i="85" s="1"/>
  <c r="H52" i="85"/>
  <c r="H53" i="85" s="1"/>
  <c r="W51" i="85"/>
  <c r="V51" i="85"/>
  <c r="U51" i="85"/>
  <c r="T51" i="85"/>
  <c r="S51" i="85"/>
  <c r="R51" i="85"/>
  <c r="Q51" i="85"/>
  <c r="P51" i="85"/>
  <c r="O51" i="85"/>
  <c r="N51" i="85"/>
  <c r="M51" i="85"/>
  <c r="L51" i="85"/>
  <c r="K51" i="85"/>
  <c r="J51" i="85"/>
  <c r="E50" i="85"/>
  <c r="D50" i="85"/>
  <c r="I49" i="85"/>
  <c r="I50" i="85" s="1"/>
  <c r="H49" i="85"/>
  <c r="H50" i="85" s="1"/>
  <c r="W48" i="85"/>
  <c r="V48" i="85"/>
  <c r="U48" i="85"/>
  <c r="T48" i="85"/>
  <c r="S48" i="85"/>
  <c r="R48" i="85"/>
  <c r="Q48" i="85"/>
  <c r="P48" i="85"/>
  <c r="O48" i="85"/>
  <c r="N48" i="85"/>
  <c r="M48" i="85"/>
  <c r="L48" i="85"/>
  <c r="K48" i="85"/>
  <c r="J48" i="85"/>
  <c r="E47" i="85"/>
  <c r="D47" i="85"/>
  <c r="I46" i="85"/>
  <c r="I47" i="85" s="1"/>
  <c r="H46" i="85"/>
  <c r="H47" i="85" s="1"/>
  <c r="W45" i="85"/>
  <c r="V45" i="85"/>
  <c r="U45" i="85"/>
  <c r="T45" i="85"/>
  <c r="S45" i="85"/>
  <c r="R45" i="85"/>
  <c r="Q45" i="85"/>
  <c r="P45" i="85"/>
  <c r="O45" i="85"/>
  <c r="N45" i="85"/>
  <c r="M45" i="85"/>
  <c r="L45" i="85"/>
  <c r="K45" i="85"/>
  <c r="J45" i="85"/>
  <c r="E44" i="85"/>
  <c r="D44" i="85"/>
  <c r="I43" i="85"/>
  <c r="I44" i="85" s="1"/>
  <c r="H43" i="85"/>
  <c r="H44" i="85" s="1"/>
  <c r="W42" i="85"/>
  <c r="V42" i="85"/>
  <c r="U42" i="85"/>
  <c r="T42" i="85"/>
  <c r="S42" i="85"/>
  <c r="R42" i="85"/>
  <c r="Q42" i="85"/>
  <c r="P42" i="85"/>
  <c r="O42" i="85"/>
  <c r="N42" i="85"/>
  <c r="M42" i="85"/>
  <c r="L42" i="85"/>
  <c r="K42" i="85"/>
  <c r="J42" i="85"/>
  <c r="E41" i="85"/>
  <c r="D41" i="85"/>
  <c r="I40" i="85"/>
  <c r="I41" i="85" s="1"/>
  <c r="H40" i="85"/>
  <c r="H41" i="85" s="1"/>
  <c r="F39" i="85"/>
  <c r="F38" i="85" s="1"/>
  <c r="D38" i="85"/>
  <c r="W37" i="85"/>
  <c r="U37" i="85"/>
  <c r="S37" i="85"/>
  <c r="Q37" i="85"/>
  <c r="O37" i="85"/>
  <c r="H37" i="85"/>
  <c r="K37" i="85"/>
  <c r="G37" i="85"/>
  <c r="G39" i="85" s="1"/>
  <c r="E37" i="85"/>
  <c r="E38" i="85" s="1"/>
  <c r="F36" i="85"/>
  <c r="F33" i="85" s="1"/>
  <c r="F88" i="85" s="1"/>
  <c r="F89" i="85" s="1"/>
  <c r="E36" i="85"/>
  <c r="D36" i="85"/>
  <c r="E33" i="85"/>
  <c r="D33" i="85"/>
  <c r="W28" i="85"/>
  <c r="T16" i="85"/>
  <c r="T34" i="85" s="1"/>
  <c r="T31" i="85" s="1"/>
  <c r="S28" i="85"/>
  <c r="P16" i="85"/>
  <c r="P34" i="85" s="1"/>
  <c r="P31" i="85" s="1"/>
  <c r="O28" i="85"/>
  <c r="I27" i="85"/>
  <c r="Y27" i="85" s="1"/>
  <c r="H27" i="85"/>
  <c r="Z27" i="85" s="1"/>
  <c r="I26" i="85"/>
  <c r="AA26" i="85" s="1"/>
  <c r="H26" i="85"/>
  <c r="Z26" i="85" s="1"/>
  <c r="H25" i="85"/>
  <c r="M24" i="85"/>
  <c r="L24" i="85"/>
  <c r="I23" i="85"/>
  <c r="AA23" i="85" s="1"/>
  <c r="H23" i="85"/>
  <c r="X23" i="85" s="1"/>
  <c r="M22" i="85"/>
  <c r="I22" i="85" s="1"/>
  <c r="M21" i="85"/>
  <c r="H21" i="85"/>
  <c r="I21" i="85" s="1"/>
  <c r="M20" i="85"/>
  <c r="K20" i="85"/>
  <c r="H19" i="85"/>
  <c r="H18" i="85"/>
  <c r="V16" i="85"/>
  <c r="V34" i="85" s="1"/>
  <c r="V31" i="85" s="1"/>
  <c r="R16" i="85"/>
  <c r="R34" i="85" s="1"/>
  <c r="R31" i="85" s="1"/>
  <c r="N16" i="85"/>
  <c r="N34" i="85" s="1"/>
  <c r="N31" i="85" s="1"/>
  <c r="D88" i="85" l="1"/>
  <c r="D89" i="85" s="1"/>
  <c r="E88" i="85"/>
  <c r="I54" i="85"/>
  <c r="I60" i="85"/>
  <c r="I66" i="85"/>
  <c r="H51" i="85"/>
  <c r="H69" i="85"/>
  <c r="H75" i="85"/>
  <c r="I48" i="85"/>
  <c r="I72" i="85"/>
  <c r="I75" i="85"/>
  <c r="H57" i="85"/>
  <c r="I69" i="85"/>
  <c r="X26" i="85"/>
  <c r="I51" i="85"/>
  <c r="I42" i="85"/>
  <c r="I45" i="85"/>
  <c r="I57" i="85"/>
  <c r="H78" i="85"/>
  <c r="H81" i="85"/>
  <c r="H45" i="85"/>
  <c r="I81" i="85"/>
  <c r="AA27" i="85"/>
  <c r="I63" i="85"/>
  <c r="Y23" i="85"/>
  <c r="H63" i="85"/>
  <c r="X27" i="85"/>
  <c r="Y26" i="85"/>
  <c r="Z23" i="85"/>
  <c r="H60" i="85"/>
  <c r="H54" i="85"/>
  <c r="I78" i="85"/>
  <c r="I20" i="85"/>
  <c r="H48" i="85"/>
  <c r="H72" i="85"/>
  <c r="H42" i="85"/>
  <c r="H66" i="85"/>
  <c r="O16" i="85"/>
  <c r="O34" i="85" s="1"/>
  <c r="O31" i="85" s="1"/>
  <c r="S16" i="85"/>
  <c r="S34" i="85" s="1"/>
  <c r="S31" i="85" s="1"/>
  <c r="M28" i="85"/>
  <c r="H28" i="85"/>
  <c r="H20" i="85"/>
  <c r="H22" i="85"/>
  <c r="L29" i="85"/>
  <c r="H29" i="85" s="1"/>
  <c r="K25" i="85"/>
  <c r="I25" i="85" s="1"/>
  <c r="Z25" i="85"/>
  <c r="X25" i="85"/>
  <c r="Z18" i="85"/>
  <c r="K18" i="85"/>
  <c r="M19" i="85"/>
  <c r="I19" i="85" s="1"/>
  <c r="L17" i="85"/>
  <c r="K28" i="85"/>
  <c r="M37" i="85"/>
  <c r="I37" i="85" s="1"/>
  <c r="J24" i="85"/>
  <c r="H24" i="85" s="1"/>
  <c r="Q28" i="85"/>
  <c r="U28" i="85"/>
  <c r="N35" i="85"/>
  <c r="N38" i="85" s="1"/>
  <c r="N39" i="85" s="1"/>
  <c r="G38" i="85"/>
  <c r="G36" i="85"/>
  <c r="E89" i="85"/>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L39" i="85" s="1"/>
  <c r="P35" i="85"/>
  <c r="P38" i="85" s="1"/>
  <c r="P39" i="85" s="1"/>
  <c r="T35" i="85"/>
  <c r="T38" i="85" s="1"/>
  <c r="T39" i="85" s="1"/>
  <c r="W16" i="85"/>
  <c r="W34" i="85" s="1"/>
  <c r="W31" i="85" s="1"/>
  <c r="N36" i="85" l="1"/>
  <c r="N33" i="85" s="1"/>
  <c r="N88" i="85" s="1"/>
  <c r="Q16" i="85"/>
  <c r="Q34" i="85" s="1"/>
  <c r="Q31" i="85" s="1"/>
  <c r="L16" i="85"/>
  <c r="L34" i="85" s="1"/>
  <c r="L31" i="85" s="1"/>
  <c r="U16" i="85"/>
  <c r="U34" i="85" s="1"/>
  <c r="U31" i="85" s="1"/>
  <c r="H110" i="85"/>
  <c r="O36" i="85"/>
  <c r="O33" i="85" s="1"/>
  <c r="H39" i="85"/>
  <c r="V36" i="85"/>
  <c r="V33" i="85" s="1"/>
  <c r="V88" i="85" s="1"/>
  <c r="X22" i="85"/>
  <c r="I28" i="85"/>
  <c r="M17" i="85"/>
  <c r="H17" i="85"/>
  <c r="M39" i="85"/>
  <c r="I39" i="85" s="1"/>
  <c r="J17" i="85"/>
  <c r="K24" i="85"/>
  <c r="I24" i="85" s="1"/>
  <c r="I18" i="85"/>
  <c r="P36" i="85"/>
  <c r="P33" i="85" s="1"/>
  <c r="P88" i="85" s="1"/>
  <c r="W36" i="85"/>
  <c r="W33" i="85" s="1"/>
  <c r="R36" i="85"/>
  <c r="R33" i="85" s="1"/>
  <c r="U36" i="85"/>
  <c r="U33" i="85" s="1"/>
  <c r="G33" i="85"/>
  <c r="T36" i="85"/>
  <c r="T33" i="85" s="1"/>
  <c r="L36" i="85"/>
  <c r="Q36" i="85"/>
  <c r="Q33" i="85" s="1"/>
  <c r="S36" i="85"/>
  <c r="S33" i="85" s="1"/>
  <c r="N32" i="85" l="1"/>
  <c r="N110" i="85" s="1"/>
  <c r="J16" i="85"/>
  <c r="J34" i="85" s="1"/>
  <c r="J36" i="85" s="1"/>
  <c r="I110" i="85"/>
  <c r="G110" i="85" s="1"/>
  <c r="M16" i="85"/>
  <c r="M34" i="85" s="1"/>
  <c r="M31" i="85" s="1"/>
  <c r="H109" i="85"/>
  <c r="V32" i="85"/>
  <c r="I17" i="85"/>
  <c r="I109" i="85" s="1"/>
  <c r="H16" i="85"/>
  <c r="H34" i="85" s="1"/>
  <c r="H31" i="85" s="1"/>
  <c r="K17" i="85"/>
  <c r="J31" i="85"/>
  <c r="P32" i="85"/>
  <c r="G88" i="85"/>
  <c r="G89" i="85" s="1"/>
  <c r="W88" i="85"/>
  <c r="W32" i="85"/>
  <c r="R88" i="85"/>
  <c r="R32" i="85"/>
  <c r="O88" i="85"/>
  <c r="O32" i="85"/>
  <c r="Q88" i="85"/>
  <c r="Q32" i="85"/>
  <c r="T88" i="85"/>
  <c r="T32" i="85"/>
  <c r="U88" i="85"/>
  <c r="U32" i="85"/>
  <c r="S88" i="85"/>
  <c r="S32" i="85"/>
  <c r="L33" i="85"/>
  <c r="N109" i="85" l="1"/>
  <c r="N108" i="85" s="1"/>
  <c r="J33" i="85"/>
  <c r="J88" i="85" s="1"/>
  <c r="H36" i="85"/>
  <c r="H33" i="85" s="1"/>
  <c r="H88" i="85" s="1"/>
  <c r="M36" i="85"/>
  <c r="M33" i="85" s="1"/>
  <c r="M88" i="85" s="1"/>
  <c r="U109" i="85"/>
  <c r="U110" i="85"/>
  <c r="Q109" i="85"/>
  <c r="Q110" i="85"/>
  <c r="R109" i="85"/>
  <c r="R110" i="85"/>
  <c r="S109" i="85"/>
  <c r="S110" i="85"/>
  <c r="T109" i="85"/>
  <c r="T110" i="85"/>
  <c r="O109" i="85"/>
  <c r="O110" i="85"/>
  <c r="W109" i="85"/>
  <c r="W110" i="85"/>
  <c r="P109" i="85"/>
  <c r="P110" i="85"/>
  <c r="I108" i="85"/>
  <c r="K16" i="85"/>
  <c r="K34" i="85" s="1"/>
  <c r="H108" i="85"/>
  <c r="G109" i="85"/>
  <c r="V109" i="85"/>
  <c r="V110" i="85"/>
  <c r="J92" i="85"/>
  <c r="C19" i="115"/>
  <c r="G69" i="120"/>
  <c r="C16" i="115"/>
  <c r="D16" i="115" s="1"/>
  <c r="C15" i="115"/>
  <c r="C17" i="115"/>
  <c r="D17" i="115" s="1"/>
  <c r="C18" i="115"/>
  <c r="I16" i="85"/>
  <c r="L88" i="85"/>
  <c r="L32" i="85"/>
  <c r="G108" i="85" l="1"/>
  <c r="J32" i="85"/>
  <c r="J109" i="85" s="1"/>
  <c r="M32" i="85"/>
  <c r="M109" i="85" s="1"/>
  <c r="L110" i="85"/>
  <c r="L109" i="85"/>
  <c r="W108" i="85"/>
  <c r="T108" i="85"/>
  <c r="R108" i="85"/>
  <c r="U108" i="85"/>
  <c r="K36" i="85"/>
  <c r="K31" i="85"/>
  <c r="V108" i="85"/>
  <c r="P108" i="85"/>
  <c r="O108" i="85"/>
  <c r="N107" i="85" s="1"/>
  <c r="S108" i="85"/>
  <c r="Q108" i="85"/>
  <c r="I34" i="85"/>
  <c r="I31" i="85" s="1"/>
  <c r="D18" i="85"/>
  <c r="E18" i="85" s="1"/>
  <c r="Y18" i="85" s="1"/>
  <c r="G18" i="85"/>
  <c r="AA18" i="85" s="1"/>
  <c r="D19" i="85"/>
  <c r="F19" i="85"/>
  <c r="D20" i="85"/>
  <c r="F20" i="85"/>
  <c r="D21" i="85"/>
  <c r="X21" i="85" s="1"/>
  <c r="F21" i="85"/>
  <c r="Z21" i="85" s="1"/>
  <c r="E22" i="85"/>
  <c r="Y22" i="85" s="1"/>
  <c r="F22" i="85"/>
  <c r="Z22" i="85" s="1"/>
  <c r="D24" i="85"/>
  <c r="X24" i="85" s="1"/>
  <c r="F24" i="85"/>
  <c r="Z24" i="85" s="1"/>
  <c r="E25" i="85"/>
  <c r="Y25" i="85" s="1"/>
  <c r="G25" i="85"/>
  <c r="F28" i="85"/>
  <c r="Z28" i="85" s="1"/>
  <c r="E28" i="85"/>
  <c r="Y28" i="85" s="1"/>
  <c r="D28" i="85"/>
  <c r="X28" i="85" s="1"/>
  <c r="G22" i="85" l="1"/>
  <c r="AA22" i="85" s="1"/>
  <c r="F29" i="85"/>
  <c r="J110" i="85"/>
  <c r="J108" i="85" s="1"/>
  <c r="E20" i="85"/>
  <c r="Y20" i="85" s="1"/>
  <c r="X20" i="85"/>
  <c r="E21" i="85"/>
  <c r="Y21" i="85" s="1"/>
  <c r="F17" i="85"/>
  <c r="Z19" i="85"/>
  <c r="D17" i="85"/>
  <c r="X18" i="85"/>
  <c r="E24" i="85"/>
  <c r="Y24" i="85" s="1"/>
  <c r="E19" i="85"/>
  <c r="Y19" i="85" s="1"/>
  <c r="X19" i="85"/>
  <c r="G24" i="85"/>
  <c r="AA24" i="85" s="1"/>
  <c r="AA25" i="85"/>
  <c r="G21" i="85"/>
  <c r="AA21" i="85" s="1"/>
  <c r="G20" i="85"/>
  <c r="AA20" i="85" s="1"/>
  <c r="Z20" i="85"/>
  <c r="V107" i="85"/>
  <c r="M110" i="85"/>
  <c r="M108" i="85" s="1"/>
  <c r="L108" i="85"/>
  <c r="P107" i="85"/>
  <c r="R107" i="85"/>
  <c r="K33" i="85"/>
  <c r="K88" i="85" s="1"/>
  <c r="C13" i="115" s="1"/>
  <c r="I36" i="85"/>
  <c r="I33" i="85" s="1"/>
  <c r="I88" i="85" s="1"/>
  <c r="T107" i="85"/>
  <c r="G19" i="85"/>
  <c r="D29" i="85"/>
  <c r="E17" i="85" l="1"/>
  <c r="Y17" i="85" s="1"/>
  <c r="Z17" i="85"/>
  <c r="F16" i="85"/>
  <c r="G17" i="85"/>
  <c r="AA19" i="85"/>
  <c r="X17" i="85"/>
  <c r="D16" i="85"/>
  <c r="D202" i="84"/>
  <c r="L107" i="85"/>
  <c r="C14" i="115" s="1"/>
  <c r="C20" i="115" s="1"/>
  <c r="K32" i="85"/>
  <c r="K92" i="85"/>
  <c r="E16" i="85" l="1"/>
  <c r="AA17" i="85"/>
  <c r="G16" i="85"/>
  <c r="E34" i="85"/>
  <c r="Y16" i="85"/>
  <c r="Y34" i="85" s="1"/>
  <c r="D34" i="85"/>
  <c r="X16" i="85"/>
  <c r="F34" i="85"/>
  <c r="Z16" i="85"/>
  <c r="C43" i="108"/>
  <c r="H202" i="84"/>
  <c r="G43" i="108" s="1"/>
  <c r="K110" i="85"/>
  <c r="K109" i="85"/>
  <c r="J93" i="85"/>
  <c r="Y87" i="85"/>
  <c r="X87" i="85"/>
  <c r="Y84" i="85"/>
  <c r="X84" i="85"/>
  <c r="Y81" i="85"/>
  <c r="X81" i="85"/>
  <c r="Y78" i="85"/>
  <c r="X78" i="85"/>
  <c r="Y75" i="85"/>
  <c r="X75" i="85"/>
  <c r="Y72" i="85"/>
  <c r="X72" i="85"/>
  <c r="Y69" i="85"/>
  <c r="X69" i="85"/>
  <c r="Y66" i="85"/>
  <c r="X66" i="85"/>
  <c r="Y63" i="85"/>
  <c r="X63" i="85"/>
  <c r="Y60" i="85"/>
  <c r="X60" i="85"/>
  <c r="Y57" i="85"/>
  <c r="X57" i="85"/>
  <c r="Y54" i="85"/>
  <c r="X54" i="85"/>
  <c r="Y51" i="85"/>
  <c r="X51" i="85"/>
  <c r="Y48" i="85"/>
  <c r="X48" i="85"/>
  <c r="Y45" i="85"/>
  <c r="X45" i="85"/>
  <c r="Y42" i="85"/>
  <c r="X42" i="85"/>
  <c r="Y37" i="85"/>
  <c r="D31" i="85" l="1"/>
  <c r="D32" i="85" s="1"/>
  <c r="D35" i="85"/>
  <c r="F35" i="85"/>
  <c r="F31" i="85"/>
  <c r="F32" i="85" s="1"/>
  <c r="E35" i="85"/>
  <c r="E31" i="85"/>
  <c r="E32" i="85" s="1"/>
  <c r="G34" i="85"/>
  <c r="AA16" i="85"/>
  <c r="K108" i="85"/>
  <c r="J107" i="85" s="1"/>
  <c r="Y31" i="85"/>
  <c r="X34" i="85"/>
  <c r="Y35" i="85"/>
  <c r="Y38" i="85" s="1"/>
  <c r="Y39" i="85" s="1"/>
  <c r="X35" i="85"/>
  <c r="X38" i="85" s="1"/>
  <c r="X39" i="85" s="1"/>
  <c r="G35" i="85" l="1"/>
  <c r="G31" i="85"/>
  <c r="G32" i="85" s="1"/>
  <c r="C14" i="132"/>
  <c r="C55" i="150" s="1"/>
  <c r="D186" i="84"/>
  <c r="X31" i="85"/>
  <c r="X36" i="85"/>
  <c r="X33" i="85" s="1"/>
  <c r="X88" i="85" s="1"/>
  <c r="Y36" i="85"/>
  <c r="Y33" i="85" s="1"/>
  <c r="Y88" i="85" s="1"/>
  <c r="C27" i="108" l="1"/>
  <c r="H8" i="108" s="1"/>
  <c r="H186" i="84"/>
  <c r="G27" i="108" s="1"/>
  <c r="Y32" i="85"/>
  <c r="X32" i="85"/>
  <c r="F18" i="21" l="1"/>
  <c r="G18" i="21"/>
  <c r="H18" i="21"/>
  <c r="I18" i="21"/>
  <c r="J18" i="21"/>
  <c r="L18" i="21"/>
  <c r="M18" i="21"/>
  <c r="N18" i="21"/>
  <c r="O18" i="21"/>
  <c r="P18" i="21"/>
  <c r="D14" i="118"/>
  <c r="D31" i="24" s="1"/>
  <c r="D207" i="21" l="1"/>
  <c r="D12" i="119"/>
  <c r="E12" i="119"/>
  <c r="C12" i="119" l="1"/>
  <c r="A7" i="119"/>
  <c r="A8" i="119" s="1"/>
  <c r="A9" i="119" s="1"/>
  <c r="A10" i="119" s="1"/>
  <c r="A11" i="119" s="1"/>
  <c r="E14" i="118"/>
  <c r="D33" i="24" s="1"/>
  <c r="C14" i="118"/>
  <c r="D13" i="21" l="1"/>
  <c r="D29" i="24"/>
  <c r="G14" i="118"/>
  <c r="I14" i="118" s="1"/>
  <c r="O13" i="21"/>
  <c r="O36" i="21" s="1"/>
  <c r="I13" i="21"/>
  <c r="I36" i="21" s="1"/>
  <c r="H13" i="21"/>
  <c r="H36" i="21" s="1"/>
  <c r="L13" i="21"/>
  <c r="L36" i="21" s="1"/>
  <c r="E13" i="21"/>
  <c r="N13" i="21"/>
  <c r="N36" i="21" s="1"/>
  <c r="M13" i="21"/>
  <c r="M36" i="21" s="1"/>
  <c r="G13" i="21"/>
  <c r="G36" i="21" s="1"/>
  <c r="F13" i="21"/>
  <c r="F36" i="21" s="1"/>
  <c r="K13" i="21"/>
  <c r="K36" i="21" s="1"/>
  <c r="P13" i="21"/>
  <c r="P36" i="21" s="1"/>
  <c r="J13" i="21"/>
  <c r="J36" i="21" s="1"/>
  <c r="D100" i="21"/>
  <c r="D101" i="21"/>
  <c r="E14" i="21" l="1"/>
  <c r="E17" i="21" s="1"/>
  <c r="E36" i="21"/>
  <c r="D14" i="21"/>
  <c r="D36" i="21"/>
  <c r="D99" i="21"/>
  <c r="P203" i="21" l="1"/>
  <c r="P218" i="21" s="1"/>
  <c r="O203" i="21"/>
  <c r="O218" i="21" s="1"/>
  <c r="N203" i="21"/>
  <c r="N218" i="21" s="1"/>
  <c r="M203" i="21"/>
  <c r="M218" i="21" s="1"/>
  <c r="L203" i="21"/>
  <c r="L218" i="21" s="1"/>
  <c r="K203" i="21"/>
  <c r="K218" i="21" s="1"/>
  <c r="J203" i="21"/>
  <c r="J218" i="21" s="1"/>
  <c r="I203" i="21"/>
  <c r="I218" i="21" s="1"/>
  <c r="H203" i="21"/>
  <c r="H218" i="21" s="1"/>
  <c r="G203" i="21"/>
  <c r="G218" i="21" s="1"/>
  <c r="F203" i="21"/>
  <c r="F218" i="21" s="1"/>
  <c r="E203" i="21"/>
  <c r="M202" i="21"/>
  <c r="M217" i="21" s="1"/>
  <c r="N202" i="21"/>
  <c r="N217" i="21" s="1"/>
  <c r="O202" i="21"/>
  <c r="O217" i="21" s="1"/>
  <c r="P202" i="21"/>
  <c r="P217" i="21" s="1"/>
  <c r="L202" i="21"/>
  <c r="L217" i="21" s="1"/>
  <c r="K202" i="21"/>
  <c r="K217" i="21" s="1"/>
  <c r="I202" i="21"/>
  <c r="I217" i="21" s="1"/>
  <c r="J202" i="21"/>
  <c r="J217" i="21" s="1"/>
  <c r="H202" i="21"/>
  <c r="H217" i="21" s="1"/>
  <c r="G202" i="21"/>
  <c r="G217" i="21" s="1"/>
  <c r="F202" i="21"/>
  <c r="F217" i="21" s="1"/>
  <c r="E202" i="21"/>
  <c r="D192" i="21"/>
  <c r="M70" i="21"/>
  <c r="N70" i="21"/>
  <c r="N76" i="21" s="1"/>
  <c r="O70" i="21"/>
  <c r="P70" i="21"/>
  <c r="L70" i="21"/>
  <c r="K70" i="21"/>
  <c r="I70" i="21"/>
  <c r="J70" i="21"/>
  <c r="H70" i="21"/>
  <c r="G70" i="21"/>
  <c r="G76" i="21" s="1"/>
  <c r="F70" i="21"/>
  <c r="E70" i="21"/>
  <c r="F194" i="21"/>
  <c r="G194" i="21"/>
  <c r="H194" i="21"/>
  <c r="I194" i="21"/>
  <c r="J194" i="21"/>
  <c r="L194" i="21"/>
  <c r="M194" i="21"/>
  <c r="N194" i="21"/>
  <c r="O194" i="21"/>
  <c r="P194" i="21"/>
  <c r="M153" i="21"/>
  <c r="M199" i="21" s="1"/>
  <c r="N153" i="21"/>
  <c r="N199" i="21" s="1"/>
  <c r="O153" i="21"/>
  <c r="O199" i="21" s="1"/>
  <c r="P153" i="21"/>
  <c r="P199" i="21" s="1"/>
  <c r="L153" i="21"/>
  <c r="L199" i="21" s="1"/>
  <c r="K153" i="21"/>
  <c r="K199" i="21" s="1"/>
  <c r="I153" i="21"/>
  <c r="I199" i="21" s="1"/>
  <c r="J153" i="21"/>
  <c r="J199" i="21" s="1"/>
  <c r="H153" i="21"/>
  <c r="H199" i="21" s="1"/>
  <c r="G153" i="21"/>
  <c r="G199" i="21" s="1"/>
  <c r="F153" i="21"/>
  <c r="F199" i="21" s="1"/>
  <c r="E153" i="21"/>
  <c r="E199" i="21" s="1"/>
  <c r="M155" i="21"/>
  <c r="M200" i="21" s="1"/>
  <c r="N155" i="21"/>
  <c r="N200" i="21" s="1"/>
  <c r="O155" i="21"/>
  <c r="O200" i="21" s="1"/>
  <c r="P155" i="21"/>
  <c r="P200" i="21" s="1"/>
  <c r="L155" i="21"/>
  <c r="L200" i="21" s="1"/>
  <c r="K155" i="21"/>
  <c r="K200" i="21" s="1"/>
  <c r="I155" i="21"/>
  <c r="I200" i="21" s="1"/>
  <c r="J155" i="21"/>
  <c r="J200" i="21" s="1"/>
  <c r="H155" i="21"/>
  <c r="H200" i="21" s="1"/>
  <c r="G155" i="21"/>
  <c r="G200" i="21" s="1"/>
  <c r="F155" i="21"/>
  <c r="F200" i="21" s="1"/>
  <c r="E155" i="21"/>
  <c r="E200" i="21" s="1"/>
  <c r="E180" i="21"/>
  <c r="I178" i="21"/>
  <c r="I154" i="21" s="1"/>
  <c r="G178" i="21"/>
  <c r="G154" i="21" s="1"/>
  <c r="D190" i="21"/>
  <c r="D203" i="21" s="1"/>
  <c r="D189" i="21"/>
  <c r="D202" i="21" s="1"/>
  <c r="G70" i="120" s="1"/>
  <c r="S184" i="21"/>
  <c r="F177" i="21"/>
  <c r="G177" i="21"/>
  <c r="H177" i="21"/>
  <c r="I177" i="21"/>
  <c r="J177" i="21"/>
  <c r="K177" i="21"/>
  <c r="L177" i="21"/>
  <c r="M177" i="21"/>
  <c r="N177" i="21"/>
  <c r="O177" i="21"/>
  <c r="P177" i="21"/>
  <c r="E177" i="21"/>
  <c r="M5" i="117"/>
  <c r="K5" i="117"/>
  <c r="I5" i="117"/>
  <c r="E5" i="117"/>
  <c r="C5" i="117"/>
  <c r="D189" i="84" l="1"/>
  <c r="D205" i="84"/>
  <c r="O178" i="21"/>
  <c r="O154" i="21" s="1"/>
  <c r="O201" i="21" s="1"/>
  <c r="N198" i="21"/>
  <c r="E198" i="21"/>
  <c r="E76" i="21"/>
  <c r="J198" i="21"/>
  <c r="J76" i="21"/>
  <c r="P198" i="21"/>
  <c r="P76" i="21"/>
  <c r="H198" i="21"/>
  <c r="H76" i="21"/>
  <c r="L198" i="21"/>
  <c r="L76" i="21"/>
  <c r="M198" i="21"/>
  <c r="M76" i="21"/>
  <c r="G198" i="21"/>
  <c r="G201" i="21"/>
  <c r="G170" i="21"/>
  <c r="K198" i="21"/>
  <c r="K76" i="21"/>
  <c r="I201" i="21"/>
  <c r="I170" i="21"/>
  <c r="F198" i="21"/>
  <c r="F76" i="21"/>
  <c r="I198" i="21"/>
  <c r="I76" i="21"/>
  <c r="O198" i="21"/>
  <c r="O76" i="21"/>
  <c r="D218" i="21"/>
  <c r="D217" i="21"/>
  <c r="Q202" i="21"/>
  <c r="R202" i="21" s="1"/>
  <c r="E217" i="21"/>
  <c r="Q203" i="21"/>
  <c r="R203" i="21" s="1"/>
  <c r="E218" i="21"/>
  <c r="Q200" i="21"/>
  <c r="Q199" i="21"/>
  <c r="M178" i="21"/>
  <c r="M154" i="21" s="1"/>
  <c r="E178" i="21"/>
  <c r="E154" i="21" s="1"/>
  <c r="J178" i="21"/>
  <c r="J154" i="21" s="1"/>
  <c r="N178" i="21"/>
  <c r="N154" i="21" s="1"/>
  <c r="L178" i="21"/>
  <c r="L154" i="21" s="1"/>
  <c r="P178" i="21"/>
  <c r="P154" i="21" s="1"/>
  <c r="K178" i="21"/>
  <c r="K154" i="21" s="1"/>
  <c r="H178" i="21"/>
  <c r="H154" i="21" s="1"/>
  <c r="F178" i="21"/>
  <c r="F154" i="21" s="1"/>
  <c r="D180" i="21"/>
  <c r="D179" i="21"/>
  <c r="O170" i="21" l="1"/>
  <c r="Q198" i="21"/>
  <c r="C30" i="108"/>
  <c r="B34" i="146"/>
  <c r="C46" i="108"/>
  <c r="H205" i="84"/>
  <c r="G46" i="108" s="1"/>
  <c r="P201" i="21"/>
  <c r="P170" i="21"/>
  <c r="F201" i="21"/>
  <c r="F170" i="21"/>
  <c r="L201" i="21"/>
  <c r="L170" i="21"/>
  <c r="M201" i="21"/>
  <c r="M170" i="21"/>
  <c r="E201" i="21"/>
  <c r="E170" i="21"/>
  <c r="K201" i="21"/>
  <c r="K170" i="21"/>
  <c r="J201" i="21"/>
  <c r="J170" i="21"/>
  <c r="H201" i="21"/>
  <c r="H170" i="21"/>
  <c r="N201" i="21"/>
  <c r="N170" i="21"/>
  <c r="D178" i="21"/>
  <c r="Q201" i="21" l="1"/>
  <c r="K194" i="21" l="1"/>
  <c r="K18" i="21"/>
  <c r="E194" i="21"/>
  <c r="Q194" i="21" s="1"/>
  <c r="E18" i="21"/>
  <c r="C205" i="49" l="1"/>
  <c r="C208" i="49"/>
  <c r="D208" i="49" s="1"/>
  <c r="E208" i="49" s="1"/>
  <c r="F208" i="49" s="1"/>
  <c r="G208" i="49" s="1"/>
  <c r="M208" i="49" s="1"/>
  <c r="N208" i="49" s="1"/>
  <c r="O208" i="49" s="1"/>
  <c r="C204" i="49"/>
  <c r="D204" i="49" s="1"/>
  <c r="E204" i="49" s="1"/>
  <c r="C207" i="49"/>
  <c r="D207" i="49" s="1"/>
  <c r="E207" i="49" s="1"/>
  <c r="D209" i="49"/>
  <c r="E209" i="49" s="1"/>
  <c r="F209" i="49" s="1"/>
  <c r="G209" i="49" s="1"/>
  <c r="M209" i="49" s="1"/>
  <c r="N209" i="49" s="1"/>
  <c r="O209" i="49" s="1"/>
  <c r="D205" i="49" l="1"/>
  <c r="E205" i="49" s="1"/>
  <c r="F205" i="49" s="1"/>
  <c r="G205" i="49" s="1"/>
  <c r="M205" i="49" s="1"/>
  <c r="N205" i="49" s="1"/>
  <c r="O205" i="49" s="1"/>
  <c r="D206" i="49"/>
  <c r="D203" i="49"/>
  <c r="E203" i="49"/>
  <c r="F204" i="49"/>
  <c r="E206" i="49"/>
  <c r="F207" i="49"/>
  <c r="E202" i="49" l="1"/>
  <c r="D202" i="49"/>
  <c r="F203" i="49"/>
  <c r="G204" i="49"/>
  <c r="F206" i="49"/>
  <c r="G207" i="49"/>
  <c r="F202" i="49" l="1"/>
  <c r="G206" i="49"/>
  <c r="M207" i="49"/>
  <c r="G203" i="49"/>
  <c r="M204" i="49"/>
  <c r="N207" i="49" l="1"/>
  <c r="M206" i="49"/>
  <c r="G202" i="49"/>
  <c r="N204" i="49"/>
  <c r="M203" i="49"/>
  <c r="M202" i="49" l="1"/>
  <c r="N206" i="49"/>
  <c r="O207" i="49"/>
  <c r="O206" i="49" s="1"/>
  <c r="N203" i="49"/>
  <c r="O204" i="49"/>
  <c r="O203" i="49" s="1"/>
  <c r="O202" i="49" l="1"/>
  <c r="N202" i="49"/>
  <c r="C25" i="49" l="1"/>
  <c r="K96" i="84" l="1"/>
  <c r="L2" i="21"/>
  <c r="G1" i="115"/>
  <c r="P32" i="91"/>
  <c r="AA14" i="91"/>
  <c r="D174" i="68" s="1"/>
  <c r="Z14" i="91"/>
  <c r="AA13" i="91"/>
  <c r="D173" i="68" s="1"/>
  <c r="Z13" i="91"/>
  <c r="AA12" i="91"/>
  <c r="D172" i="68" s="1"/>
  <c r="Z12" i="91"/>
  <c r="E172" i="68" s="1"/>
  <c r="H172" i="68" s="1"/>
  <c r="AA11" i="91"/>
  <c r="Z11" i="91"/>
  <c r="J31" i="91" s="1"/>
  <c r="AA10" i="91"/>
  <c r="Z10" i="91"/>
  <c r="H31" i="91" s="1"/>
  <c r="AA9" i="91"/>
  <c r="D169" i="68" s="1"/>
  <c r="Z9" i="91"/>
  <c r="E169" i="68" s="1"/>
  <c r="H169" i="68" s="1"/>
  <c r="AA8" i="91"/>
  <c r="D168" i="68" s="1"/>
  <c r="Z8" i="91"/>
  <c r="E168" i="68" s="1"/>
  <c r="H168" i="68" s="1"/>
  <c r="AA7" i="91"/>
  <c r="D167" i="68" s="1"/>
  <c r="Z7" i="91"/>
  <c r="E167" i="68" s="1"/>
  <c r="H167" i="68" s="1"/>
  <c r="F165" i="68"/>
  <c r="I162" i="68"/>
  <c r="E162" i="68"/>
  <c r="P157" i="68"/>
  <c r="N157" i="68"/>
  <c r="L157" i="68"/>
  <c r="J157" i="68"/>
  <c r="H157" i="68"/>
  <c r="F157" i="68"/>
  <c r="D157" i="68"/>
  <c r="P155" i="68"/>
  <c r="N155" i="68"/>
  <c r="L155" i="68"/>
  <c r="J155" i="68"/>
  <c r="H155" i="68"/>
  <c r="F155" i="68"/>
  <c r="D155" i="68"/>
  <c r="P153" i="68"/>
  <c r="N153" i="68"/>
  <c r="L153" i="68"/>
  <c r="J153" i="68"/>
  <c r="H153" i="68"/>
  <c r="F153" i="68"/>
  <c r="D153" i="68"/>
  <c r="P151" i="68"/>
  <c r="N151" i="68"/>
  <c r="L151" i="68"/>
  <c r="J151" i="68"/>
  <c r="H151" i="68"/>
  <c r="F151" i="68"/>
  <c r="D151" i="68"/>
  <c r="P149" i="68"/>
  <c r="N149" i="68"/>
  <c r="L149" i="68"/>
  <c r="J149" i="68"/>
  <c r="H149" i="68"/>
  <c r="F149" i="68"/>
  <c r="D149" i="68"/>
  <c r="P147" i="68"/>
  <c r="N147" i="68"/>
  <c r="L147" i="68"/>
  <c r="J147" i="68"/>
  <c r="H147" i="68"/>
  <c r="F147" i="68"/>
  <c r="D147" i="68"/>
  <c r="P145" i="68"/>
  <c r="N145" i="68"/>
  <c r="L145" i="68"/>
  <c r="J145" i="68"/>
  <c r="H145" i="68"/>
  <c r="F145" i="68"/>
  <c r="D145" i="68"/>
  <c r="P143" i="68"/>
  <c r="N143" i="68"/>
  <c r="L143" i="68"/>
  <c r="J143" i="68"/>
  <c r="H143" i="68"/>
  <c r="F143" i="68"/>
  <c r="D143" i="68"/>
  <c r="P141" i="68"/>
  <c r="N141" i="68"/>
  <c r="L141" i="68"/>
  <c r="J141" i="68"/>
  <c r="H141" i="68"/>
  <c r="F141" i="68"/>
  <c r="D141" i="68"/>
  <c r="P139" i="68"/>
  <c r="N139" i="68"/>
  <c r="L139" i="68"/>
  <c r="J139" i="68"/>
  <c r="H139" i="68"/>
  <c r="F139" i="68"/>
  <c r="D139" i="68"/>
  <c r="P137" i="68"/>
  <c r="N137" i="68"/>
  <c r="L137" i="68"/>
  <c r="J137" i="68"/>
  <c r="H137" i="68"/>
  <c r="F137" i="68"/>
  <c r="D137" i="68"/>
  <c r="P135" i="68"/>
  <c r="N135" i="68"/>
  <c r="L135" i="68"/>
  <c r="J135" i="68"/>
  <c r="H135" i="68"/>
  <c r="F135" i="68"/>
  <c r="D135" i="68"/>
  <c r="O130" i="68"/>
  <c r="H130" i="68"/>
  <c r="P123" i="68"/>
  <c r="N123" i="68"/>
  <c r="L123" i="68"/>
  <c r="J123" i="68"/>
  <c r="H123" i="68"/>
  <c r="F123" i="68"/>
  <c r="D123" i="68"/>
  <c r="R122" i="68"/>
  <c r="P121" i="68"/>
  <c r="N121" i="68"/>
  <c r="L121" i="68"/>
  <c r="J121" i="68"/>
  <c r="H121" i="68"/>
  <c r="F121" i="68"/>
  <c r="D121" i="68"/>
  <c r="R120" i="68"/>
  <c r="P119" i="68"/>
  <c r="N119" i="68"/>
  <c r="L119" i="68"/>
  <c r="J119" i="68"/>
  <c r="H119" i="68"/>
  <c r="F119" i="68"/>
  <c r="D119" i="68"/>
  <c r="R118" i="68"/>
  <c r="P117" i="68"/>
  <c r="N117" i="68"/>
  <c r="L117" i="68"/>
  <c r="J117" i="68"/>
  <c r="H117" i="68"/>
  <c r="F117" i="68"/>
  <c r="D117" i="68"/>
  <c r="R116" i="68"/>
  <c r="P115" i="68"/>
  <c r="N115" i="68"/>
  <c r="L115" i="68"/>
  <c r="J115" i="68"/>
  <c r="H115" i="68"/>
  <c r="F115" i="68"/>
  <c r="D115" i="68"/>
  <c r="R114" i="68"/>
  <c r="P113" i="68"/>
  <c r="N113" i="68"/>
  <c r="L113" i="68"/>
  <c r="J113" i="68"/>
  <c r="H113" i="68"/>
  <c r="F113" i="68"/>
  <c r="D113" i="68"/>
  <c r="R112" i="68"/>
  <c r="P111" i="68"/>
  <c r="N111" i="68"/>
  <c r="L111" i="68"/>
  <c r="J111" i="68"/>
  <c r="H111" i="68"/>
  <c r="F111" i="68"/>
  <c r="D111" i="68"/>
  <c r="R110" i="68"/>
  <c r="P109" i="68"/>
  <c r="N109" i="68"/>
  <c r="L109" i="68"/>
  <c r="J109" i="68"/>
  <c r="H109" i="68"/>
  <c r="F109" i="68"/>
  <c r="D109" i="68"/>
  <c r="R108" i="68"/>
  <c r="P107" i="68"/>
  <c r="N107" i="68"/>
  <c r="L107" i="68"/>
  <c r="J107" i="68"/>
  <c r="H107" i="68"/>
  <c r="F107" i="68"/>
  <c r="D107" i="68"/>
  <c r="R106" i="68"/>
  <c r="P105" i="68"/>
  <c r="N105" i="68"/>
  <c r="L105" i="68"/>
  <c r="J105" i="68"/>
  <c r="H105" i="68"/>
  <c r="F105" i="68"/>
  <c r="D105" i="68"/>
  <c r="R104" i="68"/>
  <c r="P103" i="68"/>
  <c r="N103" i="68"/>
  <c r="L103" i="68"/>
  <c r="J103" i="68"/>
  <c r="H103" i="68"/>
  <c r="F103" i="68"/>
  <c r="D103" i="68"/>
  <c r="R102" i="68"/>
  <c r="P101" i="68"/>
  <c r="N101" i="68"/>
  <c r="L101" i="68"/>
  <c r="J101" i="68"/>
  <c r="H101" i="68"/>
  <c r="F101" i="68"/>
  <c r="D101" i="68"/>
  <c r="R100" i="68"/>
  <c r="P99" i="68"/>
  <c r="N99" i="68"/>
  <c r="L99" i="68"/>
  <c r="J99" i="68"/>
  <c r="H99" i="68"/>
  <c r="F99" i="68"/>
  <c r="D99" i="68"/>
  <c r="R98" i="68"/>
  <c r="P97" i="68"/>
  <c r="N97" i="68"/>
  <c r="L97" i="68"/>
  <c r="J97" i="68"/>
  <c r="H97" i="68"/>
  <c r="F97" i="68"/>
  <c r="D97" i="68"/>
  <c r="R96" i="68"/>
  <c r="P95" i="68"/>
  <c r="N95" i="68"/>
  <c r="L95" i="68"/>
  <c r="J95" i="68"/>
  <c r="H95" i="68"/>
  <c r="F95" i="68"/>
  <c r="D95" i="68"/>
  <c r="R94" i="68"/>
  <c r="P93" i="68"/>
  <c r="N93" i="68"/>
  <c r="L93" i="68"/>
  <c r="J93" i="68"/>
  <c r="H93" i="68"/>
  <c r="F93" i="68"/>
  <c r="D93" i="68"/>
  <c r="R92" i="68"/>
  <c r="P91" i="68"/>
  <c r="N91" i="68"/>
  <c r="L91" i="68"/>
  <c r="J91" i="68"/>
  <c r="H91" i="68"/>
  <c r="F91" i="68"/>
  <c r="D91" i="68"/>
  <c r="R90" i="68"/>
  <c r="P89" i="68"/>
  <c r="N89" i="68"/>
  <c r="L89" i="68"/>
  <c r="J89" i="68"/>
  <c r="H89" i="68"/>
  <c r="F89" i="68"/>
  <c r="D89" i="68"/>
  <c r="R88" i="68"/>
  <c r="P87" i="68"/>
  <c r="N87" i="68"/>
  <c r="L87" i="68"/>
  <c r="J87" i="68"/>
  <c r="H87" i="68"/>
  <c r="F87" i="68"/>
  <c r="D87" i="68"/>
  <c r="R86" i="68"/>
  <c r="P85" i="68"/>
  <c r="N85" i="68"/>
  <c r="L85" i="68"/>
  <c r="J85" i="68"/>
  <c r="H85" i="68"/>
  <c r="F85" i="68"/>
  <c r="D85" i="68"/>
  <c r="R84" i="68"/>
  <c r="P83" i="68"/>
  <c r="N83" i="68"/>
  <c r="L83" i="68"/>
  <c r="J83" i="68"/>
  <c r="H83" i="68"/>
  <c r="F83" i="68"/>
  <c r="D83" i="68"/>
  <c r="R82" i="68"/>
  <c r="P81" i="68"/>
  <c r="N81" i="68"/>
  <c r="L81" i="68"/>
  <c r="J81" i="68"/>
  <c r="H81" i="68"/>
  <c r="F81" i="68"/>
  <c r="D81" i="68"/>
  <c r="R80" i="68"/>
  <c r="P79" i="68"/>
  <c r="N79" i="68"/>
  <c r="L79" i="68"/>
  <c r="J79" i="68"/>
  <c r="H79" i="68"/>
  <c r="F79" i="68"/>
  <c r="D79" i="68"/>
  <c r="R78" i="68"/>
  <c r="P77" i="68"/>
  <c r="N77" i="68"/>
  <c r="L77" i="68"/>
  <c r="J77" i="68"/>
  <c r="H77" i="68"/>
  <c r="F77" i="68"/>
  <c r="D77" i="68"/>
  <c r="R76" i="68"/>
  <c r="P75" i="68"/>
  <c r="N75" i="68"/>
  <c r="L75" i="68"/>
  <c r="J75" i="68"/>
  <c r="H75" i="68"/>
  <c r="F75" i="68"/>
  <c r="D75" i="68"/>
  <c r="R74" i="68"/>
  <c r="P73" i="68"/>
  <c r="N73" i="68"/>
  <c r="L73" i="68"/>
  <c r="J73" i="68"/>
  <c r="H73" i="68"/>
  <c r="F73" i="68"/>
  <c r="D73" i="68"/>
  <c r="R72" i="68"/>
  <c r="P71" i="68"/>
  <c r="N71" i="68"/>
  <c r="L71" i="68"/>
  <c r="J71" i="68"/>
  <c r="H71" i="68"/>
  <c r="F71" i="68"/>
  <c r="D71" i="68"/>
  <c r="R70" i="68"/>
  <c r="P69" i="68"/>
  <c r="N69" i="68"/>
  <c r="L69" i="68"/>
  <c r="J69" i="68"/>
  <c r="H69" i="68"/>
  <c r="F69" i="68"/>
  <c r="D69" i="68"/>
  <c r="R68" i="68"/>
  <c r="B68" i="68"/>
  <c r="B70" i="68" s="1"/>
  <c r="B72" i="68" s="1"/>
  <c r="B74" i="68" s="1"/>
  <c r="B76" i="68" s="1"/>
  <c r="B78" i="68" s="1"/>
  <c r="B80" i="68" s="1"/>
  <c r="B82" i="68" s="1"/>
  <c r="B84" i="68" s="1"/>
  <c r="B86" i="68" s="1"/>
  <c r="B88" i="68" s="1"/>
  <c r="B90" i="68" s="1"/>
  <c r="B92" i="68" s="1"/>
  <c r="B94" i="68" s="1"/>
  <c r="B96" i="68" s="1"/>
  <c r="B98" i="68" s="1"/>
  <c r="B100" i="68" s="1"/>
  <c r="B102" i="68" s="1"/>
  <c r="B104" i="68" s="1"/>
  <c r="B106" i="68" s="1"/>
  <c r="B108" i="68" s="1"/>
  <c r="B110" i="68" s="1"/>
  <c r="B112" i="68" s="1"/>
  <c r="B114" i="68" s="1"/>
  <c r="B116" i="68" s="1"/>
  <c r="B118" i="68" s="1"/>
  <c r="B120" i="68" s="1"/>
  <c r="B122" i="68" s="1"/>
  <c r="P67" i="68"/>
  <c r="N67" i="68"/>
  <c r="L67" i="68"/>
  <c r="J67" i="68"/>
  <c r="H67" i="68"/>
  <c r="F67" i="68"/>
  <c r="D67" i="68"/>
  <c r="R66" i="68"/>
  <c r="N65" i="68"/>
  <c r="R65" i="68" s="1"/>
  <c r="R64" i="68"/>
  <c r="P63" i="68"/>
  <c r="N63" i="68"/>
  <c r="L63" i="68"/>
  <c r="J63" i="68"/>
  <c r="H63" i="68"/>
  <c r="F63" i="68"/>
  <c r="D63" i="68"/>
  <c r="R62" i="68"/>
  <c r="P61" i="68"/>
  <c r="N61" i="68"/>
  <c r="L61" i="68"/>
  <c r="J61" i="68"/>
  <c r="H61" i="68"/>
  <c r="F61" i="68"/>
  <c r="D61" i="68"/>
  <c r="R60" i="68"/>
  <c r="P59" i="68"/>
  <c r="N59" i="68"/>
  <c r="L59" i="68"/>
  <c r="J59" i="68"/>
  <c r="H59" i="68"/>
  <c r="F59" i="68"/>
  <c r="D59" i="68"/>
  <c r="R58" i="68"/>
  <c r="P57" i="68"/>
  <c r="N57" i="68"/>
  <c r="L57" i="68"/>
  <c r="J57" i="68"/>
  <c r="H57" i="68"/>
  <c r="F57" i="68"/>
  <c r="D57" i="68"/>
  <c r="R56" i="68"/>
  <c r="P55" i="68"/>
  <c r="N55" i="68"/>
  <c r="L55" i="68"/>
  <c r="J55" i="68"/>
  <c r="H55" i="68"/>
  <c r="F55" i="68"/>
  <c r="D55" i="68"/>
  <c r="R54" i="68"/>
  <c r="P53" i="68"/>
  <c r="N53" i="68"/>
  <c r="L53" i="68"/>
  <c r="J53" i="68"/>
  <c r="H53" i="68"/>
  <c r="F53" i="68"/>
  <c r="D53" i="68"/>
  <c r="R52" i="68"/>
  <c r="B52" i="68"/>
  <c r="B54" i="68" s="1"/>
  <c r="B56" i="68" s="1"/>
  <c r="B58" i="68" s="1"/>
  <c r="B60" i="68" s="1"/>
  <c r="B62" i="68" s="1"/>
  <c r="P51" i="68"/>
  <c r="N51" i="68"/>
  <c r="L51" i="68"/>
  <c r="J51" i="68"/>
  <c r="H51" i="68"/>
  <c r="F51" i="68"/>
  <c r="D51" i="68"/>
  <c r="R50" i="68"/>
  <c r="O46" i="68"/>
  <c r="H46" i="68"/>
  <c r="R39" i="68"/>
  <c r="E39" i="68"/>
  <c r="D40" i="68" s="1"/>
  <c r="P38" i="68"/>
  <c r="N38" i="68"/>
  <c r="L38" i="68"/>
  <c r="J38" i="68"/>
  <c r="H38" i="68"/>
  <c r="F38" i="68"/>
  <c r="D38" i="68"/>
  <c r="P36" i="68"/>
  <c r="N36" i="68"/>
  <c r="L36" i="68"/>
  <c r="J36" i="68"/>
  <c r="H36" i="68"/>
  <c r="F36" i="68"/>
  <c r="D36" i="68"/>
  <c r="R35" i="68"/>
  <c r="P34" i="68"/>
  <c r="N34" i="68"/>
  <c r="L34" i="68"/>
  <c r="J34" i="68"/>
  <c r="H34" i="68"/>
  <c r="F34" i="68"/>
  <c r="D34" i="68"/>
  <c r="R33" i="68"/>
  <c r="P32" i="68"/>
  <c r="N32" i="68"/>
  <c r="L32" i="68"/>
  <c r="J32" i="68"/>
  <c r="H32" i="68"/>
  <c r="F32" i="68"/>
  <c r="D32" i="68"/>
  <c r="R31" i="68"/>
  <c r="P30" i="68"/>
  <c r="N30" i="68"/>
  <c r="L30" i="68"/>
  <c r="J30" i="68"/>
  <c r="H30" i="68"/>
  <c r="F30" i="68"/>
  <c r="D30" i="68"/>
  <c r="R29" i="68"/>
  <c r="P28" i="68"/>
  <c r="N28" i="68"/>
  <c r="L28" i="68"/>
  <c r="J28" i="68"/>
  <c r="H28" i="68"/>
  <c r="F28" i="68"/>
  <c r="D28" i="68"/>
  <c r="R26" i="68"/>
  <c r="P25" i="68"/>
  <c r="N25" i="68"/>
  <c r="L25" i="68"/>
  <c r="J25" i="68"/>
  <c r="H25" i="68"/>
  <c r="F25" i="68"/>
  <c r="D25" i="68"/>
  <c r="P23" i="68"/>
  <c r="N23" i="68"/>
  <c r="L23" i="68"/>
  <c r="J23" i="68"/>
  <c r="H23" i="68"/>
  <c r="F23" i="68"/>
  <c r="D23" i="68"/>
  <c r="R22" i="68"/>
  <c r="O18" i="68"/>
  <c r="H18" i="68"/>
  <c r="P13" i="68"/>
  <c r="N13" i="68"/>
  <c r="L13" i="68"/>
  <c r="J13" i="68"/>
  <c r="G76" i="120" s="1"/>
  <c r="H13" i="68"/>
  <c r="F13" i="68"/>
  <c r="D13" i="68"/>
  <c r="S12" i="68"/>
  <c r="R12" i="68"/>
  <c r="S11" i="68"/>
  <c r="R11" i="68"/>
  <c r="S10" i="68"/>
  <c r="R10" i="68"/>
  <c r="S9" i="68"/>
  <c r="R9" i="68"/>
  <c r="S8" i="68"/>
  <c r="R8" i="68"/>
  <c r="S7" i="68"/>
  <c r="R7" i="68"/>
  <c r="O3" i="68"/>
  <c r="H3" i="68"/>
  <c r="D175" i="68" l="1"/>
  <c r="S64" i="68"/>
  <c r="H124" i="68"/>
  <c r="F19" i="83" s="1"/>
  <c r="P124" i="68"/>
  <c r="G39" i="68"/>
  <c r="F40" i="68" s="1"/>
  <c r="F41" i="68" s="1"/>
  <c r="R83" i="68"/>
  <c r="S82" i="68" s="1"/>
  <c r="R25" i="68"/>
  <c r="R155" i="68"/>
  <c r="R34" i="68"/>
  <c r="R75" i="68"/>
  <c r="O39" i="68"/>
  <c r="N40" i="68" s="1"/>
  <c r="N41" i="68" s="1"/>
  <c r="R59" i="68"/>
  <c r="S58" i="68" s="1"/>
  <c r="R71" i="68"/>
  <c r="S70" i="68" s="1"/>
  <c r="R107" i="68"/>
  <c r="S106" i="68" s="1"/>
  <c r="R109" i="68"/>
  <c r="S108" i="68" s="1"/>
  <c r="R111" i="68"/>
  <c r="S110" i="68" s="1"/>
  <c r="R117" i="68"/>
  <c r="S116" i="68" s="1"/>
  <c r="R119" i="68"/>
  <c r="S118" i="68" s="1"/>
  <c r="R135" i="68"/>
  <c r="R137" i="68"/>
  <c r="R36" i="68"/>
  <c r="D124" i="68"/>
  <c r="L124" i="68"/>
  <c r="R53" i="68"/>
  <c r="S52" i="68" s="1"/>
  <c r="R89" i="68"/>
  <c r="R97" i="68"/>
  <c r="S96" i="68" s="1"/>
  <c r="R105" i="68"/>
  <c r="S104" i="68" s="1"/>
  <c r="D41" i="68"/>
  <c r="R28" i="68"/>
  <c r="Q39" i="68"/>
  <c r="P40" i="68" s="1"/>
  <c r="P41" i="68" s="1"/>
  <c r="J124" i="68"/>
  <c r="G59" i="120" s="1"/>
  <c r="R57" i="68"/>
  <c r="S56" i="68" s="1"/>
  <c r="R63" i="68"/>
  <c r="S62" i="68" s="1"/>
  <c r="R67" i="68"/>
  <c r="S66" i="68" s="1"/>
  <c r="R113" i="68"/>
  <c r="S112" i="68" s="1"/>
  <c r="R121" i="68"/>
  <c r="S120" i="68" s="1"/>
  <c r="R145" i="68"/>
  <c r="D31" i="91"/>
  <c r="L31" i="91"/>
  <c r="R91" i="68"/>
  <c r="S90" i="68" s="1"/>
  <c r="R99" i="68"/>
  <c r="S98" i="68" s="1"/>
  <c r="N31" i="91"/>
  <c r="E173" i="68"/>
  <c r="F31" i="91"/>
  <c r="R13" i="68"/>
  <c r="R23" i="68"/>
  <c r="R30" i="68"/>
  <c r="R32" i="68"/>
  <c r="R38" i="68"/>
  <c r="R51" i="68"/>
  <c r="S50" i="68" s="1"/>
  <c r="N124" i="68"/>
  <c r="R73" i="68"/>
  <c r="S72" i="68" s="1"/>
  <c r="R77" i="68"/>
  <c r="S76" i="68" s="1"/>
  <c r="R79" i="68"/>
  <c r="S78" i="68" s="1"/>
  <c r="R85" i="68"/>
  <c r="S84" i="68" s="1"/>
  <c r="R87" i="68"/>
  <c r="S86" i="68" s="1"/>
  <c r="R93" i="68"/>
  <c r="S92" i="68" s="1"/>
  <c r="R95" i="68"/>
  <c r="S94" i="68" s="1"/>
  <c r="R101" i="68"/>
  <c r="S100" i="68" s="1"/>
  <c r="R103" i="68"/>
  <c r="S102" i="68" s="1"/>
  <c r="R115" i="68"/>
  <c r="S114" i="68" s="1"/>
  <c r="R123" i="68"/>
  <c r="S122" i="68" s="1"/>
  <c r="R55" i="68"/>
  <c r="S54" i="68" s="1"/>
  <c r="R61" i="68"/>
  <c r="S60" i="68" s="1"/>
  <c r="R69" i="68"/>
  <c r="S68" i="68" s="1"/>
  <c r="R81" i="68"/>
  <c r="S80" i="68" s="1"/>
  <c r="S88" i="68"/>
  <c r="P31" i="91"/>
  <c r="P33" i="91" s="1"/>
  <c r="E174" i="68"/>
  <c r="H174" i="68" s="1"/>
  <c r="B31" i="91"/>
  <c r="B33" i="91" s="1"/>
  <c r="R139" i="68"/>
  <c r="R147" i="68"/>
  <c r="R157" i="68"/>
  <c r="R149" i="68"/>
  <c r="H158" i="68"/>
  <c r="P158" i="68"/>
  <c r="R141" i="68"/>
  <c r="R151" i="68"/>
  <c r="F158" i="68"/>
  <c r="N158" i="68"/>
  <c r="R143" i="68"/>
  <c r="R153" i="68"/>
  <c r="D158" i="68"/>
  <c r="L158" i="68"/>
  <c r="N32" i="91"/>
  <c r="D32" i="91"/>
  <c r="F32" i="91" s="1"/>
  <c r="L32" i="91"/>
  <c r="J32" i="91"/>
  <c r="J33" i="91" s="1"/>
  <c r="G60" i="120" s="1"/>
  <c r="R32" i="91"/>
  <c r="H32" i="91"/>
  <c r="H33" i="91" s="1"/>
  <c r="J158" i="68"/>
  <c r="F124" i="68"/>
  <c r="M39" i="68"/>
  <c r="L40" i="68" s="1"/>
  <c r="L41" i="68" s="1"/>
  <c r="F33" i="91" l="1"/>
  <c r="G50" i="120"/>
  <c r="G9" i="120" s="1"/>
  <c r="L33" i="91"/>
  <c r="N33" i="91"/>
  <c r="T123" i="68"/>
  <c r="I39" i="68"/>
  <c r="R158" i="68"/>
  <c r="R31" i="91"/>
  <c r="R33" i="91" s="1"/>
  <c r="H173" i="68"/>
  <c r="H175" i="68" s="1"/>
  <c r="E175" i="68"/>
  <c r="E176" i="68" s="1"/>
  <c r="T124" i="68"/>
  <c r="D33" i="91"/>
  <c r="R124" i="68"/>
  <c r="K39" i="68" l="1"/>
  <c r="J40" i="68" s="1"/>
  <c r="J41" i="68" s="1"/>
  <c r="G77" i="120" s="1"/>
  <c r="H40" i="68"/>
  <c r="G45" i="69"/>
  <c r="G40" i="69"/>
  <c r="F16" i="83"/>
  <c r="H41" i="68" l="1"/>
  <c r="R41" i="68" s="1"/>
  <c r="R40" i="68"/>
  <c r="G21" i="77" l="1"/>
  <c r="E12" i="77"/>
  <c r="E19" i="77"/>
  <c r="F15" i="77"/>
  <c r="H15" i="77" s="1"/>
  <c r="F16" i="77"/>
  <c r="H16" i="77" s="1"/>
  <c r="H21" i="77" l="1"/>
  <c r="G20" i="77"/>
  <c r="H20" i="77" s="1"/>
  <c r="D25" i="83"/>
  <c r="C45" i="110" s="1"/>
  <c r="D39" i="78" l="1"/>
  <c r="F189" i="84" l="1"/>
  <c r="D59" i="98" l="1"/>
  <c r="E30" i="108"/>
  <c r="H189" i="84"/>
  <c r="G30" i="108" s="1"/>
  <c r="D38" i="66"/>
  <c r="D20" i="78"/>
  <c r="D55" i="69"/>
  <c r="E55" i="69"/>
  <c r="F55" i="69"/>
  <c r="C55" i="69"/>
  <c r="C54" i="69"/>
  <c r="C53" i="69"/>
  <c r="F53" i="69" s="1"/>
  <c r="C52" i="69"/>
  <c r="C48" i="69"/>
  <c r="D48" i="69" s="1"/>
  <c r="C47" i="69"/>
  <c r="C43" i="69"/>
  <c r="F43" i="69" s="1"/>
  <c r="C42" i="69"/>
  <c r="F42" i="69" s="1"/>
  <c r="C38" i="69"/>
  <c r="D38" i="69" s="1"/>
  <c r="C37" i="69"/>
  <c r="F37" i="69" s="1"/>
  <c r="C33" i="69"/>
  <c r="F33" i="69" s="1"/>
  <c r="C32" i="69"/>
  <c r="F32" i="69" s="1"/>
  <c r="C28" i="69"/>
  <c r="D28" i="69" s="1"/>
  <c r="C27" i="69"/>
  <c r="C23" i="69"/>
  <c r="F23" i="69" s="1"/>
  <c r="C22" i="69"/>
  <c r="C18" i="69"/>
  <c r="D18" i="69" s="1"/>
  <c r="C17" i="69"/>
  <c r="C13" i="69"/>
  <c r="F13" i="69" s="1"/>
  <c r="C12" i="69"/>
  <c r="F113" i="84"/>
  <c r="F114" i="84"/>
  <c r="F108" i="84"/>
  <c r="F110" i="84"/>
  <c r="F112" i="84"/>
  <c r="E39" i="78"/>
  <c r="E24" i="78"/>
  <c r="F41" i="69" l="1"/>
  <c r="D37" i="69"/>
  <c r="D36" i="69" s="1"/>
  <c r="F18" i="69"/>
  <c r="F28" i="69"/>
  <c r="F38" i="69"/>
  <c r="F36" i="69" s="1"/>
  <c r="F48" i="69"/>
  <c r="D13" i="69"/>
  <c r="D23" i="69"/>
  <c r="D33" i="69"/>
  <c r="D43" i="69"/>
  <c r="D53" i="69"/>
  <c r="D32" i="69"/>
  <c r="D42" i="69"/>
  <c r="F31" i="69"/>
  <c r="D41" i="69" l="1"/>
  <c r="D31" i="69"/>
  <c r="H2" i="115"/>
  <c r="F2" i="115"/>
  <c r="D2" i="115"/>
  <c r="B2" i="115"/>
  <c r="E104" i="84"/>
  <c r="C23" i="83"/>
  <c r="A57" i="20"/>
  <c r="C152" i="54"/>
  <c r="B129" i="22"/>
  <c r="A45" i="29"/>
  <c r="C10" i="84"/>
  <c r="U23" i="55" s="1"/>
  <c r="C104" i="84"/>
  <c r="C39" i="78"/>
  <c r="C24" i="78"/>
  <c r="C20" i="78"/>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3"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R19" i="112" l="1"/>
  <c r="Q20" i="112"/>
  <c r="C30" i="84"/>
  <c r="P20" i="112"/>
  <c r="C120" i="84"/>
  <c r="C103" i="84" s="1"/>
  <c r="C10" i="83"/>
  <c r="C9" i="83" s="1"/>
  <c r="O19" i="112"/>
  <c r="R20" i="112"/>
  <c r="Q19" i="112"/>
  <c r="P19" i="112"/>
  <c r="J8" i="114"/>
  <c r="J7" i="114"/>
  <c r="D12" i="110"/>
  <c r="U15" i="114"/>
  <c r="O20" i="112"/>
  <c r="U14" i="114"/>
  <c r="B5" i="115" l="1"/>
  <c r="B36" i="110"/>
  <c r="B6" i="115"/>
  <c r="B48" i="110"/>
  <c r="C9" i="84"/>
  <c r="U25" i="55"/>
  <c r="U28" i="55" s="1"/>
  <c r="B4" i="115" l="1"/>
  <c r="B24" i="110"/>
  <c r="B4" i="108"/>
  <c r="B5" i="108"/>
  <c r="B6" i="108"/>
  <c r="B7" i="108"/>
  <c r="B8" i="108"/>
  <c r="B9" i="108"/>
  <c r="B10" i="108"/>
  <c r="B11" i="108"/>
  <c r="B12" i="108"/>
  <c r="B13" i="108"/>
  <c r="B14" i="108"/>
  <c r="B15" i="108"/>
  <c r="B17" i="108"/>
  <c r="B3" i="108"/>
  <c r="D73" i="21" l="1"/>
  <c r="A178" i="26" l="1"/>
  <c r="A135" i="26"/>
  <c r="A94" i="26"/>
  <c r="A53" i="26"/>
  <c r="C152" i="26"/>
  <c r="C111" i="26"/>
  <c r="C70" i="26"/>
  <c r="D43" i="109" l="1"/>
  <c r="F74" i="109" l="1"/>
  <c r="F76" i="109" s="1"/>
  <c r="D5" i="110"/>
  <c r="D9" i="110"/>
  <c r="B7" i="110"/>
  <c r="B5" i="110"/>
  <c r="K67" i="109"/>
  <c r="C6" i="110" l="1"/>
  <c r="B6" i="110"/>
  <c r="D7" i="110"/>
  <c r="D10" i="110"/>
  <c r="D6" i="110"/>
  <c r="F23" i="110"/>
  <c r="C9" i="110"/>
  <c r="E68" i="109"/>
  <c r="E92" i="109"/>
  <c r="E88" i="109"/>
  <c r="E84" i="109"/>
  <c r="E91" i="109"/>
  <c r="E87" i="109"/>
  <c r="E90" i="109"/>
  <c r="E86" i="109"/>
  <c r="E89" i="109"/>
  <c r="E85" i="109"/>
  <c r="B9" i="110"/>
  <c r="B10" i="110"/>
  <c r="C7" i="110"/>
  <c r="C10" i="110"/>
  <c r="F78" i="109"/>
  <c r="E69" i="109"/>
  <c r="E73" i="109"/>
  <c r="E74" i="109"/>
  <c r="E70" i="109"/>
  <c r="E66" i="109"/>
  <c r="E71" i="109"/>
  <c r="E67" i="109"/>
  <c r="E72" i="109"/>
  <c r="E94" i="109" l="1"/>
  <c r="C8" i="110"/>
  <c r="D8" i="110"/>
  <c r="C4" i="110"/>
  <c r="B8" i="110"/>
  <c r="B4" i="110"/>
  <c r="C3" i="110" l="1"/>
  <c r="B39" i="110"/>
  <c r="B3" i="110"/>
  <c r="E75" i="109"/>
  <c r="E76" i="109" s="1"/>
  <c r="D33" i="109"/>
  <c r="D32" i="109"/>
  <c r="D31" i="109"/>
  <c r="D30" i="109"/>
  <c r="D29" i="109"/>
  <c r="B6" i="109"/>
  <c r="C6" i="109" s="1"/>
  <c r="D6" i="109" s="1"/>
  <c r="E6" i="109" s="1"/>
  <c r="F6" i="109" s="1"/>
  <c r="G6" i="109" s="1"/>
  <c r="H6" i="109" s="1"/>
  <c r="I6" i="109" s="1"/>
  <c r="J6" i="109" s="1"/>
  <c r="K6" i="109" s="1"/>
  <c r="J37" i="109" l="1"/>
  <c r="J47" i="109" s="1"/>
  <c r="J50" i="109" l="1"/>
  <c r="G63" i="107" l="1"/>
  <c r="F63" i="107"/>
  <c r="E63" i="107"/>
  <c r="D63" i="107"/>
  <c r="C63" i="107"/>
  <c r="E55" i="107"/>
  <c r="E54" i="107"/>
  <c r="E56" i="107" l="1"/>
  <c r="E84" i="107"/>
  <c r="E113" i="107" s="1"/>
  <c r="A12" i="32"/>
  <c r="T27" i="54"/>
  <c r="E66" i="98"/>
  <c r="F102" i="84"/>
  <c r="E102" i="84"/>
  <c r="D102" i="84"/>
  <c r="C102" i="84"/>
  <c r="J14" i="109" l="1"/>
  <c r="E14" i="140" l="1"/>
  <c r="J8" i="109"/>
  <c r="D58" i="145" l="1"/>
  <c r="O32" i="145"/>
  <c r="L32" i="145"/>
  <c r="I32" i="145"/>
  <c r="J18" i="112"/>
  <c r="D21" i="98"/>
  <c r="D45" i="146"/>
  <c r="F45" i="146" s="1"/>
  <c r="M45" i="146" s="1"/>
  <c r="E55" i="98"/>
  <c r="D43" i="98"/>
  <c r="E43" i="98" s="1"/>
  <c r="D41" i="98"/>
  <c r="E41" i="98" s="1"/>
  <c r="F41" i="98" s="1"/>
  <c r="G41" i="98" s="1"/>
  <c r="H41" i="98" s="1"/>
  <c r="I41" i="98" s="1"/>
  <c r="E16" i="20"/>
  <c r="I36" i="112" l="1"/>
  <c r="N36" i="112" s="1"/>
  <c r="C50" i="145"/>
  <c r="I18" i="112"/>
  <c r="C32" i="145"/>
  <c r="I40" i="112"/>
  <c r="N40" i="112" s="1"/>
  <c r="C54" i="145"/>
  <c r="C99" i="145"/>
  <c r="I37" i="112"/>
  <c r="N37" i="112" s="1"/>
  <c r="C51" i="145"/>
  <c r="I38" i="112"/>
  <c r="N38" i="112" s="1"/>
  <c r="C52" i="145"/>
  <c r="K18" i="112"/>
  <c r="M18" i="112"/>
  <c r="L18" i="112"/>
  <c r="D50" i="146"/>
  <c r="D46" i="146"/>
  <c r="B27" i="110" l="1"/>
  <c r="I39" i="112"/>
  <c r="N39" i="112" s="1"/>
  <c r="C53" i="145"/>
  <c r="C73" i="150"/>
  <c r="C55" i="145"/>
  <c r="I41" i="112"/>
  <c r="N41" i="112" s="1"/>
  <c r="F34" i="109"/>
  <c r="D34" i="109" s="1"/>
  <c r="B15" i="110" l="1"/>
  <c r="B57" i="21" l="1"/>
  <c r="H53" i="69" l="1"/>
  <c r="H50" i="69"/>
  <c r="H48" i="69"/>
  <c r="H45" i="69"/>
  <c r="H43" i="69"/>
  <c r="H42" i="69"/>
  <c r="H40" i="69"/>
  <c r="H39" i="69"/>
  <c r="H38" i="69"/>
  <c r="H37" i="69"/>
  <c r="G35" i="69"/>
  <c r="H34" i="69"/>
  <c r="H33" i="69"/>
  <c r="H32" i="69"/>
  <c r="H30" i="69"/>
  <c r="G30" i="69"/>
  <c r="H29" i="69"/>
  <c r="H28" i="69"/>
  <c r="H25" i="69"/>
  <c r="G25" i="69"/>
  <c r="H23" i="69"/>
  <c r="H20" i="69"/>
  <c r="G20" i="69"/>
  <c r="H18" i="69"/>
  <c r="H15" i="69"/>
  <c r="G15" i="69"/>
  <c r="H10" i="69"/>
  <c r="F22" i="66" l="1"/>
  <c r="F119" i="84"/>
  <c r="F29" i="84"/>
  <c r="J10" i="124"/>
  <c r="K10" i="124" s="1"/>
  <c r="G61" i="120"/>
  <c r="G10" i="120"/>
  <c r="J12" i="120" s="1"/>
  <c r="H31" i="69"/>
  <c r="H41" i="69"/>
  <c r="H36" i="69"/>
  <c r="D57" i="21"/>
  <c r="H55" i="69"/>
  <c r="K15" i="29"/>
  <c r="F18" i="29"/>
  <c r="F14" i="29"/>
  <c r="F33" i="77"/>
  <c r="D71" i="22"/>
  <c r="F71" i="22"/>
  <c r="F95" i="22" s="1"/>
  <c r="J12" i="124" l="1"/>
  <c r="K12" i="124" s="1"/>
  <c r="K11" i="124" s="1"/>
  <c r="F89" i="22"/>
  <c r="F90" i="22"/>
  <c r="G64" i="120"/>
  <c r="G63" i="120" s="1"/>
  <c r="G14" i="120" s="1"/>
  <c r="G12" i="120"/>
  <c r="J16" i="109"/>
  <c r="G84" i="22"/>
  <c r="H74" i="98"/>
  <c r="G83" i="22"/>
  <c r="G74" i="98"/>
  <c r="G82" i="22"/>
  <c r="J11" i="124" l="1"/>
  <c r="O14" i="124"/>
  <c r="G11" i="120"/>
  <c r="G49" i="120"/>
  <c r="J18" i="109"/>
  <c r="F61" i="22" l="1"/>
  <c r="I74" i="98" l="1"/>
  <c r="G85" i="22"/>
  <c r="F35" i="22"/>
  <c r="F37" i="22" s="1"/>
  <c r="E32" i="22"/>
  <c r="F32" i="22"/>
  <c r="D32" i="22"/>
  <c r="F58" i="93" l="1"/>
  <c r="B58" i="93"/>
  <c r="H66" i="92"/>
  <c r="B66" i="92"/>
  <c r="E60" i="92"/>
  <c r="D60" i="92"/>
  <c r="E59" i="92"/>
  <c r="D59" i="92"/>
  <c r="E58" i="92"/>
  <c r="D58" i="92"/>
  <c r="E57" i="92"/>
  <c r="D57" i="92"/>
  <c r="E54" i="92"/>
  <c r="D54" i="92"/>
  <c r="E51" i="92"/>
  <c r="E50" i="92" s="1"/>
  <c r="D51" i="92"/>
  <c r="D50" i="92" s="1"/>
  <c r="E39" i="92"/>
  <c r="D39" i="92"/>
  <c r="G31" i="92"/>
  <c r="E31" i="92"/>
  <c r="D31" i="92"/>
  <c r="E27" i="92"/>
  <c r="D27" i="92"/>
  <c r="E23" i="92"/>
  <c r="D23" i="92"/>
  <c r="D22" i="92"/>
  <c r="E21" i="92"/>
  <c r="D21" i="92"/>
  <c r="E20" i="92"/>
  <c r="D20" i="92"/>
  <c r="E18" i="92"/>
  <c r="D18" i="92"/>
  <c r="D16" i="92"/>
  <c r="E15" i="92"/>
  <c r="D15" i="92"/>
  <c r="E13" i="92"/>
  <c r="D13" i="92"/>
  <c r="F9" i="92"/>
  <c r="E9" i="92"/>
  <c r="E51" i="61"/>
  <c r="D51" i="61"/>
  <c r="E54" i="61"/>
  <c r="D54" i="61"/>
  <c r="E60" i="61"/>
  <c r="D60" i="61"/>
  <c r="E59" i="61"/>
  <c r="D59" i="61"/>
  <c r="E58" i="61"/>
  <c r="D58" i="61"/>
  <c r="E57" i="61"/>
  <c r="D57" i="61"/>
  <c r="E56" i="92" l="1"/>
  <c r="E53" i="92" s="1"/>
  <c r="D56" i="92"/>
  <c r="D53" i="92" s="1"/>
  <c r="D19" i="92"/>
  <c r="D12" i="92"/>
  <c r="F47" i="127" l="1"/>
  <c r="D11" i="92"/>
  <c r="D37" i="92" s="1"/>
  <c r="D45" i="92" s="1"/>
  <c r="D46" i="92" s="1"/>
  <c r="D22" i="61"/>
  <c r="E21" i="61"/>
  <c r="D21" i="61"/>
  <c r="E20" i="61"/>
  <c r="D20" i="61"/>
  <c r="E18" i="61"/>
  <c r="D18" i="61"/>
  <c r="D16" i="61"/>
  <c r="E15" i="61"/>
  <c r="D15" i="61"/>
  <c r="E13" i="61"/>
  <c r="D13" i="61"/>
  <c r="H169" i="84" l="1"/>
  <c r="H167" i="84"/>
  <c r="G67" i="83"/>
  <c r="B67" i="83"/>
  <c r="G65" i="83"/>
  <c r="B65" i="83"/>
  <c r="G73" i="78"/>
  <c r="B73" i="78"/>
  <c r="G71" i="78"/>
  <c r="B71" i="78"/>
  <c r="G71" i="66"/>
  <c r="G69" i="66"/>
  <c r="G89" i="84" l="1"/>
  <c r="G87" i="84"/>
  <c r="J27" i="90"/>
  <c r="J25" i="90"/>
  <c r="N21" i="67"/>
  <c r="K64" i="63"/>
  <c r="N23" i="67"/>
  <c r="O3" i="67"/>
  <c r="J3" i="67"/>
  <c r="H4" i="69"/>
  <c r="E4" i="69"/>
  <c r="I28" i="75"/>
  <c r="F28" i="75"/>
  <c r="G4" i="75"/>
  <c r="C4" i="75"/>
  <c r="D4" i="77"/>
  <c r="E53" i="76"/>
  <c r="B53" i="76"/>
  <c r="H4" i="82"/>
  <c r="C4" i="82"/>
  <c r="N26" i="88"/>
  <c r="H26" i="88"/>
  <c r="N3" i="88"/>
  <c r="H3" i="88"/>
  <c r="H4" i="81"/>
  <c r="D4" i="81"/>
  <c r="J58" i="55" l="1"/>
  <c r="I58" i="55"/>
  <c r="W55" i="55" l="1"/>
  <c r="V55" i="55"/>
  <c r="U55" i="55"/>
  <c r="R55" i="55"/>
  <c r="Q55" i="55"/>
  <c r="N55" i="55"/>
  <c r="M55" i="55"/>
  <c r="J55" i="55"/>
  <c r="I55" i="55"/>
  <c r="G33" i="55"/>
  <c r="E33" i="55"/>
  <c r="F37" i="55"/>
  <c r="G37" i="55"/>
  <c r="E37" i="55"/>
  <c r="F33" i="55"/>
  <c r="F29" i="55"/>
  <c r="E29" i="55"/>
  <c r="F27" i="55"/>
  <c r="G27" i="55"/>
  <c r="E27" i="55"/>
  <c r="F26" i="55"/>
  <c r="F24" i="55"/>
  <c r="E24" i="22" s="1"/>
  <c r="E23" i="22" s="1"/>
  <c r="E24" i="55"/>
  <c r="D24" i="22" s="1"/>
  <c r="D23" i="22" s="1"/>
  <c r="F22" i="55"/>
  <c r="G22" i="55"/>
  <c r="E22" i="55"/>
  <c r="F18" i="55"/>
  <c r="E18" i="55"/>
  <c r="B169" i="84"/>
  <c r="B167" i="84"/>
  <c r="M19" i="55"/>
  <c r="N19" i="55"/>
  <c r="P19" i="55"/>
  <c r="F18" i="112" s="1"/>
  <c r="P18" i="112" s="1"/>
  <c r="Q19" i="55"/>
  <c r="R19" i="55"/>
  <c r="T19" i="55"/>
  <c r="G18" i="112" s="1"/>
  <c r="Q18" i="112" s="1"/>
  <c r="U19" i="55"/>
  <c r="V19" i="55"/>
  <c r="X19" i="55"/>
  <c r="H18" i="112" s="1"/>
  <c r="R18" i="112" s="1"/>
  <c r="I19" i="55"/>
  <c r="J19" i="55"/>
  <c r="L19" i="55"/>
  <c r="E18" i="112" s="1"/>
  <c r="O18" i="112" s="1"/>
  <c r="F55" i="55" l="1"/>
  <c r="V14" i="55" s="1"/>
  <c r="V53" i="55" s="1"/>
  <c r="X10" i="55"/>
  <c r="W10" i="55"/>
  <c r="V10" i="55"/>
  <c r="T10" i="55"/>
  <c r="S10" i="55"/>
  <c r="R10" i="55"/>
  <c r="P10" i="55"/>
  <c r="O10" i="55"/>
  <c r="N10" i="55"/>
  <c r="L10" i="55"/>
  <c r="K10" i="55"/>
  <c r="J10" i="55"/>
  <c r="H10" i="55"/>
  <c r="G10" i="55"/>
  <c r="F10" i="55"/>
  <c r="I4" i="63"/>
  <c r="E4" i="63"/>
  <c r="E48" i="57"/>
  <c r="E47" i="57"/>
  <c r="E46" i="57"/>
  <c r="E45" i="57"/>
  <c r="D48" i="57"/>
  <c r="D47" i="57"/>
  <c r="D46" i="57"/>
  <c r="D45" i="57"/>
  <c r="R31" i="55" l="1"/>
  <c r="R30" i="55"/>
  <c r="R17" i="55"/>
  <c r="V30" i="55"/>
  <c r="V26" i="55"/>
  <c r="V22" i="55"/>
  <c r="V16" i="55"/>
  <c r="V18" i="55"/>
  <c r="V31" i="55"/>
  <c r="V24" i="55"/>
  <c r="V17" i="55"/>
  <c r="F53" i="55"/>
  <c r="V15" i="55"/>
  <c r="V27" i="55"/>
  <c r="R22" i="55"/>
  <c r="R27" i="55"/>
  <c r="R18" i="55"/>
  <c r="R34" i="55"/>
  <c r="R24" i="55"/>
  <c r="R26" i="55"/>
  <c r="R16" i="55"/>
  <c r="E18" i="57"/>
  <c r="E17" i="57"/>
  <c r="F17" i="57"/>
  <c r="E15" i="57"/>
  <c r="E75" i="22" s="1"/>
  <c r="E61" i="22" s="1"/>
  <c r="F15" i="57"/>
  <c r="D15" i="57"/>
  <c r="D75" i="22" s="1"/>
  <c r="D61" i="22" s="1"/>
  <c r="B27" i="90"/>
  <c r="B25" i="90"/>
  <c r="K3" i="90"/>
  <c r="G3" i="90"/>
  <c r="L8" i="90"/>
  <c r="K8" i="90"/>
  <c r="F18" i="83"/>
  <c r="D100" i="66"/>
  <c r="B100" i="66"/>
  <c r="I28" i="91"/>
  <c r="C28" i="91"/>
  <c r="X25" i="91"/>
  <c r="V25" i="91"/>
  <c r="T25" i="91"/>
  <c r="R25" i="91"/>
  <c r="P25" i="91"/>
  <c r="N25" i="91"/>
  <c r="L25" i="91"/>
  <c r="J25" i="91"/>
  <c r="F25" i="91"/>
  <c r="D25" i="91"/>
  <c r="B25" i="91"/>
  <c r="AA24" i="91"/>
  <c r="Z24" i="91"/>
  <c r="AA23" i="91"/>
  <c r="Z23" i="91"/>
  <c r="AA22" i="91"/>
  <c r="Z22" i="91"/>
  <c r="AA21" i="91"/>
  <c r="Z21" i="91"/>
  <c r="AA20" i="91"/>
  <c r="Z20" i="91"/>
  <c r="AA19" i="91"/>
  <c r="Z19" i="91"/>
  <c r="AA18" i="91"/>
  <c r="Z18" i="91"/>
  <c r="AA17" i="91"/>
  <c r="Z17" i="91"/>
  <c r="AA16" i="91"/>
  <c r="Z16" i="91"/>
  <c r="AA15" i="91"/>
  <c r="Z15" i="91"/>
  <c r="R53" i="55" l="1"/>
  <c r="AA25" i="91"/>
  <c r="H25" i="91"/>
  <c r="Z25" i="91"/>
  <c r="Z26" i="91" s="1"/>
  <c r="AA28" i="91" l="1"/>
  <c r="G167" i="68"/>
  <c r="D32" i="146" l="1"/>
  <c r="C120" i="145"/>
  <c r="G168" i="68"/>
  <c r="G169" i="68" s="1"/>
  <c r="F169" i="68" s="1"/>
  <c r="F167" i="68"/>
  <c r="F25" i="84"/>
  <c r="F13" i="83"/>
  <c r="P8" i="88"/>
  <c r="O8" i="88"/>
  <c r="L8" i="88"/>
  <c r="J8" i="88"/>
  <c r="H8" i="88"/>
  <c r="R19" i="88"/>
  <c r="R18" i="88"/>
  <c r="R17" i="88"/>
  <c r="R16" i="88"/>
  <c r="R15" i="88"/>
  <c r="R13" i="88"/>
  <c r="R12" i="88"/>
  <c r="R11" i="88"/>
  <c r="R9" i="88"/>
  <c r="G170" i="68" l="1"/>
  <c r="F168" i="68"/>
  <c r="G8" i="88"/>
  <c r="E8" i="88"/>
  <c r="F10" i="83"/>
  <c r="R31" i="88"/>
  <c r="R10" i="88"/>
  <c r="R14" i="88"/>
  <c r="C11" i="135" l="1"/>
  <c r="C118" i="150" s="1"/>
  <c r="G171" i="68"/>
  <c r="F170" i="68"/>
  <c r="G14" i="57"/>
  <c r="R8" i="88"/>
  <c r="F171" i="68" l="1"/>
  <c r="G172" i="68"/>
  <c r="F21" i="84"/>
  <c r="D30" i="146" l="1"/>
  <c r="C119" i="145"/>
  <c r="G173" i="68"/>
  <c r="F172" i="68"/>
  <c r="E23" i="55"/>
  <c r="E10" i="84"/>
  <c r="G23" i="55" l="1"/>
  <c r="G174" i="68"/>
  <c r="F173" i="68"/>
  <c r="O3" i="87"/>
  <c r="I3" i="87"/>
  <c r="P24" i="87"/>
  <c r="P25" i="87" s="1"/>
  <c r="N24" i="87"/>
  <c r="N25" i="87" s="1"/>
  <c r="L24" i="87"/>
  <c r="L25" i="87" s="1"/>
  <c r="J24" i="87"/>
  <c r="J25" i="87" s="1"/>
  <c r="H24" i="87"/>
  <c r="H25" i="87" s="1"/>
  <c r="F24" i="87"/>
  <c r="F25" i="87" s="1"/>
  <c r="D24" i="87"/>
  <c r="D25" i="87" s="1"/>
  <c r="R23" i="87"/>
  <c r="R24" i="87" s="1"/>
  <c r="R21" i="87"/>
  <c r="R22" i="87" s="1"/>
  <c r="S20" i="87"/>
  <c r="R19" i="87"/>
  <c r="R18" i="87"/>
  <c r="R17" i="87"/>
  <c r="R16" i="87"/>
  <c r="R15" i="87"/>
  <c r="R14" i="87"/>
  <c r="R13" i="87"/>
  <c r="R12" i="87"/>
  <c r="R11" i="87"/>
  <c r="R9" i="87"/>
  <c r="R8" i="87"/>
  <c r="R20" i="87" l="1"/>
  <c r="R25" i="87" s="1"/>
  <c r="F174" i="68"/>
  <c r="F175" i="68" s="1"/>
  <c r="G175" i="68"/>
  <c r="H176" i="68" s="1"/>
  <c r="S19" i="87" l="1"/>
  <c r="B78" i="66"/>
  <c r="C77" i="66"/>
  <c r="B71" i="66"/>
  <c r="B69" i="66"/>
  <c r="H6" i="77"/>
  <c r="F3" i="77"/>
  <c r="R9" i="85" l="1"/>
  <c r="M9" i="85"/>
  <c r="Y10" i="85"/>
  <c r="AL28" i="85"/>
  <c r="AJ28" i="85"/>
  <c r="AL24" i="85"/>
  <c r="AL23" i="85"/>
  <c r="AJ23" i="85"/>
  <c r="AJ22" i="85"/>
  <c r="AL22" i="85"/>
  <c r="AL21" i="85"/>
  <c r="AF21" i="85"/>
  <c r="AF20" i="85"/>
  <c r="AN20" i="85"/>
  <c r="AJ20" i="85"/>
  <c r="AD20" i="85"/>
  <c r="AJ19" i="85"/>
  <c r="AL29" i="85"/>
  <c r="AD19" i="85"/>
  <c r="AB8" i="85"/>
  <c r="AA8" i="85"/>
  <c r="Y8" i="85"/>
  <c r="AA28" i="85" l="1"/>
  <c r="AL18" i="85"/>
  <c r="AJ24" i="85"/>
  <c r="AN24" i="85"/>
  <c r="AJ18" i="85"/>
  <c r="AF19" i="85"/>
  <c r="AJ21" i="85"/>
  <c r="AN22" i="85"/>
  <c r="AN23" i="85"/>
  <c r="AA10" i="85"/>
  <c r="AL20" i="85"/>
  <c r="AH21" i="85"/>
  <c r="AJ29" i="85"/>
  <c r="AD21" i="85"/>
  <c r="AL19" i="85"/>
  <c r="AN21" i="85"/>
  <c r="AJ17" i="85" l="1"/>
  <c r="AN28" i="85"/>
  <c r="AL16" i="85"/>
  <c r="AL17" i="85"/>
  <c r="AJ16" i="85"/>
  <c r="AN19" i="85"/>
  <c r="AN18" i="85"/>
  <c r="AB10" i="85"/>
  <c r="AN29" i="85"/>
  <c r="Z29" i="85"/>
  <c r="Y11" i="85"/>
  <c r="AA11" i="85" l="1"/>
  <c r="AN17" i="85"/>
  <c r="AN16" i="85" l="1"/>
  <c r="AB11" i="85"/>
  <c r="D120" i="84" l="1"/>
  <c r="E120" i="84"/>
  <c r="E22" i="92" l="1"/>
  <c r="E19" i="92" s="1"/>
  <c r="E22" i="61"/>
  <c r="D104" i="84"/>
  <c r="E16" i="92" l="1"/>
  <c r="E12" i="92" s="1"/>
  <c r="E11" i="92" s="1"/>
  <c r="E37" i="92" s="1"/>
  <c r="E45" i="92" s="1"/>
  <c r="E46" i="92" s="1"/>
  <c r="E16" i="61"/>
  <c r="J102" i="84"/>
  <c r="I102" i="84"/>
  <c r="H102" i="84"/>
  <c r="G102" i="84"/>
  <c r="H98" i="84"/>
  <c r="D98" i="84"/>
  <c r="G26" i="55"/>
  <c r="G24" i="55"/>
  <c r="F66" i="127" l="1"/>
  <c r="D103" i="84"/>
  <c r="C36" i="110" s="1"/>
  <c r="C27" i="110" s="1"/>
  <c r="E103" i="84"/>
  <c r="F208" i="84" l="1"/>
  <c r="E207" i="84" s="1"/>
  <c r="D36" i="110"/>
  <c r="D27" i="110" s="1"/>
  <c r="F5" i="115"/>
  <c r="D5" i="115"/>
  <c r="D30" i="84"/>
  <c r="F25" i="55" s="1"/>
  <c r="F28" i="55" s="1"/>
  <c r="E200" i="84" l="1"/>
  <c r="E198" i="84"/>
  <c r="E201" i="84"/>
  <c r="D42" i="108" s="1"/>
  <c r="E199" i="84"/>
  <c r="E202" i="84"/>
  <c r="D43" i="108" s="1"/>
  <c r="E205" i="84"/>
  <c r="D46" i="108" s="1"/>
  <c r="E204" i="84"/>
  <c r="D45" i="108" s="1"/>
  <c r="E203" i="84"/>
  <c r="D44" i="108" s="1"/>
  <c r="V28" i="55"/>
  <c r="R28" i="55"/>
  <c r="D39" i="108"/>
  <c r="D188" i="84"/>
  <c r="H188" i="84" l="1"/>
  <c r="G29" i="108" s="1"/>
  <c r="C29" i="108"/>
  <c r="H14" i="108" s="1"/>
  <c r="E25" i="55"/>
  <c r="E26" i="55"/>
  <c r="K162" i="84"/>
  <c r="C66" i="127" s="1"/>
  <c r="H66" i="127" s="1"/>
  <c r="K143" i="84"/>
  <c r="C47" i="127" s="1"/>
  <c r="H47" i="127" s="1"/>
  <c r="B89" i="84"/>
  <c r="B87" i="84"/>
  <c r="E30" i="84"/>
  <c r="E9" i="84" s="1"/>
  <c r="J8" i="84"/>
  <c r="I8" i="84"/>
  <c r="H8" i="84"/>
  <c r="G8" i="84"/>
  <c r="F8" i="84"/>
  <c r="E8" i="84"/>
  <c r="D8" i="84"/>
  <c r="H4" i="84"/>
  <c r="D24" i="66"/>
  <c r="E24" i="66"/>
  <c r="D20" i="66"/>
  <c r="C20" i="66"/>
  <c r="N11" i="66"/>
  <c r="N14" i="66"/>
  <c r="N19" i="66"/>
  <c r="N26" i="66"/>
  <c r="N29" i="66"/>
  <c r="N30" i="66"/>
  <c r="N31" i="66"/>
  <c r="N32" i="66"/>
  <c r="N33" i="66"/>
  <c r="N34" i="66"/>
  <c r="N35" i="66"/>
  <c r="N37" i="66"/>
  <c r="N44" i="66"/>
  <c r="N45" i="66"/>
  <c r="N47" i="66"/>
  <c r="N57" i="66"/>
  <c r="N63" i="66"/>
  <c r="N66" i="66"/>
  <c r="D24" i="110" l="1"/>
  <c r="J14" i="108"/>
  <c r="I14" i="108"/>
  <c r="E28" i="55"/>
  <c r="F192" i="84"/>
  <c r="G25" i="55"/>
  <c r="G28" i="55" s="1"/>
  <c r="D15" i="110" l="1"/>
  <c r="E186" i="84"/>
  <c r="D27" i="108" s="1"/>
  <c r="E182" i="84"/>
  <c r="E191" i="84"/>
  <c r="D32" i="108" s="1"/>
  <c r="E187" i="84"/>
  <c r="D28" i="108" s="1"/>
  <c r="E183" i="84"/>
  <c r="D24" i="108" s="1"/>
  <c r="E188" i="84"/>
  <c r="D29" i="108" s="1"/>
  <c r="E184" i="84"/>
  <c r="D25" i="108" s="1"/>
  <c r="E33" i="108"/>
  <c r="E189" i="84"/>
  <c r="D30" i="108" s="1"/>
  <c r="E185" i="84"/>
  <c r="D26" i="108" s="1"/>
  <c r="F190" i="84"/>
  <c r="F4" i="115"/>
  <c r="B171" i="21"/>
  <c r="B164" i="21"/>
  <c r="B165" i="21"/>
  <c r="B159" i="21"/>
  <c r="B168" i="21" s="1"/>
  <c r="B178" i="21" s="1"/>
  <c r="B160" i="21"/>
  <c r="B169" i="21" s="1"/>
  <c r="E152" i="21"/>
  <c r="F152" i="21"/>
  <c r="G152" i="21"/>
  <c r="H152" i="21"/>
  <c r="I152" i="21"/>
  <c r="J152" i="21"/>
  <c r="K152" i="21"/>
  <c r="L152" i="21"/>
  <c r="M152" i="21"/>
  <c r="N152" i="21"/>
  <c r="O152" i="21"/>
  <c r="P152" i="21"/>
  <c r="D154" i="21"/>
  <c r="D18" i="57"/>
  <c r="D17" i="57"/>
  <c r="F8" i="83"/>
  <c r="E8" i="83"/>
  <c r="D8" i="83"/>
  <c r="G4" i="83"/>
  <c r="C4" i="83"/>
  <c r="D23" i="83"/>
  <c r="E16" i="57" s="1"/>
  <c r="E19" i="57" s="1"/>
  <c r="D16" i="57"/>
  <c r="D23" i="108" l="1"/>
  <c r="E190" i="84"/>
  <c r="D31" i="108" s="1"/>
  <c r="E31" i="108"/>
  <c r="D201" i="21"/>
  <c r="R201" i="21" s="1"/>
  <c r="D170" i="21"/>
  <c r="D19" i="57"/>
  <c r="N42" i="66"/>
  <c r="F18" i="57"/>
  <c r="F22" i="83"/>
  <c r="E192" i="84" l="1"/>
  <c r="D33" i="108" s="1"/>
  <c r="F16" i="57"/>
  <c r="F19" i="57" s="1"/>
  <c r="D10" i="83" l="1"/>
  <c r="E14" i="57" s="1"/>
  <c r="E10" i="83"/>
  <c r="J8" i="83"/>
  <c r="I8" i="83"/>
  <c r="H8" i="83"/>
  <c r="G8" i="83"/>
  <c r="D14" i="57"/>
  <c r="F14" i="57" l="1"/>
  <c r="E9" i="83"/>
  <c r="D9" i="83"/>
  <c r="C48" i="110" s="1"/>
  <c r="C39" i="110" s="1"/>
  <c r="F83" i="83" l="1"/>
  <c r="E79" i="83" s="1"/>
  <c r="D60" i="108" s="1"/>
  <c r="D48" i="110"/>
  <c r="D33" i="146"/>
  <c r="C122" i="145"/>
  <c r="F6" i="115"/>
  <c r="D6" i="115"/>
  <c r="I12" i="82"/>
  <c r="I11" i="82"/>
  <c r="I32" i="81"/>
  <c r="I40" i="81" s="1"/>
  <c r="I22" i="81"/>
  <c r="I21" i="81"/>
  <c r="E73" i="83" l="1"/>
  <c r="E64" i="108"/>
  <c r="E74" i="83"/>
  <c r="D55" i="108" s="1"/>
  <c r="F81" i="83"/>
  <c r="E81" i="83" s="1"/>
  <c r="D62" i="108" s="1"/>
  <c r="E77" i="83"/>
  <c r="D58" i="108" s="1"/>
  <c r="E76" i="83"/>
  <c r="D57" i="108" s="1"/>
  <c r="E80" i="83"/>
  <c r="D61" i="108" s="1"/>
  <c r="E75" i="83"/>
  <c r="D56" i="108" s="1"/>
  <c r="E82" i="83"/>
  <c r="D63" i="108" s="1"/>
  <c r="E78" i="83"/>
  <c r="D59" i="108" s="1"/>
  <c r="D39" i="110"/>
  <c r="I41" i="81"/>
  <c r="D54" i="108"/>
  <c r="I39" i="81"/>
  <c r="E62" i="108" l="1"/>
  <c r="E83" i="83"/>
  <c r="D64" i="108" s="1"/>
  <c r="C64" i="76"/>
  <c r="F36" i="78" l="1"/>
  <c r="F22" i="78" l="1"/>
  <c r="N25" i="66" l="1"/>
  <c r="F52" i="78" l="1"/>
  <c r="D24" i="78"/>
  <c r="E9" i="78"/>
  <c r="D9" i="78"/>
  <c r="C9" i="78"/>
  <c r="F7" i="78"/>
  <c r="E7" i="78"/>
  <c r="D7" i="78"/>
  <c r="H3" i="78"/>
  <c r="C3" i="78"/>
  <c r="C25" i="26"/>
  <c r="C24" i="27"/>
  <c r="C24" i="30"/>
  <c r="C25" i="76"/>
  <c r="E9" i="66"/>
  <c r="E33" i="77"/>
  <c r="B9" i="77"/>
  <c r="B10" i="77" s="1"/>
  <c r="B11" i="77" s="1"/>
  <c r="B13" i="77" s="1"/>
  <c r="B14" i="77" s="1"/>
  <c r="B15" i="77" s="1"/>
  <c r="B16" i="77" s="1"/>
  <c r="B17" i="77" s="1"/>
  <c r="B18" i="77" s="1"/>
  <c r="B19" i="77" s="1"/>
  <c r="B20" i="77" s="1"/>
  <c r="B25" i="77" s="1"/>
  <c r="B27" i="77" s="1"/>
  <c r="B28" i="77" s="1"/>
  <c r="B29" i="77" s="1"/>
  <c r="B30" i="77" s="1"/>
  <c r="B32" i="77" s="1"/>
  <c r="H8" i="77"/>
  <c r="J32" i="75"/>
  <c r="J31" i="75"/>
  <c r="I25" i="75"/>
  <c r="I24" i="75"/>
  <c r="I23" i="75"/>
  <c r="I21" i="75"/>
  <c r="I19" i="75"/>
  <c r="G33" i="77" l="1"/>
  <c r="N53" i="66"/>
  <c r="N46" i="66"/>
  <c r="I18" i="75"/>
  <c r="N48" i="66"/>
  <c r="D8" i="78"/>
  <c r="C60" i="110" s="1"/>
  <c r="E8" i="78"/>
  <c r="C8" i="78"/>
  <c r="B60" i="110" s="1"/>
  <c r="B51" i="110" s="1"/>
  <c r="H33" i="77"/>
  <c r="F89" i="78" l="1"/>
  <c r="D60" i="110"/>
  <c r="F87" i="78"/>
  <c r="E84" i="78"/>
  <c r="D74" i="108" s="1"/>
  <c r="E80" i="78"/>
  <c r="D70" i="108" s="1"/>
  <c r="E85" i="78"/>
  <c r="D75" i="108" s="1"/>
  <c r="E88" i="78"/>
  <c r="D78" i="108" s="1"/>
  <c r="E83" i="78"/>
  <c r="D73" i="108" s="1"/>
  <c r="E79" i="78"/>
  <c r="E81" i="78"/>
  <c r="D71" i="108" s="1"/>
  <c r="E86" i="78"/>
  <c r="D76" i="108" s="1"/>
  <c r="E82" i="78"/>
  <c r="D72" i="108" s="1"/>
  <c r="E79" i="108"/>
  <c r="B7" i="115"/>
  <c r="N41" i="66"/>
  <c r="D7" i="115"/>
  <c r="N49" i="66"/>
  <c r="F7" i="115"/>
  <c r="D51" i="110" l="1"/>
  <c r="D69" i="108"/>
  <c r="E87" i="78"/>
  <c r="D77" i="108" s="1"/>
  <c r="E77" i="108"/>
  <c r="N43" i="66"/>
  <c r="E38" i="66"/>
  <c r="E8" i="66" s="1"/>
  <c r="F116" i="66" l="1"/>
  <c r="D72" i="110"/>
  <c r="E89" i="78"/>
  <c r="D79" i="108" s="1"/>
  <c r="F114" i="66"/>
  <c r="E115" i="66"/>
  <c r="D93" i="108" s="1"/>
  <c r="E109" i="66"/>
  <c r="D87" i="108" s="1"/>
  <c r="E110" i="66"/>
  <c r="D88" i="108" s="1"/>
  <c r="E108" i="66"/>
  <c r="D86" i="108" s="1"/>
  <c r="E107" i="66"/>
  <c r="D85" i="108" s="1"/>
  <c r="E106" i="66"/>
  <c r="E113" i="66"/>
  <c r="D91" i="108" s="1"/>
  <c r="E112" i="66"/>
  <c r="D90" i="108" s="1"/>
  <c r="E111" i="66"/>
  <c r="D89" i="108" s="1"/>
  <c r="E94" i="108"/>
  <c r="F8" i="115"/>
  <c r="F9" i="115" s="1"/>
  <c r="N12" i="66"/>
  <c r="D63" i="110" l="1"/>
  <c r="D11" i="110"/>
  <c r="D2" i="110" s="1"/>
  <c r="D84" i="108"/>
  <c r="E114" i="66"/>
  <c r="D92" i="108" s="1"/>
  <c r="E92" i="108"/>
  <c r="B13" i="115"/>
  <c r="D13" i="115" s="1"/>
  <c r="F20" i="110"/>
  <c r="B14" i="115"/>
  <c r="D14" i="115" s="1"/>
  <c r="F13" i="109"/>
  <c r="B31" i="146"/>
  <c r="F71" i="54"/>
  <c r="F178" i="54" s="1"/>
  <c r="F188" i="54" s="1"/>
  <c r="E116" i="66" l="1"/>
  <c r="D94" i="108" s="1"/>
  <c r="F32" i="110"/>
  <c r="H13" i="109"/>
  <c r="D13" i="109" s="1"/>
  <c r="D70" i="109" s="1"/>
  <c r="H70" i="109" s="1"/>
  <c r="D73" i="22"/>
  <c r="D74" i="22" s="1"/>
  <c r="E178" i="54"/>
  <c r="E188" i="54" s="1"/>
  <c r="E73" i="22"/>
  <c r="E74" i="22" s="1"/>
  <c r="D24" i="98"/>
  <c r="C35" i="145" l="1"/>
  <c r="I21" i="112"/>
  <c r="B15" i="115" l="1"/>
  <c r="D15" i="115" s="1"/>
  <c r="N27" i="66" l="1"/>
  <c r="B19" i="115"/>
  <c r="D19" i="115" s="1"/>
  <c r="N18" i="66" l="1"/>
  <c r="B18" i="115"/>
  <c r="D18" i="115" l="1"/>
  <c r="B20" i="115"/>
  <c r="D20" i="115" s="1"/>
  <c r="A23" i="67"/>
  <c r="A21" i="67"/>
  <c r="M19" i="70" l="1"/>
  <c r="B19" i="70"/>
  <c r="L3" i="70"/>
  <c r="C114" i="70" s="1"/>
  <c r="E3" i="70"/>
  <c r="E17" i="70"/>
  <c r="B59" i="69"/>
  <c r="J18" i="67"/>
  <c r="E18" i="67"/>
  <c r="D9" i="66" l="1"/>
  <c r="D8" i="66" s="1"/>
  <c r="C72" i="110" s="1"/>
  <c r="N22" i="66"/>
  <c r="N13" i="66"/>
  <c r="O15" i="70"/>
  <c r="B93" i="70" s="1"/>
  <c r="C17" i="70"/>
  <c r="G17" i="70"/>
  <c r="K17" i="70"/>
  <c r="B17" i="70"/>
  <c r="Q17" i="70" s="1"/>
  <c r="F17" i="70"/>
  <c r="J17" i="70"/>
  <c r="D17" i="70"/>
  <c r="H17" i="70"/>
  <c r="L17" i="70"/>
  <c r="O9" i="70"/>
  <c r="O14" i="70"/>
  <c r="B85" i="70" s="1"/>
  <c r="O13" i="70"/>
  <c r="B77" i="70" s="1"/>
  <c r="O12" i="70"/>
  <c r="B69" i="70" s="1"/>
  <c r="O16" i="70"/>
  <c r="B101" i="70" s="1"/>
  <c r="M13" i="67"/>
  <c r="H14" i="67"/>
  <c r="D18" i="67"/>
  <c r="M16" i="67"/>
  <c r="H17" i="67"/>
  <c r="H12" i="67"/>
  <c r="G18" i="67"/>
  <c r="L18" i="67"/>
  <c r="H13" i="67"/>
  <c r="M14" i="67"/>
  <c r="I18" i="67"/>
  <c r="C18" i="67"/>
  <c r="B18" i="67"/>
  <c r="F18" i="67"/>
  <c r="K18" i="67"/>
  <c r="H16" i="67"/>
  <c r="M17" i="67"/>
  <c r="H15" i="67"/>
  <c r="M15" i="67"/>
  <c r="M12" i="67"/>
  <c r="H11" i="67"/>
  <c r="M11" i="67"/>
  <c r="D203" i="84" l="1"/>
  <c r="D8" i="115"/>
  <c r="F42" i="78"/>
  <c r="N17" i="67"/>
  <c r="N14" i="67"/>
  <c r="M17" i="70"/>
  <c r="I17" i="70"/>
  <c r="O11" i="70"/>
  <c r="B61" i="70" s="1"/>
  <c r="N13" i="67"/>
  <c r="P18" i="67" s="1"/>
  <c r="N12" i="67"/>
  <c r="M18" i="67"/>
  <c r="N15" i="67"/>
  <c r="H18" i="67"/>
  <c r="N16" i="67"/>
  <c r="N11" i="67"/>
  <c r="C63" i="110" l="1"/>
  <c r="C44" i="108"/>
  <c r="H203" i="84"/>
  <c r="G44" i="108" s="1"/>
  <c r="N36" i="66"/>
  <c r="N40" i="66"/>
  <c r="H16" i="109"/>
  <c r="F16" i="109"/>
  <c r="B32" i="146"/>
  <c r="F33" i="110"/>
  <c r="H19" i="109"/>
  <c r="N17" i="70"/>
  <c r="O8" i="70"/>
  <c r="N18" i="67"/>
  <c r="O18" i="67"/>
  <c r="D78" i="83" l="1"/>
  <c r="H78" i="83" s="1"/>
  <c r="G59" i="108" s="1"/>
  <c r="C15" i="135"/>
  <c r="C122" i="150" s="1"/>
  <c r="D16" i="109"/>
  <c r="D40" i="108"/>
  <c r="E40" i="108"/>
  <c r="G18" i="57"/>
  <c r="F18" i="109"/>
  <c r="B33" i="146"/>
  <c r="H18" i="109"/>
  <c r="J19" i="109"/>
  <c r="O17" i="70"/>
  <c r="C19" i="132"/>
  <c r="C60" i="150" s="1"/>
  <c r="E7" i="66"/>
  <c r="C9" i="66"/>
  <c r="C8" i="66" s="1"/>
  <c r="B72" i="110" s="1"/>
  <c r="F7" i="66"/>
  <c r="D7" i="66"/>
  <c r="H3" i="66"/>
  <c r="C3" i="66"/>
  <c r="C79" i="63"/>
  <c r="B74" i="63"/>
  <c r="B73" i="63"/>
  <c r="B11" i="110" l="1"/>
  <c r="B2" i="110" s="1"/>
  <c r="B63" i="110"/>
  <c r="F45" i="110"/>
  <c r="D29" i="146"/>
  <c r="C37" i="145"/>
  <c r="C59" i="108"/>
  <c r="D187" i="84"/>
  <c r="B8" i="115"/>
  <c r="B9" i="115" s="1"/>
  <c r="D18" i="109"/>
  <c r="I23" i="112"/>
  <c r="D79" i="63"/>
  <c r="N10" i="66"/>
  <c r="C123" i="145" l="1"/>
  <c r="B29" i="146"/>
  <c r="C39" i="145"/>
  <c r="C28" i="108"/>
  <c r="H187" i="84"/>
  <c r="G28" i="108" s="1"/>
  <c r="F19" i="109"/>
  <c r="D19" i="109" s="1"/>
  <c r="F21" i="110"/>
  <c r="E79" i="63"/>
  <c r="F79" i="63"/>
  <c r="I25" i="112"/>
  <c r="C64" i="63"/>
  <c r="N55" i="63"/>
  <c r="N60" i="63" s="1"/>
  <c r="T60" i="63" s="1"/>
  <c r="O55" i="63"/>
  <c r="P55" i="63"/>
  <c r="Q55" i="63"/>
  <c r="R55" i="63"/>
  <c r="S55" i="63"/>
  <c r="U55" i="63"/>
  <c r="S60" i="63"/>
  <c r="R60" i="63"/>
  <c r="Q60" i="63"/>
  <c r="P60" i="63"/>
  <c r="T59" i="63"/>
  <c r="T57" i="63"/>
  <c r="T56" i="63"/>
  <c r="T54" i="63"/>
  <c r="T55" i="63" s="1"/>
  <c r="T53" i="63"/>
  <c r="T52" i="63"/>
  <c r="T51" i="63"/>
  <c r="T50" i="63"/>
  <c r="T49" i="63"/>
  <c r="T48" i="63"/>
  <c r="T47" i="63"/>
  <c r="T46" i="63"/>
  <c r="U45" i="63"/>
  <c r="S45" i="63"/>
  <c r="R45" i="63"/>
  <c r="Q45" i="63"/>
  <c r="P45" i="63"/>
  <c r="O45" i="63"/>
  <c r="N45" i="63"/>
  <c r="T44" i="63"/>
  <c r="T43" i="63"/>
  <c r="T42" i="63"/>
  <c r="T41" i="63"/>
  <c r="T40" i="63"/>
  <c r="T39" i="63"/>
  <c r="T38" i="63"/>
  <c r="T37" i="63"/>
  <c r="T36" i="63"/>
  <c r="T35" i="63"/>
  <c r="T33" i="63"/>
  <c r="T32" i="63"/>
  <c r="T31" i="63"/>
  <c r="T30" i="63"/>
  <c r="T29" i="63"/>
  <c r="T28" i="63"/>
  <c r="T25" i="63"/>
  <c r="T24" i="63"/>
  <c r="T21" i="63"/>
  <c r="T18" i="63"/>
  <c r="T17" i="63"/>
  <c r="O16" i="63"/>
  <c r="O60" i="63" s="1"/>
  <c r="T15" i="63"/>
  <c r="T14" i="63"/>
  <c r="T13" i="63"/>
  <c r="T12" i="63"/>
  <c r="T11" i="63"/>
  <c r="T10" i="63"/>
  <c r="T9" i="63"/>
  <c r="D90" i="109" l="1"/>
  <c r="H90" i="109" s="1"/>
  <c r="D72" i="109"/>
  <c r="H72" i="109" s="1"/>
  <c r="U14" i="63"/>
  <c r="T45" i="63"/>
  <c r="H60" i="63"/>
  <c r="L60" i="63"/>
  <c r="K60" i="63"/>
  <c r="I60" i="63"/>
  <c r="J60" i="63"/>
  <c r="T16" i="63"/>
  <c r="O19" i="124" l="1"/>
  <c r="P14" i="124" s="1"/>
  <c r="C40" i="145"/>
  <c r="I26" i="112"/>
  <c r="M60" i="63"/>
  <c r="N52" i="66" l="1"/>
  <c r="N51" i="66" l="1"/>
  <c r="C2" i="54"/>
  <c r="F38" i="22" l="1"/>
  <c r="F41" i="22"/>
  <c r="E54" i="22"/>
  <c r="F40" i="22" l="1"/>
  <c r="F62" i="22"/>
  <c r="E81" i="22"/>
  <c r="D81" i="22"/>
  <c r="F88" i="22" l="1"/>
  <c r="L64" i="22"/>
  <c r="H29" i="29"/>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F21" i="29"/>
  <c r="F20" i="29"/>
  <c r="F17" i="29"/>
  <c r="F16" i="29"/>
  <c r="H15" i="29"/>
  <c r="F29" i="29" l="1"/>
  <c r="B163" i="21"/>
  <c r="B158" i="21"/>
  <c r="B167" i="21" s="1"/>
  <c r="D150" i="21"/>
  <c r="D161" i="21"/>
  <c r="D164" i="21" s="1"/>
  <c r="B161" i="21"/>
  <c r="D156" i="21"/>
  <c r="B156" i="21"/>
  <c r="D153" i="21"/>
  <c r="B80" i="21"/>
  <c r="B77" i="21"/>
  <c r="B73" i="21"/>
  <c r="D71" i="21"/>
  <c r="B71" i="21"/>
  <c r="D70" i="21"/>
  <c r="M88" i="21"/>
  <c r="B88" i="21"/>
  <c r="B22" i="21"/>
  <c r="D79" i="21" l="1"/>
  <c r="F42" i="83"/>
  <c r="D199" i="21"/>
  <c r="R199" i="21" s="1"/>
  <c r="D163" i="21"/>
  <c r="D198" i="21"/>
  <c r="R198" i="21" s="1"/>
  <c r="D76" i="21"/>
  <c r="D74" i="21"/>
  <c r="D187" i="21"/>
  <c r="T187" i="21" s="1"/>
  <c r="E161" i="21"/>
  <c r="E165" i="21" s="1"/>
  <c r="E156" i="21"/>
  <c r="D159" i="21"/>
  <c r="F15" i="29"/>
  <c r="D158" i="21"/>
  <c r="D155" i="21"/>
  <c r="D152" i="21" s="1"/>
  <c r="D72" i="21"/>
  <c r="E73" i="21"/>
  <c r="E71" i="21"/>
  <c r="D200" i="21" l="1"/>
  <c r="R200" i="21" s="1"/>
  <c r="D165" i="21"/>
  <c r="E160" i="21"/>
  <c r="E169" i="21" s="1"/>
  <c r="E215" i="21" s="1"/>
  <c r="E158" i="21"/>
  <c r="D162" i="21"/>
  <c r="D188" i="21"/>
  <c r="T188" i="21" s="1"/>
  <c r="D168" i="21"/>
  <c r="O6" i="117" s="1"/>
  <c r="O5" i="117" s="1"/>
  <c r="E163" i="21"/>
  <c r="F161" i="21"/>
  <c r="E164" i="21"/>
  <c r="F156" i="21"/>
  <c r="E159" i="21"/>
  <c r="D167" i="21"/>
  <c r="E157" i="21"/>
  <c r="E162" i="21"/>
  <c r="D160" i="21"/>
  <c r="D75" i="21"/>
  <c r="E74" i="21"/>
  <c r="F73" i="21"/>
  <c r="E72" i="21"/>
  <c r="F71" i="21"/>
  <c r="H2" i="117" l="1"/>
  <c r="D214" i="21"/>
  <c r="D157" i="21"/>
  <c r="D166" i="21" s="1"/>
  <c r="E168" i="21"/>
  <c r="E167" i="21"/>
  <c r="E214" i="21" s="1"/>
  <c r="F162" i="21"/>
  <c r="F165" i="21"/>
  <c r="F163" i="21"/>
  <c r="G161" i="21"/>
  <c r="F164" i="21"/>
  <c r="G156" i="21"/>
  <c r="F159" i="21"/>
  <c r="F160" i="21"/>
  <c r="F158" i="21"/>
  <c r="F157" i="21"/>
  <c r="F28" i="78"/>
  <c r="D169" i="21"/>
  <c r="F28" i="66" s="1"/>
  <c r="E67" i="110" s="1"/>
  <c r="E166" i="21"/>
  <c r="E75" i="21"/>
  <c r="F72" i="21"/>
  <c r="G71" i="21"/>
  <c r="F74" i="21"/>
  <c r="G73" i="21"/>
  <c r="E55" i="110" l="1"/>
  <c r="D215" i="21"/>
  <c r="F167" i="21"/>
  <c r="F214" i="21" s="1"/>
  <c r="F166" i="21"/>
  <c r="F168" i="21"/>
  <c r="G163" i="21"/>
  <c r="G165" i="21"/>
  <c r="G162" i="21"/>
  <c r="F169" i="21"/>
  <c r="F215" i="21" s="1"/>
  <c r="H161" i="21"/>
  <c r="G164" i="21"/>
  <c r="H156" i="21"/>
  <c r="G159" i="21"/>
  <c r="G157" i="21"/>
  <c r="G158" i="21"/>
  <c r="G160" i="21"/>
  <c r="G74" i="21"/>
  <c r="H73" i="21"/>
  <c r="F75" i="21"/>
  <c r="G72" i="21"/>
  <c r="H71" i="21"/>
  <c r="N28" i="66" l="1"/>
  <c r="N24" i="66" s="1"/>
  <c r="F24" i="66"/>
  <c r="G168" i="21"/>
  <c r="G166" i="21"/>
  <c r="G167" i="21"/>
  <c r="G214" i="21" s="1"/>
  <c r="H165" i="21"/>
  <c r="H163" i="21"/>
  <c r="H162" i="21"/>
  <c r="G169" i="21"/>
  <c r="G215" i="21" s="1"/>
  <c r="I161" i="21"/>
  <c r="H164" i="21"/>
  <c r="I156" i="21"/>
  <c r="H159" i="21"/>
  <c r="H160" i="21"/>
  <c r="H157" i="21"/>
  <c r="H158" i="21"/>
  <c r="G75" i="21"/>
  <c r="H74" i="21"/>
  <c r="I73" i="21"/>
  <c r="H72" i="21"/>
  <c r="I71" i="21"/>
  <c r="H169" i="21" l="1"/>
  <c r="H215" i="21" s="1"/>
  <c r="H166" i="21"/>
  <c r="H168" i="21"/>
  <c r="I163" i="21"/>
  <c r="I162" i="21"/>
  <c r="I165" i="21"/>
  <c r="H167" i="21"/>
  <c r="H214" i="21" s="1"/>
  <c r="J161" i="21"/>
  <c r="I164" i="21"/>
  <c r="J156" i="21"/>
  <c r="I159" i="21"/>
  <c r="I157" i="21"/>
  <c r="I160" i="21"/>
  <c r="I158" i="21"/>
  <c r="H75" i="21"/>
  <c r="I72" i="21"/>
  <c r="J71" i="21"/>
  <c r="I74" i="21"/>
  <c r="J73" i="21"/>
  <c r="I166" i="21" l="1"/>
  <c r="I169" i="21"/>
  <c r="I215" i="21" s="1"/>
  <c r="I168" i="21"/>
  <c r="J165" i="21"/>
  <c r="J163" i="21"/>
  <c r="J162" i="21"/>
  <c r="I167" i="21"/>
  <c r="I214" i="21" s="1"/>
  <c r="K161" i="21"/>
  <c r="J164" i="21"/>
  <c r="K156" i="21"/>
  <c r="J159" i="21"/>
  <c r="J160" i="21"/>
  <c r="J158" i="21"/>
  <c r="J157" i="21"/>
  <c r="I75" i="21"/>
  <c r="J72" i="21"/>
  <c r="K71" i="21"/>
  <c r="J74" i="21"/>
  <c r="K73" i="21"/>
  <c r="J169" i="21" l="1"/>
  <c r="J215" i="21" s="1"/>
  <c r="J167" i="21"/>
  <c r="J214" i="21" s="1"/>
  <c r="J166" i="21"/>
  <c r="J168" i="21"/>
  <c r="K162" i="21"/>
  <c r="K163" i="21"/>
  <c r="K165" i="21"/>
  <c r="L161" i="21"/>
  <c r="K164" i="21"/>
  <c r="L156" i="21"/>
  <c r="K159" i="21"/>
  <c r="K158" i="21"/>
  <c r="K160" i="21"/>
  <c r="K157" i="21"/>
  <c r="J75" i="21"/>
  <c r="K72" i="21"/>
  <c r="L71" i="21"/>
  <c r="K74" i="21"/>
  <c r="L73" i="21"/>
  <c r="K169" i="21" l="1"/>
  <c r="K215" i="21" s="1"/>
  <c r="K168" i="21"/>
  <c r="L165" i="21"/>
  <c r="L163" i="21"/>
  <c r="L162" i="21"/>
  <c r="K166" i="21"/>
  <c r="K167" i="21"/>
  <c r="K214" i="21" s="1"/>
  <c r="M161" i="21"/>
  <c r="L164" i="21"/>
  <c r="M156" i="21"/>
  <c r="L159" i="21"/>
  <c r="L157" i="21"/>
  <c r="L158" i="21"/>
  <c r="L160" i="21"/>
  <c r="K75" i="21"/>
  <c r="L72" i="21"/>
  <c r="M71" i="21"/>
  <c r="L74" i="21"/>
  <c r="M73" i="21"/>
  <c r="L166" i="21" l="1"/>
  <c r="L168" i="21"/>
  <c r="L167" i="21"/>
  <c r="L214" i="21" s="1"/>
  <c r="M162" i="21"/>
  <c r="M165" i="21"/>
  <c r="M163" i="21"/>
  <c r="L169" i="21"/>
  <c r="L215" i="21" s="1"/>
  <c r="N161" i="21"/>
  <c r="M164" i="21"/>
  <c r="N156" i="21"/>
  <c r="M159" i="21"/>
  <c r="M160" i="21"/>
  <c r="M158" i="21"/>
  <c r="M157" i="21"/>
  <c r="M74" i="21"/>
  <c r="N73" i="21"/>
  <c r="M72" i="21"/>
  <c r="N71" i="21"/>
  <c r="L75" i="21"/>
  <c r="M167" i="21" l="1"/>
  <c r="M214" i="21" s="1"/>
  <c r="M168" i="21"/>
  <c r="M169" i="21"/>
  <c r="M215" i="21" s="1"/>
  <c r="N165" i="21"/>
  <c r="N163" i="21"/>
  <c r="N162" i="21"/>
  <c r="M166" i="21"/>
  <c r="O161" i="21"/>
  <c r="N164" i="21"/>
  <c r="O156" i="21"/>
  <c r="N159" i="21"/>
  <c r="N160" i="21"/>
  <c r="N157" i="21"/>
  <c r="N158" i="21"/>
  <c r="N74" i="21"/>
  <c r="O73" i="21"/>
  <c r="N72" i="21"/>
  <c r="O71" i="21"/>
  <c r="M75" i="21"/>
  <c r="N169" i="21" l="1"/>
  <c r="N215" i="21" s="1"/>
  <c r="N166" i="21"/>
  <c r="N168" i="21"/>
  <c r="O162" i="21"/>
  <c r="O165" i="21"/>
  <c r="O163" i="21"/>
  <c r="N167" i="21"/>
  <c r="N214" i="21" s="1"/>
  <c r="P161" i="21"/>
  <c r="O164" i="21"/>
  <c r="P156" i="21"/>
  <c r="O159" i="21"/>
  <c r="O160" i="21"/>
  <c r="O157" i="21"/>
  <c r="O158" i="21"/>
  <c r="O72" i="21"/>
  <c r="P71" i="21"/>
  <c r="P72" i="21" s="1"/>
  <c r="O74" i="21"/>
  <c r="P73" i="21"/>
  <c r="N75" i="21"/>
  <c r="O167" i="21" l="1"/>
  <c r="O214" i="21" s="1"/>
  <c r="O168" i="21"/>
  <c r="O169" i="21"/>
  <c r="O215" i="21" s="1"/>
  <c r="P164" i="21"/>
  <c r="P165" i="21"/>
  <c r="P163" i="21"/>
  <c r="P162" i="21"/>
  <c r="O166" i="21"/>
  <c r="P159" i="21"/>
  <c r="P158" i="21"/>
  <c r="P157" i="21"/>
  <c r="P160" i="21"/>
  <c r="O75" i="21"/>
  <c r="P74" i="21"/>
  <c r="P75" i="21" s="1"/>
  <c r="P166" i="21" l="1"/>
  <c r="P169" i="21"/>
  <c r="P215" i="21" s="1"/>
  <c r="P168" i="21"/>
  <c r="P167" i="21"/>
  <c r="P214" i="21" s="1"/>
  <c r="E27" i="20"/>
  <c r="D157" i="20"/>
  <c r="G25" i="20"/>
  <c r="D158" i="20" s="1"/>
  <c r="G26" i="20"/>
  <c r="D159" i="20" s="1"/>
  <c r="G22" i="20"/>
  <c r="D156" i="20"/>
  <c r="C65" i="20"/>
  <c r="E61" i="98"/>
  <c r="F61" i="98" s="1"/>
  <c r="G61" i="98" s="1"/>
  <c r="H61" i="98" s="1"/>
  <c r="I61" i="98" s="1"/>
  <c r="E60" i="98"/>
  <c r="D155" i="20" l="1"/>
  <c r="E62" i="98"/>
  <c r="F62" i="98" s="1"/>
  <c r="G62" i="98" s="1"/>
  <c r="H62" i="98" s="1"/>
  <c r="I62" i="98" s="1"/>
  <c r="C104" i="20"/>
  <c r="C102" i="20"/>
  <c r="B97" i="20"/>
  <c r="O40" i="54" l="1"/>
  <c r="O176" i="54" s="1"/>
  <c r="O189" i="54" s="1"/>
  <c r="P40" i="54"/>
  <c r="P176" i="54" s="1"/>
  <c r="Q40" i="54"/>
  <c r="Q176" i="54" s="1"/>
  <c r="Q189" i="54" s="1"/>
  <c r="R40" i="54"/>
  <c r="R176" i="54" s="1"/>
  <c r="S40" i="54"/>
  <c r="S176" i="54" s="1"/>
  <c r="S189" i="54" s="1"/>
  <c r="O50" i="54"/>
  <c r="O196" i="54" s="1"/>
  <c r="P50" i="54"/>
  <c r="P196" i="54" s="1"/>
  <c r="Q50" i="54"/>
  <c r="Q196" i="54" s="1"/>
  <c r="R50" i="54"/>
  <c r="R196" i="54" s="1"/>
  <c r="S50" i="54"/>
  <c r="S196" i="54" s="1"/>
  <c r="O71" i="54"/>
  <c r="O178" i="54" s="1"/>
  <c r="P71" i="54"/>
  <c r="P178" i="54" s="1"/>
  <c r="Q71" i="54"/>
  <c r="Q178" i="54" s="1"/>
  <c r="R71" i="54"/>
  <c r="R178" i="54" s="1"/>
  <c r="S71" i="54"/>
  <c r="D40" i="21"/>
  <c r="E40" i="21" s="1"/>
  <c r="B50" i="21"/>
  <c r="B40" i="21"/>
  <c r="B36" i="21"/>
  <c r="B19" i="21"/>
  <c r="B15" i="21"/>
  <c r="B13" i="21"/>
  <c r="E131" i="21"/>
  <c r="F131" i="21"/>
  <c r="G131" i="21"/>
  <c r="H131" i="21"/>
  <c r="I131" i="21"/>
  <c r="J131" i="21"/>
  <c r="K131" i="21"/>
  <c r="L131" i="21"/>
  <c r="M131" i="21"/>
  <c r="N131" i="21"/>
  <c r="O131" i="21"/>
  <c r="P131" i="21"/>
  <c r="E130" i="21"/>
  <c r="F130" i="21"/>
  <c r="G130" i="21"/>
  <c r="H130" i="21"/>
  <c r="I130" i="21"/>
  <c r="J130" i="21"/>
  <c r="K130" i="21"/>
  <c r="L130" i="21"/>
  <c r="M130" i="21"/>
  <c r="N130" i="21"/>
  <c r="O130" i="21"/>
  <c r="P130" i="21"/>
  <c r="E127" i="21"/>
  <c r="F127" i="21"/>
  <c r="G127" i="21"/>
  <c r="H127" i="21"/>
  <c r="I127" i="21"/>
  <c r="J127" i="21"/>
  <c r="K127" i="21"/>
  <c r="L127" i="21"/>
  <c r="M127" i="21"/>
  <c r="N127" i="21"/>
  <c r="O127" i="21"/>
  <c r="P127" i="21"/>
  <c r="D115" i="21"/>
  <c r="D116" i="21"/>
  <c r="D114" i="21"/>
  <c r="E119" i="21"/>
  <c r="E120" i="21" s="1"/>
  <c r="F119" i="21"/>
  <c r="F120" i="21" s="1"/>
  <c r="G119" i="21"/>
  <c r="G120" i="21" s="1"/>
  <c r="H119" i="21"/>
  <c r="H120" i="21" s="1"/>
  <c r="I119" i="21"/>
  <c r="I120" i="21" s="1"/>
  <c r="J119" i="21"/>
  <c r="J120" i="21" s="1"/>
  <c r="K119" i="21"/>
  <c r="K120" i="21" s="1"/>
  <c r="L119" i="21"/>
  <c r="L120" i="21" s="1"/>
  <c r="M119" i="21"/>
  <c r="M120" i="21" s="1"/>
  <c r="N119" i="21"/>
  <c r="N120" i="21" s="1"/>
  <c r="O119" i="21"/>
  <c r="O120" i="21" s="1"/>
  <c r="P119" i="21"/>
  <c r="P120" i="21" s="1"/>
  <c r="H95" i="21"/>
  <c r="S178" i="54" l="1"/>
  <c r="P189" i="54"/>
  <c r="R189" i="54"/>
  <c r="Q177" i="54"/>
  <c r="Q190" i="54" s="1"/>
  <c r="R177" i="54"/>
  <c r="R190" i="54" s="1"/>
  <c r="S177" i="54"/>
  <c r="S190" i="54" s="1"/>
  <c r="O177" i="54"/>
  <c r="O190" i="54" s="1"/>
  <c r="P177" i="54"/>
  <c r="P190" i="54" s="1"/>
  <c r="D131" i="21"/>
  <c r="E28" i="20"/>
  <c r="S39" i="54"/>
  <c r="S175" i="54" s="1"/>
  <c r="O39" i="54"/>
  <c r="O175" i="54" s="1"/>
  <c r="R39" i="54"/>
  <c r="R175" i="54" s="1"/>
  <c r="P39" i="54"/>
  <c r="P175" i="54" s="1"/>
  <c r="Q39" i="54"/>
  <c r="Q175" i="54" s="1"/>
  <c r="G79" i="21"/>
  <c r="K79" i="21"/>
  <c r="O79" i="21"/>
  <c r="L79" i="21"/>
  <c r="F79" i="21"/>
  <c r="J79" i="21"/>
  <c r="N79" i="21"/>
  <c r="E79" i="21"/>
  <c r="I79" i="21"/>
  <c r="M79" i="21"/>
  <c r="H79" i="21"/>
  <c r="P79" i="21"/>
  <c r="D119" i="21"/>
  <c r="D127" i="21"/>
  <c r="M121" i="21"/>
  <c r="I121" i="21"/>
  <c r="E121" i="21"/>
  <c r="D130" i="21"/>
  <c r="N121" i="21"/>
  <c r="J121" i="21"/>
  <c r="F121" i="21"/>
  <c r="O121" i="21"/>
  <c r="K121" i="21"/>
  <c r="G121" i="21"/>
  <c r="P121" i="21"/>
  <c r="L121" i="21"/>
  <c r="H121" i="21"/>
  <c r="F40" i="21"/>
  <c r="D171" i="21"/>
  <c r="D120" i="21" l="1"/>
  <c r="D121" i="21" s="1"/>
  <c r="O188" i="54"/>
  <c r="R188" i="54"/>
  <c r="P188" i="54"/>
  <c r="Q188" i="54"/>
  <c r="S188" i="54"/>
  <c r="E29" i="20"/>
  <c r="E171" i="21"/>
  <c r="D172" i="21"/>
  <c r="D173" i="21" s="1"/>
  <c r="D80" i="21"/>
  <c r="D22" i="21"/>
  <c r="E22" i="21" s="1"/>
  <c r="F22" i="21" s="1"/>
  <c r="G22" i="21" s="1"/>
  <c r="H22" i="21" s="1"/>
  <c r="I22" i="21" s="1"/>
  <c r="J22" i="21" s="1"/>
  <c r="K22" i="21" s="1"/>
  <c r="L22" i="21" s="1"/>
  <c r="D77" i="21"/>
  <c r="E77" i="21" s="1"/>
  <c r="F77" i="21" s="1"/>
  <c r="G77" i="21" s="1"/>
  <c r="H77" i="21" s="1"/>
  <c r="I77" i="21" s="1"/>
  <c r="J77" i="21" s="1"/>
  <c r="K77" i="21" s="1"/>
  <c r="L77" i="21" s="1"/>
  <c r="M77" i="21" s="1"/>
  <c r="N77" i="21" s="1"/>
  <c r="O77" i="21" s="1"/>
  <c r="P77" i="21" s="1"/>
  <c r="P78" i="21" s="1"/>
  <c r="E57" i="21"/>
  <c r="F57" i="21" s="1"/>
  <c r="G57" i="21" s="1"/>
  <c r="H57" i="21" s="1"/>
  <c r="I57" i="21" s="1"/>
  <c r="J57" i="21" s="1"/>
  <c r="K57" i="21" s="1"/>
  <c r="L57" i="21" s="1"/>
  <c r="M57" i="21" s="1"/>
  <c r="N57" i="21" s="1"/>
  <c r="O57" i="21" s="1"/>
  <c r="P57" i="21" s="1"/>
  <c r="D50" i="21"/>
  <c r="E50" i="21" s="1"/>
  <c r="F50" i="21" s="1"/>
  <c r="G50" i="21" s="1"/>
  <c r="H50" i="21" s="1"/>
  <c r="I50" i="21" s="1"/>
  <c r="J50" i="21" s="1"/>
  <c r="K50" i="21" s="1"/>
  <c r="L50" i="21" s="1"/>
  <c r="M50" i="21" s="1"/>
  <c r="E19" i="21"/>
  <c r="F19" i="21" s="1"/>
  <c r="G19" i="21" s="1"/>
  <c r="H19" i="21" s="1"/>
  <c r="I19" i="21" s="1"/>
  <c r="J19" i="21" s="1"/>
  <c r="K19" i="21" s="1"/>
  <c r="L19" i="21" s="1"/>
  <c r="M19" i="21" s="1"/>
  <c r="N19" i="21" s="1"/>
  <c r="O19" i="21" s="1"/>
  <c r="P19" i="21" s="1"/>
  <c r="G40" i="21"/>
  <c r="Q18" i="21" l="1"/>
  <c r="D18" i="21"/>
  <c r="D20" i="21" s="1"/>
  <c r="D23" i="21"/>
  <c r="D216" i="21"/>
  <c r="D194" i="21"/>
  <c r="R194" i="21" s="1"/>
  <c r="E19" i="20"/>
  <c r="E30" i="20"/>
  <c r="E59" i="110"/>
  <c r="F171" i="21"/>
  <c r="E172" i="21"/>
  <c r="E173" i="21" s="1"/>
  <c r="E216" i="21" s="1"/>
  <c r="E80" i="21"/>
  <c r="F80" i="21" s="1"/>
  <c r="G80" i="21" s="1"/>
  <c r="H80" i="21" s="1"/>
  <c r="I80" i="21" s="1"/>
  <c r="J80" i="21" s="1"/>
  <c r="K80" i="21" s="1"/>
  <c r="L80" i="21" s="1"/>
  <c r="M80" i="21" s="1"/>
  <c r="N80" i="21" s="1"/>
  <c r="O80" i="21" s="1"/>
  <c r="P80" i="21" s="1"/>
  <c r="P81" i="21" s="1"/>
  <c r="P82" i="21" s="1"/>
  <c r="P83" i="21" s="1"/>
  <c r="P213" i="21" s="1"/>
  <c r="D81" i="21"/>
  <c r="K20" i="21"/>
  <c r="M20" i="21"/>
  <c r="F20" i="21"/>
  <c r="G20" i="21"/>
  <c r="I20" i="21"/>
  <c r="P20" i="21"/>
  <c r="E20" i="21"/>
  <c r="H20" i="21"/>
  <c r="O20" i="21"/>
  <c r="J20" i="21"/>
  <c r="N20" i="21"/>
  <c r="L20" i="21"/>
  <c r="L78" i="21"/>
  <c r="D78" i="21"/>
  <c r="G78" i="21"/>
  <c r="K78" i="21"/>
  <c r="E78" i="21"/>
  <c r="H78" i="21"/>
  <c r="F78" i="21"/>
  <c r="J78" i="21"/>
  <c r="N78" i="21"/>
  <c r="I78" i="21"/>
  <c r="M78" i="21"/>
  <c r="O78" i="21"/>
  <c r="H40" i="21"/>
  <c r="N50" i="21"/>
  <c r="P14" i="21"/>
  <c r="E23" i="21"/>
  <c r="M22" i="21"/>
  <c r="N22" i="21" s="1"/>
  <c r="D24" i="21" l="1"/>
  <c r="R24" i="21" s="1"/>
  <c r="E20" i="20"/>
  <c r="E31" i="20"/>
  <c r="F81" i="21"/>
  <c r="F82" i="21" s="1"/>
  <c r="F83" i="21" s="1"/>
  <c r="F213" i="21" s="1"/>
  <c r="I81" i="21"/>
  <c r="I82" i="21" s="1"/>
  <c r="I83" i="21" s="1"/>
  <c r="I213" i="21" s="1"/>
  <c r="D82" i="21"/>
  <c r="D83" i="21" s="1"/>
  <c r="R83" i="21" s="1"/>
  <c r="G171" i="21"/>
  <c r="F172" i="21"/>
  <c r="F173" i="21" s="1"/>
  <c r="F216" i="21" s="1"/>
  <c r="L81" i="21"/>
  <c r="L82" i="21" s="1"/>
  <c r="L83" i="21" s="1"/>
  <c r="L213" i="21" s="1"/>
  <c r="M81" i="21"/>
  <c r="M82" i="21" s="1"/>
  <c r="M83" i="21" s="1"/>
  <c r="M213" i="21" s="1"/>
  <c r="K81" i="21"/>
  <c r="K82" i="21" s="1"/>
  <c r="K83" i="21" s="1"/>
  <c r="K213" i="21" s="1"/>
  <c r="N81" i="21"/>
  <c r="N82" i="21" s="1"/>
  <c r="N83" i="21" s="1"/>
  <c r="N213" i="21" s="1"/>
  <c r="O81" i="21"/>
  <c r="O82" i="21" s="1"/>
  <c r="O83" i="21" s="1"/>
  <c r="O213" i="21" s="1"/>
  <c r="G81" i="21"/>
  <c r="G82" i="21" s="1"/>
  <c r="G83" i="21" s="1"/>
  <c r="G213" i="21" s="1"/>
  <c r="E81" i="21"/>
  <c r="E82" i="21" s="1"/>
  <c r="E83" i="21" s="1"/>
  <c r="E213" i="21" s="1"/>
  <c r="J81" i="21"/>
  <c r="J82" i="21" s="1"/>
  <c r="J83" i="21" s="1"/>
  <c r="J213" i="21" s="1"/>
  <c r="H81" i="21"/>
  <c r="H82" i="21" s="1"/>
  <c r="H83" i="21" s="1"/>
  <c r="H213" i="21" s="1"/>
  <c r="E24" i="21"/>
  <c r="E25" i="21" s="1"/>
  <c r="E209" i="21" s="1"/>
  <c r="O50" i="21"/>
  <c r="I40" i="21"/>
  <c r="G14" i="21"/>
  <c r="M14" i="21"/>
  <c r="I14" i="21"/>
  <c r="F14" i="21"/>
  <c r="H14" i="21"/>
  <c r="K14" i="21"/>
  <c r="N14" i="21"/>
  <c r="L14" i="21"/>
  <c r="O14" i="21"/>
  <c r="J14" i="21"/>
  <c r="D17" i="21"/>
  <c r="R17" i="21" s="1"/>
  <c r="F23" i="21"/>
  <c r="F24" i="21" s="1"/>
  <c r="F16" i="21"/>
  <c r="O22" i="21"/>
  <c r="D213" i="21" l="1"/>
  <c r="H171" i="21"/>
  <c r="G172" i="21"/>
  <c r="G173" i="21" s="1"/>
  <c r="G216" i="21" s="1"/>
  <c r="F30" i="83"/>
  <c r="D25" i="21"/>
  <c r="P50" i="21"/>
  <c r="J40" i="21"/>
  <c r="F17" i="21"/>
  <c r="F25" i="21" s="1"/>
  <c r="F209" i="21" s="1"/>
  <c r="G23" i="21"/>
  <c r="G24" i="21" s="1"/>
  <c r="G16" i="21"/>
  <c r="G17" i="21" s="1"/>
  <c r="P22" i="21"/>
  <c r="E43" i="110" l="1"/>
  <c r="D209" i="21"/>
  <c r="I171" i="21"/>
  <c r="H172" i="21"/>
  <c r="H173" i="21" s="1"/>
  <c r="H216" i="21" s="1"/>
  <c r="R25" i="21"/>
  <c r="F15" i="84"/>
  <c r="E19" i="110" s="1"/>
  <c r="G25" i="21"/>
  <c r="G209" i="21" s="1"/>
  <c r="K40" i="21"/>
  <c r="H23" i="21"/>
  <c r="H24" i="21" s="1"/>
  <c r="H16" i="21"/>
  <c r="H17" i="21" s="1"/>
  <c r="C13" i="132" l="1"/>
  <c r="D185" i="84"/>
  <c r="J20" i="109"/>
  <c r="J17" i="109" s="1"/>
  <c r="F12" i="109"/>
  <c r="J171" i="21"/>
  <c r="I172" i="21"/>
  <c r="I173" i="21" s="1"/>
  <c r="I216" i="21" s="1"/>
  <c r="H25" i="21"/>
  <c r="H209" i="21" s="1"/>
  <c r="L40" i="21"/>
  <c r="I23" i="21"/>
  <c r="I24" i="21" s="1"/>
  <c r="I16" i="21"/>
  <c r="I17" i="21" s="1"/>
  <c r="F19" i="110" l="1"/>
  <c r="C54" i="150"/>
  <c r="C26" i="108"/>
  <c r="H185" i="84"/>
  <c r="G26" i="108" s="1"/>
  <c r="K171" i="21"/>
  <c r="J172" i="21"/>
  <c r="J173" i="21" s="1"/>
  <c r="J216" i="21" s="1"/>
  <c r="I25" i="21"/>
  <c r="I209" i="21" s="1"/>
  <c r="M40" i="21"/>
  <c r="J23" i="21"/>
  <c r="J24" i="21" s="1"/>
  <c r="J16" i="21"/>
  <c r="J17" i="21" s="1"/>
  <c r="B25" i="146" l="1"/>
  <c r="C31" i="145"/>
  <c r="I17" i="112"/>
  <c r="L171" i="21"/>
  <c r="K172" i="21"/>
  <c r="K173" i="21" s="1"/>
  <c r="K216" i="21" s="1"/>
  <c r="J25" i="21"/>
  <c r="J209" i="21" s="1"/>
  <c r="N40" i="21"/>
  <c r="K23" i="21"/>
  <c r="K24" i="21" s="1"/>
  <c r="K16" i="21"/>
  <c r="K17" i="21" s="1"/>
  <c r="C121" i="145" l="1"/>
  <c r="C124" i="145"/>
  <c r="M171" i="21"/>
  <c r="L172" i="21"/>
  <c r="L173" i="21" s="1"/>
  <c r="L216" i="21" s="1"/>
  <c r="K25" i="21"/>
  <c r="K209" i="21" s="1"/>
  <c r="O40" i="21"/>
  <c r="L23" i="21"/>
  <c r="L24" i="21" s="1"/>
  <c r="L16" i="21"/>
  <c r="L17" i="21" s="1"/>
  <c r="D36" i="146" l="1"/>
  <c r="N171" i="21"/>
  <c r="M172" i="21"/>
  <c r="M173" i="21" s="1"/>
  <c r="M216" i="21" s="1"/>
  <c r="L25" i="21"/>
  <c r="L209" i="21" s="1"/>
  <c r="P40" i="21"/>
  <c r="M23" i="21"/>
  <c r="M24" i="21" s="1"/>
  <c r="M16" i="21"/>
  <c r="M17" i="21" s="1"/>
  <c r="O171" i="21" l="1"/>
  <c r="N172" i="21"/>
  <c r="N173" i="21" s="1"/>
  <c r="N216" i="21" s="1"/>
  <c r="M25" i="21"/>
  <c r="M209" i="21" s="1"/>
  <c r="N23" i="21"/>
  <c r="N24" i="21" s="1"/>
  <c r="N16" i="21"/>
  <c r="N17" i="21" s="1"/>
  <c r="P171" i="21" l="1"/>
  <c r="P172" i="21" s="1"/>
  <c r="P173" i="21" s="1"/>
  <c r="P216" i="21" s="1"/>
  <c r="O172" i="21"/>
  <c r="O173" i="21" s="1"/>
  <c r="O216" i="21" s="1"/>
  <c r="N25" i="21"/>
  <c r="N209" i="21" s="1"/>
  <c r="O23" i="21"/>
  <c r="O24" i="21" s="1"/>
  <c r="O16" i="21"/>
  <c r="O17" i="21" s="1"/>
  <c r="O25" i="21" l="1"/>
  <c r="O209" i="21" s="1"/>
  <c r="P16" i="21"/>
  <c r="P17" i="21" s="1"/>
  <c r="P23" i="21"/>
  <c r="P24" i="21" s="1"/>
  <c r="P25" i="21" l="1"/>
  <c r="P209" i="21" s="1"/>
  <c r="G25" i="54"/>
  <c r="D141" i="49" l="1"/>
  <c r="D140" i="49" s="1"/>
  <c r="E141" i="49"/>
  <c r="E140" i="49" s="1"/>
  <c r="F141" i="49"/>
  <c r="F140" i="49" s="1"/>
  <c r="G141" i="49"/>
  <c r="G140" i="49" s="1"/>
  <c r="M140" i="49"/>
  <c r="N140" i="49"/>
  <c r="O141" i="49"/>
  <c r="O140" i="49" s="1"/>
  <c r="D23" i="49"/>
  <c r="E23" i="49" s="1"/>
  <c r="F23" i="49" s="1"/>
  <c r="G23" i="49" s="1"/>
  <c r="M23" i="49" s="1"/>
  <c r="N23" i="49" s="1"/>
  <c r="O23" i="49" s="1"/>
  <c r="D37" i="49"/>
  <c r="E37" i="49" s="1"/>
  <c r="F37" i="49" s="1"/>
  <c r="G37" i="49" s="1"/>
  <c r="M37" i="49" s="1"/>
  <c r="N37" i="49" s="1"/>
  <c r="O37" i="49" s="1"/>
  <c r="E169" i="49"/>
  <c r="F169" i="49"/>
  <c r="G169" i="49"/>
  <c r="M169" i="49"/>
  <c r="N169" i="49"/>
  <c r="D169" i="49"/>
  <c r="G64" i="54" l="1"/>
  <c r="E34" i="22"/>
  <c r="D34" i="22"/>
  <c r="E67" i="22"/>
  <c r="D67" i="22"/>
  <c r="O78" i="54"/>
  <c r="P78" i="54"/>
  <c r="Q78" i="54"/>
  <c r="R78" i="54"/>
  <c r="S78" i="54"/>
  <c r="O79" i="54"/>
  <c r="P79" i="54"/>
  <c r="Q79" i="54"/>
  <c r="R79" i="54"/>
  <c r="S79" i="54"/>
  <c r="O81" i="54"/>
  <c r="P81" i="54"/>
  <c r="Q81" i="54"/>
  <c r="R81" i="54"/>
  <c r="S81" i="54"/>
  <c r="O82" i="54"/>
  <c r="P82" i="54"/>
  <c r="Q82" i="54"/>
  <c r="R82" i="54"/>
  <c r="S82" i="54"/>
  <c r="E69" i="22"/>
  <c r="D69" i="22"/>
  <c r="E71" i="22"/>
  <c r="O37" i="54"/>
  <c r="P37" i="54"/>
  <c r="R37" i="54"/>
  <c r="S37" i="54"/>
  <c r="O38" i="54"/>
  <c r="P38" i="54"/>
  <c r="Q38" i="54"/>
  <c r="R38" i="54"/>
  <c r="S38" i="54"/>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91" i="54"/>
  <c r="Q91" i="54"/>
  <c r="O91" i="54"/>
  <c r="S87" i="54"/>
  <c r="R87" i="54"/>
  <c r="S124" i="54"/>
  <c r="S83" i="54" s="1"/>
  <c r="R124" i="54"/>
  <c r="R83" i="54" s="1"/>
  <c r="Q124" i="54"/>
  <c r="Q83" i="54" s="1"/>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G102" i="54"/>
  <c r="G99" i="54"/>
  <c r="D22" i="49"/>
  <c r="E22" i="49" s="1"/>
  <c r="F22" i="49" s="1"/>
  <c r="G22" i="49" s="1"/>
  <c r="M22" i="49" s="1"/>
  <c r="N22" i="49" s="1"/>
  <c r="O22" i="49" s="1"/>
  <c r="C20" i="49"/>
  <c r="D19" i="49"/>
  <c r="C17" i="49"/>
  <c r="F121" i="54"/>
  <c r="E121" i="54"/>
  <c r="F118" i="54"/>
  <c r="E118" i="54"/>
  <c r="F133" i="54"/>
  <c r="H133" i="54"/>
  <c r="I133" i="54"/>
  <c r="J133" i="54"/>
  <c r="K133" i="54"/>
  <c r="L133" i="54"/>
  <c r="M133" i="54"/>
  <c r="N133" i="54"/>
  <c r="O133" i="54"/>
  <c r="P133" i="54"/>
  <c r="Q133" i="54"/>
  <c r="R133" i="54"/>
  <c r="S133" i="54"/>
  <c r="E133" i="54"/>
  <c r="F124" i="54"/>
  <c r="E124" i="54"/>
  <c r="F127" i="54"/>
  <c r="P87" i="54"/>
  <c r="Q87" i="54"/>
  <c r="E127" i="54"/>
  <c r="F130" i="54"/>
  <c r="P91" i="54"/>
  <c r="E130" i="54"/>
  <c r="R91" i="54"/>
  <c r="G67" i="54"/>
  <c r="G66" i="54"/>
  <c r="G56" i="54"/>
  <c r="G44" i="54"/>
  <c r="G43" i="54"/>
  <c r="S42" i="54"/>
  <c r="R42" i="54"/>
  <c r="Q42" i="54"/>
  <c r="P42" i="54"/>
  <c r="O42" i="54"/>
  <c r="N42" i="54"/>
  <c r="M42" i="54"/>
  <c r="L42" i="54"/>
  <c r="K42" i="54"/>
  <c r="J42" i="54"/>
  <c r="I42" i="54"/>
  <c r="H42" i="54"/>
  <c r="F42" i="54"/>
  <c r="E42" i="54"/>
  <c r="A8" i="26"/>
  <c r="O28" i="21" l="1"/>
  <c r="E19" i="49"/>
  <c r="F19" i="49" s="1"/>
  <c r="G19" i="49" s="1"/>
  <c r="M19" i="49" s="1"/>
  <c r="N19" i="49" s="1"/>
  <c r="O19" i="49" s="1"/>
  <c r="M6" i="49"/>
  <c r="N6" i="49" s="1"/>
  <c r="O6" i="49" s="1"/>
  <c r="H6" i="49"/>
  <c r="I6" i="49" s="1"/>
  <c r="J6" i="49" s="1"/>
  <c r="K6" i="49" s="1"/>
  <c r="L6" i="49" s="1"/>
  <c r="P28" i="21"/>
  <c r="O29" i="54"/>
  <c r="O174" i="54" s="1"/>
  <c r="L29" i="21"/>
  <c r="O183" i="54"/>
  <c r="S29" i="54"/>
  <c r="S174" i="54" s="1"/>
  <c r="P29" i="21"/>
  <c r="L28" i="21"/>
  <c r="O182" i="54"/>
  <c r="R29" i="54"/>
  <c r="R174" i="54" s="1"/>
  <c r="O29" i="21"/>
  <c r="P182" i="54"/>
  <c r="M28" i="21"/>
  <c r="Q29" i="54"/>
  <c r="Q174" i="54" s="1"/>
  <c r="Q183" i="54"/>
  <c r="N29" i="21"/>
  <c r="N28" i="21"/>
  <c r="Q182" i="54"/>
  <c r="P29" i="54"/>
  <c r="M29" i="21"/>
  <c r="P183" i="54"/>
  <c r="R28" i="54"/>
  <c r="R182" i="54"/>
  <c r="S183" i="54"/>
  <c r="S28" i="54"/>
  <c r="S173" i="54" s="1"/>
  <c r="S182" i="54"/>
  <c r="O28" i="54"/>
  <c r="O173" i="54" s="1"/>
  <c r="P28" i="54"/>
  <c r="P173" i="54" s="1"/>
  <c r="Q28" i="54"/>
  <c r="R183" i="54"/>
  <c r="C203" i="49"/>
  <c r="S30" i="54"/>
  <c r="O30" i="54"/>
  <c r="Q30" i="54"/>
  <c r="P36" i="54"/>
  <c r="P30" i="54"/>
  <c r="R33" i="54"/>
  <c r="S33" i="54"/>
  <c r="O33" i="54"/>
  <c r="Q36" i="54"/>
  <c r="R30" i="54"/>
  <c r="P33" i="54"/>
  <c r="Q33" i="54"/>
  <c r="S36" i="54"/>
  <c r="O36" i="54"/>
  <c r="Q117" i="54"/>
  <c r="Q75" i="54" s="1"/>
  <c r="Q74" i="54" s="1"/>
  <c r="Q181" i="54" s="1"/>
  <c r="R117" i="54"/>
  <c r="R75" i="54" s="1"/>
  <c r="R74"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D14" i="22"/>
  <c r="F117" i="54"/>
  <c r="F116" i="54" s="1"/>
  <c r="F115" i="54" s="1"/>
  <c r="P117" i="54"/>
  <c r="P75" i="54" s="1"/>
  <c r="P74" i="54" s="1"/>
  <c r="S117" i="54"/>
  <c r="S116" i="54" s="1"/>
  <c r="S115" i="54" s="1"/>
  <c r="O117" i="54"/>
  <c r="O75" i="54" s="1"/>
  <c r="E117" i="54"/>
  <c r="E116" i="54" s="1"/>
  <c r="E115" i="54" s="1"/>
  <c r="O87" i="54"/>
  <c r="G42" i="54"/>
  <c r="S187" i="54" l="1"/>
  <c r="O18" i="54"/>
  <c r="O23" i="54" s="1"/>
  <c r="O170" i="54" s="1"/>
  <c r="P17" i="54"/>
  <c r="Q18" i="54"/>
  <c r="Q23" i="54" s="1"/>
  <c r="Q170" i="54" s="1"/>
  <c r="Q173" i="54"/>
  <c r="Q17" i="54"/>
  <c r="Q22" i="54" s="1"/>
  <c r="Q169" i="54" s="1"/>
  <c r="P174" i="54"/>
  <c r="P193" i="54" s="1"/>
  <c r="R17" i="54"/>
  <c r="R166" i="54" s="1"/>
  <c r="R173" i="54"/>
  <c r="R186" i="54" s="1"/>
  <c r="R18" i="54"/>
  <c r="R167" i="54" s="1"/>
  <c r="R69" i="54"/>
  <c r="R58" i="54" s="1"/>
  <c r="R48" i="54" s="1"/>
  <c r="R195" i="54" s="1"/>
  <c r="R181" i="54"/>
  <c r="Q27" i="54"/>
  <c r="O17" i="54"/>
  <c r="O22" i="54" s="1"/>
  <c r="O169" i="54" s="1"/>
  <c r="S17" i="54"/>
  <c r="S22" i="54" s="1"/>
  <c r="S169" i="54" s="1"/>
  <c r="P18" i="54"/>
  <c r="P167" i="54" s="1"/>
  <c r="S18" i="54"/>
  <c r="S167" i="54" s="1"/>
  <c r="Q187" i="54"/>
  <c r="R187" i="54"/>
  <c r="O27" i="54"/>
  <c r="O187" i="54"/>
  <c r="P27" i="54"/>
  <c r="S27" i="54"/>
  <c r="O193" i="54"/>
  <c r="Q193" i="54"/>
  <c r="S193" i="54"/>
  <c r="R27" i="54"/>
  <c r="P69" i="54"/>
  <c r="P181" i="54"/>
  <c r="P58" i="54" s="1"/>
  <c r="Q69" i="54"/>
  <c r="Q58" i="54"/>
  <c r="Q48" i="54" s="1"/>
  <c r="P122" i="21"/>
  <c r="S186" i="54"/>
  <c r="S192" i="54"/>
  <c r="R193" i="54"/>
  <c r="O186" i="54"/>
  <c r="O192" i="54"/>
  <c r="P186" i="54"/>
  <c r="P192" i="54"/>
  <c r="D11" i="98"/>
  <c r="D10" i="98" s="1"/>
  <c r="E14" i="22"/>
  <c r="F74" i="54"/>
  <c r="F181" i="54" s="1"/>
  <c r="E63" i="22"/>
  <c r="E62" i="22" s="1"/>
  <c r="K64" i="22" s="1"/>
  <c r="R36" i="54"/>
  <c r="L27" i="21"/>
  <c r="L68" i="21" s="1"/>
  <c r="N27" i="21"/>
  <c r="N68" i="21" s="1"/>
  <c r="P27" i="21"/>
  <c r="P68" i="21" s="1"/>
  <c r="M27" i="21"/>
  <c r="M68" i="21" s="1"/>
  <c r="M122" i="21"/>
  <c r="O122" i="21"/>
  <c r="O27" i="21"/>
  <c r="O68" i="21" s="1"/>
  <c r="R116" i="54"/>
  <c r="R115" i="54" s="1"/>
  <c r="Q116" i="54"/>
  <c r="Q115" i="54" s="1"/>
  <c r="O116" i="54"/>
  <c r="O115" i="54" s="1"/>
  <c r="P116" i="54"/>
  <c r="P115" i="54" s="1"/>
  <c r="S75" i="54"/>
  <c r="S74" i="54" s="1"/>
  <c r="O167" i="54" l="1"/>
  <c r="R197" i="54"/>
  <c r="R192" i="54"/>
  <c r="P187" i="54"/>
  <c r="S23" i="54"/>
  <c r="S170" i="54" s="1"/>
  <c r="R23" i="54"/>
  <c r="R170" i="54" s="1"/>
  <c r="S166" i="54"/>
  <c r="N122" i="21"/>
  <c r="P23" i="54"/>
  <c r="P170" i="54" s="1"/>
  <c r="O166" i="54"/>
  <c r="R22" i="54"/>
  <c r="R169" i="54" s="1"/>
  <c r="S58" i="54"/>
  <c r="S48" i="54" s="1"/>
  <c r="S195" i="54" s="1"/>
  <c r="S181" i="54"/>
  <c r="S69" i="54"/>
  <c r="Q197" i="54"/>
  <c r="Q195" i="54"/>
  <c r="P197" i="54"/>
  <c r="P48" i="54"/>
  <c r="P47" i="54" s="1"/>
  <c r="Q166" i="54"/>
  <c r="Q167" i="54"/>
  <c r="L122" i="21"/>
  <c r="P22" i="54"/>
  <c r="P169" i="54" s="1"/>
  <c r="P166" i="54"/>
  <c r="Q186" i="54"/>
  <c r="Q192" i="54"/>
  <c r="F76" i="54"/>
  <c r="D17" i="98"/>
  <c r="D15" i="98" s="1"/>
  <c r="F88" i="54"/>
  <c r="F92" i="54"/>
  <c r="F84" i="54"/>
  <c r="F69" i="54"/>
  <c r="R47" i="54"/>
  <c r="Q47" i="54"/>
  <c r="S197" i="54" l="1"/>
  <c r="P195" i="54"/>
  <c r="P26" i="54"/>
  <c r="F47" i="54"/>
  <c r="F49" i="54" s="1"/>
  <c r="D25" i="98"/>
  <c r="D23" i="98"/>
  <c r="D36" i="98" s="1"/>
  <c r="Q26" i="54"/>
  <c r="R26" i="54"/>
  <c r="S47" i="54"/>
  <c r="K32" i="98" l="1"/>
  <c r="D26" i="98"/>
  <c r="F26" i="54"/>
  <c r="E48" i="61" s="1"/>
  <c r="R58" i="55"/>
  <c r="V58" i="55"/>
  <c r="N58" i="55"/>
  <c r="S26" i="54"/>
  <c r="F58" i="55" l="1"/>
  <c r="F24" i="54"/>
  <c r="E48" i="92"/>
  <c r="E47" i="92" s="1"/>
  <c r="F16" i="54" l="1"/>
  <c r="F21" i="54" s="1"/>
  <c r="F19" i="54" s="1"/>
  <c r="F172" i="54"/>
  <c r="F191" i="54" s="1"/>
  <c r="E33" i="22"/>
  <c r="E41" i="22" s="1"/>
  <c r="E40" i="22" s="1"/>
  <c r="F14" i="54"/>
  <c r="B3" i="26"/>
  <c r="E37" i="22" l="1"/>
  <c r="E38" i="22"/>
  <c r="F185" i="54"/>
  <c r="F184" i="54" s="1"/>
  <c r="E35" i="22"/>
  <c r="E20" i="22"/>
  <c r="F168" i="54"/>
  <c r="E19" i="22"/>
  <c r="F165" i="54"/>
  <c r="D21" i="49"/>
  <c r="D20" i="49" s="1"/>
  <c r="D18" i="49"/>
  <c r="D17" i="49" s="1"/>
  <c r="D29" i="49"/>
  <c r="E29" i="49" s="1"/>
  <c r="D26" i="49"/>
  <c r="E26" i="49" s="1"/>
  <c r="C28" i="49"/>
  <c r="E21" i="22" l="1"/>
  <c r="F171" i="54"/>
  <c r="C206" i="49"/>
  <c r="C202" i="49" s="1"/>
  <c r="G101" i="54"/>
  <c r="E28" i="49"/>
  <c r="F26" i="49"/>
  <c r="E25" i="49"/>
  <c r="D25" i="49"/>
  <c r="E21" i="49"/>
  <c r="E18" i="49"/>
  <c r="E17" i="49" s="1"/>
  <c r="D16" i="49"/>
  <c r="F29" i="49"/>
  <c r="D28" i="49"/>
  <c r="C16" i="49"/>
  <c r="D45" i="49"/>
  <c r="E45" i="49" s="1"/>
  <c r="F45" i="49" s="1"/>
  <c r="G45" i="49" s="1"/>
  <c r="M45" i="49" s="1"/>
  <c r="N45" i="49" s="1"/>
  <c r="O45" i="49" s="1"/>
  <c r="D44" i="49"/>
  <c r="E44" i="49" s="1"/>
  <c r="C50" i="49"/>
  <c r="C47" i="49"/>
  <c r="C43" i="49"/>
  <c r="D38" i="49"/>
  <c r="E38" i="49" s="1"/>
  <c r="F38" i="49" s="1"/>
  <c r="G38" i="49" s="1"/>
  <c r="M38" i="49" s="1"/>
  <c r="N38" i="49" s="1"/>
  <c r="O38" i="49" s="1"/>
  <c r="D36" i="49"/>
  <c r="D33" i="49"/>
  <c r="D32" i="49" s="1"/>
  <c r="C35" i="49"/>
  <c r="G108" i="54" s="1"/>
  <c r="F5" i="129" s="1"/>
  <c r="C32" i="49"/>
  <c r="G107" i="54" s="1"/>
  <c r="F4" i="129" s="1"/>
  <c r="D58" i="49"/>
  <c r="E58" i="49" s="1"/>
  <c r="F58" i="49" s="1"/>
  <c r="G58" i="49" s="1"/>
  <c r="M58" i="49" s="1"/>
  <c r="N58" i="49" s="1"/>
  <c r="O58" i="49" s="1"/>
  <c r="E36" i="49" l="1"/>
  <c r="F36" i="49" s="1"/>
  <c r="G36" i="49" s="1"/>
  <c r="M36" i="49" s="1"/>
  <c r="G35" i="49"/>
  <c r="G114" i="54"/>
  <c r="H114" i="54" s="1"/>
  <c r="I114" i="54" s="1"/>
  <c r="J114" i="54" s="1"/>
  <c r="K114" i="54" s="1"/>
  <c r="L114" i="54" s="1"/>
  <c r="M114" i="54" s="1"/>
  <c r="N114" i="54" s="1"/>
  <c r="O114" i="54" s="1"/>
  <c r="P114" i="54" s="1"/>
  <c r="Q114" i="54" s="1"/>
  <c r="R114" i="54" s="1"/>
  <c r="S114" i="54" s="1"/>
  <c r="G111" i="54"/>
  <c r="G55" i="115" s="1"/>
  <c r="G113" i="54"/>
  <c r="E115" i="20" s="1"/>
  <c r="F114" i="20"/>
  <c r="G54" i="115"/>
  <c r="E114" i="20"/>
  <c r="E54" i="115"/>
  <c r="C40" i="49"/>
  <c r="H108" i="54"/>
  <c r="I108" i="54" s="1"/>
  <c r="J108" i="54" s="1"/>
  <c r="K108" i="54" s="1"/>
  <c r="L108" i="54" s="1"/>
  <c r="M108" i="54" s="1"/>
  <c r="N108" i="54" s="1"/>
  <c r="O108" i="54" s="1"/>
  <c r="P108" i="54" s="1"/>
  <c r="Q108" i="54" s="1"/>
  <c r="R108" i="54" s="1"/>
  <c r="S108" i="54" s="1"/>
  <c r="F21" i="49"/>
  <c r="F20" i="49" s="1"/>
  <c r="E20" i="49"/>
  <c r="H107" i="54"/>
  <c r="G106" i="54"/>
  <c r="H101" i="54"/>
  <c r="G100" i="54"/>
  <c r="E24" i="49"/>
  <c r="C46" i="49"/>
  <c r="D50" i="49"/>
  <c r="D24" i="49"/>
  <c r="G26" i="49"/>
  <c r="F25" i="49"/>
  <c r="F18" i="49"/>
  <c r="F17" i="49" s="1"/>
  <c r="G29" i="49"/>
  <c r="F28" i="49"/>
  <c r="E43" i="49"/>
  <c r="E33" i="49"/>
  <c r="F33" i="49" s="1"/>
  <c r="F32" i="49" s="1"/>
  <c r="D47" i="49"/>
  <c r="E48" i="49"/>
  <c r="E47" i="49" s="1"/>
  <c r="D41" i="49"/>
  <c r="F44" i="49"/>
  <c r="D43" i="49"/>
  <c r="C31" i="49"/>
  <c r="E35" i="49"/>
  <c r="D35" i="49"/>
  <c r="D31" i="49" s="1"/>
  <c r="F115" i="20" l="1"/>
  <c r="H113" i="54"/>
  <c r="G112" i="54"/>
  <c r="G206" i="54" s="1"/>
  <c r="N36" i="49"/>
  <c r="O36" i="49" s="1"/>
  <c r="M35" i="49"/>
  <c r="G110" i="54"/>
  <c r="G4" i="129" s="1"/>
  <c r="G22" i="142"/>
  <c r="G94" i="142" s="1"/>
  <c r="G5" i="129"/>
  <c r="H111" i="54"/>
  <c r="I111" i="54" s="1"/>
  <c r="J111" i="54" s="1"/>
  <c r="K111" i="54" s="1"/>
  <c r="L111" i="54" s="1"/>
  <c r="M111" i="54" s="1"/>
  <c r="N111" i="54" s="1"/>
  <c r="O111" i="54" s="1"/>
  <c r="P111" i="54" s="1"/>
  <c r="Q111" i="54" s="1"/>
  <c r="R111" i="54" s="1"/>
  <c r="S111" i="54" s="1"/>
  <c r="H55" i="115"/>
  <c r="H54" i="115"/>
  <c r="F22" i="142"/>
  <c r="F94" i="142" s="1"/>
  <c r="G52" i="115"/>
  <c r="D5" i="129"/>
  <c r="F21" i="142"/>
  <c r="G22" i="140"/>
  <c r="F22" i="140"/>
  <c r="F54" i="115"/>
  <c r="F21" i="140"/>
  <c r="F94" i="140" s="1"/>
  <c r="F3" i="129"/>
  <c r="B54" i="115"/>
  <c r="D114" i="20"/>
  <c r="L13" i="98" s="1"/>
  <c r="G217" i="54"/>
  <c r="F112" i="20"/>
  <c r="H11" i="98"/>
  <c r="H10" i="98" s="1"/>
  <c r="H52" i="115"/>
  <c r="C39" i="49"/>
  <c r="F24" i="49"/>
  <c r="G21" i="49"/>
  <c r="G20" i="49" s="1"/>
  <c r="I113" i="54"/>
  <c r="H112" i="54"/>
  <c r="I107" i="54"/>
  <c r="H106" i="54"/>
  <c r="H100" i="54"/>
  <c r="I101" i="54"/>
  <c r="G33" i="49"/>
  <c r="M33" i="49" s="1"/>
  <c r="D46" i="49"/>
  <c r="E32" i="49"/>
  <c r="E31" i="49" s="1"/>
  <c r="G25" i="49"/>
  <c r="M26" i="49"/>
  <c r="E16" i="49"/>
  <c r="G18" i="49"/>
  <c r="G17" i="49" s="1"/>
  <c r="F16" i="49"/>
  <c r="M29" i="49"/>
  <c r="G28" i="49"/>
  <c r="D40" i="49"/>
  <c r="D39" i="49" s="1"/>
  <c r="E41" i="49"/>
  <c r="E50" i="49"/>
  <c r="E46" i="49" s="1"/>
  <c r="F48" i="49"/>
  <c r="F47" i="49" s="1"/>
  <c r="F43" i="49"/>
  <c r="G44" i="49"/>
  <c r="F35" i="49"/>
  <c r="F31" i="49" s="1"/>
  <c r="G32" i="49" l="1"/>
  <c r="H110" i="54"/>
  <c r="I110" i="54" s="1"/>
  <c r="E55" i="115"/>
  <c r="G109" i="54"/>
  <c r="D115" i="20" s="1"/>
  <c r="L14" i="98" s="1"/>
  <c r="F55" i="115"/>
  <c r="D216" i="54"/>
  <c r="D116" i="20"/>
  <c r="AF75" i="20" s="1"/>
  <c r="F75" i="20" s="1"/>
  <c r="I111" i="20" s="1"/>
  <c r="H206" i="54"/>
  <c r="G21" i="140"/>
  <c r="G94" i="140" s="1"/>
  <c r="D22" i="140"/>
  <c r="D22" i="142"/>
  <c r="D94" i="142" s="1"/>
  <c r="M13" i="98"/>
  <c r="N13" i="98" s="1"/>
  <c r="H109" i="54"/>
  <c r="M21" i="49"/>
  <c r="M20" i="49" s="1"/>
  <c r="J107" i="54"/>
  <c r="I106" i="54"/>
  <c r="I100" i="54"/>
  <c r="J101" i="54"/>
  <c r="J113" i="54"/>
  <c r="I112" i="54"/>
  <c r="I206" i="54" s="1"/>
  <c r="J110" i="54"/>
  <c r="I109" i="54"/>
  <c r="G48" i="49"/>
  <c r="M48" i="49" s="1"/>
  <c r="N26" i="49"/>
  <c r="M25" i="49"/>
  <c r="G24" i="49"/>
  <c r="G16" i="49"/>
  <c r="M18" i="49"/>
  <c r="M17" i="49" s="1"/>
  <c r="M28" i="49"/>
  <c r="N29" i="49"/>
  <c r="F50" i="49"/>
  <c r="F46" i="49" s="1"/>
  <c r="F41" i="49"/>
  <c r="E40" i="49"/>
  <c r="E39" i="49" s="1"/>
  <c r="M44" i="49"/>
  <c r="G43" i="49"/>
  <c r="M32" i="49"/>
  <c r="N33" i="49"/>
  <c r="G31" i="49"/>
  <c r="G3" i="129" l="1"/>
  <c r="B55" i="115"/>
  <c r="I11" i="98"/>
  <c r="I10" i="98" s="1"/>
  <c r="M14" i="98" s="1"/>
  <c r="N14" i="98" s="1"/>
  <c r="H217" i="54"/>
  <c r="G70" i="140"/>
  <c r="G21" i="142"/>
  <c r="F20" i="142"/>
  <c r="N5" i="145"/>
  <c r="F20" i="140"/>
  <c r="L5" i="145"/>
  <c r="N21" i="49"/>
  <c r="N20" i="49" s="1"/>
  <c r="G47" i="49"/>
  <c r="J100" i="54"/>
  <c r="K101" i="54"/>
  <c r="K113" i="54"/>
  <c r="J112" i="54"/>
  <c r="J206" i="54" s="1"/>
  <c r="K107" i="54"/>
  <c r="J106" i="54"/>
  <c r="K110" i="54"/>
  <c r="J109" i="54"/>
  <c r="N25" i="49"/>
  <c r="O26" i="49"/>
  <c r="O25" i="49" s="1"/>
  <c r="M24" i="49"/>
  <c r="M16" i="49"/>
  <c r="N18" i="49"/>
  <c r="N17" i="49" s="1"/>
  <c r="N28" i="49"/>
  <c r="O29" i="49"/>
  <c r="O28" i="49" s="1"/>
  <c r="G50" i="49"/>
  <c r="G41" i="49"/>
  <c r="F40" i="49"/>
  <c r="F39" i="49" s="1"/>
  <c r="M43" i="49"/>
  <c r="N44" i="49"/>
  <c r="M47" i="49"/>
  <c r="N48" i="49"/>
  <c r="O33" i="49"/>
  <c r="O32" i="49" s="1"/>
  <c r="N32" i="49"/>
  <c r="M31" i="49"/>
  <c r="G20" i="142" l="1"/>
  <c r="N34" i="145"/>
  <c r="N28" i="145"/>
  <c r="N33" i="145"/>
  <c r="N32" i="145"/>
  <c r="N29" i="145"/>
  <c r="N31" i="145"/>
  <c r="G20" i="140"/>
  <c r="Q5" i="145"/>
  <c r="E2" i="111"/>
  <c r="C54" i="115"/>
  <c r="D54" i="115" s="1"/>
  <c r="O24" i="49"/>
  <c r="O5" i="145"/>
  <c r="G46" i="49"/>
  <c r="O21" i="49"/>
  <c r="O20" i="49" s="1"/>
  <c r="K106" i="54"/>
  <c r="L107" i="54"/>
  <c r="K100" i="54"/>
  <c r="L101" i="54"/>
  <c r="L110" i="54"/>
  <c r="K109" i="54"/>
  <c r="L113" i="54"/>
  <c r="K112" i="54"/>
  <c r="K206" i="54" s="1"/>
  <c r="N24" i="49"/>
  <c r="O18" i="49"/>
  <c r="O17" i="49" s="1"/>
  <c r="N16" i="49"/>
  <c r="M50" i="49"/>
  <c r="M46" i="49" s="1"/>
  <c r="M41" i="49"/>
  <c r="G40" i="49"/>
  <c r="G39" i="49" s="1"/>
  <c r="N43" i="49"/>
  <c r="O44" i="49"/>
  <c r="O43" i="49" s="1"/>
  <c r="O48" i="49"/>
  <c r="O47" i="49" s="1"/>
  <c r="N47" i="49"/>
  <c r="O35" i="49"/>
  <c r="O31" i="49" s="1"/>
  <c r="N35" i="49"/>
  <c r="N31" i="49" s="1"/>
  <c r="Q32" i="145" l="1"/>
  <c r="Q33" i="145"/>
  <c r="Q28" i="145"/>
  <c r="Q34" i="145"/>
  <c r="Q29" i="145"/>
  <c r="Q31" i="145"/>
  <c r="F2" i="111"/>
  <c r="C55" i="115"/>
  <c r="D55" i="115" s="1"/>
  <c r="L100" i="54"/>
  <c r="M101" i="54"/>
  <c r="L112" i="54"/>
  <c r="L206" i="54" s="1"/>
  <c r="M113" i="54"/>
  <c r="M110" i="54"/>
  <c r="L109" i="54"/>
  <c r="L106" i="54"/>
  <c r="M107" i="54"/>
  <c r="O16" i="49"/>
  <c r="N50" i="49"/>
  <c r="N46" i="49" s="1"/>
  <c r="O50" i="49"/>
  <c r="O46" i="49" s="1"/>
  <c r="M40" i="49"/>
  <c r="M39" i="49" s="1"/>
  <c r="N41" i="49"/>
  <c r="M106" i="54" l="1"/>
  <c r="N107" i="54"/>
  <c r="M112" i="54"/>
  <c r="M206" i="54" s="1"/>
  <c r="N113" i="54"/>
  <c r="N110" i="54"/>
  <c r="M109" i="54"/>
  <c r="N101" i="54"/>
  <c r="M100" i="54"/>
  <c r="N40" i="49"/>
  <c r="N39" i="49" s="1"/>
  <c r="O41" i="49"/>
  <c r="O40" i="49" s="1"/>
  <c r="O39" i="49" s="1"/>
  <c r="N100" i="54" l="1"/>
  <c r="O101" i="54"/>
  <c r="N112" i="54"/>
  <c r="N206" i="54" s="1"/>
  <c r="O113" i="54"/>
  <c r="O110" i="54"/>
  <c r="N109" i="54"/>
  <c r="N106" i="54"/>
  <c r="O107" i="54"/>
  <c r="D54" i="49"/>
  <c r="E54" i="49"/>
  <c r="F54" i="49"/>
  <c r="G54" i="49"/>
  <c r="M54" i="49"/>
  <c r="N54" i="49"/>
  <c r="O54" i="49"/>
  <c r="C54" i="49"/>
  <c r="G104" i="54" s="1"/>
  <c r="E4" i="129" s="1"/>
  <c r="C57" i="49"/>
  <c r="L30" i="62"/>
  <c r="K30" i="62"/>
  <c r="J30" i="62"/>
  <c r="I30" i="62"/>
  <c r="O29" i="62"/>
  <c r="N29" i="62"/>
  <c r="M29" i="62"/>
  <c r="D68" i="24" s="1"/>
  <c r="L29" i="62"/>
  <c r="D67" i="24" s="1"/>
  <c r="K29" i="62"/>
  <c r="D66" i="24" s="1"/>
  <c r="J29" i="62"/>
  <c r="D65" i="24" s="1"/>
  <c r="L28" i="62"/>
  <c r="K28" i="62"/>
  <c r="I28" i="62"/>
  <c r="H29" i="62"/>
  <c r="D63" i="24" s="1"/>
  <c r="G29" i="62"/>
  <c r="D62" i="24" s="1"/>
  <c r="F8" i="49" s="1"/>
  <c r="F29" i="62"/>
  <c r="E8" i="49" s="1"/>
  <c r="E29" i="62"/>
  <c r="D29" i="62"/>
  <c r="O8" i="49" s="1"/>
  <c r="Q21" i="62"/>
  <c r="Q20" i="62"/>
  <c r="Q19" i="62"/>
  <c r="L15" i="62"/>
  <c r="K15" i="62"/>
  <c r="J15" i="62"/>
  <c r="I15" i="62"/>
  <c r="O14" i="62"/>
  <c r="O30" i="62" s="1"/>
  <c r="N14" i="62"/>
  <c r="N30" i="62" s="1"/>
  <c r="M14" i="62"/>
  <c r="M30" i="62" s="1"/>
  <c r="G14" i="62"/>
  <c r="F14" i="62"/>
  <c r="F28" i="62" s="1"/>
  <c r="E14" i="62"/>
  <c r="E28" i="62" s="1"/>
  <c r="E30" i="62" s="1"/>
  <c r="D14" i="62"/>
  <c r="D28" i="62" s="1"/>
  <c r="D30" i="62" s="1"/>
  <c r="B14" i="62"/>
  <c r="Q22" i="62"/>
  <c r="P12" i="62"/>
  <c r="P21" i="62" s="1"/>
  <c r="P11" i="62"/>
  <c r="P20" i="62" s="1"/>
  <c r="P10" i="62"/>
  <c r="P19" i="62" s="1"/>
  <c r="P9" i="62"/>
  <c r="P18" i="62" s="1"/>
  <c r="G28" i="62" l="1"/>
  <c r="D8" i="49"/>
  <c r="G8" i="49"/>
  <c r="D51" i="24"/>
  <c r="D57" i="24"/>
  <c r="B29" i="62"/>
  <c r="E113" i="20"/>
  <c r="E53" i="115"/>
  <c r="F30" i="62"/>
  <c r="D52" i="24"/>
  <c r="H30" i="62"/>
  <c r="D54" i="24"/>
  <c r="G10" i="49" s="1"/>
  <c r="O106" i="54"/>
  <c r="P107" i="54"/>
  <c r="P113" i="54"/>
  <c r="O112" i="54"/>
  <c r="P110" i="54"/>
  <c r="O109" i="54"/>
  <c r="H104" i="54"/>
  <c r="P101" i="54"/>
  <c r="O100" i="54"/>
  <c r="C53" i="49"/>
  <c r="G105" i="54"/>
  <c r="D57" i="49"/>
  <c r="D53" i="49" s="1"/>
  <c r="D15" i="49" s="1"/>
  <c r="E57" i="49"/>
  <c r="E53" i="49" s="1"/>
  <c r="E15" i="49" s="1"/>
  <c r="B30" i="62"/>
  <c r="P13" i="62"/>
  <c r="P22" i="62" s="1"/>
  <c r="O28" i="62"/>
  <c r="N28" i="62"/>
  <c r="C14" i="62"/>
  <c r="C28" i="62" s="1"/>
  <c r="M28" i="62"/>
  <c r="G30" i="62" l="1"/>
  <c r="D53" i="24"/>
  <c r="P23" i="62"/>
  <c r="C29" i="62"/>
  <c r="M8" i="49"/>
  <c r="G53" i="115"/>
  <c r="G51" i="115" s="1"/>
  <c r="M53" i="115" s="1"/>
  <c r="E5" i="129"/>
  <c r="C5" i="129" s="1"/>
  <c r="E21" i="142"/>
  <c r="F53" i="115"/>
  <c r="E21" i="140"/>
  <c r="F113" i="20"/>
  <c r="F111" i="20" s="1"/>
  <c r="D162" i="54"/>
  <c r="C30" i="62"/>
  <c r="D56" i="24"/>
  <c r="P28" i="62"/>
  <c r="D50" i="24" s="1"/>
  <c r="E59" i="88" s="1"/>
  <c r="R59" i="88" s="1"/>
  <c r="P14" i="62"/>
  <c r="N8" i="49"/>
  <c r="H53" i="115"/>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7" i="49"/>
  <c r="F53" i="49" s="1"/>
  <c r="F15" i="49" s="1"/>
  <c r="Q28" i="62"/>
  <c r="P29" i="62" l="1"/>
  <c r="D59" i="24" s="1"/>
  <c r="E42" i="98" s="1"/>
  <c r="P30" i="62"/>
  <c r="R31" i="62" s="1"/>
  <c r="Q29" i="62"/>
  <c r="E22" i="142"/>
  <c r="E94" i="142" s="1"/>
  <c r="E22" i="140"/>
  <c r="E70" i="140"/>
  <c r="E94" i="140"/>
  <c r="M52" i="115"/>
  <c r="M54" i="115"/>
  <c r="G56" i="115"/>
  <c r="M55" i="115"/>
  <c r="E3" i="129"/>
  <c r="B53" i="115"/>
  <c r="D113" i="20"/>
  <c r="L12" i="98" s="1"/>
  <c r="F217" i="54"/>
  <c r="E39" i="98"/>
  <c r="G39" i="98" s="1"/>
  <c r="G40" i="98" s="1"/>
  <c r="G39" i="88"/>
  <c r="E33" i="88"/>
  <c r="K9" i="69"/>
  <c r="D55" i="24"/>
  <c r="G11" i="98"/>
  <c r="G10" i="98" s="1"/>
  <c r="H51" i="115"/>
  <c r="H56" i="115" s="1"/>
  <c r="Q112" i="54"/>
  <c r="R113" i="54"/>
  <c r="Q106" i="54"/>
  <c r="R107" i="54"/>
  <c r="I103" i="54"/>
  <c r="J104" i="54"/>
  <c r="R101" i="54"/>
  <c r="Q100" i="54"/>
  <c r="R110" i="54"/>
  <c r="Q109" i="54"/>
  <c r="H103" i="54"/>
  <c r="G57" i="49"/>
  <c r="G53" i="49" s="1"/>
  <c r="G15" i="49" s="1"/>
  <c r="C7" i="145" l="1"/>
  <c r="I39" i="98"/>
  <c r="I40" i="98" s="1"/>
  <c r="K5" i="145"/>
  <c r="E20" i="140"/>
  <c r="M51" i="115"/>
  <c r="H39" i="98"/>
  <c r="H40" i="98" s="1"/>
  <c r="F39" i="98"/>
  <c r="F40" i="98" s="1"/>
  <c r="E40" i="98"/>
  <c r="R33" i="88"/>
  <c r="E30" i="88"/>
  <c r="L9" i="69"/>
  <c r="G9" i="69" s="1"/>
  <c r="R39" i="88"/>
  <c r="G30" i="88"/>
  <c r="M12" i="98"/>
  <c r="N12" i="98" s="1"/>
  <c r="S110" i="54"/>
  <c r="S109" i="54" s="1"/>
  <c r="R109" i="54"/>
  <c r="J103" i="54"/>
  <c r="K104" i="54"/>
  <c r="R112" i="54"/>
  <c r="S113" i="54"/>
  <c r="S112" i="54" s="1"/>
  <c r="S101" i="54"/>
  <c r="S100" i="54" s="1"/>
  <c r="R100" i="54"/>
  <c r="S107" i="54"/>
  <c r="S106" i="54" s="1"/>
  <c r="R106" i="54"/>
  <c r="M57" i="49"/>
  <c r="M53" i="49" s="1"/>
  <c r="M15" i="49" s="1"/>
  <c r="G14" i="69" l="1"/>
  <c r="G34" i="69"/>
  <c r="G19" i="69"/>
  <c r="G24" i="69"/>
  <c r="G29" i="69"/>
  <c r="J31" i="69" s="1"/>
  <c r="D90" i="142"/>
  <c r="F91" i="142"/>
  <c r="F89" i="142"/>
  <c r="E89" i="142"/>
  <c r="E92" i="142"/>
  <c r="D89" i="142"/>
  <c r="D91" i="142"/>
  <c r="F88" i="142"/>
  <c r="F90" i="142"/>
  <c r="G88" i="142"/>
  <c r="E90" i="142"/>
  <c r="E88" i="142"/>
  <c r="F92" i="142"/>
  <c r="G91" i="142"/>
  <c r="G90" i="142"/>
  <c r="E91" i="142"/>
  <c r="D92" i="142"/>
  <c r="D88" i="142"/>
  <c r="G89" i="142"/>
  <c r="G92" i="142"/>
  <c r="G49" i="69"/>
  <c r="G39" i="69"/>
  <c r="G10" i="69"/>
  <c r="G55" i="69" s="1"/>
  <c r="K31" i="145"/>
  <c r="K33" i="145"/>
  <c r="K29" i="145"/>
  <c r="K28" i="145"/>
  <c r="K34" i="145"/>
  <c r="K32" i="145"/>
  <c r="E20" i="142"/>
  <c r="E69" i="142"/>
  <c r="E70" i="142"/>
  <c r="E98" i="142"/>
  <c r="G69" i="142"/>
  <c r="G98" i="142"/>
  <c r="F69" i="142"/>
  <c r="E99" i="142"/>
  <c r="D99" i="142"/>
  <c r="G70" i="142"/>
  <c r="G99" i="142"/>
  <c r="F98" i="142"/>
  <c r="F70" i="142"/>
  <c r="D70" i="142"/>
  <c r="D98" i="142"/>
  <c r="D69" i="142"/>
  <c r="F99" i="142"/>
  <c r="G44" i="69"/>
  <c r="R30" i="88"/>
  <c r="I5" i="145"/>
  <c r="K103" i="54"/>
  <c r="L104" i="54"/>
  <c r="O57" i="49"/>
  <c r="O53" i="49" s="1"/>
  <c r="O15" i="49" s="1"/>
  <c r="N57" i="49"/>
  <c r="N53" i="49" s="1"/>
  <c r="N15" i="49" s="1"/>
  <c r="L4" i="83" l="1"/>
  <c r="G54" i="69"/>
  <c r="K35" i="69" s="1"/>
  <c r="O4" i="66"/>
  <c r="O3" i="78"/>
  <c r="Q21" i="114"/>
  <c r="Q22" i="114"/>
  <c r="R21" i="114"/>
  <c r="R22" i="114"/>
  <c r="S22" i="114"/>
  <c r="S21" i="114"/>
  <c r="T22" i="114"/>
  <c r="T21" i="114"/>
  <c r="G87" i="142"/>
  <c r="D87" i="142"/>
  <c r="E87" i="142"/>
  <c r="F87" i="142"/>
  <c r="D2" i="111"/>
  <c r="C53" i="115"/>
  <c r="D53" i="115" s="1"/>
  <c r="M104" i="54"/>
  <c r="L103" i="54"/>
  <c r="N15" i="66" l="1"/>
  <c r="F9" i="66"/>
  <c r="N17" i="66"/>
  <c r="P22" i="114"/>
  <c r="P29" i="114" s="1"/>
  <c r="P21" i="114"/>
  <c r="P28" i="114" s="1"/>
  <c r="N16" i="66"/>
  <c r="M103" i="54"/>
  <c r="N104" i="54"/>
  <c r="J21" i="114" l="1"/>
  <c r="J22" i="114"/>
  <c r="N9" i="66"/>
  <c r="N103" i="54"/>
  <c r="O104" i="54"/>
  <c r="O103" i="54" l="1"/>
  <c r="P104" i="54"/>
  <c r="P103" i="54" l="1"/>
  <c r="Q104" i="54"/>
  <c r="Q103" i="54" l="1"/>
  <c r="R104" i="54"/>
  <c r="S104" i="54" l="1"/>
  <c r="S103" i="54" s="1"/>
  <c r="R103" i="54"/>
  <c r="H67" i="61" l="1"/>
  <c r="B67" i="61"/>
  <c r="E56" i="61"/>
  <c r="E53" i="61" s="1"/>
  <c r="D56" i="61"/>
  <c r="D53" i="61" s="1"/>
  <c r="E50" i="61"/>
  <c r="D50" i="61"/>
  <c r="E47" i="61"/>
  <c r="E39" i="61"/>
  <c r="D39" i="61"/>
  <c r="G31" i="61"/>
  <c r="E31" i="61"/>
  <c r="D31" i="61"/>
  <c r="D27" i="61"/>
  <c r="E23" i="61"/>
  <c r="D23" i="61"/>
  <c r="E19" i="61"/>
  <c r="D19" i="61"/>
  <c r="E12" i="61"/>
  <c r="D12" i="61"/>
  <c r="G9" i="61"/>
  <c r="F9" i="61"/>
  <c r="E9" i="61"/>
  <c r="G11" i="57"/>
  <c r="F11" i="57"/>
  <c r="E11" i="57"/>
  <c r="E11" i="61" l="1"/>
  <c r="E37" i="61" s="1"/>
  <c r="E45" i="61" s="1"/>
  <c r="E46" i="61" s="1"/>
  <c r="D11" i="61"/>
  <c r="D37" i="61" l="1"/>
  <c r="D45" i="61" s="1"/>
  <c r="D46" i="61" s="1"/>
  <c r="F54" i="57"/>
  <c r="B54" i="57"/>
  <c r="F47" i="58" l="1"/>
  <c r="B47" i="58"/>
  <c r="D47" i="26"/>
  <c r="B47" i="26"/>
  <c r="A23" i="32" l="1"/>
  <c r="Q70" i="55" l="1"/>
  <c r="C70" i="55"/>
  <c r="E44" i="57"/>
  <c r="D44" i="57"/>
  <c r="F36" i="57"/>
  <c r="E36" i="57"/>
  <c r="D36" i="57"/>
  <c r="G28" i="57"/>
  <c r="F28" i="57"/>
  <c r="E28" i="57"/>
  <c r="D28" i="57"/>
  <c r="F24" i="57"/>
  <c r="E24" i="57"/>
  <c r="D24" i="57"/>
  <c r="F20" i="57"/>
  <c r="F13" i="57" s="1"/>
  <c r="E20" i="57"/>
  <c r="E13" i="57" s="1"/>
  <c r="D20" i="57"/>
  <c r="D13" i="57" s="1"/>
  <c r="W13" i="57"/>
  <c r="V13" i="57"/>
  <c r="U13" i="57"/>
  <c r="T13" i="57"/>
  <c r="S13" i="57"/>
  <c r="R13" i="57"/>
  <c r="Q13" i="57"/>
  <c r="P13" i="57"/>
  <c r="O13" i="57"/>
  <c r="N13" i="57"/>
  <c r="M13" i="57"/>
  <c r="L13" i="57"/>
  <c r="K13" i="57"/>
  <c r="J13" i="57"/>
  <c r="I13" i="57"/>
  <c r="H13" i="57"/>
  <c r="H56" i="55"/>
  <c r="D55" i="112" s="1"/>
  <c r="G56" i="55"/>
  <c r="F56" i="55"/>
  <c r="E56" i="55"/>
  <c r="G55" i="55"/>
  <c r="E55" i="55"/>
  <c r="I22" i="55" s="1"/>
  <c r="W45" i="55"/>
  <c r="F45" i="55"/>
  <c r="E45" i="55"/>
  <c r="X37" i="55"/>
  <c r="H36" i="112" s="1"/>
  <c r="H21" i="55"/>
  <c r="D20" i="112" s="1"/>
  <c r="N20" i="112" s="1"/>
  <c r="H20" i="55"/>
  <c r="D19" i="112" s="1"/>
  <c r="N19" i="112" s="1"/>
  <c r="J24" i="55" l="1"/>
  <c r="K45" i="55"/>
  <c r="V36" i="55"/>
  <c r="V35" i="55"/>
  <c r="V32" i="55"/>
  <c r="V34" i="55"/>
  <c r="V42" i="55"/>
  <c r="V41" i="55"/>
  <c r="S45" i="55"/>
  <c r="W41" i="55"/>
  <c r="U42" i="55"/>
  <c r="U41" i="55"/>
  <c r="U31" i="55"/>
  <c r="U36" i="55"/>
  <c r="U34" i="55"/>
  <c r="U32" i="55"/>
  <c r="U30" i="55"/>
  <c r="Q18" i="55"/>
  <c r="U35" i="55"/>
  <c r="R32" i="55"/>
  <c r="R41" i="55"/>
  <c r="R36" i="55"/>
  <c r="R35" i="55"/>
  <c r="R42" i="55"/>
  <c r="Q32" i="55"/>
  <c r="Q23" i="55"/>
  <c r="Q24" i="55"/>
  <c r="Q31" i="55"/>
  <c r="Q42" i="55"/>
  <c r="Q22" i="55"/>
  <c r="Q36" i="55"/>
  <c r="Q30" i="55"/>
  <c r="Q41" i="55"/>
  <c r="Q26" i="55"/>
  <c r="Q27" i="55"/>
  <c r="Q28" i="55"/>
  <c r="Q35" i="55"/>
  <c r="Q34"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M42" i="55"/>
  <c r="M34" i="55"/>
  <c r="M26" i="55"/>
  <c r="I41" i="55"/>
  <c r="I34" i="55"/>
  <c r="I26" i="55"/>
  <c r="M32" i="55"/>
  <c r="M27" i="55"/>
  <c r="I32" i="55"/>
  <c r="I28" i="55"/>
  <c r="M36" i="55"/>
  <c r="M31" i="55"/>
  <c r="M28" i="55"/>
  <c r="I36" i="55"/>
  <c r="I31" i="55"/>
  <c r="I27" i="55"/>
  <c r="M41" i="55"/>
  <c r="M35" i="55"/>
  <c r="M30" i="55"/>
  <c r="I42" i="55"/>
  <c r="I35" i="55"/>
  <c r="I30" i="55"/>
  <c r="M23" i="55"/>
  <c r="M24" i="55"/>
  <c r="M22" i="55"/>
  <c r="I23" i="55"/>
  <c r="I24" i="55"/>
  <c r="M18" i="55"/>
  <c r="I18" i="55"/>
  <c r="G13" i="55"/>
  <c r="G12" i="55" s="1"/>
  <c r="H19" i="55"/>
  <c r="D18" i="112" s="1"/>
  <c r="N18" i="112" s="1"/>
  <c r="E13" i="55"/>
  <c r="E12" i="55" s="1"/>
  <c r="E34" i="57"/>
  <c r="E42" i="57" s="1"/>
  <c r="E43" i="57" s="1"/>
  <c r="E58" i="57" s="1"/>
  <c r="D34" i="57"/>
  <c r="D42" i="57" s="1"/>
  <c r="D43" i="57" s="1"/>
  <c r="D58" i="57" s="1"/>
  <c r="F34" i="57"/>
  <c r="Q17" i="55" l="1"/>
  <c r="F42" i="57"/>
  <c r="F43" i="57" s="1"/>
  <c r="V29" i="55"/>
  <c r="W13" i="55"/>
  <c r="Q37" i="55"/>
  <c r="U33" i="55"/>
  <c r="W33" i="55"/>
  <c r="U13" i="55"/>
  <c r="V37" i="55"/>
  <c r="W37" i="55"/>
  <c r="U37" i="55"/>
  <c r="W29" i="55"/>
  <c r="V25" i="55"/>
  <c r="V33" i="55"/>
  <c r="U29" i="55"/>
  <c r="Q25" i="55"/>
  <c r="Q33" i="55"/>
  <c r="Q29" i="55"/>
  <c r="S13" i="55"/>
  <c r="R25" i="55"/>
  <c r="R37" i="55"/>
  <c r="S33" i="55"/>
  <c r="R33" i="55"/>
  <c r="R29" i="55"/>
  <c r="S37" i="55"/>
  <c r="S29" i="55"/>
  <c r="J37" i="55"/>
  <c r="M13" i="55"/>
  <c r="J33" i="55"/>
  <c r="M37" i="55"/>
  <c r="J25" i="55"/>
  <c r="J29" i="55"/>
  <c r="I37" i="55"/>
  <c r="I33" i="55"/>
  <c r="M33" i="55"/>
  <c r="N25" i="55"/>
  <c r="N33" i="55"/>
  <c r="N29" i="55"/>
  <c r="I13" i="55"/>
  <c r="I29" i="55"/>
  <c r="M29" i="55"/>
  <c r="I25" i="55"/>
  <c r="M25" i="55"/>
  <c r="N37" i="55"/>
  <c r="G43" i="55"/>
  <c r="G59" i="55" s="1"/>
  <c r="E43" i="55"/>
  <c r="E59" i="55" s="1"/>
  <c r="F10" i="22"/>
  <c r="Q16" i="55" l="1"/>
  <c r="Q15" i="55" s="1"/>
  <c r="Q14" i="55" s="1"/>
  <c r="Q13" i="55" s="1"/>
  <c r="Q12" i="55" s="1"/>
  <c r="Q43" i="55" s="1"/>
  <c r="F58" i="57"/>
  <c r="K12" i="55"/>
  <c r="K43" i="55" s="1"/>
  <c r="K51" i="55" s="1"/>
  <c r="W12" i="55"/>
  <c r="W43" i="55" s="1"/>
  <c r="W54" i="55" s="1"/>
  <c r="U12" i="55"/>
  <c r="U43" i="55" s="1"/>
  <c r="S12" i="55"/>
  <c r="E51" i="55"/>
  <c r="M12" i="55"/>
  <c r="M43" i="55" s="1"/>
  <c r="I12" i="55"/>
  <c r="I43" i="55" s="1"/>
  <c r="C14" i="29"/>
  <c r="F74" i="98" s="1"/>
  <c r="E74" i="98" s="1"/>
  <c r="C32" i="29"/>
  <c r="F32" i="29" s="1"/>
  <c r="I32" i="29" s="1"/>
  <c r="L32" i="29" s="1"/>
  <c r="D48" i="27"/>
  <c r="B48" i="27"/>
  <c r="A5" i="27"/>
  <c r="I51" i="55" l="1"/>
  <c r="W51" i="55"/>
  <c r="S51" i="55"/>
  <c r="Q51" i="55"/>
  <c r="U59" i="55"/>
  <c r="U51" i="55"/>
  <c r="U52" i="55" s="1"/>
  <c r="M51" i="55"/>
  <c r="E52" i="55"/>
  <c r="E53" i="55"/>
  <c r="E54" i="55"/>
  <c r="C31" i="29"/>
  <c r="F31" i="29" s="1"/>
  <c r="I31" i="29" s="1"/>
  <c r="L31" i="29" s="1"/>
  <c r="D34" i="30"/>
  <c r="G54" i="22" l="1"/>
  <c r="G81" i="22" s="1"/>
  <c r="C33" i="29"/>
  <c r="F33" i="29" s="1"/>
  <c r="I33" i="29" s="1"/>
  <c r="L33" i="29" s="1"/>
  <c r="A7" i="30"/>
  <c r="O152" i="54" l="1"/>
  <c r="G12" i="54"/>
  <c r="F12" i="54"/>
  <c r="N6" i="54"/>
  <c r="O10" i="49" l="1"/>
  <c r="N10" i="49"/>
  <c r="M10" i="49"/>
  <c r="E10" i="49"/>
  <c r="F10" i="49"/>
  <c r="D10" i="49"/>
  <c r="C10" i="49"/>
  <c r="D9" i="49"/>
  <c r="E9" i="49" s="1"/>
  <c r="F9" i="49" s="1"/>
  <c r="C8" i="49"/>
  <c r="C7" i="49"/>
  <c r="D7" i="49" s="1"/>
  <c r="C5" i="49"/>
  <c r="D5" i="49" s="1"/>
  <c r="D12" i="49" l="1"/>
  <c r="D96" i="49" s="1"/>
  <c r="G9" i="49"/>
  <c r="E7" i="49"/>
  <c r="D11" i="49"/>
  <c r="D79" i="49" s="1"/>
  <c r="E5" i="49"/>
  <c r="F5" i="49" s="1"/>
  <c r="M9" i="49" l="1"/>
  <c r="N9" i="49" s="1"/>
  <c r="O9" i="49" s="1"/>
  <c r="H9" i="49"/>
  <c r="I9" i="49" s="1"/>
  <c r="J9" i="49" s="1"/>
  <c r="K9" i="49" s="1"/>
  <c r="L9" i="49" s="1"/>
  <c r="G5" i="49"/>
  <c r="E12" i="49"/>
  <c r="E104" i="49" s="1"/>
  <c r="D97" i="49"/>
  <c r="D82" i="49"/>
  <c r="D83" i="49"/>
  <c r="K123" i="54" s="1"/>
  <c r="K82" i="54" s="1"/>
  <c r="K120" i="54"/>
  <c r="K79" i="54" s="1"/>
  <c r="F7" i="49"/>
  <c r="G7" i="49" s="1"/>
  <c r="E11" i="49"/>
  <c r="D81" i="49"/>
  <c r="D78" i="49"/>
  <c r="D87" i="49"/>
  <c r="D86" i="49"/>
  <c r="D119" i="49"/>
  <c r="D118" i="49"/>
  <c r="D116" i="49"/>
  <c r="D115" i="49"/>
  <c r="D112" i="49"/>
  <c r="D111" i="49"/>
  <c r="D109" i="49"/>
  <c r="D108" i="49"/>
  <c r="D105" i="49"/>
  <c r="D104" i="49"/>
  <c r="D102" i="49"/>
  <c r="D101" i="49"/>
  <c r="D98" i="49"/>
  <c r="D95" i="49" s="1"/>
  <c r="D94" i="49"/>
  <c r="D93" i="49"/>
  <c r="D90" i="49"/>
  <c r="D89" i="49"/>
  <c r="D174" i="49" l="1"/>
  <c r="E82" i="49"/>
  <c r="E174" i="49" s="1"/>
  <c r="H7" i="49"/>
  <c r="I7" i="49" s="1"/>
  <c r="J7" i="49" s="1"/>
  <c r="K7" i="49" s="1"/>
  <c r="L7" i="49" s="1"/>
  <c r="G11" i="49"/>
  <c r="H5" i="49"/>
  <c r="I5" i="49" s="1"/>
  <c r="J5" i="49" s="1"/>
  <c r="K5" i="49" s="1"/>
  <c r="L5" i="49" s="1"/>
  <c r="G12" i="49"/>
  <c r="M5" i="49"/>
  <c r="N5" i="49" s="1"/>
  <c r="O5" i="49" s="1"/>
  <c r="D182" i="49"/>
  <c r="D175" i="49"/>
  <c r="D173" i="49" s="1"/>
  <c r="E96" i="49"/>
  <c r="E118" i="49"/>
  <c r="E111" i="49"/>
  <c r="E89" i="49"/>
  <c r="E78" i="49"/>
  <c r="E87" i="49"/>
  <c r="E94" i="49"/>
  <c r="E102" i="49"/>
  <c r="E109" i="49"/>
  <c r="E116" i="49"/>
  <c r="E93" i="49"/>
  <c r="E101" i="49"/>
  <c r="E108" i="49"/>
  <c r="E115" i="49"/>
  <c r="E86" i="49"/>
  <c r="E90" i="49"/>
  <c r="E98" i="49"/>
  <c r="E105" i="49"/>
  <c r="E112" i="49"/>
  <c r="E119" i="49"/>
  <c r="E81" i="49"/>
  <c r="E97" i="49"/>
  <c r="D80" i="49"/>
  <c r="F11" i="49"/>
  <c r="F12" i="49"/>
  <c r="D77" i="49"/>
  <c r="E83" i="49"/>
  <c r="L123" i="54" s="1"/>
  <c r="L82" i="54" s="1"/>
  <c r="E79" i="49"/>
  <c r="L120" i="54" s="1"/>
  <c r="L79" i="54" s="1"/>
  <c r="D92" i="49"/>
  <c r="D158" i="49" s="1"/>
  <c r="D88" i="49"/>
  <c r="D100" i="49"/>
  <c r="D159" i="49" s="1"/>
  <c r="D107" i="49"/>
  <c r="D103" i="49"/>
  <c r="D165" i="49" s="1"/>
  <c r="D110" i="49"/>
  <c r="D117" i="49"/>
  <c r="D85" i="49"/>
  <c r="K119" i="54" s="1"/>
  <c r="D114" i="49"/>
  <c r="D163" i="49" l="1"/>
  <c r="D166" i="49"/>
  <c r="K73" i="54"/>
  <c r="D160" i="49"/>
  <c r="K72" i="54"/>
  <c r="K179" i="54" s="1"/>
  <c r="E92" i="49"/>
  <c r="E158" i="49" s="1"/>
  <c r="E100" i="49"/>
  <c r="E159" i="49" s="1"/>
  <c r="E107" i="49"/>
  <c r="E114" i="49"/>
  <c r="E161" i="49" s="1"/>
  <c r="E110" i="49"/>
  <c r="E88" i="49"/>
  <c r="L122" i="54" s="1"/>
  <c r="L121" i="54" s="1"/>
  <c r="L80" i="54" s="1"/>
  <c r="E175" i="49"/>
  <c r="E173" i="49" s="1"/>
  <c r="E182" i="49"/>
  <c r="D157" i="49"/>
  <c r="K126" i="54"/>
  <c r="K86" i="54" s="1"/>
  <c r="D167" i="49"/>
  <c r="K125" i="54"/>
  <c r="D161" i="49"/>
  <c r="K132" i="54"/>
  <c r="K94" i="54" s="1"/>
  <c r="K129" i="54"/>
  <c r="K90" i="54" s="1"/>
  <c r="D164" i="49"/>
  <c r="E95" i="49"/>
  <c r="D76" i="49"/>
  <c r="E103" i="49"/>
  <c r="E165" i="49" s="1"/>
  <c r="E117" i="49"/>
  <c r="E85" i="49"/>
  <c r="L119" i="54" s="1"/>
  <c r="L78" i="54" s="1"/>
  <c r="F97" i="49"/>
  <c r="F82" i="49"/>
  <c r="F174" i="49" s="1"/>
  <c r="E77" i="49"/>
  <c r="E80" i="49"/>
  <c r="K78" i="54"/>
  <c r="K118" i="54"/>
  <c r="F81" i="49"/>
  <c r="F78" i="49"/>
  <c r="F118" i="49"/>
  <c r="F111" i="49"/>
  <c r="F104" i="49"/>
  <c r="F96" i="49"/>
  <c r="F89" i="49"/>
  <c r="F119" i="49"/>
  <c r="F112" i="49"/>
  <c r="F105" i="49"/>
  <c r="F98" i="49"/>
  <c r="F90" i="49"/>
  <c r="F115" i="49"/>
  <c r="F108" i="49"/>
  <c r="F101" i="49"/>
  <c r="F93" i="49"/>
  <c r="F86" i="49"/>
  <c r="F116" i="49"/>
  <c r="F109" i="49"/>
  <c r="F102" i="49"/>
  <c r="F94" i="49"/>
  <c r="F87" i="49"/>
  <c r="D84" i="49"/>
  <c r="K122" i="54"/>
  <c r="D91" i="49"/>
  <c r="K128" i="54"/>
  <c r="M7" i="49"/>
  <c r="D99" i="49"/>
  <c r="K131" i="54"/>
  <c r="K93" i="54" s="1"/>
  <c r="F83" i="49"/>
  <c r="M123" i="54" s="1"/>
  <c r="M82" i="54" s="1"/>
  <c r="F79" i="49"/>
  <c r="M120" i="54" s="1"/>
  <c r="M79" i="54" s="1"/>
  <c r="D106" i="49"/>
  <c r="D113" i="49"/>
  <c r="L131" i="54" l="1"/>
  <c r="L93" i="54" s="1"/>
  <c r="L128" i="54"/>
  <c r="L89" i="54" s="1"/>
  <c r="E91" i="49"/>
  <c r="K200" i="54"/>
  <c r="E166" i="49"/>
  <c r="L73" i="54"/>
  <c r="E160" i="49"/>
  <c r="L72" i="54"/>
  <c r="L179" i="54" s="1"/>
  <c r="D75" i="49"/>
  <c r="D178" i="49" s="1"/>
  <c r="D179" i="49" s="1"/>
  <c r="K180" i="54"/>
  <c r="L125" i="54"/>
  <c r="L85" i="54" s="1"/>
  <c r="E113" i="49"/>
  <c r="E106" i="49"/>
  <c r="E163" i="49"/>
  <c r="E84" i="49"/>
  <c r="K71" i="54"/>
  <c r="K178" i="54" s="1"/>
  <c r="F175" i="49"/>
  <c r="F173" i="49" s="1"/>
  <c r="F182" i="49"/>
  <c r="D162" i="49"/>
  <c r="D156" i="49"/>
  <c r="D180" i="49" s="1"/>
  <c r="K124" i="54"/>
  <c r="K83" i="54" s="1"/>
  <c r="K85" i="54"/>
  <c r="L126" i="54"/>
  <c r="L86" i="54" s="1"/>
  <c r="E167" i="49"/>
  <c r="L129" i="54"/>
  <c r="L90" i="54" s="1"/>
  <c r="E164" i="49"/>
  <c r="E99" i="49"/>
  <c r="L132" i="54"/>
  <c r="L94" i="54" s="1"/>
  <c r="E157" i="49"/>
  <c r="L81" i="54"/>
  <c r="L118" i="54"/>
  <c r="L77" i="54" s="1"/>
  <c r="G97" i="49"/>
  <c r="G82" i="49"/>
  <c r="G174" i="49" s="1"/>
  <c r="E76" i="49"/>
  <c r="F107" i="49"/>
  <c r="F95" i="49"/>
  <c r="F92" i="49"/>
  <c r="F110" i="49"/>
  <c r="F85" i="49"/>
  <c r="M119" i="54" s="1"/>
  <c r="F114" i="49"/>
  <c r="F161" i="49" s="1"/>
  <c r="F103" i="49"/>
  <c r="F165" i="49" s="1"/>
  <c r="G83" i="49"/>
  <c r="N123" i="54" s="1"/>
  <c r="N82" i="54" s="1"/>
  <c r="G79" i="49"/>
  <c r="N120" i="54" s="1"/>
  <c r="N79" i="54" s="1"/>
  <c r="F80" i="49"/>
  <c r="K77" i="54"/>
  <c r="N7" i="49"/>
  <c r="M11" i="49"/>
  <c r="M12" i="49"/>
  <c r="K130" i="54"/>
  <c r="K91" i="54" s="1"/>
  <c r="G78" i="49"/>
  <c r="G81" i="49"/>
  <c r="G118" i="49"/>
  <c r="G111" i="49"/>
  <c r="G104" i="49"/>
  <c r="G96" i="49"/>
  <c r="G89" i="49"/>
  <c r="G119" i="49"/>
  <c r="G112" i="49"/>
  <c r="G105" i="49"/>
  <c r="G98" i="49"/>
  <c r="G90" i="49"/>
  <c r="G115" i="49"/>
  <c r="G108" i="49"/>
  <c r="G101" i="49"/>
  <c r="G93" i="49"/>
  <c r="G86" i="49"/>
  <c r="G116" i="49"/>
  <c r="G109" i="49"/>
  <c r="G102" i="49"/>
  <c r="G94" i="49"/>
  <c r="G87" i="49"/>
  <c r="K81" i="54"/>
  <c r="K121" i="54"/>
  <c r="K80" i="54" s="1"/>
  <c r="F77" i="49"/>
  <c r="K127" i="54"/>
  <c r="K87" i="54" s="1"/>
  <c r="K89" i="54"/>
  <c r="F100" i="49"/>
  <c r="F159" i="49" s="1"/>
  <c r="F88" i="49"/>
  <c r="M122" i="54" s="1"/>
  <c r="F117" i="49"/>
  <c r="D153" i="49" l="1"/>
  <c r="K60" i="54" s="1"/>
  <c r="K32" i="54" s="1"/>
  <c r="D181" i="49"/>
  <c r="D152" i="49"/>
  <c r="K63" i="54" s="1"/>
  <c r="K41" i="54" s="1"/>
  <c r="L71" i="54"/>
  <c r="L178" i="54" s="1"/>
  <c r="L200" i="54"/>
  <c r="F166" i="49"/>
  <c r="M73" i="54"/>
  <c r="F160" i="49"/>
  <c r="M72" i="54"/>
  <c r="D144" i="49"/>
  <c r="K53" i="54" s="1"/>
  <c r="K34" i="54" s="1"/>
  <c r="D145" i="49"/>
  <c r="C168" i="49"/>
  <c r="C169" i="49"/>
  <c r="L183" i="54"/>
  <c r="I29" i="21"/>
  <c r="K183" i="54"/>
  <c r="H29" i="21"/>
  <c r="I28" i="21"/>
  <c r="L182" i="54"/>
  <c r="H28" i="21"/>
  <c r="K182" i="54"/>
  <c r="L180" i="54"/>
  <c r="D150" i="49"/>
  <c r="K61" i="54" s="1"/>
  <c r="K35" i="54" s="1"/>
  <c r="D151" i="49"/>
  <c r="K62" i="54" s="1"/>
  <c r="K38" i="54" s="1"/>
  <c r="D149" i="49"/>
  <c r="K59" i="54" s="1"/>
  <c r="D143" i="49"/>
  <c r="K51" i="54" s="1"/>
  <c r="M125" i="54"/>
  <c r="M85" i="54" s="1"/>
  <c r="E162" i="49"/>
  <c r="F157" i="49"/>
  <c r="G175" i="49"/>
  <c r="G173" i="49" s="1"/>
  <c r="G182" i="49"/>
  <c r="E75" i="49"/>
  <c r="E156" i="49"/>
  <c r="E180" i="49" s="1"/>
  <c r="D155" i="49"/>
  <c r="D146" i="49"/>
  <c r="D147" i="49"/>
  <c r="K52" i="54" s="1"/>
  <c r="L124" i="54"/>
  <c r="L83" i="54" s="1"/>
  <c r="L130" i="54"/>
  <c r="L91" i="54" s="1"/>
  <c r="M132" i="54"/>
  <c r="M94" i="54" s="1"/>
  <c r="L127" i="54"/>
  <c r="L87" i="54" s="1"/>
  <c r="F163" i="49"/>
  <c r="M126" i="54"/>
  <c r="M86" i="54" s="1"/>
  <c r="F167" i="49"/>
  <c r="M129" i="54"/>
  <c r="M90" i="54" s="1"/>
  <c r="F164" i="49"/>
  <c r="M128" i="54"/>
  <c r="M89" i="54" s="1"/>
  <c r="F158" i="49"/>
  <c r="L117" i="54"/>
  <c r="M97" i="49"/>
  <c r="M82" i="49"/>
  <c r="M174" i="49" s="1"/>
  <c r="G85" i="49"/>
  <c r="N119" i="54" s="1"/>
  <c r="G114" i="49"/>
  <c r="G103" i="49"/>
  <c r="G165" i="49" s="1"/>
  <c r="F76" i="49"/>
  <c r="F91" i="49"/>
  <c r="F106" i="49"/>
  <c r="G107" i="49"/>
  <c r="G95" i="49"/>
  <c r="M81" i="54"/>
  <c r="M121" i="54"/>
  <c r="M80" i="54" s="1"/>
  <c r="M78" i="54"/>
  <c r="M118" i="54"/>
  <c r="M81" i="49"/>
  <c r="M78" i="49"/>
  <c r="M86" i="49"/>
  <c r="M115" i="49"/>
  <c r="M108" i="49"/>
  <c r="M101" i="49"/>
  <c r="M93" i="49"/>
  <c r="M87" i="49"/>
  <c r="M116" i="49"/>
  <c r="M109" i="49"/>
  <c r="M102" i="49"/>
  <c r="M94" i="49"/>
  <c r="M118" i="49"/>
  <c r="M111" i="49"/>
  <c r="M104" i="49"/>
  <c r="M96" i="49"/>
  <c r="M89" i="49"/>
  <c r="M119" i="49"/>
  <c r="M112" i="49"/>
  <c r="M105" i="49"/>
  <c r="M98" i="49"/>
  <c r="M90" i="49"/>
  <c r="G92" i="49"/>
  <c r="G158" i="49" s="1"/>
  <c r="G110" i="49"/>
  <c r="K117" i="54"/>
  <c r="G77" i="49"/>
  <c r="F84" i="49"/>
  <c r="M131" i="54"/>
  <c r="M93" i="54" s="1"/>
  <c r="F99" i="49"/>
  <c r="G80" i="49"/>
  <c r="O7" i="49"/>
  <c r="N11" i="49"/>
  <c r="N12" i="49"/>
  <c r="M83" i="49"/>
  <c r="H123" i="54" s="1"/>
  <c r="M79" i="49"/>
  <c r="H120" i="54" s="1"/>
  <c r="G100" i="49"/>
  <c r="G159" i="49" s="1"/>
  <c r="G88" i="49"/>
  <c r="N122" i="54" s="1"/>
  <c r="G117" i="49"/>
  <c r="F113" i="49"/>
  <c r="E178" i="49" l="1"/>
  <c r="E179" i="49" s="1"/>
  <c r="H203" i="54"/>
  <c r="M200" i="54"/>
  <c r="K55" i="54"/>
  <c r="K54" i="54"/>
  <c r="K37" i="54" s="1"/>
  <c r="G166" i="49"/>
  <c r="N73" i="54"/>
  <c r="G160" i="49"/>
  <c r="N72" i="54"/>
  <c r="N179" i="54" s="1"/>
  <c r="M179" i="54"/>
  <c r="J29" i="21"/>
  <c r="M183" i="54"/>
  <c r="M180" i="54"/>
  <c r="E181" i="49"/>
  <c r="I124" i="21" s="1"/>
  <c r="E151" i="49"/>
  <c r="L62" i="54" s="1"/>
  <c r="L38" i="54" s="1"/>
  <c r="E152" i="49"/>
  <c r="E153" i="49"/>
  <c r="L60" i="54" s="1"/>
  <c r="L32" i="54" s="1"/>
  <c r="E150" i="49"/>
  <c r="L61" i="54" s="1"/>
  <c r="L35" i="54" s="1"/>
  <c r="E149" i="49"/>
  <c r="L59" i="54" s="1"/>
  <c r="H123" i="21"/>
  <c r="I123" i="21"/>
  <c r="H124" i="21"/>
  <c r="N94" i="49"/>
  <c r="O94" i="49"/>
  <c r="G157" i="49"/>
  <c r="K29" i="54"/>
  <c r="K28" i="54"/>
  <c r="M71" i="54"/>
  <c r="M178" i="54" s="1"/>
  <c r="M175" i="49"/>
  <c r="M173" i="49" s="1"/>
  <c r="M182" i="49"/>
  <c r="F162" i="49"/>
  <c r="F181" i="49" s="1"/>
  <c r="K31" i="54"/>
  <c r="K30" i="54" s="1"/>
  <c r="K33" i="54"/>
  <c r="E145" i="49"/>
  <c r="L54" i="54" s="1"/>
  <c r="L37" i="54" s="1"/>
  <c r="E146" i="49"/>
  <c r="E144" i="49"/>
  <c r="L53" i="54" s="1"/>
  <c r="L34" i="54" s="1"/>
  <c r="E147" i="49"/>
  <c r="E155" i="49"/>
  <c r="E143" i="49"/>
  <c r="L51" i="54" s="1"/>
  <c r="F156" i="49"/>
  <c r="F180" i="49" s="1"/>
  <c r="M127" i="54"/>
  <c r="M87" i="54" s="1"/>
  <c r="G163" i="49"/>
  <c r="L116" i="54"/>
  <c r="L115" i="54" s="1"/>
  <c r="M124" i="54"/>
  <c r="M83" i="54" s="1"/>
  <c r="N126" i="54"/>
  <c r="N86" i="54" s="1"/>
  <c r="G167" i="49"/>
  <c r="N129" i="54"/>
  <c r="N90" i="54" s="1"/>
  <c r="G164" i="49"/>
  <c r="N132" i="54"/>
  <c r="N94" i="54" s="1"/>
  <c r="N125" i="54"/>
  <c r="N85" i="54" s="1"/>
  <c r="G161" i="49"/>
  <c r="L75" i="54"/>
  <c r="L74" i="54" s="1"/>
  <c r="L181" i="54" s="1"/>
  <c r="N97" i="49"/>
  <c r="N82" i="49"/>
  <c r="N174" i="49" s="1"/>
  <c r="M100" i="49"/>
  <c r="M88" i="49"/>
  <c r="H122" i="54" s="1"/>
  <c r="M117" i="49"/>
  <c r="G106" i="49"/>
  <c r="M103" i="49"/>
  <c r="M165" i="49" s="1"/>
  <c r="M107" i="49"/>
  <c r="F75" i="49"/>
  <c r="M92" i="49"/>
  <c r="M85" i="49"/>
  <c r="N81" i="54"/>
  <c r="N121" i="54"/>
  <c r="N80" i="54" s="1"/>
  <c r="O83" i="54"/>
  <c r="O74" i="54" s="1"/>
  <c r="O181" i="54" s="1"/>
  <c r="O58" i="54" s="1"/>
  <c r="M80" i="49"/>
  <c r="H82" i="54"/>
  <c r="N81" i="49"/>
  <c r="N78" i="49"/>
  <c r="N118" i="49"/>
  <c r="N111" i="49"/>
  <c r="N104" i="49"/>
  <c r="N96" i="49"/>
  <c r="N89" i="49"/>
  <c r="N119" i="49"/>
  <c r="N112" i="49"/>
  <c r="N105" i="49"/>
  <c r="N98" i="49"/>
  <c r="N90" i="49"/>
  <c r="N115" i="49"/>
  <c r="N108" i="49"/>
  <c r="N101" i="49"/>
  <c r="N93" i="49"/>
  <c r="N86" i="49"/>
  <c r="N116" i="49"/>
  <c r="N109" i="49"/>
  <c r="N102" i="49"/>
  <c r="N87" i="49"/>
  <c r="N128" i="54"/>
  <c r="G91" i="49"/>
  <c r="M77" i="49"/>
  <c r="G84" i="49"/>
  <c r="G113" i="49"/>
  <c r="M110" i="49"/>
  <c r="N83" i="49"/>
  <c r="I123" i="54" s="1"/>
  <c r="I82" i="54" s="1"/>
  <c r="N79" i="49"/>
  <c r="I120" i="54" s="1"/>
  <c r="I79" i="54" s="1"/>
  <c r="N78" i="54"/>
  <c r="N118" i="54"/>
  <c r="N131" i="54"/>
  <c r="N93" i="54" s="1"/>
  <c r="G99" i="49"/>
  <c r="H79" i="54"/>
  <c r="O11" i="49"/>
  <c r="C11" i="49" s="1"/>
  <c r="O12" i="49"/>
  <c r="M130" i="54"/>
  <c r="M91" i="54" s="1"/>
  <c r="K116" i="54"/>
  <c r="K115" i="54" s="1"/>
  <c r="K75" i="54"/>
  <c r="K74" i="54" s="1"/>
  <c r="M77" i="54"/>
  <c r="M117" i="54"/>
  <c r="G76" i="49"/>
  <c r="M95" i="49"/>
  <c r="M114" i="49"/>
  <c r="M161" i="49" s="1"/>
  <c r="G57" i="20"/>
  <c r="E129" i="22"/>
  <c r="G10" i="22"/>
  <c r="E10" i="22"/>
  <c r="F178" i="49" l="1"/>
  <c r="F179" i="49" s="1"/>
  <c r="L63" i="54"/>
  <c r="L41" i="54" s="1"/>
  <c r="I203" i="54"/>
  <c r="K18" i="54"/>
  <c r="K174" i="54"/>
  <c r="N200" i="54"/>
  <c r="L55" i="54"/>
  <c r="L40" i="54" s="1"/>
  <c r="O197" i="54"/>
  <c r="O48" i="54"/>
  <c r="O195" i="54" s="1"/>
  <c r="K17" i="54"/>
  <c r="M166" i="49"/>
  <c r="H73" i="54"/>
  <c r="M160" i="49"/>
  <c r="H72" i="54"/>
  <c r="H179" i="54" s="1"/>
  <c r="M159" i="49"/>
  <c r="T131" i="54"/>
  <c r="L52" i="54"/>
  <c r="L31" i="54" s="1"/>
  <c r="L30" i="54" s="1"/>
  <c r="C148" i="49"/>
  <c r="C141" i="49" s="1"/>
  <c r="F155" i="49"/>
  <c r="K69" i="54"/>
  <c r="K181" i="54"/>
  <c r="L177" i="54"/>
  <c r="L190" i="54" s="1"/>
  <c r="J28" i="21"/>
  <c r="M182" i="54"/>
  <c r="N183" i="54"/>
  <c r="K29" i="21"/>
  <c r="N180" i="54"/>
  <c r="F153" i="49"/>
  <c r="M60" i="54" s="1"/>
  <c r="M32" i="54" s="1"/>
  <c r="F149" i="49"/>
  <c r="M59" i="54" s="1"/>
  <c r="F152" i="49"/>
  <c r="F151" i="49"/>
  <c r="M62" i="54" s="1"/>
  <c r="M38" i="54" s="1"/>
  <c r="F150" i="49"/>
  <c r="M61" i="54" s="1"/>
  <c r="M35" i="54" s="1"/>
  <c r="L33" i="54"/>
  <c r="I122" i="21"/>
  <c r="I126" i="21" s="1"/>
  <c r="H122" i="21"/>
  <c r="H126" i="21" s="1"/>
  <c r="P126" i="21" s="1"/>
  <c r="J123" i="21"/>
  <c r="J124" i="21"/>
  <c r="N71" i="54"/>
  <c r="N178" i="54" s="1"/>
  <c r="K27" i="54"/>
  <c r="K36" i="54"/>
  <c r="O69" i="54"/>
  <c r="N175" i="49"/>
  <c r="N173" i="49" s="1"/>
  <c r="N182" i="49"/>
  <c r="L92" i="54"/>
  <c r="L69" i="54"/>
  <c r="G162" i="49"/>
  <c r="G153" i="49" s="1"/>
  <c r="L29" i="54"/>
  <c r="L28" i="54"/>
  <c r="F145" i="49"/>
  <c r="M54" i="54" s="1"/>
  <c r="M37" i="54" s="1"/>
  <c r="F146" i="49"/>
  <c r="F143" i="49"/>
  <c r="M51" i="54" s="1"/>
  <c r="F147" i="49"/>
  <c r="M52" i="54" s="1"/>
  <c r="M31" i="54" s="1"/>
  <c r="F144" i="49"/>
  <c r="M53" i="54" s="1"/>
  <c r="M34" i="54" s="1"/>
  <c r="M157" i="49"/>
  <c r="L84" i="54"/>
  <c r="G156" i="49"/>
  <c r="H126" i="54"/>
  <c r="H86" i="54" s="1"/>
  <c r="M167" i="49"/>
  <c r="H129" i="54"/>
  <c r="H90" i="54" s="1"/>
  <c r="M164" i="49"/>
  <c r="M163" i="49"/>
  <c r="H132" i="54"/>
  <c r="H94" i="54" s="1"/>
  <c r="N124" i="54"/>
  <c r="N83" i="54" s="1"/>
  <c r="H128" i="54"/>
  <c r="M158" i="49"/>
  <c r="L88" i="54"/>
  <c r="L76" i="54"/>
  <c r="M84" i="49"/>
  <c r="O97" i="49"/>
  <c r="O82" i="49"/>
  <c r="O174" i="49" s="1"/>
  <c r="H119" i="54"/>
  <c r="H78" i="54" s="1"/>
  <c r="M76" i="49"/>
  <c r="M99" i="49"/>
  <c r="H131" i="54"/>
  <c r="H93" i="54" s="1"/>
  <c r="N85" i="49"/>
  <c r="I119" i="54" s="1"/>
  <c r="N114" i="49"/>
  <c r="N103" i="49"/>
  <c r="N165" i="49" s="1"/>
  <c r="H125" i="54"/>
  <c r="M113" i="49"/>
  <c r="M75" i="54"/>
  <c r="M116" i="54"/>
  <c r="M115" i="54" s="1"/>
  <c r="N89" i="54"/>
  <c r="N127" i="54"/>
  <c r="N87" i="54" s="1"/>
  <c r="N92" i="49"/>
  <c r="N110" i="49"/>
  <c r="M106" i="49"/>
  <c r="C79" i="49"/>
  <c r="C83" i="49"/>
  <c r="N80" i="49"/>
  <c r="O83" i="49"/>
  <c r="J123" i="54" s="1"/>
  <c r="J82" i="54" s="1"/>
  <c r="G82" i="54" s="1"/>
  <c r="O79" i="49"/>
  <c r="J120" i="54" s="1"/>
  <c r="N130" i="54"/>
  <c r="N91" i="54" s="1"/>
  <c r="N77" i="49"/>
  <c r="M91" i="49"/>
  <c r="N107" i="49"/>
  <c r="N95" i="49"/>
  <c r="N164" i="49" s="1"/>
  <c r="H81" i="54"/>
  <c r="H121" i="54"/>
  <c r="H80" i="54" s="1"/>
  <c r="K76" i="54"/>
  <c r="K84" i="54"/>
  <c r="K92" i="54"/>
  <c r="K88" i="54"/>
  <c r="O81" i="49"/>
  <c r="O78" i="49"/>
  <c r="O118" i="49"/>
  <c r="O111" i="49"/>
  <c r="O104" i="49"/>
  <c r="O96" i="49"/>
  <c r="O89" i="49"/>
  <c r="O119" i="49"/>
  <c r="O112" i="49"/>
  <c r="O105" i="49"/>
  <c r="O98" i="49"/>
  <c r="O90" i="49"/>
  <c r="O115" i="49"/>
  <c r="O108" i="49"/>
  <c r="O101" i="49"/>
  <c r="O93" i="49"/>
  <c r="O86" i="49"/>
  <c r="O116" i="49"/>
  <c r="O109" i="49"/>
  <c r="O102" i="49"/>
  <c r="O87" i="49"/>
  <c r="N77" i="54"/>
  <c r="N117" i="54"/>
  <c r="G75" i="49"/>
  <c r="C12" i="49"/>
  <c r="C102" i="49" s="1"/>
  <c r="N100" i="49"/>
  <c r="N159" i="49" s="1"/>
  <c r="N88" i="49"/>
  <c r="I122" i="54" s="1"/>
  <c r="N117" i="49"/>
  <c r="F45" i="29"/>
  <c r="E19" i="29"/>
  <c r="E15" i="29"/>
  <c r="C16" i="29"/>
  <c r="C17" i="29"/>
  <c r="C18" i="29"/>
  <c r="G178" i="49" l="1"/>
  <c r="G179" i="49" s="1"/>
  <c r="H200" i="54"/>
  <c r="L18" i="54"/>
  <c r="L174" i="54"/>
  <c r="L193" i="54" s="1"/>
  <c r="J203" i="54"/>
  <c r="M63" i="54"/>
  <c r="M41" i="54" s="1"/>
  <c r="M55" i="54"/>
  <c r="L17" i="54"/>
  <c r="L173" i="54"/>
  <c r="N160" i="49"/>
  <c r="I72" i="54"/>
  <c r="I179" i="54" s="1"/>
  <c r="N166" i="49"/>
  <c r="I73" i="54"/>
  <c r="C140" i="49"/>
  <c r="L50" i="54"/>
  <c r="L196" i="54" s="1"/>
  <c r="L58" i="54"/>
  <c r="L197" i="54" s="1"/>
  <c r="L39" i="54"/>
  <c r="L176" i="54"/>
  <c r="L189" i="54" s="1"/>
  <c r="E29" i="21"/>
  <c r="H183" i="54"/>
  <c r="N182" i="54"/>
  <c r="K28" i="21"/>
  <c r="O47" i="54"/>
  <c r="O26" i="54" s="1"/>
  <c r="K23" i="54"/>
  <c r="K170" i="54" s="1"/>
  <c r="K167" i="54"/>
  <c r="H180" i="54"/>
  <c r="K22" i="54"/>
  <c r="K169" i="54" s="1"/>
  <c r="K166" i="54"/>
  <c r="G150" i="49"/>
  <c r="N61" i="54" s="1"/>
  <c r="N35" i="54" s="1"/>
  <c r="G151" i="49"/>
  <c r="N62" i="54" s="1"/>
  <c r="N38" i="54" s="1"/>
  <c r="G149" i="49"/>
  <c r="N59" i="54" s="1"/>
  <c r="G152" i="49"/>
  <c r="H127" i="54"/>
  <c r="H87" i="54" s="1"/>
  <c r="J122" i="21"/>
  <c r="J126" i="21" s="1"/>
  <c r="I125" i="21"/>
  <c r="I128" i="21" s="1"/>
  <c r="I132" i="21" s="1"/>
  <c r="I134" i="21" s="1"/>
  <c r="H125" i="21"/>
  <c r="H128" i="21" s="1"/>
  <c r="H129" i="21" s="1"/>
  <c r="H133" i="21" s="1"/>
  <c r="H89" i="54"/>
  <c r="N157" i="49"/>
  <c r="C82" i="49"/>
  <c r="C174" i="49" s="1"/>
  <c r="O182" i="49"/>
  <c r="G155" i="49"/>
  <c r="G180" i="49"/>
  <c r="G181" i="49"/>
  <c r="H27" i="21"/>
  <c r="H68" i="21" s="1"/>
  <c r="H71" i="54"/>
  <c r="M30" i="54"/>
  <c r="M162" i="49"/>
  <c r="M181" i="49" s="1"/>
  <c r="L27" i="54"/>
  <c r="L36" i="54"/>
  <c r="M33" i="54"/>
  <c r="M29" i="54"/>
  <c r="H130" i="54"/>
  <c r="H91" i="54" s="1"/>
  <c r="M28" i="54"/>
  <c r="G144" i="49"/>
  <c r="N53" i="54" s="1"/>
  <c r="N34" i="54" s="1"/>
  <c r="G145" i="49"/>
  <c r="N54" i="54" s="1"/>
  <c r="N37" i="54" s="1"/>
  <c r="G143" i="49"/>
  <c r="N51" i="54" s="1"/>
  <c r="G146" i="49"/>
  <c r="G147" i="49"/>
  <c r="N52" i="54" s="1"/>
  <c r="N31" i="54" s="1"/>
  <c r="N60" i="54"/>
  <c r="N32" i="54" s="1"/>
  <c r="M156" i="49"/>
  <c r="I126" i="54"/>
  <c r="I86" i="54" s="1"/>
  <c r="N167" i="49"/>
  <c r="I132" i="54"/>
  <c r="I94" i="54" s="1"/>
  <c r="I125" i="54"/>
  <c r="I85" i="54" s="1"/>
  <c r="N161" i="49"/>
  <c r="N163" i="49"/>
  <c r="I128" i="54"/>
  <c r="I89" i="54" s="1"/>
  <c r="N158" i="49"/>
  <c r="O85" i="49"/>
  <c r="J119" i="54" s="1"/>
  <c r="O114" i="49"/>
  <c r="O103" i="49"/>
  <c r="O165" i="49" s="1"/>
  <c r="H118" i="54"/>
  <c r="H117" i="54" s="1"/>
  <c r="C97" i="49"/>
  <c r="O175" i="49"/>
  <c r="O173" i="49" s="1"/>
  <c r="G123" i="54"/>
  <c r="M75" i="49"/>
  <c r="O92" i="49"/>
  <c r="O158" i="49" s="1"/>
  <c r="O110" i="49"/>
  <c r="N113" i="49"/>
  <c r="O107" i="49"/>
  <c r="O95" i="49"/>
  <c r="I81" i="54"/>
  <c r="I121" i="54"/>
  <c r="I80" i="54" s="1"/>
  <c r="C81" i="49"/>
  <c r="C80" i="49" s="1"/>
  <c r="C78" i="49"/>
  <c r="C77" i="49" s="1"/>
  <c r="C118" i="49"/>
  <c r="C111" i="49"/>
  <c r="C104" i="49"/>
  <c r="C96" i="49"/>
  <c r="C86" i="49"/>
  <c r="C119" i="49"/>
  <c r="C112" i="49"/>
  <c r="C105" i="49"/>
  <c r="N20" i="29" s="1"/>
  <c r="N19" i="29" s="1"/>
  <c r="N28" i="29" s="1"/>
  <c r="C98" i="49"/>
  <c r="C90" i="49"/>
  <c r="C89" i="49"/>
  <c r="C115" i="49"/>
  <c r="C108" i="49"/>
  <c r="C101" i="49"/>
  <c r="C93" i="49"/>
  <c r="C116" i="49"/>
  <c r="C109" i="49"/>
  <c r="C94" i="49"/>
  <c r="C87" i="49"/>
  <c r="O77" i="49"/>
  <c r="N91" i="49"/>
  <c r="I129" i="54"/>
  <c r="M74" i="54"/>
  <c r="N84" i="49"/>
  <c r="N76" i="49"/>
  <c r="N106" i="49"/>
  <c r="H85" i="54"/>
  <c r="H124" i="54"/>
  <c r="H83" i="54" s="1"/>
  <c r="O80" i="49"/>
  <c r="I131" i="54"/>
  <c r="I93" i="54" s="1"/>
  <c r="N99" i="49"/>
  <c r="N116" i="54"/>
  <c r="N115" i="54" s="1"/>
  <c r="N75" i="54"/>
  <c r="N74" i="54" s="1"/>
  <c r="I78" i="54"/>
  <c r="I118" i="54"/>
  <c r="J79" i="54"/>
  <c r="G79" i="54" s="1"/>
  <c r="G120" i="54"/>
  <c r="O100" i="49"/>
  <c r="O159" i="49" s="1"/>
  <c r="C159" i="49" s="1"/>
  <c r="O88" i="49"/>
  <c r="J122" i="54" s="1"/>
  <c r="O117" i="49"/>
  <c r="C15" i="29"/>
  <c r="A8" i="29"/>
  <c r="M20" i="29" l="1"/>
  <c r="H135" i="21"/>
  <c r="H35" i="21" s="1"/>
  <c r="M178" i="49"/>
  <c r="M179" i="49" s="1"/>
  <c r="I200" i="54"/>
  <c r="M18" i="54"/>
  <c r="M174" i="54"/>
  <c r="K203" i="54"/>
  <c r="N63" i="54"/>
  <c r="N41" i="54" s="1"/>
  <c r="N55" i="54"/>
  <c r="M17" i="54"/>
  <c r="H178" i="54"/>
  <c r="L175" i="54"/>
  <c r="L188" i="54" s="1"/>
  <c r="O160" i="49"/>
  <c r="C160" i="49" s="1"/>
  <c r="J72" i="54"/>
  <c r="G72" i="54" s="1"/>
  <c r="O166" i="49"/>
  <c r="J73" i="54"/>
  <c r="J180" i="54" s="1"/>
  <c r="L48" i="54"/>
  <c r="L47" i="54" s="1"/>
  <c r="L26" i="54" s="1"/>
  <c r="L187" i="54"/>
  <c r="L192" i="54"/>
  <c r="L186" i="54"/>
  <c r="K58" i="54"/>
  <c r="K197" i="54" s="1"/>
  <c r="N69" i="54"/>
  <c r="N181" i="54"/>
  <c r="M69" i="54"/>
  <c r="M181" i="54"/>
  <c r="K40" i="54"/>
  <c r="K173" i="54" s="1"/>
  <c r="K50" i="54"/>
  <c r="I180" i="54"/>
  <c r="L23" i="54"/>
  <c r="L170" i="54" s="1"/>
  <c r="L167" i="54"/>
  <c r="L22" i="54"/>
  <c r="L169" i="54" s="1"/>
  <c r="L166" i="54"/>
  <c r="M150" i="49"/>
  <c r="H61" i="54" s="1"/>
  <c r="M151" i="49"/>
  <c r="H62" i="54" s="1"/>
  <c r="H38" i="54" s="1"/>
  <c r="M149" i="49"/>
  <c r="H59" i="54" s="1"/>
  <c r="M152" i="49"/>
  <c r="H63" i="54" s="1"/>
  <c r="H41" i="54" s="1"/>
  <c r="M153" i="49"/>
  <c r="H60" i="54" s="1"/>
  <c r="J125" i="21"/>
  <c r="J128" i="21" s="1"/>
  <c r="J132" i="21" s="1"/>
  <c r="I129" i="21"/>
  <c r="I133" i="21" s="1"/>
  <c r="H132" i="21"/>
  <c r="E124" i="21"/>
  <c r="K123" i="21"/>
  <c r="I34" i="21"/>
  <c r="K124" i="21"/>
  <c r="H22" i="29"/>
  <c r="H19" i="29" s="1"/>
  <c r="H28" i="29" s="1"/>
  <c r="O157" i="49"/>
  <c r="C157" i="49" s="1"/>
  <c r="N29" i="54"/>
  <c r="C175" i="49"/>
  <c r="C173" i="49" s="1"/>
  <c r="C182" i="49"/>
  <c r="M146" i="49"/>
  <c r="M180" i="49"/>
  <c r="I27" i="21"/>
  <c r="I68" i="21" s="1"/>
  <c r="I71" i="54"/>
  <c r="N162" i="49"/>
  <c r="N149" i="49" s="1"/>
  <c r="M36" i="54"/>
  <c r="N33" i="54"/>
  <c r="M155" i="49"/>
  <c r="N30" i="54"/>
  <c r="M27" i="54"/>
  <c r="N28" i="54"/>
  <c r="M143" i="49"/>
  <c r="H51" i="54" s="1"/>
  <c r="N156" i="49"/>
  <c r="M147" i="49"/>
  <c r="H52" i="54" s="1"/>
  <c r="H31" i="54" s="1"/>
  <c r="M145" i="49"/>
  <c r="H54" i="54" s="1"/>
  <c r="H37" i="54" s="1"/>
  <c r="M144" i="49"/>
  <c r="H53" i="54" s="1"/>
  <c r="H77" i="54"/>
  <c r="I124" i="54"/>
  <c r="I83" i="54" s="1"/>
  <c r="J129" i="54"/>
  <c r="J90" i="54" s="1"/>
  <c r="O164" i="49"/>
  <c r="J125" i="54"/>
  <c r="J85" i="54" s="1"/>
  <c r="O161" i="49"/>
  <c r="J126" i="54"/>
  <c r="J86" i="54" s="1"/>
  <c r="O167" i="49"/>
  <c r="J132" i="54"/>
  <c r="J94" i="54" s="1"/>
  <c r="O163" i="49"/>
  <c r="I127" i="54"/>
  <c r="I87" i="54" s="1"/>
  <c r="C158" i="49"/>
  <c r="O106" i="49"/>
  <c r="O91" i="49"/>
  <c r="J128" i="54"/>
  <c r="G128" i="54" s="1"/>
  <c r="N75" i="49"/>
  <c r="C76" i="49"/>
  <c r="C88" i="49"/>
  <c r="C85" i="49"/>
  <c r="C117" i="49"/>
  <c r="C110" i="49"/>
  <c r="J81" i="54"/>
  <c r="G81" i="54" s="1"/>
  <c r="J121" i="54"/>
  <c r="J80" i="54" s="1"/>
  <c r="G122" i="54"/>
  <c r="G121" i="54" s="1"/>
  <c r="N76" i="54"/>
  <c r="N84" i="54"/>
  <c r="I130" i="54"/>
  <c r="I91" i="54" s="1"/>
  <c r="I90" i="54"/>
  <c r="I183" i="54" s="1"/>
  <c r="C92" i="49"/>
  <c r="O84" i="49"/>
  <c r="C114" i="49"/>
  <c r="O113" i="49"/>
  <c r="I117" i="54"/>
  <c r="I77" i="54"/>
  <c r="M88" i="54"/>
  <c r="M84" i="54"/>
  <c r="M92" i="54"/>
  <c r="N88" i="54"/>
  <c r="O76" i="49"/>
  <c r="C107" i="49"/>
  <c r="C103" i="49"/>
  <c r="H116" i="54"/>
  <c r="H115" i="54" s="1"/>
  <c r="H75" i="54"/>
  <c r="O99" i="49"/>
  <c r="J131" i="54"/>
  <c r="J93" i="54" s="1"/>
  <c r="J78" i="54"/>
  <c r="J118" i="54"/>
  <c r="G119" i="54"/>
  <c r="G118" i="54" s="1"/>
  <c r="N92" i="54"/>
  <c r="M76" i="54"/>
  <c r="C100" i="49"/>
  <c r="C95" i="49"/>
  <c r="C91" i="49" l="1"/>
  <c r="M19" i="29"/>
  <c r="L20" i="29"/>
  <c r="H39" i="21"/>
  <c r="H32" i="21"/>
  <c r="H43" i="21"/>
  <c r="H49" i="21"/>
  <c r="H53" i="21" s="1"/>
  <c r="H56" i="21"/>
  <c r="H60" i="21" s="1"/>
  <c r="H197" i="21"/>
  <c r="H134" i="21"/>
  <c r="H141" i="21" s="1"/>
  <c r="I135" i="21"/>
  <c r="I35" i="21" s="1"/>
  <c r="J134" i="21"/>
  <c r="J34" i="21" s="1"/>
  <c r="N178" i="49"/>
  <c r="N179" i="49" s="1"/>
  <c r="J179" i="54"/>
  <c r="J200" i="54"/>
  <c r="H74" i="54"/>
  <c r="H69" i="54" s="1"/>
  <c r="N18" i="54"/>
  <c r="N174" i="54"/>
  <c r="N17" i="54"/>
  <c r="H55" i="54"/>
  <c r="I178" i="54"/>
  <c r="L195" i="54"/>
  <c r="G179" i="54"/>
  <c r="N177" i="54"/>
  <c r="N190" i="54" s="1"/>
  <c r="N58" i="54"/>
  <c r="N197" i="54" s="1"/>
  <c r="F29" i="21"/>
  <c r="K39" i="54"/>
  <c r="K176" i="54"/>
  <c r="K189" i="54" s="1"/>
  <c r="F28" i="21"/>
  <c r="I182" i="54"/>
  <c r="K196" i="54"/>
  <c r="K48" i="54"/>
  <c r="K177" i="54"/>
  <c r="K190" i="54" s="1"/>
  <c r="E28" i="21"/>
  <c r="H182" i="54"/>
  <c r="M22" i="54"/>
  <c r="M169" i="54" s="1"/>
  <c r="M166" i="54"/>
  <c r="G78" i="54"/>
  <c r="M23" i="54"/>
  <c r="M170" i="54" s="1"/>
  <c r="M167" i="54"/>
  <c r="N153" i="49"/>
  <c r="I60" i="54" s="1"/>
  <c r="I32" i="54" s="1"/>
  <c r="N181" i="49"/>
  <c r="F124" i="21" s="1"/>
  <c r="N150" i="49"/>
  <c r="I61" i="54" s="1"/>
  <c r="I35" i="54" s="1"/>
  <c r="N152" i="49"/>
  <c r="I63" i="54" s="1"/>
  <c r="I41" i="54" s="1"/>
  <c r="I196" i="21"/>
  <c r="I55" i="21"/>
  <c r="I59" i="21" s="1"/>
  <c r="I48" i="21"/>
  <c r="I52" i="21" s="1"/>
  <c r="N151" i="49"/>
  <c r="I62" i="54" s="1"/>
  <c r="I38" i="54" s="1"/>
  <c r="J129" i="21"/>
  <c r="J133" i="21" s="1"/>
  <c r="G90" i="54"/>
  <c r="K122" i="21"/>
  <c r="K125" i="21" s="1"/>
  <c r="K128" i="21" s="1"/>
  <c r="K132" i="21" s="1"/>
  <c r="I38" i="21"/>
  <c r="I31" i="21"/>
  <c r="I42" i="21"/>
  <c r="E123" i="21"/>
  <c r="N180" i="49"/>
  <c r="F123" i="21" s="1"/>
  <c r="F22" i="29"/>
  <c r="G73" i="54"/>
  <c r="G200" i="54" s="1"/>
  <c r="J27" i="21"/>
  <c r="J68" i="21" s="1"/>
  <c r="J71" i="54"/>
  <c r="J178" i="54" s="1"/>
  <c r="N27" i="54"/>
  <c r="O162" i="49"/>
  <c r="O181" i="49" s="1"/>
  <c r="N36" i="54"/>
  <c r="H34" i="54"/>
  <c r="H29" i="54"/>
  <c r="H32" i="54"/>
  <c r="H30" i="54" s="1"/>
  <c r="H35" i="54"/>
  <c r="G126" i="54"/>
  <c r="G86" i="54"/>
  <c r="G80" i="54"/>
  <c r="G85" i="54"/>
  <c r="H28" i="54"/>
  <c r="C165" i="49"/>
  <c r="C167" i="49"/>
  <c r="C164" i="49"/>
  <c r="N155" i="49"/>
  <c r="N145" i="49"/>
  <c r="I54" i="54" s="1"/>
  <c r="I37" i="54" s="1"/>
  <c r="N143" i="49"/>
  <c r="I51" i="54" s="1"/>
  <c r="N146" i="49"/>
  <c r="C166" i="49"/>
  <c r="C161" i="49"/>
  <c r="N144" i="49"/>
  <c r="I53" i="54" s="1"/>
  <c r="I34" i="54" s="1"/>
  <c r="I59" i="54"/>
  <c r="N147" i="49"/>
  <c r="I52" i="54" s="1"/>
  <c r="I31" i="54" s="1"/>
  <c r="G125" i="54"/>
  <c r="G29" i="21"/>
  <c r="G132" i="54"/>
  <c r="J124" i="54"/>
  <c r="J83" i="54" s="1"/>
  <c r="G83" i="54" s="1"/>
  <c r="G17" i="98" s="1"/>
  <c r="O156" i="49"/>
  <c r="C163" i="49"/>
  <c r="J89" i="54"/>
  <c r="C113" i="49"/>
  <c r="G129" i="54"/>
  <c r="G127" i="54" s="1"/>
  <c r="E225" i="54" s="1"/>
  <c r="G54" i="61"/>
  <c r="K54" i="61" s="1"/>
  <c r="G117" i="54"/>
  <c r="E223" i="54" s="1"/>
  <c r="C106" i="49"/>
  <c r="J127" i="54"/>
  <c r="C84" i="49"/>
  <c r="I116" i="54"/>
  <c r="I115" i="54" s="1"/>
  <c r="I75" i="54"/>
  <c r="J77" i="54"/>
  <c r="J117" i="54"/>
  <c r="J130" i="54"/>
  <c r="J91" i="54" s="1"/>
  <c r="C99" i="49"/>
  <c r="O75" i="49"/>
  <c r="G131" i="54"/>
  <c r="H34" i="21" l="1"/>
  <c r="H46" i="21"/>
  <c r="G91" i="54"/>
  <c r="I17" i="98" s="1"/>
  <c r="H18" i="54"/>
  <c r="D158" i="54"/>
  <c r="H17" i="54"/>
  <c r="H22" i="54" s="1"/>
  <c r="H63" i="21"/>
  <c r="M28" i="29"/>
  <c r="L19" i="29"/>
  <c r="I141" i="21"/>
  <c r="I32" i="21"/>
  <c r="I56" i="21"/>
  <c r="I60" i="21" s="1"/>
  <c r="I197" i="21"/>
  <c r="I39" i="21"/>
  <c r="I33" i="21"/>
  <c r="I47" i="21" s="1"/>
  <c r="I51" i="21" s="1"/>
  <c r="I49" i="21"/>
  <c r="I53" i="21" s="1"/>
  <c r="I43" i="21"/>
  <c r="J31" i="21"/>
  <c r="J55" i="21"/>
  <c r="J59" i="21" s="1"/>
  <c r="J48" i="21"/>
  <c r="J52" i="21" s="1"/>
  <c r="J42" i="21"/>
  <c r="J196" i="21"/>
  <c r="J38" i="21"/>
  <c r="J135" i="21"/>
  <c r="J141" i="21" s="1"/>
  <c r="K134" i="21"/>
  <c r="K34" i="21" s="1"/>
  <c r="O178" i="49"/>
  <c r="O179" i="49" s="1"/>
  <c r="D159" i="54"/>
  <c r="C75" i="49"/>
  <c r="C178" i="49" s="1"/>
  <c r="H88" i="54"/>
  <c r="I74" i="54"/>
  <c r="I69" i="54" s="1"/>
  <c r="I55" i="54"/>
  <c r="K175" i="54"/>
  <c r="K188" i="54" s="1"/>
  <c r="J87" i="54"/>
  <c r="G87" i="54" s="1"/>
  <c r="H17" i="98" s="1"/>
  <c r="E122" i="21"/>
  <c r="E125" i="21" s="1"/>
  <c r="E128" i="21" s="1"/>
  <c r="E132" i="21" s="1"/>
  <c r="E134" i="21" s="1"/>
  <c r="D19" i="140"/>
  <c r="F19" i="142"/>
  <c r="E17" i="142"/>
  <c r="N40" i="54"/>
  <c r="N39" i="54" s="1"/>
  <c r="N50" i="54"/>
  <c r="N196" i="54" s="1"/>
  <c r="M50" i="54"/>
  <c r="M40" i="54"/>
  <c r="M173" i="54" s="1"/>
  <c r="K47" i="54"/>
  <c r="K26" i="54" s="1"/>
  <c r="K195" i="54"/>
  <c r="M58" i="54"/>
  <c r="M197" i="54" s="1"/>
  <c r="H181" i="54"/>
  <c r="J182" i="54"/>
  <c r="G28" i="21"/>
  <c r="K186" i="54"/>
  <c r="K192" i="54"/>
  <c r="J183" i="54"/>
  <c r="K187" i="54"/>
  <c r="K193" i="54"/>
  <c r="I30" i="54"/>
  <c r="G54" i="92"/>
  <c r="K54" i="92" s="1"/>
  <c r="G180" i="54"/>
  <c r="G77" i="54"/>
  <c r="N23" i="54"/>
  <c r="N170" i="54" s="1"/>
  <c r="N167" i="54"/>
  <c r="N22" i="54"/>
  <c r="N169" i="54" s="1"/>
  <c r="N166" i="54"/>
  <c r="O150" i="49"/>
  <c r="C150" i="49" s="1"/>
  <c r="H48" i="21"/>
  <c r="H52" i="21" s="1"/>
  <c r="H55" i="21"/>
  <c r="H59" i="21" s="1"/>
  <c r="O152" i="49"/>
  <c r="J63" i="54" s="1"/>
  <c r="J41" i="54" s="1"/>
  <c r="O149" i="49"/>
  <c r="C149" i="49" s="1"/>
  <c r="O151" i="49"/>
  <c r="C151" i="49" s="1"/>
  <c r="I54" i="21"/>
  <c r="I58" i="21" s="1"/>
  <c r="O153" i="49"/>
  <c r="C153" i="49" s="1"/>
  <c r="H196" i="21"/>
  <c r="H31" i="21"/>
  <c r="H42" i="21"/>
  <c r="H33" i="21"/>
  <c r="H37" i="21" s="1"/>
  <c r="H38" i="21"/>
  <c r="G37" i="93"/>
  <c r="G59" i="92"/>
  <c r="J56" i="92" s="1"/>
  <c r="D9" i="92"/>
  <c r="U10" i="55"/>
  <c r="Q10" i="55"/>
  <c r="M10" i="55"/>
  <c r="I10" i="55"/>
  <c r="E10" i="55"/>
  <c r="C5" i="111"/>
  <c r="G15" i="98"/>
  <c r="G25" i="98" s="1"/>
  <c r="G67" i="22"/>
  <c r="G71" i="22"/>
  <c r="G95" i="22" s="1"/>
  <c r="F37" i="93"/>
  <c r="G58" i="92"/>
  <c r="I56" i="92" s="1"/>
  <c r="G57" i="92"/>
  <c r="H56" i="92" s="1"/>
  <c r="E37" i="93"/>
  <c r="E59" i="58" s="1"/>
  <c r="F34" i="58"/>
  <c r="G58" i="61"/>
  <c r="I56" i="61" s="1"/>
  <c r="X55" i="55"/>
  <c r="H54" i="112" s="1"/>
  <c r="G48" i="57"/>
  <c r="P55" i="55"/>
  <c r="F54" i="112" s="1"/>
  <c r="G46" i="57"/>
  <c r="C8" i="84"/>
  <c r="C8" i="83"/>
  <c r="K129" i="21"/>
  <c r="K133" i="21" s="1"/>
  <c r="K126" i="21"/>
  <c r="I62" i="21"/>
  <c r="C7" i="78"/>
  <c r="F122" i="21"/>
  <c r="F126" i="21" s="1"/>
  <c r="N126" i="21" s="1"/>
  <c r="I45" i="21"/>
  <c r="G124" i="21"/>
  <c r="D124" i="21" s="1"/>
  <c r="I37" i="21"/>
  <c r="G71" i="54"/>
  <c r="D9" i="61"/>
  <c r="C7" i="66"/>
  <c r="F19" i="29"/>
  <c r="C156" i="49"/>
  <c r="P143" i="49" s="1"/>
  <c r="Q143" i="49" s="1"/>
  <c r="O146" i="49"/>
  <c r="O180" i="49"/>
  <c r="K27" i="21"/>
  <c r="K68" i="21" s="1"/>
  <c r="C162" i="49"/>
  <c r="P144" i="49" s="1"/>
  <c r="Q144" i="49" s="1"/>
  <c r="G124" i="54"/>
  <c r="E224" i="54" s="1"/>
  <c r="G130" i="54"/>
  <c r="E226" i="54" s="1"/>
  <c r="H33" i="54"/>
  <c r="H36" i="54"/>
  <c r="I33" i="54"/>
  <c r="I29" i="54"/>
  <c r="H27" i="54"/>
  <c r="I28" i="54"/>
  <c r="G93" i="54"/>
  <c r="G89" i="54"/>
  <c r="G94" i="54"/>
  <c r="D29" i="21" s="1"/>
  <c r="O147" i="49"/>
  <c r="J52" i="54" s="1"/>
  <c r="O155" i="49"/>
  <c r="O143" i="49"/>
  <c r="J51" i="54" s="1"/>
  <c r="O144" i="49"/>
  <c r="J53" i="54" s="1"/>
  <c r="G53" i="54" s="1"/>
  <c r="O145" i="49"/>
  <c r="H76" i="54"/>
  <c r="H92" i="54"/>
  <c r="H84" i="54"/>
  <c r="I84" i="54"/>
  <c r="J116" i="54"/>
  <c r="J115" i="54" s="1"/>
  <c r="J75" i="54"/>
  <c r="I92" i="54"/>
  <c r="E12" i="54"/>
  <c r="D11" i="57"/>
  <c r="D10" i="22"/>
  <c r="G98" i="54"/>
  <c r="I76" i="54" l="1"/>
  <c r="I88" i="54"/>
  <c r="H66" i="21"/>
  <c r="H212" i="21" s="1"/>
  <c r="G70" i="22"/>
  <c r="G94" i="22" s="1"/>
  <c r="J62" i="21"/>
  <c r="I15" i="98"/>
  <c r="I25" i="98" s="1"/>
  <c r="I63" i="21"/>
  <c r="I181" i="54"/>
  <c r="I41" i="21"/>
  <c r="I44" i="21" s="1"/>
  <c r="I195" i="21"/>
  <c r="I193" i="21" s="1"/>
  <c r="I30" i="21"/>
  <c r="I46" i="21"/>
  <c r="J45" i="21"/>
  <c r="L28" i="29"/>
  <c r="G72" i="22"/>
  <c r="E126" i="21"/>
  <c r="M126" i="21" s="1"/>
  <c r="J35" i="21"/>
  <c r="K42" i="21"/>
  <c r="K55" i="21"/>
  <c r="K59" i="21" s="1"/>
  <c r="K196" i="21"/>
  <c r="K31" i="21"/>
  <c r="K48" i="21"/>
  <c r="K52" i="21" s="1"/>
  <c r="K38" i="21"/>
  <c r="K135" i="21"/>
  <c r="K35" i="21" s="1"/>
  <c r="I18" i="54"/>
  <c r="I174" i="54"/>
  <c r="I187" i="54" s="1"/>
  <c r="J54" i="54"/>
  <c r="J37" i="54" s="1"/>
  <c r="C145" i="49"/>
  <c r="I17" i="54"/>
  <c r="J55" i="54"/>
  <c r="C146" i="49"/>
  <c r="N175" i="54"/>
  <c r="N188" i="54" s="1"/>
  <c r="N173" i="54"/>
  <c r="H15" i="98"/>
  <c r="G69" i="22"/>
  <c r="G93" i="22" s="1"/>
  <c r="T55" i="55"/>
  <c r="G54" i="112" s="1"/>
  <c r="G47" i="57"/>
  <c r="G178" i="54"/>
  <c r="N125" i="21"/>
  <c r="N128" i="21" s="1"/>
  <c r="N129" i="21" s="1"/>
  <c r="N133" i="21" s="1"/>
  <c r="H41" i="21"/>
  <c r="H44" i="21" s="1"/>
  <c r="G36" i="93"/>
  <c r="G59" i="58"/>
  <c r="F33" i="58"/>
  <c r="F58" i="58"/>
  <c r="F36" i="93"/>
  <c r="F59" i="58"/>
  <c r="I53" i="61"/>
  <c r="U34" i="92"/>
  <c r="U33" i="92"/>
  <c r="U38" i="92"/>
  <c r="U14" i="92"/>
  <c r="U32" i="92"/>
  <c r="U36" i="92"/>
  <c r="U31" i="92"/>
  <c r="U35" i="92"/>
  <c r="U42" i="92"/>
  <c r="U43" i="92"/>
  <c r="H53" i="92"/>
  <c r="I53" i="92"/>
  <c r="J53" i="92"/>
  <c r="J60" i="54"/>
  <c r="G60" i="54" s="1"/>
  <c r="E8" i="129" s="1"/>
  <c r="D19" i="142"/>
  <c r="E17" i="140"/>
  <c r="E18" i="140"/>
  <c r="E19" i="140"/>
  <c r="F19" i="140"/>
  <c r="D18" i="140"/>
  <c r="G17" i="140"/>
  <c r="J62" i="54"/>
  <c r="J38" i="54" s="1"/>
  <c r="N48" i="54"/>
  <c r="N47" i="54" s="1"/>
  <c r="N26" i="54" s="1"/>
  <c r="E34" i="58"/>
  <c r="E18" i="142"/>
  <c r="E19" i="142"/>
  <c r="C4" i="111"/>
  <c r="P2" i="145"/>
  <c r="J2" i="145"/>
  <c r="D4" i="111"/>
  <c r="D16" i="111" s="1"/>
  <c r="D5" i="111"/>
  <c r="E5" i="111"/>
  <c r="F3" i="111"/>
  <c r="F41" i="133"/>
  <c r="G45" i="115"/>
  <c r="E41" i="134"/>
  <c r="E44" i="115"/>
  <c r="E41" i="133"/>
  <c r="G44" i="115"/>
  <c r="D41" i="133"/>
  <c r="G43" i="115"/>
  <c r="F7" i="129"/>
  <c r="I40" i="54"/>
  <c r="I176" i="54" s="1"/>
  <c r="I189" i="54" s="1"/>
  <c r="I50" i="54"/>
  <c r="N176" i="54"/>
  <c r="N189" i="54" s="1"/>
  <c r="G57" i="61"/>
  <c r="H56" i="61" s="1"/>
  <c r="G182" i="54"/>
  <c r="D28" i="21"/>
  <c r="N187" i="54"/>
  <c r="N193" i="54"/>
  <c r="M196" i="54"/>
  <c r="M48" i="54"/>
  <c r="M176" i="54"/>
  <c r="M189" i="54" s="1"/>
  <c r="M39" i="54"/>
  <c r="M177" i="54"/>
  <c r="M190" i="54" s="1"/>
  <c r="G183" i="54"/>
  <c r="J61" i="54"/>
  <c r="J35" i="54" s="1"/>
  <c r="G35" i="54" s="1"/>
  <c r="J59" i="54"/>
  <c r="J29" i="54" s="1"/>
  <c r="H23" i="54"/>
  <c r="H170" i="54" s="1"/>
  <c r="H167" i="54"/>
  <c r="H169" i="54"/>
  <c r="H166" i="54"/>
  <c r="H47" i="21"/>
  <c r="H51" i="21" s="1"/>
  <c r="H54" i="21"/>
  <c r="H58" i="21" s="1"/>
  <c r="H195" i="21"/>
  <c r="H193" i="21" s="1"/>
  <c r="H62" i="21"/>
  <c r="C152" i="49"/>
  <c r="G203" i="54" s="1"/>
  <c r="H45" i="21"/>
  <c r="H30" i="21"/>
  <c r="G73" i="22"/>
  <c r="G97" i="22" s="1"/>
  <c r="G91" i="22"/>
  <c r="G68" i="22"/>
  <c r="G92" i="22" s="1"/>
  <c r="H34" i="58"/>
  <c r="G60" i="61"/>
  <c r="K56" i="61" s="1"/>
  <c r="R46" i="61" s="1"/>
  <c r="G34" i="58"/>
  <c r="G59" i="61"/>
  <c r="J56" i="61" s="1"/>
  <c r="C181" i="49"/>
  <c r="C180" i="49"/>
  <c r="E36" i="93"/>
  <c r="H37" i="93"/>
  <c r="G60" i="92"/>
  <c r="F125" i="21"/>
  <c r="O125" i="21" s="1"/>
  <c r="O128" i="21" s="1"/>
  <c r="D157" i="54"/>
  <c r="E157" i="54" s="1"/>
  <c r="I65" i="21"/>
  <c r="I211" i="21" s="1"/>
  <c r="C147" i="49"/>
  <c r="G123" i="21"/>
  <c r="D123" i="21" s="1"/>
  <c r="I61" i="21"/>
  <c r="J31" i="54"/>
  <c r="G31" i="54" s="1"/>
  <c r="C144" i="49"/>
  <c r="F28" i="29"/>
  <c r="C143" i="49"/>
  <c r="C179" i="49"/>
  <c r="E34" i="21"/>
  <c r="E129" i="21"/>
  <c r="E133" i="21" s="1"/>
  <c r="E135" i="21" s="1"/>
  <c r="E141" i="21" s="1"/>
  <c r="E27" i="21"/>
  <c r="E68" i="21" s="1"/>
  <c r="G116" i="54"/>
  <c r="I27" i="54"/>
  <c r="J34" i="54"/>
  <c r="G34" i="54" s="1"/>
  <c r="G52" i="54"/>
  <c r="G51" i="54"/>
  <c r="J28" i="54"/>
  <c r="C155" i="49"/>
  <c r="J74" i="54"/>
  <c r="J181" i="54" s="1"/>
  <c r="G75" i="54"/>
  <c r="H98" i="54"/>
  <c r="G97" i="54"/>
  <c r="D161" i="54" s="1"/>
  <c r="C24" i="49"/>
  <c r="J65" i="21" l="1"/>
  <c r="J211" i="21" s="1"/>
  <c r="R42" i="61"/>
  <c r="R43" i="61"/>
  <c r="R38" i="61"/>
  <c r="I66" i="21"/>
  <c r="I212" i="21" s="1"/>
  <c r="G17" i="142"/>
  <c r="E158" i="54"/>
  <c r="E159" i="54"/>
  <c r="K141" i="21"/>
  <c r="K45" i="21"/>
  <c r="G54" i="54"/>
  <c r="G7" i="129" s="1"/>
  <c r="K62" i="21"/>
  <c r="R155" i="49"/>
  <c r="P142" i="49"/>
  <c r="Q142" i="49" s="1"/>
  <c r="J39" i="21"/>
  <c r="J49" i="21"/>
  <c r="J53" i="21" s="1"/>
  <c r="J197" i="21"/>
  <c r="J43" i="21"/>
  <c r="J56" i="21"/>
  <c r="J60" i="21" s="1"/>
  <c r="J33" i="21"/>
  <c r="J32" i="21"/>
  <c r="K56" i="21"/>
  <c r="K60" i="21" s="1"/>
  <c r="K32" i="21"/>
  <c r="K39" i="21"/>
  <c r="K43" i="21"/>
  <c r="K49" i="21"/>
  <c r="K53" i="21" s="1"/>
  <c r="K33" i="21"/>
  <c r="K195" i="21" s="1"/>
  <c r="K193" i="21" s="1"/>
  <c r="K197" i="21"/>
  <c r="N135" i="21"/>
  <c r="N35" i="21" s="1"/>
  <c r="Z43" i="92"/>
  <c r="S23" i="49"/>
  <c r="C15" i="49"/>
  <c r="J17" i="54"/>
  <c r="M175" i="54"/>
  <c r="M188" i="54" s="1"/>
  <c r="I196" i="54"/>
  <c r="I173" i="54"/>
  <c r="I186" i="54" s="1"/>
  <c r="G40" i="93"/>
  <c r="G39" i="93" s="1"/>
  <c r="G33" i="54"/>
  <c r="H25" i="98"/>
  <c r="N132" i="21"/>
  <c r="N195" i="54"/>
  <c r="J32" i="54"/>
  <c r="G32" i="54" s="1"/>
  <c r="I48" i="92" s="1"/>
  <c r="D19" i="111"/>
  <c r="D17" i="111"/>
  <c r="Z42" i="92"/>
  <c r="Z38" i="92"/>
  <c r="F37" i="58"/>
  <c r="F36" i="58" s="1"/>
  <c r="I48" i="61"/>
  <c r="G33" i="58"/>
  <c r="G58" i="58"/>
  <c r="G60" i="58" s="1"/>
  <c r="X38" i="92"/>
  <c r="X43" i="92"/>
  <c r="X42" i="92"/>
  <c r="H53" i="61"/>
  <c r="O2" i="145"/>
  <c r="E33" i="58"/>
  <c r="E58" i="58"/>
  <c r="E60" i="58" s="1"/>
  <c r="J53" i="61"/>
  <c r="E69" i="20"/>
  <c r="J48" i="92"/>
  <c r="H33" i="58"/>
  <c r="H58" i="58"/>
  <c r="I2" i="145"/>
  <c r="F60" i="58"/>
  <c r="D69" i="20"/>
  <c r="L8" i="132" s="1"/>
  <c r="F45" i="150" s="1"/>
  <c r="J48" i="61"/>
  <c r="G37" i="58"/>
  <c r="G36" i="58" s="1"/>
  <c r="H36" i="93"/>
  <c r="H59" i="58"/>
  <c r="Q43" i="61"/>
  <c r="Q42" i="61"/>
  <c r="Q38" i="61"/>
  <c r="K53" i="61"/>
  <c r="Y38" i="92"/>
  <c r="Y43" i="92"/>
  <c r="Y42" i="92"/>
  <c r="O8" i="135"/>
  <c r="O30" i="135" s="1"/>
  <c r="P8" i="135"/>
  <c r="P30" i="135" s="1"/>
  <c r="Q8" i="135"/>
  <c r="F47" i="131" s="1"/>
  <c r="G46" i="115"/>
  <c r="K56" i="92"/>
  <c r="D20" i="111"/>
  <c r="D18" i="111"/>
  <c r="D15" i="111"/>
  <c r="G59" i="54"/>
  <c r="D8" i="129" s="1"/>
  <c r="K8" i="135"/>
  <c r="K29" i="135" s="1"/>
  <c r="E115" i="150"/>
  <c r="G18" i="140"/>
  <c r="F18" i="140"/>
  <c r="G19" i="140"/>
  <c r="G61" i="54"/>
  <c r="F8" i="129" s="1"/>
  <c r="D3" i="111"/>
  <c r="E143" i="150"/>
  <c r="E52" i="115"/>
  <c r="E51" i="115" s="1"/>
  <c r="L52" i="115" s="1"/>
  <c r="D4" i="129"/>
  <c r="C4" i="129" s="1"/>
  <c r="G18" i="142"/>
  <c r="D18" i="142"/>
  <c r="F18" i="142"/>
  <c r="G19" i="142"/>
  <c r="E4" i="111"/>
  <c r="F4" i="111"/>
  <c r="G41" i="134"/>
  <c r="E46" i="115"/>
  <c r="D41" i="134"/>
  <c r="E43" i="115"/>
  <c r="D68" i="20"/>
  <c r="K8" i="132" s="1"/>
  <c r="F43" i="58"/>
  <c r="F20" i="58"/>
  <c r="F12" i="58"/>
  <c r="F40" i="58"/>
  <c r="F41" i="58"/>
  <c r="F10" i="58"/>
  <c r="E14" i="153" s="1"/>
  <c r="F14" i="153" s="1"/>
  <c r="F42" i="58"/>
  <c r="F18" i="58"/>
  <c r="F11" i="58"/>
  <c r="F27" i="58" s="1"/>
  <c r="F41" i="134"/>
  <c r="E45" i="115"/>
  <c r="G56" i="92"/>
  <c r="G41" i="133"/>
  <c r="D7" i="129"/>
  <c r="E7" i="129"/>
  <c r="E6" i="129"/>
  <c r="G56" i="61"/>
  <c r="C41" i="134" s="1"/>
  <c r="E112" i="20"/>
  <c r="E111" i="20" s="1"/>
  <c r="I58" i="54"/>
  <c r="I48" i="54" s="1"/>
  <c r="F17" i="98"/>
  <c r="F15" i="98" s="1"/>
  <c r="G74" i="54"/>
  <c r="G92" i="54" s="1"/>
  <c r="N192" i="54"/>
  <c r="N186" i="54"/>
  <c r="J40" i="54"/>
  <c r="J173" i="54" s="1"/>
  <c r="G55" i="54"/>
  <c r="J75" i="20" s="1"/>
  <c r="J50" i="54"/>
  <c r="J196" i="54" s="1"/>
  <c r="M195" i="54"/>
  <c r="M47" i="54"/>
  <c r="M26" i="54" s="1"/>
  <c r="J58" i="54"/>
  <c r="M187" i="54"/>
  <c r="M193" i="54"/>
  <c r="M192" i="54"/>
  <c r="M186" i="54"/>
  <c r="H58" i="54"/>
  <c r="H197" i="54" s="1"/>
  <c r="H40" i="54"/>
  <c r="H50" i="54"/>
  <c r="H61" i="21"/>
  <c r="H64" i="21" s="1"/>
  <c r="H210" i="21" s="1"/>
  <c r="H208" i="21" s="1"/>
  <c r="I23" i="54"/>
  <c r="I170" i="54" s="1"/>
  <c r="I167" i="54"/>
  <c r="E196" i="21"/>
  <c r="E48" i="21"/>
  <c r="E55" i="21"/>
  <c r="E59" i="21" s="1"/>
  <c r="K47" i="21"/>
  <c r="K51" i="21" s="1"/>
  <c r="H65" i="21"/>
  <c r="H211" i="21" s="1"/>
  <c r="G96" i="22"/>
  <c r="G74" i="22"/>
  <c r="G98" i="22" s="1"/>
  <c r="G63" i="22"/>
  <c r="D37" i="93"/>
  <c r="D34" i="58"/>
  <c r="F128" i="21"/>
  <c r="F132" i="21" s="1"/>
  <c r="F134" i="21" s="1"/>
  <c r="L55" i="55"/>
  <c r="G45" i="57"/>
  <c r="G122" i="21"/>
  <c r="G125" i="21" s="1"/>
  <c r="G128" i="21" s="1"/>
  <c r="K41" i="21"/>
  <c r="K30" i="21"/>
  <c r="I64" i="21"/>
  <c r="I210" i="21" s="1"/>
  <c r="I208" i="21" s="1"/>
  <c r="D29" i="29"/>
  <c r="C29" i="29" s="1"/>
  <c r="E31" i="21"/>
  <c r="E35" i="21"/>
  <c r="O132" i="21"/>
  <c r="O134" i="21" s="1"/>
  <c r="O129" i="21"/>
  <c r="O133" i="21" s="1"/>
  <c r="G115" i="54"/>
  <c r="E222" i="54" s="1"/>
  <c r="J76" i="54"/>
  <c r="J69" i="54"/>
  <c r="F27" i="21"/>
  <c r="F68" i="21" s="1"/>
  <c r="G29" i="54"/>
  <c r="J33" i="54"/>
  <c r="I36" i="54"/>
  <c r="G37" i="54"/>
  <c r="G62" i="54"/>
  <c r="G8" i="129" s="1"/>
  <c r="J27" i="54"/>
  <c r="G28" i="54"/>
  <c r="J84" i="54"/>
  <c r="J88" i="54"/>
  <c r="J92" i="54"/>
  <c r="I98" i="54"/>
  <c r="H97" i="54"/>
  <c r="H96" i="54" s="1"/>
  <c r="H95" i="54" s="1"/>
  <c r="G96" i="54"/>
  <c r="G95" i="54" s="1"/>
  <c r="G44" i="57" l="1"/>
  <c r="D36" i="135"/>
  <c r="G39" i="134"/>
  <c r="G113" i="150" s="1"/>
  <c r="C41" i="133"/>
  <c r="G39" i="133" s="1"/>
  <c r="R46" i="92"/>
  <c r="K65" i="21"/>
  <c r="K211" i="21" s="1"/>
  <c r="K63" i="21"/>
  <c r="Q8" i="132"/>
  <c r="F45" i="151" s="1"/>
  <c r="G69" i="54"/>
  <c r="G88" i="54"/>
  <c r="K46" i="21"/>
  <c r="K37" i="21"/>
  <c r="K44" i="21" s="1"/>
  <c r="K54" i="21"/>
  <c r="K58" i="21" s="1"/>
  <c r="K61" i="21" s="1"/>
  <c r="G17" i="54"/>
  <c r="G22" i="54" s="1"/>
  <c r="J41" i="21"/>
  <c r="J195" i="21"/>
  <c r="J193" i="21" s="1"/>
  <c r="J30" i="21"/>
  <c r="J47" i="21"/>
  <c r="J51" i="21" s="1"/>
  <c r="J54" i="21"/>
  <c r="J58" i="21" s="1"/>
  <c r="J37" i="21"/>
  <c r="J63" i="21"/>
  <c r="J46" i="21"/>
  <c r="G55" i="58"/>
  <c r="G30" i="54"/>
  <c r="C68" i="20" s="1"/>
  <c r="N32" i="21"/>
  <c r="N49" i="21"/>
  <c r="N53" i="21" s="1"/>
  <c r="N56" i="21"/>
  <c r="N60" i="21" s="1"/>
  <c r="N43" i="21"/>
  <c r="N197" i="21"/>
  <c r="N39" i="21"/>
  <c r="N134" i="21"/>
  <c r="N141" i="21" s="1"/>
  <c r="O135" i="21"/>
  <c r="O35" i="21" s="1"/>
  <c r="J174" i="54"/>
  <c r="G50" i="54"/>
  <c r="G196" i="54" s="1"/>
  <c r="H48" i="54"/>
  <c r="J18" i="54"/>
  <c r="G181" i="54"/>
  <c r="F17" i="140"/>
  <c r="M2" i="145"/>
  <c r="F17" i="142"/>
  <c r="E68" i="20"/>
  <c r="P8" i="132" s="1"/>
  <c r="E45" i="151" s="1"/>
  <c r="F40" i="93"/>
  <c r="F39" i="93" s="1"/>
  <c r="J30" i="54"/>
  <c r="F5" i="111"/>
  <c r="F46" i="130"/>
  <c r="E47" i="130"/>
  <c r="I192" i="54"/>
  <c r="L31" i="132"/>
  <c r="H60" i="58"/>
  <c r="P29" i="135"/>
  <c r="E47" i="131"/>
  <c r="D47" i="131"/>
  <c r="F25" i="98"/>
  <c r="O28" i="135"/>
  <c r="D46" i="151"/>
  <c r="O27" i="135"/>
  <c r="F26" i="58"/>
  <c r="O29" i="135"/>
  <c r="Q28" i="135"/>
  <c r="Q30" i="135"/>
  <c r="J47" i="92"/>
  <c r="J51" i="92"/>
  <c r="J50" i="92" s="1"/>
  <c r="I47" i="92"/>
  <c r="I51" i="92"/>
  <c r="I50" i="92" s="1"/>
  <c r="D70" i="20"/>
  <c r="H37" i="58"/>
  <c r="H36" i="58" s="1"/>
  <c r="K48" i="61"/>
  <c r="D36" i="93"/>
  <c r="D59" i="58"/>
  <c r="J47" i="61"/>
  <c r="J51" i="61"/>
  <c r="J50" i="61" s="1"/>
  <c r="I47" i="61"/>
  <c r="I51" i="61"/>
  <c r="I50" i="61" s="1"/>
  <c r="D67" i="20"/>
  <c r="J8" i="132" s="1"/>
  <c r="D45" i="150" s="1"/>
  <c r="E37" i="58"/>
  <c r="H48" i="61"/>
  <c r="D33" i="58"/>
  <c r="D58" i="58"/>
  <c r="C4" i="145"/>
  <c r="V33" i="92"/>
  <c r="V38" i="92"/>
  <c r="V14" i="92"/>
  <c r="V32" i="92"/>
  <c r="V36" i="92"/>
  <c r="V31" i="92"/>
  <c r="V35" i="92"/>
  <c r="V34" i="92"/>
  <c r="V42" i="92"/>
  <c r="V43" i="92"/>
  <c r="E67" i="20"/>
  <c r="O8" i="132" s="1"/>
  <c r="D45" i="151" s="1"/>
  <c r="H48" i="92"/>
  <c r="F46" i="151"/>
  <c r="Q27" i="135"/>
  <c r="Q29" i="135"/>
  <c r="P28" i="135"/>
  <c r="E46" i="151"/>
  <c r="P27" i="135"/>
  <c r="Q43" i="92"/>
  <c r="Q42" i="92"/>
  <c r="Q38" i="92"/>
  <c r="K14" i="61"/>
  <c r="H14" i="61"/>
  <c r="J36" i="61"/>
  <c r="K35" i="61"/>
  <c r="I33" i="61"/>
  <c r="J32" i="61"/>
  <c r="K31" i="61"/>
  <c r="H34" i="61"/>
  <c r="I36" i="61"/>
  <c r="J35" i="61"/>
  <c r="K34" i="61"/>
  <c r="I32" i="61"/>
  <c r="J31" i="61"/>
  <c r="H33" i="61"/>
  <c r="J14" i="61"/>
  <c r="I35" i="61"/>
  <c r="J34" i="61"/>
  <c r="K33" i="61"/>
  <c r="I31" i="61"/>
  <c r="H32" i="61"/>
  <c r="H36" i="61"/>
  <c r="I14" i="61"/>
  <c r="K36" i="61"/>
  <c r="I34" i="61"/>
  <c r="J33" i="61"/>
  <c r="K32" i="61"/>
  <c r="H31" i="61"/>
  <c r="H35" i="61"/>
  <c r="G53" i="92"/>
  <c r="K36" i="92"/>
  <c r="I35" i="92"/>
  <c r="Y35" i="92" s="1"/>
  <c r="I33" i="92"/>
  <c r="Y33" i="92" s="1"/>
  <c r="I14" i="92"/>
  <c r="Y14" i="92" s="1"/>
  <c r="K35" i="92"/>
  <c r="K33" i="92"/>
  <c r="K14" i="92"/>
  <c r="I36" i="92"/>
  <c r="Y36" i="92" s="1"/>
  <c r="I34" i="92"/>
  <c r="Y34" i="92" s="1"/>
  <c r="I32" i="92"/>
  <c r="Y32" i="92" s="1"/>
  <c r="K34" i="92"/>
  <c r="K32" i="92"/>
  <c r="H33" i="92"/>
  <c r="X33" i="92" s="1"/>
  <c r="J34" i="92"/>
  <c r="Z34" i="92" s="1"/>
  <c r="H32" i="92"/>
  <c r="X32" i="92" s="1"/>
  <c r="H36" i="92"/>
  <c r="X36" i="92" s="1"/>
  <c r="J33" i="92"/>
  <c r="Z33" i="92" s="1"/>
  <c r="H14" i="92"/>
  <c r="X14" i="92" s="1"/>
  <c r="H35" i="92"/>
  <c r="X35" i="92" s="1"/>
  <c r="J32" i="92"/>
  <c r="Z32" i="92" s="1"/>
  <c r="J36" i="92"/>
  <c r="H34" i="92"/>
  <c r="X34" i="92" s="1"/>
  <c r="J14" i="92"/>
  <c r="Z14" i="92" s="1"/>
  <c r="J35" i="92"/>
  <c r="H31" i="92"/>
  <c r="X31" i="92" s="1"/>
  <c r="K31" i="92"/>
  <c r="I31" i="92"/>
  <c r="Y31" i="92" s="1"/>
  <c r="J31" i="92"/>
  <c r="Z31" i="92" s="1"/>
  <c r="K53" i="92"/>
  <c r="K27" i="135"/>
  <c r="K30" i="135"/>
  <c r="D21" i="111"/>
  <c r="D6" i="129"/>
  <c r="J8" i="135"/>
  <c r="J28" i="135" s="1"/>
  <c r="D115" i="150"/>
  <c r="D21" i="140"/>
  <c r="D91" i="140" s="1"/>
  <c r="D21" i="142"/>
  <c r="K28" i="135"/>
  <c r="E46" i="150"/>
  <c r="L8" i="135"/>
  <c r="L30" i="135" s="1"/>
  <c r="F115" i="150"/>
  <c r="K31" i="132"/>
  <c r="E45" i="150"/>
  <c r="G115" i="150"/>
  <c r="F6" i="129"/>
  <c r="C8" i="129"/>
  <c r="D17" i="142"/>
  <c r="B5" i="111"/>
  <c r="E46" i="130"/>
  <c r="G42" i="115"/>
  <c r="M45" i="115" s="1"/>
  <c r="L54" i="115"/>
  <c r="L55" i="115"/>
  <c r="L53" i="115"/>
  <c r="E56" i="115"/>
  <c r="E42" i="115"/>
  <c r="D3" i="129"/>
  <c r="C3" i="129" s="1"/>
  <c r="B52" i="115"/>
  <c r="C69" i="20"/>
  <c r="T58" i="55"/>
  <c r="G53" i="58" s="1"/>
  <c r="G54" i="58" s="1"/>
  <c r="C7" i="129"/>
  <c r="G6" i="129"/>
  <c r="G53" i="61"/>
  <c r="D112" i="20"/>
  <c r="L11" i="98" s="1"/>
  <c r="E217" i="54"/>
  <c r="I39" i="54"/>
  <c r="I177" i="54"/>
  <c r="I190" i="54" s="1"/>
  <c r="I197" i="54"/>
  <c r="I47" i="54"/>
  <c r="J176" i="54"/>
  <c r="J189" i="54" s="1"/>
  <c r="H176" i="54"/>
  <c r="H189" i="54" s="1"/>
  <c r="H39" i="54"/>
  <c r="H175" i="54" s="1"/>
  <c r="H188" i="54" s="1"/>
  <c r="H173" i="54"/>
  <c r="H186" i="54" s="1"/>
  <c r="G40" i="54"/>
  <c r="G173" i="54" s="1"/>
  <c r="J39" i="54"/>
  <c r="G63" i="54"/>
  <c r="H196" i="54"/>
  <c r="H177" i="54"/>
  <c r="H190" i="54" s="1"/>
  <c r="H174" i="54"/>
  <c r="J186" i="54"/>
  <c r="G58" i="54"/>
  <c r="J197" i="54"/>
  <c r="I22" i="54"/>
  <c r="I169" i="54" s="1"/>
  <c r="I166" i="54"/>
  <c r="J22" i="54"/>
  <c r="J169" i="54" s="1"/>
  <c r="J166" i="54"/>
  <c r="E197" i="21"/>
  <c r="E56" i="21"/>
  <c r="E60" i="21" s="1"/>
  <c r="E49" i="21"/>
  <c r="E53" i="21" s="1"/>
  <c r="H55" i="55"/>
  <c r="E54" i="112"/>
  <c r="L100" i="84"/>
  <c r="L109" i="84" s="1"/>
  <c r="K100" i="84"/>
  <c r="K109" i="84" s="1"/>
  <c r="F11" i="98"/>
  <c r="E11" i="98" s="1"/>
  <c r="E10" i="98" s="1"/>
  <c r="D160" i="54"/>
  <c r="G76" i="54"/>
  <c r="G6" i="83" s="1"/>
  <c r="G61" i="83" s="1"/>
  <c r="E17" i="98"/>
  <c r="E15" i="98" s="1"/>
  <c r="F129" i="21"/>
  <c r="F133" i="21" s="1"/>
  <c r="B51" i="115"/>
  <c r="O51" i="115" s="1"/>
  <c r="G89" i="22"/>
  <c r="G64" i="22"/>
  <c r="G90" i="22" s="1"/>
  <c r="G62" i="22"/>
  <c r="E40" i="93"/>
  <c r="E55" i="58" s="1"/>
  <c r="D122" i="21"/>
  <c r="D126" i="21" s="1"/>
  <c r="L126" i="21" s="1"/>
  <c r="P125" i="21"/>
  <c r="P128" i="21" s="1"/>
  <c r="P132" i="21" s="1"/>
  <c r="P134" i="21" s="1"/>
  <c r="G126" i="21"/>
  <c r="O126" i="21" s="1"/>
  <c r="E32" i="21"/>
  <c r="E52" i="21"/>
  <c r="E62" i="21" s="1"/>
  <c r="E38" i="21"/>
  <c r="E42" i="21"/>
  <c r="E33" i="21"/>
  <c r="E43" i="21"/>
  <c r="E39" i="21"/>
  <c r="O34" i="21"/>
  <c r="O31" i="21" s="1"/>
  <c r="G132" i="21"/>
  <c r="G134" i="21" s="1"/>
  <c r="G129" i="21"/>
  <c r="G133" i="21" s="1"/>
  <c r="F34" i="21"/>
  <c r="G27" i="21"/>
  <c r="G68" i="21" s="1"/>
  <c r="G27" i="54"/>
  <c r="G38" i="54"/>
  <c r="G18" i="54" s="1"/>
  <c r="J36" i="54"/>
  <c r="J48" i="54"/>
  <c r="G84" i="54"/>
  <c r="J98" i="54"/>
  <c r="I97" i="54"/>
  <c r="I96" i="54" s="1"/>
  <c r="I95" i="54" s="1"/>
  <c r="O141" i="21" l="1"/>
  <c r="AF44" i="57"/>
  <c r="AF29" i="57" s="1"/>
  <c r="C36" i="135"/>
  <c r="P58" i="55"/>
  <c r="F53" i="58" s="1"/>
  <c r="F54" i="58" s="1"/>
  <c r="F46" i="131"/>
  <c r="Q31" i="132"/>
  <c r="Q32" i="92"/>
  <c r="R32" i="92"/>
  <c r="Q33" i="61"/>
  <c r="R33" i="61"/>
  <c r="Q34" i="92"/>
  <c r="AA34" i="92" s="1"/>
  <c r="R34" i="92"/>
  <c r="Q35" i="92"/>
  <c r="R35" i="92"/>
  <c r="Q36" i="61"/>
  <c r="R36" i="61"/>
  <c r="Q34" i="61"/>
  <c r="R34" i="61"/>
  <c r="Q35" i="61"/>
  <c r="R35" i="61"/>
  <c r="R42" i="92"/>
  <c r="R43" i="92"/>
  <c r="R38" i="92"/>
  <c r="Q31" i="92"/>
  <c r="AA31" i="92" s="1"/>
  <c r="R31" i="92"/>
  <c r="Q32" i="61"/>
  <c r="R32" i="61"/>
  <c r="Q33" i="92"/>
  <c r="AA33" i="92" s="1"/>
  <c r="R33" i="92"/>
  <c r="Q14" i="92"/>
  <c r="AA14" i="92" s="1"/>
  <c r="R14" i="92"/>
  <c r="Q36" i="92"/>
  <c r="AA36" i="92" s="1"/>
  <c r="R36" i="92"/>
  <c r="Q31" i="61"/>
  <c r="R31" i="61"/>
  <c r="Q14" i="61"/>
  <c r="R14" i="61"/>
  <c r="F109" i="84"/>
  <c r="K66" i="21"/>
  <c r="K212" i="21" s="1"/>
  <c r="N8" i="135"/>
  <c r="C47" i="131" s="1"/>
  <c r="K137" i="84"/>
  <c r="C41" i="127" s="1"/>
  <c r="K124" i="84"/>
  <c r="L145" i="84"/>
  <c r="D49" i="127" s="1"/>
  <c r="L147" i="84"/>
  <c r="D51" i="127" s="1"/>
  <c r="N46" i="21"/>
  <c r="Z36" i="92"/>
  <c r="Z35" i="92"/>
  <c r="C13" i="127"/>
  <c r="K115" i="84"/>
  <c r="C19" i="127" s="1"/>
  <c r="K122" i="84"/>
  <c r="L115" i="84"/>
  <c r="D19" i="127" s="1"/>
  <c r="D13" i="127"/>
  <c r="L122" i="84"/>
  <c r="G51" i="61"/>
  <c r="G50" i="61" s="1"/>
  <c r="L123" i="84"/>
  <c r="G27" i="127" s="1"/>
  <c r="L138" i="84"/>
  <c r="D42" i="127" s="1"/>
  <c r="L124" i="84"/>
  <c r="K123" i="84"/>
  <c r="C27" i="127" s="1"/>
  <c r="K138" i="84"/>
  <c r="C42" i="127" s="1"/>
  <c r="J44" i="21"/>
  <c r="J61" i="21"/>
  <c r="J66" i="21"/>
  <c r="J212" i="21" s="1"/>
  <c r="N63" i="21"/>
  <c r="O32" i="21"/>
  <c r="O49" i="21"/>
  <c r="O53" i="21" s="1"/>
  <c r="O197" i="21"/>
  <c r="O43" i="21"/>
  <c r="O56" i="21"/>
  <c r="O60" i="21" s="1"/>
  <c r="O39" i="21"/>
  <c r="N34" i="21"/>
  <c r="F135" i="21"/>
  <c r="F35" i="21" s="1"/>
  <c r="G135" i="21"/>
  <c r="G35" i="21" s="1"/>
  <c r="J175" i="54"/>
  <c r="J188" i="54" s="1"/>
  <c r="I175" i="54"/>
  <c r="I188" i="54" s="1"/>
  <c r="G48" i="54"/>
  <c r="L2" i="145"/>
  <c r="E3" i="111"/>
  <c r="F143" i="150"/>
  <c r="F55" i="58"/>
  <c r="E46" i="131"/>
  <c r="P31" i="132"/>
  <c r="AA38" i="92"/>
  <c r="D2" i="145"/>
  <c r="G2" i="145"/>
  <c r="D34" i="133"/>
  <c r="D92" i="140"/>
  <c r="D17" i="140"/>
  <c r="E35" i="133"/>
  <c r="D60" i="58"/>
  <c r="D66" i="20"/>
  <c r="D72" i="20" s="1"/>
  <c r="J77" i="20" s="1"/>
  <c r="F68" i="20" s="1"/>
  <c r="O31" i="132"/>
  <c r="D46" i="131"/>
  <c r="AA43" i="92"/>
  <c r="J30" i="135"/>
  <c r="C3" i="145"/>
  <c r="AA35" i="92"/>
  <c r="AA32" i="92"/>
  <c r="D35" i="133"/>
  <c r="C6" i="129"/>
  <c r="F47" i="130"/>
  <c r="L27" i="135"/>
  <c r="L28" i="135"/>
  <c r="D94" i="140"/>
  <c r="AA42" i="92"/>
  <c r="F52" i="115"/>
  <c r="H47" i="92"/>
  <c r="H51" i="92"/>
  <c r="H50" i="92" s="1"/>
  <c r="H47" i="61"/>
  <c r="H51" i="61"/>
  <c r="H50" i="61" s="1"/>
  <c r="K51" i="61"/>
  <c r="K50" i="61" s="1"/>
  <c r="K47" i="61"/>
  <c r="E70" i="20"/>
  <c r="H40" i="93"/>
  <c r="H55" i="58" s="1"/>
  <c r="K48" i="92"/>
  <c r="G48" i="61"/>
  <c r="G47" i="61" s="1"/>
  <c r="G51" i="92"/>
  <c r="G50" i="92" s="1"/>
  <c r="E36" i="58"/>
  <c r="D37" i="58"/>
  <c r="D36" i="58" s="1"/>
  <c r="F34" i="133"/>
  <c r="F33" i="133"/>
  <c r="J27" i="135"/>
  <c r="J29" i="135"/>
  <c r="K64" i="21"/>
  <c r="K210" i="21" s="1"/>
  <c r="K208" i="21" s="1"/>
  <c r="I8" i="135"/>
  <c r="C115" i="150"/>
  <c r="L29" i="135"/>
  <c r="F46" i="150"/>
  <c r="D47" i="130"/>
  <c r="D46" i="150"/>
  <c r="F113" i="150"/>
  <c r="B4" i="111"/>
  <c r="E34" i="133"/>
  <c r="G33" i="133"/>
  <c r="G35" i="133"/>
  <c r="G34" i="133"/>
  <c r="D113" i="150"/>
  <c r="D33" i="133"/>
  <c r="E33" i="133"/>
  <c r="F35" i="133"/>
  <c r="D69" i="140"/>
  <c r="L51" i="115"/>
  <c r="G47" i="115"/>
  <c r="M43" i="115"/>
  <c r="M44" i="115"/>
  <c r="M46" i="115"/>
  <c r="L45" i="115"/>
  <c r="E47" i="115"/>
  <c r="L44" i="115"/>
  <c r="L46" i="115"/>
  <c r="L43" i="115"/>
  <c r="D46" i="130"/>
  <c r="J31" i="132"/>
  <c r="B56" i="115"/>
  <c r="C67" i="20"/>
  <c r="L58" i="55"/>
  <c r="E53" i="58" s="1"/>
  <c r="L119" i="84"/>
  <c r="D23" i="127" s="1"/>
  <c r="K119" i="84"/>
  <c r="C23" i="127" s="1"/>
  <c r="D217" i="54"/>
  <c r="D212" i="54"/>
  <c r="D111" i="20"/>
  <c r="AG75" i="20"/>
  <c r="G75" i="20" s="1"/>
  <c r="I75" i="20"/>
  <c r="I193" i="54"/>
  <c r="I195" i="54"/>
  <c r="I26" i="54"/>
  <c r="G41" i="54"/>
  <c r="G177" i="54" s="1"/>
  <c r="G190" i="54" s="1"/>
  <c r="G186" i="54"/>
  <c r="K129" i="84"/>
  <c r="C33" i="127" s="1"/>
  <c r="K128" i="84"/>
  <c r="C32" i="127" s="1"/>
  <c r="K127" i="84"/>
  <c r="C31" i="127" s="1"/>
  <c r="H192" i="54"/>
  <c r="J192" i="54"/>
  <c r="G176" i="54"/>
  <c r="G189" i="54" s="1"/>
  <c r="H187" i="54"/>
  <c r="H193" i="54"/>
  <c r="J177" i="54"/>
  <c r="J190" i="54" s="1"/>
  <c r="E162" i="54"/>
  <c r="E161" i="54"/>
  <c r="L129" i="84"/>
  <c r="D33" i="127" s="1"/>
  <c r="L128" i="84"/>
  <c r="D32" i="127" s="1"/>
  <c r="L127" i="84"/>
  <c r="D31" i="127" s="1"/>
  <c r="H195" i="54"/>
  <c r="H47" i="54"/>
  <c r="H26" i="54" s="1"/>
  <c r="H24" i="54" s="1"/>
  <c r="L153" i="84"/>
  <c r="D57" i="127" s="1"/>
  <c r="L150" i="84"/>
  <c r="D54" i="127" s="1"/>
  <c r="L148" i="84"/>
  <c r="D52" i="127" s="1"/>
  <c r="L154" i="84"/>
  <c r="D58" i="127" s="1"/>
  <c r="L158" i="84"/>
  <c r="D62" i="127" s="1"/>
  <c r="L155" i="84"/>
  <c r="D59" i="127" s="1"/>
  <c r="K154" i="84"/>
  <c r="C58" i="127" s="1"/>
  <c r="K147" i="84"/>
  <c r="C51" i="127" s="1"/>
  <c r="K150" i="84"/>
  <c r="C54" i="127" s="1"/>
  <c r="K155" i="84"/>
  <c r="C59" i="127" s="1"/>
  <c r="K148" i="84"/>
  <c r="C52" i="127" s="1"/>
  <c r="K158" i="84"/>
  <c r="C62" i="127" s="1"/>
  <c r="K153" i="84"/>
  <c r="C57" i="127" s="1"/>
  <c r="K114" i="84"/>
  <c r="K113" i="84"/>
  <c r="K112" i="84"/>
  <c r="K111" i="84"/>
  <c r="C15" i="127" s="1"/>
  <c r="D54" i="112"/>
  <c r="L90" i="85"/>
  <c r="L89" i="85" s="1"/>
  <c r="L114" i="84"/>
  <c r="L113" i="84"/>
  <c r="L112" i="84"/>
  <c r="L111" i="84"/>
  <c r="D15" i="127" s="1"/>
  <c r="L106" i="84"/>
  <c r="G197" i="54"/>
  <c r="J47" i="54"/>
  <c r="J26" i="54" s="1"/>
  <c r="J195" i="54"/>
  <c r="G169" i="54"/>
  <c r="G166" i="54"/>
  <c r="J23" i="54"/>
  <c r="J170" i="54" s="1"/>
  <c r="J167" i="54"/>
  <c r="L108" i="84"/>
  <c r="D12" i="127" s="1"/>
  <c r="L134" i="84"/>
  <c r="D38" i="127" s="1"/>
  <c r="L116" i="84"/>
  <c r="D20" i="127" s="1"/>
  <c r="F196" i="21"/>
  <c r="F48" i="21"/>
  <c r="F52" i="21" s="1"/>
  <c r="F55" i="21"/>
  <c r="F59" i="21" s="1"/>
  <c r="E195" i="21"/>
  <c r="E193" i="21" s="1"/>
  <c r="E47" i="21"/>
  <c r="E51" i="21" s="1"/>
  <c r="E54" i="21"/>
  <c r="E58" i="21" s="1"/>
  <c r="O196" i="21"/>
  <c r="O55" i="21"/>
  <c r="O59" i="21" s="1"/>
  <c r="O48" i="21"/>
  <c r="O52" i="21" s="1"/>
  <c r="P129" i="21"/>
  <c r="P133" i="21" s="1"/>
  <c r="L107" i="84"/>
  <c r="D11" i="127" s="1"/>
  <c r="L125" i="84"/>
  <c r="D29" i="127" s="1"/>
  <c r="L161" i="84"/>
  <c r="D65" i="127" s="1"/>
  <c r="L131" i="84"/>
  <c r="D35" i="127" s="1"/>
  <c r="L132" i="84"/>
  <c r="D36" i="127" s="1"/>
  <c r="G100" i="84"/>
  <c r="K107" i="84"/>
  <c r="C11" i="127" s="1"/>
  <c r="K145" i="84"/>
  <c r="C49" i="127" s="1"/>
  <c r="L151" i="84"/>
  <c r="D55" i="127" s="1"/>
  <c r="L146" i="84"/>
  <c r="D50" i="127" s="1"/>
  <c r="L139" i="84"/>
  <c r="D43" i="127" s="1"/>
  <c r="L136" i="84"/>
  <c r="D40" i="127" s="1"/>
  <c r="L156" i="84"/>
  <c r="D60" i="127" s="1"/>
  <c r="L133" i="84"/>
  <c r="D37" i="127" s="1"/>
  <c r="L152" i="84"/>
  <c r="D56" i="127" s="1"/>
  <c r="F10" i="98"/>
  <c r="K125" i="84"/>
  <c r="C29" i="127" s="1"/>
  <c r="K126" i="84"/>
  <c r="C30" i="127" s="1"/>
  <c r="L164" i="84"/>
  <c r="D68" i="127" s="1"/>
  <c r="I68" i="127" s="1"/>
  <c r="L126" i="84"/>
  <c r="D30" i="127" s="1"/>
  <c r="G14" i="22"/>
  <c r="K161" i="84"/>
  <c r="C65" i="127" s="1"/>
  <c r="L110" i="84"/>
  <c r="D14" i="127" s="1"/>
  <c r="E160" i="54"/>
  <c r="E25" i="98"/>
  <c r="K152" i="84"/>
  <c r="C56" i="127" s="1"/>
  <c r="K132" i="84"/>
  <c r="C36" i="127" s="1"/>
  <c r="K139" i="84"/>
  <c r="C43" i="127" s="1"/>
  <c r="K106" i="84"/>
  <c r="L135" i="84"/>
  <c r="D39" i="127" s="1"/>
  <c r="K130" i="84"/>
  <c r="C34" i="127" s="1"/>
  <c r="L130" i="84"/>
  <c r="D34" i="127" s="1"/>
  <c r="L159" i="84"/>
  <c r="D63" i="127" s="1"/>
  <c r="L160" i="84"/>
  <c r="D64" i="127" s="1"/>
  <c r="K159" i="84"/>
  <c r="C63" i="127" s="1"/>
  <c r="K131" i="84"/>
  <c r="C35" i="127" s="1"/>
  <c r="K146" i="84"/>
  <c r="C50" i="127" s="1"/>
  <c r="K108" i="84"/>
  <c r="C12" i="127" s="1"/>
  <c r="K134" i="84"/>
  <c r="C38" i="127" s="1"/>
  <c r="K116" i="84"/>
  <c r="C20" i="127" s="1"/>
  <c r="K156" i="84"/>
  <c r="C60" i="127" s="1"/>
  <c r="K133" i="84"/>
  <c r="C37" i="127" s="1"/>
  <c r="K136" i="84"/>
  <c r="C40" i="127" s="1"/>
  <c r="K110" i="84"/>
  <c r="C14" i="127" s="1"/>
  <c r="K157" i="84"/>
  <c r="C61" i="127" s="1"/>
  <c r="K135" i="84"/>
  <c r="C39" i="127" s="1"/>
  <c r="G88" i="22"/>
  <c r="M64" i="22"/>
  <c r="K151" i="84"/>
  <c r="C55" i="127" s="1"/>
  <c r="L157" i="84"/>
  <c r="D61" i="127" s="1"/>
  <c r="K160" i="84"/>
  <c r="C64" i="127" s="1"/>
  <c r="L142" i="84"/>
  <c r="D46" i="127" s="1"/>
  <c r="L137" i="84"/>
  <c r="D41" i="127" s="1"/>
  <c r="K164" i="84"/>
  <c r="C68" i="127" s="1"/>
  <c r="H68" i="127" s="1"/>
  <c r="E39" i="93"/>
  <c r="K142" i="84"/>
  <c r="C46" i="127" s="1"/>
  <c r="D125" i="21"/>
  <c r="L125" i="21" s="1"/>
  <c r="L128" i="21" s="1"/>
  <c r="I100" i="84"/>
  <c r="I6" i="83"/>
  <c r="I61" i="83" s="1"/>
  <c r="J100" i="84"/>
  <c r="J6" i="83"/>
  <c r="J61" i="83" s="1"/>
  <c r="H100" i="84"/>
  <c r="H6" i="83"/>
  <c r="H61" i="83" s="1"/>
  <c r="G55" i="83"/>
  <c r="G11" i="83"/>
  <c r="G22" i="83"/>
  <c r="G15" i="83"/>
  <c r="G29" i="83"/>
  <c r="G25" i="83"/>
  <c r="G39" i="83"/>
  <c r="G34" i="83"/>
  <c r="G53" i="83"/>
  <c r="G49" i="83"/>
  <c r="G45" i="83"/>
  <c r="G62" i="83"/>
  <c r="G57" i="83"/>
  <c r="G20" i="83"/>
  <c r="G14" i="83"/>
  <c r="G41" i="83"/>
  <c r="G47" i="83"/>
  <c r="G16" i="83"/>
  <c r="G13" i="83"/>
  <c r="G52" i="83"/>
  <c r="G60" i="83"/>
  <c r="G17" i="83"/>
  <c r="G18" i="83"/>
  <c r="G31" i="83"/>
  <c r="G26" i="83"/>
  <c r="G35" i="83"/>
  <c r="G50" i="83"/>
  <c r="G46" i="83"/>
  <c r="G42" i="83"/>
  <c r="G58" i="83"/>
  <c r="G59" i="83"/>
  <c r="G48" i="83"/>
  <c r="G19" i="83"/>
  <c r="G12" i="83"/>
  <c r="G27" i="83"/>
  <c r="G37" i="83"/>
  <c r="G32" i="83"/>
  <c r="G51" i="83"/>
  <c r="G43" i="83"/>
  <c r="G28" i="83"/>
  <c r="G33" i="83"/>
  <c r="G44" i="83"/>
  <c r="G56" i="83"/>
  <c r="G36" i="83"/>
  <c r="G30" i="83"/>
  <c r="H88" i="22"/>
  <c r="E63" i="21"/>
  <c r="E30" i="21"/>
  <c r="F31" i="21"/>
  <c r="E45" i="21"/>
  <c r="E65" i="21" s="1"/>
  <c r="E211" i="21" s="1"/>
  <c r="E46" i="21"/>
  <c r="P34" i="21"/>
  <c r="P31" i="21" s="1"/>
  <c r="O33" i="21"/>
  <c r="O30" i="21" s="1"/>
  <c r="O42" i="21"/>
  <c r="O38" i="21"/>
  <c r="F42" i="21"/>
  <c r="F38" i="21"/>
  <c r="G34" i="21"/>
  <c r="E41" i="21"/>
  <c r="E37" i="21"/>
  <c r="D27" i="21"/>
  <c r="D68" i="21" s="1"/>
  <c r="R82" i="21" s="1"/>
  <c r="G36" i="54"/>
  <c r="K98" i="54"/>
  <c r="J97" i="54"/>
  <c r="J96" i="54" s="1"/>
  <c r="J95" i="54" s="1"/>
  <c r="AF30" i="57" l="1"/>
  <c r="AF18" i="57"/>
  <c r="AF14" i="57"/>
  <c r="AF40" i="57"/>
  <c r="AF35" i="57"/>
  <c r="AF28" i="57"/>
  <c r="AF31" i="57"/>
  <c r="AF32" i="57"/>
  <c r="AF39" i="57"/>
  <c r="AF33" i="57"/>
  <c r="N66" i="21"/>
  <c r="N212" i="21" s="1"/>
  <c r="G36" i="135"/>
  <c r="G143" i="150" s="1"/>
  <c r="G29" i="135"/>
  <c r="G136" i="150" s="1"/>
  <c r="G11" i="135"/>
  <c r="G30" i="135"/>
  <c r="G137" i="150" s="1"/>
  <c r="G34" i="135"/>
  <c r="G27" i="135"/>
  <c r="G134" i="150" s="1"/>
  <c r="G15" i="135"/>
  <c r="G28" i="135"/>
  <c r="G135" i="150" s="1"/>
  <c r="O63" i="21"/>
  <c r="F141" i="21"/>
  <c r="O46" i="21"/>
  <c r="E66" i="20"/>
  <c r="N8" i="132" s="1"/>
  <c r="C46" i="131" s="1"/>
  <c r="D27" i="127"/>
  <c r="I27" i="127" s="1"/>
  <c r="H8" i="135"/>
  <c r="M8" i="135"/>
  <c r="C46" i="151"/>
  <c r="R8" i="135"/>
  <c r="G112" i="20"/>
  <c r="G114" i="20"/>
  <c r="G115" i="20"/>
  <c r="G21" i="92"/>
  <c r="H21" i="92" s="1"/>
  <c r="G47" i="54"/>
  <c r="G26" i="54" s="1"/>
  <c r="B10" i="20" s="1"/>
  <c r="C10" i="20" s="1"/>
  <c r="C14" i="20" s="1"/>
  <c r="F27" i="127"/>
  <c r="H27" i="127" s="1"/>
  <c r="C18" i="134"/>
  <c r="G141" i="21"/>
  <c r="J64" i="21"/>
  <c r="J210" i="21" s="1"/>
  <c r="J208" i="21" s="1"/>
  <c r="F197" i="21"/>
  <c r="F43" i="21"/>
  <c r="F49" i="21"/>
  <c r="F53" i="21" s="1"/>
  <c r="F56" i="21"/>
  <c r="F60" i="21" s="1"/>
  <c r="F32" i="21"/>
  <c r="F39" i="21"/>
  <c r="F33" i="21"/>
  <c r="F37" i="21" s="1"/>
  <c r="G49" i="21"/>
  <c r="G53" i="21" s="1"/>
  <c r="G43" i="21"/>
  <c r="G197" i="21"/>
  <c r="G56" i="21"/>
  <c r="G60" i="21" s="1"/>
  <c r="G32" i="21"/>
  <c r="G39" i="21"/>
  <c r="N31" i="21"/>
  <c r="N196" i="21"/>
  <c r="N33" i="21"/>
  <c r="N55" i="21"/>
  <c r="N59" i="21" s="1"/>
  <c r="N42" i="21"/>
  <c r="N48" i="21"/>
  <c r="N52" i="21" s="1"/>
  <c r="N38" i="21"/>
  <c r="P135" i="21"/>
  <c r="P35" i="21" s="1"/>
  <c r="H208" i="54"/>
  <c r="H207" i="54"/>
  <c r="H205" i="54"/>
  <c r="H204" i="54"/>
  <c r="H16" i="54"/>
  <c r="H172" i="54"/>
  <c r="D143" i="150"/>
  <c r="C3" i="111"/>
  <c r="F89" i="140"/>
  <c r="F2" i="145"/>
  <c r="G48" i="92"/>
  <c r="G47" i="92" s="1"/>
  <c r="E90" i="140"/>
  <c r="G90" i="140"/>
  <c r="F88" i="140"/>
  <c r="I8" i="132"/>
  <c r="D73" i="20"/>
  <c r="J78" i="20" s="1"/>
  <c r="F69" i="20" s="1"/>
  <c r="D71" i="20"/>
  <c r="J76" i="20" s="1"/>
  <c r="F67" i="20" s="1"/>
  <c r="D74" i="20"/>
  <c r="J79" i="20" s="1"/>
  <c r="F70" i="20" s="1"/>
  <c r="G88" i="140"/>
  <c r="E88" i="140"/>
  <c r="E91" i="140"/>
  <c r="G92" i="140"/>
  <c r="F90" i="140"/>
  <c r="E92" i="140"/>
  <c r="F91" i="140"/>
  <c r="G91" i="140"/>
  <c r="F92" i="140"/>
  <c r="R8" i="132"/>
  <c r="G34" i="22"/>
  <c r="G36" i="22" s="1"/>
  <c r="G195" i="54"/>
  <c r="E21" i="98"/>
  <c r="C2" i="145"/>
  <c r="K47" i="92"/>
  <c r="K51" i="92"/>
  <c r="K50" i="92" s="1"/>
  <c r="C6" i="145"/>
  <c r="F51" i="115"/>
  <c r="F56" i="115" s="1"/>
  <c r="E54" i="58"/>
  <c r="H39" i="93"/>
  <c r="D88" i="140"/>
  <c r="D89" i="140"/>
  <c r="D90" i="140"/>
  <c r="D20" i="142"/>
  <c r="C47" i="130"/>
  <c r="C46" i="150"/>
  <c r="G69" i="140"/>
  <c r="D70" i="140"/>
  <c r="D122" i="150"/>
  <c r="L42" i="115"/>
  <c r="M42" i="115"/>
  <c r="C10" i="127"/>
  <c r="C13" i="134"/>
  <c r="C70" i="20"/>
  <c r="C66" i="20" s="1"/>
  <c r="X58" i="55"/>
  <c r="F92" i="150"/>
  <c r="H164" i="84"/>
  <c r="H153" i="84"/>
  <c r="H129" i="84"/>
  <c r="H160" i="84"/>
  <c r="H154" i="84"/>
  <c r="H150" i="84"/>
  <c r="H142" i="84"/>
  <c r="H155" i="84"/>
  <c r="H151" i="84"/>
  <c r="H147" i="84"/>
  <c r="H127" i="84"/>
  <c r="H158" i="84"/>
  <c r="H152" i="84"/>
  <c r="H128" i="84"/>
  <c r="H157" i="84"/>
  <c r="H119" i="84"/>
  <c r="H156" i="84"/>
  <c r="H159" i="84"/>
  <c r="H135" i="84"/>
  <c r="H149" i="84"/>
  <c r="H123" i="84"/>
  <c r="H143" i="84"/>
  <c r="H161" i="84"/>
  <c r="H125" i="84"/>
  <c r="H124" i="84"/>
  <c r="H115" i="84"/>
  <c r="H106" i="84"/>
  <c r="H126" i="84"/>
  <c r="H108" i="84"/>
  <c r="H110" i="84"/>
  <c r="H114" i="84"/>
  <c r="H111" i="84"/>
  <c r="H113" i="84"/>
  <c r="H112" i="84"/>
  <c r="H109" i="84"/>
  <c r="H145" i="84"/>
  <c r="H146" i="84"/>
  <c r="H148" i="84"/>
  <c r="H136" i="84"/>
  <c r="H116" i="84"/>
  <c r="H130" i="84"/>
  <c r="H134" i="84"/>
  <c r="H162" i="84"/>
  <c r="H133" i="84"/>
  <c r="H137" i="84"/>
  <c r="H132" i="84"/>
  <c r="H138" i="84"/>
  <c r="H139" i="84"/>
  <c r="H122" i="84"/>
  <c r="H107" i="84"/>
  <c r="H131" i="84"/>
  <c r="G110" i="84"/>
  <c r="F100" i="84"/>
  <c r="L10" i="98"/>
  <c r="L111" i="20"/>
  <c r="G220" i="54"/>
  <c r="H220" i="54"/>
  <c r="F220" i="54"/>
  <c r="E220" i="54"/>
  <c r="G113" i="20"/>
  <c r="M11" i="98"/>
  <c r="N11" i="98" s="1"/>
  <c r="G39" i="54"/>
  <c r="D222" i="54" s="1"/>
  <c r="D225" i="54" s="1"/>
  <c r="G174" i="54"/>
  <c r="G187" i="54" s="1"/>
  <c r="L75" i="20"/>
  <c r="K111" i="20" s="1"/>
  <c r="K75" i="20"/>
  <c r="J111" i="20" s="1"/>
  <c r="J112" i="20" s="1"/>
  <c r="F30" i="127"/>
  <c r="H30" i="127" s="1"/>
  <c r="F15" i="127"/>
  <c r="H15" i="127" s="1"/>
  <c r="F67" i="127"/>
  <c r="H67" i="127" s="1"/>
  <c r="F60" i="127"/>
  <c r="H60" i="127" s="1"/>
  <c r="F64" i="127"/>
  <c r="H64" i="127" s="1"/>
  <c r="F46" i="127"/>
  <c r="H46" i="127" s="1"/>
  <c r="F40" i="127"/>
  <c r="H40" i="127" s="1"/>
  <c r="F39" i="127"/>
  <c r="H39" i="127" s="1"/>
  <c r="F20" i="127"/>
  <c r="H20" i="127" s="1"/>
  <c r="F55" i="127"/>
  <c r="H55" i="127" s="1"/>
  <c r="F49" i="127"/>
  <c r="H49" i="127" s="1"/>
  <c r="F43" i="127"/>
  <c r="H43" i="127" s="1"/>
  <c r="F50" i="127"/>
  <c r="H50" i="127" s="1"/>
  <c r="F56" i="127"/>
  <c r="H56" i="127" s="1"/>
  <c r="F35" i="127"/>
  <c r="H35" i="127" s="1"/>
  <c r="F63" i="127"/>
  <c r="H63" i="127" s="1"/>
  <c r="F45" i="127"/>
  <c r="F41" i="127"/>
  <c r="H41" i="127" s="1"/>
  <c r="F23" i="127"/>
  <c r="H23" i="127" s="1"/>
  <c r="F44" i="127"/>
  <c r="F14" i="127"/>
  <c r="H14" i="127" s="1"/>
  <c r="F29" i="127"/>
  <c r="H29" i="127" s="1"/>
  <c r="F34" i="127"/>
  <c r="H34" i="127" s="1"/>
  <c r="F61" i="127"/>
  <c r="H61" i="127" s="1"/>
  <c r="F52" i="127"/>
  <c r="H52" i="127" s="1"/>
  <c r="F13" i="127"/>
  <c r="H13" i="127" s="1"/>
  <c r="F38" i="127"/>
  <c r="H38" i="127" s="1"/>
  <c r="F12" i="127"/>
  <c r="H12" i="127" s="1"/>
  <c r="F65" i="127"/>
  <c r="H65" i="127" s="1"/>
  <c r="F19" i="127"/>
  <c r="H19" i="127" s="1"/>
  <c r="F42" i="127"/>
  <c r="H42" i="127" s="1"/>
  <c r="F36" i="127"/>
  <c r="H36" i="127" s="1"/>
  <c r="F37" i="127"/>
  <c r="H37" i="127" s="1"/>
  <c r="D26" i="127"/>
  <c r="G17" i="127"/>
  <c r="D17" i="127"/>
  <c r="C26" i="127"/>
  <c r="C16" i="127"/>
  <c r="F16" i="127"/>
  <c r="G192" i="54"/>
  <c r="G15" i="92"/>
  <c r="D10" i="127"/>
  <c r="G16" i="127"/>
  <c r="D16" i="127"/>
  <c r="C53" i="127"/>
  <c r="D53" i="127"/>
  <c r="G53" i="127"/>
  <c r="J193" i="54"/>
  <c r="J187" i="54"/>
  <c r="F18" i="127"/>
  <c r="C18" i="127"/>
  <c r="G30" i="127"/>
  <c r="I30" i="127" s="1"/>
  <c r="G62" i="127"/>
  <c r="I62" i="127" s="1"/>
  <c r="G59" i="127"/>
  <c r="I59" i="127" s="1"/>
  <c r="G54" i="127"/>
  <c r="I54" i="127" s="1"/>
  <c r="G31" i="127"/>
  <c r="I31" i="127" s="1"/>
  <c r="G58" i="127"/>
  <c r="I58" i="127" s="1"/>
  <c r="G57" i="127"/>
  <c r="I57" i="127" s="1"/>
  <c r="G51" i="127"/>
  <c r="I51" i="127" s="1"/>
  <c r="G33" i="127"/>
  <c r="I33" i="127" s="1"/>
  <c r="G32" i="127"/>
  <c r="I32" i="127" s="1"/>
  <c r="G28" i="127"/>
  <c r="D28" i="127"/>
  <c r="D18" i="127"/>
  <c r="G18" i="127"/>
  <c r="C28" i="127"/>
  <c r="F28" i="127"/>
  <c r="C17" i="127"/>
  <c r="F17" i="127"/>
  <c r="G23" i="54"/>
  <c r="G170" i="54" s="1"/>
  <c r="G167" i="54"/>
  <c r="O195" i="21"/>
  <c r="O193" i="21" s="1"/>
  <c r="O54" i="21"/>
  <c r="O58" i="21" s="1"/>
  <c r="O47" i="21"/>
  <c r="O51" i="21" s="1"/>
  <c r="G196" i="21"/>
  <c r="G55" i="21"/>
  <c r="G59" i="21" s="1"/>
  <c r="G48" i="21"/>
  <c r="G52" i="21" s="1"/>
  <c r="P196" i="21"/>
  <c r="P48" i="21"/>
  <c r="P52" i="21" s="1"/>
  <c r="P55" i="21"/>
  <c r="P59" i="21" s="1"/>
  <c r="D51" i="109"/>
  <c r="F51" i="109" s="1"/>
  <c r="B3" i="111"/>
  <c r="G160" i="84"/>
  <c r="G157" i="84"/>
  <c r="G107" i="84"/>
  <c r="G127" i="84"/>
  <c r="G113" i="84"/>
  <c r="G116" i="84"/>
  <c r="G137" i="84"/>
  <c r="G147" i="84"/>
  <c r="G146" i="84"/>
  <c r="G153" i="84"/>
  <c r="G111" i="84"/>
  <c r="G159" i="84"/>
  <c r="G162" i="84"/>
  <c r="G136" i="84"/>
  <c r="G148" i="84"/>
  <c r="G161" i="84"/>
  <c r="G149" i="84"/>
  <c r="G128" i="84"/>
  <c r="G156" i="84"/>
  <c r="G132" i="84"/>
  <c r="G119" i="84"/>
  <c r="G109" i="84"/>
  <c r="G112" i="84"/>
  <c r="G130" i="84"/>
  <c r="G122" i="84"/>
  <c r="G139" i="84"/>
  <c r="G164" i="84"/>
  <c r="G155" i="84"/>
  <c r="G150" i="84"/>
  <c r="G143" i="84"/>
  <c r="G129" i="84"/>
  <c r="G133" i="84"/>
  <c r="G106" i="84"/>
  <c r="G152" i="84"/>
  <c r="G126" i="84"/>
  <c r="G154" i="84"/>
  <c r="G142" i="84"/>
  <c r="G123" i="84"/>
  <c r="G115" i="84"/>
  <c r="G114" i="84"/>
  <c r="G108" i="84"/>
  <c r="G134" i="84"/>
  <c r="G131" i="84"/>
  <c r="G138" i="84"/>
  <c r="G145" i="84"/>
  <c r="G158" i="84"/>
  <c r="G151" i="84"/>
  <c r="G135" i="84"/>
  <c r="G125" i="84"/>
  <c r="K10" i="98"/>
  <c r="G15" i="61"/>
  <c r="T2" i="145"/>
  <c r="U2" i="145"/>
  <c r="S2" i="145"/>
  <c r="R2" i="145"/>
  <c r="G55" i="127"/>
  <c r="I55" i="127" s="1"/>
  <c r="G21" i="61"/>
  <c r="D40" i="93"/>
  <c r="I110" i="84"/>
  <c r="I111" i="84"/>
  <c r="I123" i="84"/>
  <c r="I125" i="84"/>
  <c r="I127" i="84"/>
  <c r="I128" i="84"/>
  <c r="I129" i="84"/>
  <c r="I135" i="84"/>
  <c r="I142" i="84"/>
  <c r="I143" i="84"/>
  <c r="I147" i="84"/>
  <c r="I149" i="84"/>
  <c r="I150" i="84"/>
  <c r="I151" i="84"/>
  <c r="I153" i="84"/>
  <c r="I154" i="84"/>
  <c r="I155" i="84"/>
  <c r="I158" i="84"/>
  <c r="I160" i="84"/>
  <c r="I161" i="84"/>
  <c r="I164" i="84"/>
  <c r="I145" i="84"/>
  <c r="I139" i="84"/>
  <c r="I138" i="84"/>
  <c r="I137" i="84"/>
  <c r="I148" i="84"/>
  <c r="I126" i="84"/>
  <c r="I136" i="84"/>
  <c r="I152" i="84"/>
  <c r="I134" i="84"/>
  <c r="I122" i="84"/>
  <c r="I131" i="84"/>
  <c r="I130" i="84"/>
  <c r="I157" i="84"/>
  <c r="I146" i="84"/>
  <c r="I109" i="84"/>
  <c r="I114" i="84"/>
  <c r="I112" i="84"/>
  <c r="I108" i="84"/>
  <c r="I113" i="84"/>
  <c r="I106" i="84"/>
  <c r="I116" i="84"/>
  <c r="I162" i="84"/>
  <c r="I119" i="84"/>
  <c r="I133" i="84"/>
  <c r="I132" i="84"/>
  <c r="I115" i="84"/>
  <c r="I107" i="84"/>
  <c r="I159" i="84"/>
  <c r="I156" i="84"/>
  <c r="J128" i="84"/>
  <c r="J135" i="84"/>
  <c r="J142" i="84"/>
  <c r="J143" i="84"/>
  <c r="J145" i="84"/>
  <c r="J147" i="84"/>
  <c r="J149" i="84"/>
  <c r="J150" i="84"/>
  <c r="J153" i="84"/>
  <c r="J155" i="84"/>
  <c r="J158" i="84"/>
  <c r="J160" i="84"/>
  <c r="J110" i="84"/>
  <c r="J111" i="84"/>
  <c r="J123" i="84"/>
  <c r="J125" i="84"/>
  <c r="J127" i="84"/>
  <c r="J129" i="84"/>
  <c r="J151" i="84"/>
  <c r="J154" i="84"/>
  <c r="J161" i="84"/>
  <c r="J164" i="84"/>
  <c r="J137" i="84"/>
  <c r="J148" i="84"/>
  <c r="J126" i="84"/>
  <c r="J139" i="84"/>
  <c r="J138" i="84"/>
  <c r="J134" i="84"/>
  <c r="J157" i="84"/>
  <c r="J130" i="84"/>
  <c r="J136" i="84"/>
  <c r="J131" i="84"/>
  <c r="J146" i="84"/>
  <c r="J122" i="84"/>
  <c r="J152" i="84"/>
  <c r="J113" i="84"/>
  <c r="J106" i="84"/>
  <c r="J109" i="84"/>
  <c r="J114" i="84"/>
  <c r="J112" i="84"/>
  <c r="J108" i="84"/>
  <c r="J116" i="84"/>
  <c r="J162" i="84"/>
  <c r="J119" i="84"/>
  <c r="J133" i="84"/>
  <c r="J132" i="84"/>
  <c r="J115" i="84"/>
  <c r="J107" i="84"/>
  <c r="J159" i="84"/>
  <c r="J156" i="84"/>
  <c r="M125" i="21"/>
  <c r="M128" i="21" s="1"/>
  <c r="M129" i="21" s="1"/>
  <c r="M133" i="21" s="1"/>
  <c r="I18" i="83"/>
  <c r="I31" i="83"/>
  <c r="I26" i="83"/>
  <c r="I35" i="83"/>
  <c r="I50" i="83"/>
  <c r="I46" i="83"/>
  <c r="I42" i="83"/>
  <c r="I58" i="83"/>
  <c r="I13" i="83"/>
  <c r="I52" i="83"/>
  <c r="I60" i="83"/>
  <c r="I55" i="83"/>
  <c r="I20" i="83"/>
  <c r="I22" i="83"/>
  <c r="I25" i="83"/>
  <c r="I53" i="83"/>
  <c r="I62" i="83"/>
  <c r="I14" i="83"/>
  <c r="I11" i="83"/>
  <c r="I19" i="83"/>
  <c r="I12" i="83"/>
  <c r="I27" i="83"/>
  <c r="I41" i="83"/>
  <c r="I37" i="83"/>
  <c r="I32" i="83"/>
  <c r="I51" i="83"/>
  <c r="I47" i="83"/>
  <c r="I43" i="83"/>
  <c r="I59" i="83"/>
  <c r="I28" i="83"/>
  <c r="I48" i="83"/>
  <c r="I15" i="83"/>
  <c r="I34" i="83"/>
  <c r="I45" i="83"/>
  <c r="I17" i="83"/>
  <c r="I33" i="83"/>
  <c r="I44" i="83"/>
  <c r="I56" i="83"/>
  <c r="I16" i="83"/>
  <c r="I29" i="83"/>
  <c r="I39" i="83"/>
  <c r="I49" i="83"/>
  <c r="I57" i="83"/>
  <c r="I36" i="83"/>
  <c r="I30" i="83"/>
  <c r="G10" i="83"/>
  <c r="F6" i="83"/>
  <c r="H29" i="83"/>
  <c r="H15" i="83"/>
  <c r="H18" i="83"/>
  <c r="H19" i="83"/>
  <c r="H37" i="83"/>
  <c r="H32" i="83"/>
  <c r="H51" i="83"/>
  <c r="H47" i="83"/>
  <c r="H43" i="83"/>
  <c r="H59" i="83"/>
  <c r="H55" i="83"/>
  <c r="H20" i="83"/>
  <c r="H14" i="83"/>
  <c r="H39" i="83"/>
  <c r="H53" i="83"/>
  <c r="H62" i="83"/>
  <c r="H12" i="83"/>
  <c r="H46" i="83"/>
  <c r="H22" i="83"/>
  <c r="H41" i="83"/>
  <c r="H33" i="83"/>
  <c r="H52" i="83"/>
  <c r="H48" i="83"/>
  <c r="H44" i="83"/>
  <c r="H60" i="83"/>
  <c r="H56" i="83"/>
  <c r="H31" i="83"/>
  <c r="H35" i="83"/>
  <c r="H42" i="83"/>
  <c r="H11" i="83"/>
  <c r="H25" i="83"/>
  <c r="H13" i="83"/>
  <c r="H27" i="83"/>
  <c r="H28" i="83"/>
  <c r="H34" i="83"/>
  <c r="H49" i="83"/>
  <c r="H45" i="83"/>
  <c r="H57" i="83"/>
  <c r="H16" i="83"/>
  <c r="H26" i="83"/>
  <c r="H50" i="83"/>
  <c r="H58" i="83"/>
  <c r="H17" i="83"/>
  <c r="H36" i="83"/>
  <c r="H30" i="83"/>
  <c r="J18" i="83"/>
  <c r="J31" i="83"/>
  <c r="J26" i="83"/>
  <c r="J35" i="83"/>
  <c r="J50" i="83"/>
  <c r="J46" i="83"/>
  <c r="J42" i="83"/>
  <c r="J58" i="83"/>
  <c r="J20" i="83"/>
  <c r="J14" i="83"/>
  <c r="J15" i="83"/>
  <c r="J39" i="83"/>
  <c r="J53" i="83"/>
  <c r="J62" i="83"/>
  <c r="J11" i="83"/>
  <c r="J19" i="83"/>
  <c r="J12" i="83"/>
  <c r="J27" i="83"/>
  <c r="J41" i="83"/>
  <c r="J37" i="83"/>
  <c r="J32" i="83"/>
  <c r="J51" i="83"/>
  <c r="J47" i="83"/>
  <c r="J43" i="83"/>
  <c r="J59" i="83"/>
  <c r="J55" i="83"/>
  <c r="J16" i="83"/>
  <c r="J25" i="83"/>
  <c r="J45" i="83"/>
  <c r="J17" i="83"/>
  <c r="J13" i="83"/>
  <c r="J28" i="83"/>
  <c r="J33" i="83"/>
  <c r="J52" i="83"/>
  <c r="J48" i="83"/>
  <c r="J44" i="83"/>
  <c r="J60" i="83"/>
  <c r="J56" i="83"/>
  <c r="J22" i="83"/>
  <c r="J29" i="83"/>
  <c r="J34" i="83"/>
  <c r="J49" i="83"/>
  <c r="J57" i="83"/>
  <c r="J36" i="83"/>
  <c r="J30" i="83"/>
  <c r="F62" i="21"/>
  <c r="E61" i="21"/>
  <c r="O62" i="21"/>
  <c r="E66" i="21"/>
  <c r="E212" i="21" s="1"/>
  <c r="G31" i="21"/>
  <c r="E44" i="21"/>
  <c r="O45" i="21"/>
  <c r="O37" i="21"/>
  <c r="O41" i="21"/>
  <c r="G38" i="21"/>
  <c r="G42" i="21"/>
  <c r="G33" i="21"/>
  <c r="L129" i="21"/>
  <c r="L132" i="21"/>
  <c r="P42" i="21"/>
  <c r="P38" i="21"/>
  <c r="F45" i="21"/>
  <c r="L98" i="54"/>
  <c r="K97" i="54"/>
  <c r="K96" i="54" s="1"/>
  <c r="K95" i="54" s="1"/>
  <c r="F63" i="21" l="1"/>
  <c r="E71" i="20"/>
  <c r="I76" i="20" s="1"/>
  <c r="G67" i="20" s="1"/>
  <c r="O66" i="21"/>
  <c r="O212" i="21" s="1"/>
  <c r="G63" i="21"/>
  <c r="E72" i="20"/>
  <c r="I77" i="20" s="1"/>
  <c r="G68" i="20" s="1"/>
  <c r="H68" i="20" s="1"/>
  <c r="E74" i="20"/>
  <c r="I79" i="20" s="1"/>
  <c r="G70" i="20" s="1"/>
  <c r="H70" i="20" s="1"/>
  <c r="E73" i="20"/>
  <c r="I78" i="20" s="1"/>
  <c r="G69" i="20" s="1"/>
  <c r="H69" i="20" s="1"/>
  <c r="C45" i="151"/>
  <c r="F46" i="21"/>
  <c r="R29" i="135"/>
  <c r="N29" i="135" s="1"/>
  <c r="M30" i="135"/>
  <c r="I30" i="135" s="1"/>
  <c r="M29" i="135"/>
  <c r="I29" i="135" s="1"/>
  <c r="M11" i="135"/>
  <c r="R30" i="135"/>
  <c r="N30" i="135" s="1"/>
  <c r="R27" i="135"/>
  <c r="N27" i="135" s="1"/>
  <c r="R28" i="135"/>
  <c r="N28" i="135" s="1"/>
  <c r="R11" i="135"/>
  <c r="M15" i="135"/>
  <c r="M27" i="135"/>
  <c r="I27" i="135" s="1"/>
  <c r="M34" i="135"/>
  <c r="R15" i="135"/>
  <c r="M28" i="135"/>
  <c r="R34" i="135"/>
  <c r="B46" i="115"/>
  <c r="C45" i="150"/>
  <c r="M8" i="132"/>
  <c r="G46" i="150"/>
  <c r="G47" i="130"/>
  <c r="G46" i="151"/>
  <c r="G47" i="131"/>
  <c r="C87" i="150"/>
  <c r="G13" i="134"/>
  <c r="G87" i="150" s="1"/>
  <c r="C92" i="150"/>
  <c r="G18" i="134"/>
  <c r="G92" i="150" s="1"/>
  <c r="G45" i="151"/>
  <c r="O55" i="83"/>
  <c r="H8" i="132"/>
  <c r="G46" i="21"/>
  <c r="K21" i="92"/>
  <c r="I21" i="92"/>
  <c r="C18" i="133"/>
  <c r="G18" i="133" s="1"/>
  <c r="J21" i="92"/>
  <c r="G49" i="54"/>
  <c r="H49" i="54" s="1"/>
  <c r="I49" i="54" s="1"/>
  <c r="J49" i="54" s="1"/>
  <c r="K49" i="54" s="1"/>
  <c r="L49" i="54" s="1"/>
  <c r="M49" i="54" s="1"/>
  <c r="N49" i="54" s="1"/>
  <c r="O49" i="54" s="1"/>
  <c r="P49" i="54" s="1"/>
  <c r="Q49" i="54" s="1"/>
  <c r="R49" i="54" s="1"/>
  <c r="S49" i="54" s="1"/>
  <c r="G24" i="54"/>
  <c r="F89" i="150"/>
  <c r="F47" i="21"/>
  <c r="F51" i="21" s="1"/>
  <c r="F30" i="21"/>
  <c r="F54" i="21"/>
  <c r="F58" i="21" s="1"/>
  <c r="F195" i="21"/>
  <c r="F193" i="21" s="1"/>
  <c r="F41" i="21"/>
  <c r="F44" i="21" s="1"/>
  <c r="O52" i="83"/>
  <c r="N62" i="21"/>
  <c r="P141" i="21"/>
  <c r="N45" i="21"/>
  <c r="P32" i="21"/>
  <c r="P39" i="21"/>
  <c r="P197" i="21"/>
  <c r="P49" i="21"/>
  <c r="P53" i="21" s="1"/>
  <c r="P33" i="21"/>
  <c r="P30" i="21" s="1"/>
  <c r="P43" i="21"/>
  <c r="P56" i="21"/>
  <c r="P60" i="21" s="1"/>
  <c r="L134" i="21"/>
  <c r="L34" i="21" s="1"/>
  <c r="L31" i="21" s="1"/>
  <c r="M135" i="21"/>
  <c r="M35" i="21" s="1"/>
  <c r="N30" i="21"/>
  <c r="N195" i="21"/>
  <c r="N193" i="21" s="1"/>
  <c r="N47" i="21"/>
  <c r="N51" i="21" s="1"/>
  <c r="N41" i="21"/>
  <c r="N54" i="21"/>
  <c r="N58" i="21" s="1"/>
  <c r="N37" i="21"/>
  <c r="C46" i="130"/>
  <c r="H67" i="20"/>
  <c r="E89" i="140"/>
  <c r="G89" i="140"/>
  <c r="F66" i="20"/>
  <c r="F71" i="20" s="1"/>
  <c r="G46" i="131"/>
  <c r="G175" i="54"/>
  <c r="G188" i="54" s="1"/>
  <c r="F69" i="140"/>
  <c r="F70" i="140"/>
  <c r="E69" i="140"/>
  <c r="C75" i="20"/>
  <c r="F25" i="127"/>
  <c r="F120" i="150"/>
  <c r="F122" i="150"/>
  <c r="K15" i="61"/>
  <c r="I15" i="61"/>
  <c r="J15" i="61"/>
  <c r="H15" i="61"/>
  <c r="I21" i="61"/>
  <c r="J21" i="61"/>
  <c r="H21" i="61"/>
  <c r="K21" i="61"/>
  <c r="H58" i="55"/>
  <c r="H53" i="58"/>
  <c r="I15" i="92"/>
  <c r="K15" i="92"/>
  <c r="H15" i="92"/>
  <c r="J15" i="92"/>
  <c r="D39" i="93"/>
  <c r="D55" i="58"/>
  <c r="E141" i="150"/>
  <c r="D123" i="150"/>
  <c r="F141" i="150"/>
  <c r="C143" i="150"/>
  <c r="D20" i="140"/>
  <c r="D120" i="150"/>
  <c r="P12" i="135"/>
  <c r="L14" i="135"/>
  <c r="P16" i="135"/>
  <c r="J11" i="135"/>
  <c r="G22" i="127"/>
  <c r="G10" i="127"/>
  <c r="I10" i="127" s="1"/>
  <c r="F22" i="127"/>
  <c r="G26" i="127"/>
  <c r="I26" i="127" s="1"/>
  <c r="D121" i="150"/>
  <c r="G11" i="127"/>
  <c r="I11" i="127" s="1"/>
  <c r="F26" i="127"/>
  <c r="H26" i="127" s="1"/>
  <c r="F11" i="127"/>
  <c r="H11" i="127" s="1"/>
  <c r="H5" i="145"/>
  <c r="D224" i="54"/>
  <c r="D223" i="54"/>
  <c r="C76" i="20" s="1"/>
  <c r="D226" i="54"/>
  <c r="K11" i="135"/>
  <c r="J12" i="135"/>
  <c r="Q12" i="135"/>
  <c r="J34" i="135"/>
  <c r="B111" i="20"/>
  <c r="B141" i="20"/>
  <c r="O15" i="135"/>
  <c r="J15" i="135"/>
  <c r="C13" i="133"/>
  <c r="G13" i="133" s="1"/>
  <c r="H216" i="54"/>
  <c r="H218" i="54" s="1"/>
  <c r="E24" i="98"/>
  <c r="E23" i="98" s="1"/>
  <c r="F87" i="150"/>
  <c r="G111" i="20"/>
  <c r="H18" i="127"/>
  <c r="I53" i="127"/>
  <c r="H212" i="54"/>
  <c r="H215" i="54" s="1"/>
  <c r="G216" i="54"/>
  <c r="G218" i="54" s="1"/>
  <c r="F212" i="54"/>
  <c r="F215" i="54" s="1"/>
  <c r="F216" i="54"/>
  <c r="F218" i="54" s="1"/>
  <c r="E212" i="54"/>
  <c r="E215" i="54" s="1"/>
  <c r="E216" i="54"/>
  <c r="E218" i="54" s="1"/>
  <c r="G212" i="54"/>
  <c r="G215" i="54" s="1"/>
  <c r="C74" i="20"/>
  <c r="H17" i="127"/>
  <c r="H16" i="127"/>
  <c r="G193" i="54"/>
  <c r="I16" i="127"/>
  <c r="J113" i="20"/>
  <c r="J115" i="20"/>
  <c r="J114" i="20"/>
  <c r="I18" i="127"/>
  <c r="K113" i="20"/>
  <c r="K112" i="20"/>
  <c r="K115" i="20"/>
  <c r="K114" i="20"/>
  <c r="C72" i="20"/>
  <c r="C73" i="20"/>
  <c r="C71" i="20"/>
  <c r="G29" i="127"/>
  <c r="I29" i="127" s="1"/>
  <c r="G44" i="127"/>
  <c r="G20" i="127"/>
  <c r="I20" i="127" s="1"/>
  <c r="G60" i="127"/>
  <c r="I60" i="127" s="1"/>
  <c r="G38" i="127"/>
  <c r="I38" i="127" s="1"/>
  <c r="G67" i="127"/>
  <c r="I67" i="127" s="1"/>
  <c r="F10" i="127"/>
  <c r="H10" i="127" s="1"/>
  <c r="F54" i="127"/>
  <c r="H54" i="127" s="1"/>
  <c r="F31" i="127"/>
  <c r="H31" i="127" s="1"/>
  <c r="I17" i="127"/>
  <c r="G46" i="127"/>
  <c r="I46" i="127" s="1"/>
  <c r="G50" i="127"/>
  <c r="I50" i="127" s="1"/>
  <c r="G61" i="127"/>
  <c r="I61" i="127" s="1"/>
  <c r="G41" i="127"/>
  <c r="I41" i="127" s="1"/>
  <c r="G23" i="127"/>
  <c r="I23" i="127" s="1"/>
  <c r="G14" i="127"/>
  <c r="I14" i="127" s="1"/>
  <c r="G19" i="127"/>
  <c r="I19" i="127" s="1"/>
  <c r="G40" i="127"/>
  <c r="I40" i="127" s="1"/>
  <c r="F33" i="127"/>
  <c r="H33" i="127" s="1"/>
  <c r="F58" i="127"/>
  <c r="H58" i="127" s="1"/>
  <c r="F32" i="127"/>
  <c r="H32" i="127" s="1"/>
  <c r="G49" i="127"/>
  <c r="I49" i="127" s="1"/>
  <c r="G63" i="127"/>
  <c r="I63" i="127" s="1"/>
  <c r="G43" i="127"/>
  <c r="I43" i="127" s="1"/>
  <c r="G35" i="127"/>
  <c r="I35" i="127" s="1"/>
  <c r="G34" i="127"/>
  <c r="I34" i="127" s="1"/>
  <c r="G39" i="127"/>
  <c r="I39" i="127" s="1"/>
  <c r="G42" i="127"/>
  <c r="I42" i="127" s="1"/>
  <c r="G45" i="127"/>
  <c r="F62" i="127"/>
  <c r="H62" i="127" s="1"/>
  <c r="F59" i="127"/>
  <c r="H59" i="127" s="1"/>
  <c r="H28" i="127"/>
  <c r="I28" i="127"/>
  <c r="G65" i="127"/>
  <c r="I65" i="127" s="1"/>
  <c r="G12" i="127"/>
  <c r="I12" i="127" s="1"/>
  <c r="G64" i="127"/>
  <c r="I64" i="127" s="1"/>
  <c r="G13" i="127"/>
  <c r="I13" i="127" s="1"/>
  <c r="G37" i="127"/>
  <c r="I37" i="127" s="1"/>
  <c r="G36" i="127"/>
  <c r="I36" i="127" s="1"/>
  <c r="G15" i="127"/>
  <c r="I15" i="127" s="1"/>
  <c r="G52" i="127"/>
  <c r="I52" i="127" s="1"/>
  <c r="G56" i="127"/>
  <c r="I56" i="127" s="1"/>
  <c r="F53" i="127"/>
  <c r="H53" i="127" s="1"/>
  <c r="F57" i="127"/>
  <c r="H57" i="127" s="1"/>
  <c r="F51" i="127"/>
  <c r="H51" i="127" s="1"/>
  <c r="F66" i="21"/>
  <c r="F212" i="21" s="1"/>
  <c r="E5" i="145"/>
  <c r="F5" i="145"/>
  <c r="G195" i="21"/>
  <c r="G193" i="21" s="1"/>
  <c r="G54" i="21"/>
  <c r="G58" i="21" s="1"/>
  <c r="G47" i="21"/>
  <c r="G51" i="21" s="1"/>
  <c r="J51" i="109"/>
  <c r="K34" i="109" s="1"/>
  <c r="H51" i="109"/>
  <c r="I31" i="109" s="1"/>
  <c r="B16" i="20"/>
  <c r="B149" i="20" s="1"/>
  <c r="O48" i="83"/>
  <c r="O14" i="83"/>
  <c r="O26" i="83"/>
  <c r="O49" i="83"/>
  <c r="O43" i="83"/>
  <c r="O37" i="83"/>
  <c r="O50" i="83"/>
  <c r="O31" i="83"/>
  <c r="O44" i="83"/>
  <c r="O53" i="83"/>
  <c r="O46" i="83"/>
  <c r="O42" i="83"/>
  <c r="O56" i="83"/>
  <c r="O41" i="83"/>
  <c r="O12" i="83"/>
  <c r="O29" i="83"/>
  <c r="O45" i="83"/>
  <c r="O51" i="83"/>
  <c r="O27" i="83"/>
  <c r="O36" i="83"/>
  <c r="O11" i="83"/>
  <c r="O54" i="83"/>
  <c r="O39" i="83"/>
  <c r="O59" i="83"/>
  <c r="O15" i="83"/>
  <c r="O30" i="83"/>
  <c r="O58" i="83"/>
  <c r="O57" i="83"/>
  <c r="O28" i="83"/>
  <c r="O25" i="83"/>
  <c r="O17" i="83"/>
  <c r="O16" i="83"/>
  <c r="O34" i="83"/>
  <c r="O13" i="83"/>
  <c r="O35" i="83"/>
  <c r="O60" i="83"/>
  <c r="O33" i="83"/>
  <c r="O22" i="83"/>
  <c r="O62" i="83"/>
  <c r="O20" i="83"/>
  <c r="O47" i="83"/>
  <c r="O19" i="83"/>
  <c r="O32" i="83"/>
  <c r="O18" i="83"/>
  <c r="M132" i="21"/>
  <c r="D128" i="21"/>
  <c r="D132" i="21" s="1"/>
  <c r="F65" i="21"/>
  <c r="F211" i="21" s="1"/>
  <c r="J10" i="83"/>
  <c r="H10" i="83"/>
  <c r="I10" i="83"/>
  <c r="E64" i="21"/>
  <c r="E210" i="21" s="1"/>
  <c r="E208" i="21" s="1"/>
  <c r="B27" i="20"/>
  <c r="B161" i="20" s="1"/>
  <c r="O61" i="21"/>
  <c r="P62" i="21"/>
  <c r="G62" i="21"/>
  <c r="O65" i="21"/>
  <c r="O211" i="21" s="1"/>
  <c r="G30" i="21"/>
  <c r="G45" i="21"/>
  <c r="O44" i="21"/>
  <c r="L133" i="21"/>
  <c r="D129" i="21"/>
  <c r="D133" i="21" s="1"/>
  <c r="G37" i="21"/>
  <c r="G41" i="21"/>
  <c r="P45" i="21"/>
  <c r="M98" i="54"/>
  <c r="L97" i="54"/>
  <c r="L96" i="54" s="1"/>
  <c r="L95" i="54" s="1"/>
  <c r="G66" i="21" l="1"/>
  <c r="G212" i="21" s="1"/>
  <c r="G66" i="20"/>
  <c r="G73" i="20" s="1"/>
  <c r="F61" i="21"/>
  <c r="F64" i="21" s="1"/>
  <c r="F210" i="21" s="1"/>
  <c r="F208" i="21" s="1"/>
  <c r="R13" i="132"/>
  <c r="R19" i="132"/>
  <c r="R31" i="132"/>
  <c r="N31" i="132" s="1"/>
  <c r="M33" i="132"/>
  <c r="M31" i="132"/>
  <c r="I31" i="132" s="1"/>
  <c r="R14" i="132"/>
  <c r="R32" i="132"/>
  <c r="M14" i="132"/>
  <c r="M32" i="132"/>
  <c r="R33" i="132"/>
  <c r="M19" i="132"/>
  <c r="M13" i="132"/>
  <c r="H27" i="135"/>
  <c r="H30" i="135"/>
  <c r="Q15" i="92"/>
  <c r="R15" i="92"/>
  <c r="H29" i="135"/>
  <c r="Q21" i="92"/>
  <c r="R21" i="92"/>
  <c r="Q21" i="61"/>
  <c r="R21" i="61"/>
  <c r="Q15" i="61"/>
  <c r="R15" i="61"/>
  <c r="G45" i="150"/>
  <c r="G46" i="130"/>
  <c r="P54" i="21"/>
  <c r="P58" i="21" s="1"/>
  <c r="P47" i="21"/>
  <c r="P51" i="21" s="1"/>
  <c r="P195" i="21"/>
  <c r="P193" i="21" s="1"/>
  <c r="P37" i="21"/>
  <c r="P41" i="21"/>
  <c r="D135" i="21"/>
  <c r="L144" i="84"/>
  <c r="N65" i="21"/>
  <c r="N211" i="21" s="1"/>
  <c r="D134" i="21"/>
  <c r="K144" i="84"/>
  <c r="C78" i="20"/>
  <c r="B13" i="20" s="1"/>
  <c r="C79" i="20"/>
  <c r="B14" i="20" s="1"/>
  <c r="E26" i="98"/>
  <c r="J24" i="98"/>
  <c r="C91" i="20"/>
  <c r="N44" i="21"/>
  <c r="P63" i="21"/>
  <c r="M32" i="21"/>
  <c r="M49" i="21"/>
  <c r="M53" i="21" s="1"/>
  <c r="M56" i="21"/>
  <c r="M60" i="21" s="1"/>
  <c r="M39" i="21"/>
  <c r="M197" i="21"/>
  <c r="M43" i="21"/>
  <c r="L135" i="21"/>
  <c r="L35" i="21" s="1"/>
  <c r="M134" i="21"/>
  <c r="M141" i="21" s="1"/>
  <c r="N61" i="21"/>
  <c r="P46" i="21"/>
  <c r="F72" i="20"/>
  <c r="F73" i="20"/>
  <c r="F74" i="20"/>
  <c r="AH75" i="20"/>
  <c r="H75" i="20" s="1"/>
  <c r="E75" i="20"/>
  <c r="E79" i="20" s="1"/>
  <c r="L13" i="135"/>
  <c r="Q13" i="135"/>
  <c r="C77" i="20"/>
  <c r="B12" i="20" s="1"/>
  <c r="L15" i="135"/>
  <c r="L34" i="135"/>
  <c r="Q15" i="135"/>
  <c r="D75" i="20"/>
  <c r="D77" i="20" s="1"/>
  <c r="J14" i="135"/>
  <c r="O16" i="135"/>
  <c r="J16" i="135"/>
  <c r="D89" i="150"/>
  <c r="D92" i="150"/>
  <c r="D87" i="150"/>
  <c r="H54" i="58"/>
  <c r="D54" i="58" s="1"/>
  <c r="D53" i="58"/>
  <c r="O13" i="135"/>
  <c r="K34" i="135"/>
  <c r="J13" i="135"/>
  <c r="P34" i="135"/>
  <c r="O14" i="135"/>
  <c r="Q34" i="135"/>
  <c r="G118" i="150"/>
  <c r="L12" i="135"/>
  <c r="F119" i="150"/>
  <c r="K15" i="135"/>
  <c r="E122" i="150"/>
  <c r="P14" i="135"/>
  <c r="E121" i="150"/>
  <c r="Q14" i="135"/>
  <c r="F121" i="150"/>
  <c r="G141" i="150"/>
  <c r="P11" i="135"/>
  <c r="E118" i="150"/>
  <c r="G122" i="150"/>
  <c r="O12" i="135"/>
  <c r="D119" i="150"/>
  <c r="O34" i="135"/>
  <c r="D141" i="150"/>
  <c r="L11" i="135"/>
  <c r="F118" i="150"/>
  <c r="O11" i="135"/>
  <c r="D118" i="150"/>
  <c r="K12" i="135"/>
  <c r="E119" i="150"/>
  <c r="K16" i="135"/>
  <c r="E123" i="150"/>
  <c r="P13" i="135"/>
  <c r="E120" i="150"/>
  <c r="Q16" i="135"/>
  <c r="F123" i="150"/>
  <c r="P15" i="135"/>
  <c r="K14" i="135"/>
  <c r="L16" i="135"/>
  <c r="C29" i="146"/>
  <c r="C32" i="146"/>
  <c r="F32" i="146" s="1"/>
  <c r="M32" i="146" s="1"/>
  <c r="C31" i="146"/>
  <c r="F31" i="146" s="1"/>
  <c r="M31" i="146" s="1"/>
  <c r="G25" i="127"/>
  <c r="D74" i="140"/>
  <c r="E29" i="145"/>
  <c r="E33" i="145"/>
  <c r="E37" i="145"/>
  <c r="E53" i="145"/>
  <c r="E28" i="145"/>
  <c r="E32" i="145"/>
  <c r="E40" i="145"/>
  <c r="E52" i="145"/>
  <c r="E31" i="145"/>
  <c r="E39" i="145"/>
  <c r="E51" i="145"/>
  <c r="E55" i="145"/>
  <c r="E34" i="145"/>
  <c r="E50" i="145"/>
  <c r="E54" i="145"/>
  <c r="E35" i="145"/>
  <c r="H29" i="145"/>
  <c r="H33" i="145"/>
  <c r="H28" i="145"/>
  <c r="H32" i="145"/>
  <c r="H31" i="145"/>
  <c r="H34" i="145"/>
  <c r="K13" i="135"/>
  <c r="Q11" i="135"/>
  <c r="AG79" i="20"/>
  <c r="G79" i="20" s="1"/>
  <c r="C2" i="111"/>
  <c r="C52" i="115"/>
  <c r="F91" i="150"/>
  <c r="K16" i="109"/>
  <c r="F214" i="54"/>
  <c r="G214" i="54"/>
  <c r="I32" i="109"/>
  <c r="D218" i="54"/>
  <c r="H219" i="54" s="1"/>
  <c r="H214" i="54"/>
  <c r="K44" i="109"/>
  <c r="E214" i="54"/>
  <c r="AG76" i="20"/>
  <c r="G76" i="20" s="1"/>
  <c r="I115" i="20"/>
  <c r="L115" i="20" s="1"/>
  <c r="M115" i="20" s="1"/>
  <c r="I114" i="20"/>
  <c r="L114" i="20" s="1"/>
  <c r="M114" i="20" s="1"/>
  <c r="AG77" i="20"/>
  <c r="G77" i="20" s="1"/>
  <c r="I113" i="20"/>
  <c r="L113" i="20" s="1"/>
  <c r="M113" i="20" s="1"/>
  <c r="AG78" i="20"/>
  <c r="G78" i="20" s="1"/>
  <c r="I112" i="20"/>
  <c r="L112" i="20" s="1"/>
  <c r="M112" i="20" s="1"/>
  <c r="K15" i="109"/>
  <c r="I18" i="109"/>
  <c r="K10" i="109"/>
  <c r="K33" i="109"/>
  <c r="I11" i="109"/>
  <c r="K20" i="109"/>
  <c r="K31" i="109"/>
  <c r="I29" i="109"/>
  <c r="I9" i="109"/>
  <c r="I43" i="109"/>
  <c r="I33" i="109"/>
  <c r="K17" i="109"/>
  <c r="K14" i="109"/>
  <c r="K13" i="109"/>
  <c r="K30" i="109"/>
  <c r="K9" i="109"/>
  <c r="K37" i="109"/>
  <c r="I13" i="109"/>
  <c r="I19" i="109"/>
  <c r="I10" i="109"/>
  <c r="I30" i="109"/>
  <c r="I34" i="109"/>
  <c r="K18" i="109"/>
  <c r="J56" i="109"/>
  <c r="K29" i="109"/>
  <c r="K12" i="109"/>
  <c r="K50" i="109"/>
  <c r="I16" i="109"/>
  <c r="I44" i="109"/>
  <c r="K8" i="109"/>
  <c r="K19" i="109"/>
  <c r="K11" i="109"/>
  <c r="K32" i="109"/>
  <c r="K43" i="109"/>
  <c r="L196" i="21"/>
  <c r="L48" i="21"/>
  <c r="L52" i="21" s="1"/>
  <c r="L55" i="21"/>
  <c r="L59" i="21" s="1"/>
  <c r="V22" i="114"/>
  <c r="V21" i="114"/>
  <c r="X22" i="114"/>
  <c r="X29" i="114" s="1"/>
  <c r="Y22" i="114"/>
  <c r="Y29" i="114" s="1"/>
  <c r="W22" i="114"/>
  <c r="W29" i="114" s="1"/>
  <c r="D130" i="140"/>
  <c r="D129" i="140"/>
  <c r="O10" i="83"/>
  <c r="B47" i="20"/>
  <c r="C17" i="20"/>
  <c r="O64" i="21"/>
  <c r="O210" i="21" s="1"/>
  <c r="O208" i="21" s="1"/>
  <c r="G61" i="21"/>
  <c r="P65" i="21"/>
  <c r="P211" i="21" s="1"/>
  <c r="G65" i="21"/>
  <c r="G211" i="21" s="1"/>
  <c r="G44" i="21"/>
  <c r="L42" i="21"/>
  <c r="L38" i="21"/>
  <c r="M97" i="54"/>
  <c r="M96" i="54" s="1"/>
  <c r="M95" i="54" s="1"/>
  <c r="N98" i="54"/>
  <c r="H66" i="20" l="1"/>
  <c r="G74" i="20"/>
  <c r="G71" i="20"/>
  <c r="G72" i="20"/>
  <c r="P44" i="21"/>
  <c r="H31" i="132"/>
  <c r="P61" i="21"/>
  <c r="F144" i="84"/>
  <c r="H24" i="98"/>
  <c r="D141" i="21"/>
  <c r="L141" i="21"/>
  <c r="M63" i="21"/>
  <c r="B19" i="20"/>
  <c r="B152" i="20" s="1"/>
  <c r="N64" i="21"/>
  <c r="N210" i="21" s="1"/>
  <c r="N208" i="21" s="1"/>
  <c r="P66" i="21"/>
  <c r="P212" i="21" s="1"/>
  <c r="M46" i="21"/>
  <c r="M34" i="21"/>
  <c r="M31" i="21" s="1"/>
  <c r="L32" i="21"/>
  <c r="L49" i="21"/>
  <c r="L53" i="21" s="1"/>
  <c r="L39" i="21"/>
  <c r="D35" i="21"/>
  <c r="D32" i="21" s="1"/>
  <c r="L33" i="21"/>
  <c r="L30" i="21" s="1"/>
  <c r="L56" i="21"/>
  <c r="L60" i="21" s="1"/>
  <c r="L43" i="21"/>
  <c r="L197" i="21"/>
  <c r="Q197" i="21" s="1"/>
  <c r="G74" i="140"/>
  <c r="D76" i="140"/>
  <c r="E74" i="140"/>
  <c r="E107" i="140"/>
  <c r="D52" i="109"/>
  <c r="F52" i="109" s="1"/>
  <c r="E77" i="20"/>
  <c r="E76" i="20"/>
  <c r="F74" i="140"/>
  <c r="G24" i="98"/>
  <c r="E78" i="20"/>
  <c r="D77" i="140"/>
  <c r="I15" i="135"/>
  <c r="E77" i="140"/>
  <c r="D78" i="20"/>
  <c r="AH78" i="20"/>
  <c r="H78" i="20" s="1"/>
  <c r="AH77" i="20"/>
  <c r="H77" i="20" s="1"/>
  <c r="D79" i="20"/>
  <c r="AH76" i="20"/>
  <c r="H76" i="20" s="1"/>
  <c r="D76" i="20"/>
  <c r="G77" i="140"/>
  <c r="N15" i="135"/>
  <c r="AH79" i="20"/>
  <c r="H79" i="20" s="1"/>
  <c r="F120" i="140"/>
  <c r="I24" i="98"/>
  <c r="C51" i="115"/>
  <c r="K54" i="115" s="1"/>
  <c r="E123" i="140"/>
  <c r="D120" i="140"/>
  <c r="D109" i="140"/>
  <c r="F77" i="140"/>
  <c r="U5" i="145"/>
  <c r="F121" i="140"/>
  <c r="D125" i="140"/>
  <c r="D105" i="140"/>
  <c r="G107" i="140"/>
  <c r="B2" i="111"/>
  <c r="F104" i="140"/>
  <c r="F123" i="140"/>
  <c r="E109" i="140"/>
  <c r="F125" i="140"/>
  <c r="C5" i="145"/>
  <c r="D119" i="140"/>
  <c r="F119" i="140"/>
  <c r="G123" i="140"/>
  <c r="E120" i="140"/>
  <c r="D104" i="140"/>
  <c r="E108" i="140"/>
  <c r="F105" i="140"/>
  <c r="G122" i="140"/>
  <c r="G130" i="140"/>
  <c r="G129" i="140"/>
  <c r="F129" i="140"/>
  <c r="E130" i="140"/>
  <c r="F130" i="140"/>
  <c r="E129" i="140"/>
  <c r="D91" i="150"/>
  <c r="N34" i="135"/>
  <c r="I11" i="135"/>
  <c r="N11" i="135"/>
  <c r="E121" i="142"/>
  <c r="G123" i="142"/>
  <c r="G122" i="142"/>
  <c r="G121" i="142"/>
  <c r="F123" i="142"/>
  <c r="F120" i="142"/>
  <c r="D77" i="142"/>
  <c r="D104" i="142"/>
  <c r="F76" i="140"/>
  <c r="E122" i="142"/>
  <c r="G120" i="142"/>
  <c r="F121" i="142"/>
  <c r="F104" i="142"/>
  <c r="D121" i="142"/>
  <c r="D123" i="142"/>
  <c r="D108" i="142"/>
  <c r="D119" i="142"/>
  <c r="E123" i="142"/>
  <c r="E120" i="142"/>
  <c r="G105" i="142"/>
  <c r="G104" i="142"/>
  <c r="F105" i="142"/>
  <c r="D107" i="142"/>
  <c r="D105" i="142"/>
  <c r="D71" i="142"/>
  <c r="E108" i="142"/>
  <c r="E105" i="142"/>
  <c r="E104" i="142"/>
  <c r="G108" i="142"/>
  <c r="F108" i="142"/>
  <c r="F122" i="142"/>
  <c r="D120" i="142"/>
  <c r="D122" i="142"/>
  <c r="E104" i="140"/>
  <c r="G109" i="142"/>
  <c r="E109" i="142"/>
  <c r="F109" i="142"/>
  <c r="D109" i="142"/>
  <c r="F29" i="146"/>
  <c r="C33" i="146"/>
  <c r="F33" i="146" s="1"/>
  <c r="M33" i="146" s="1"/>
  <c r="U15" i="92"/>
  <c r="Z15" i="92" s="1"/>
  <c r="F71" i="142"/>
  <c r="D74" i="142"/>
  <c r="U18" i="92"/>
  <c r="Z18" i="92" s="1"/>
  <c r="F74" i="142"/>
  <c r="V15" i="92"/>
  <c r="AA15" i="92" s="1"/>
  <c r="G71" i="142"/>
  <c r="V18" i="92"/>
  <c r="G74" i="142"/>
  <c r="Y15" i="92"/>
  <c r="E71" i="142"/>
  <c r="Y18" i="92"/>
  <c r="E74" i="142"/>
  <c r="U21" i="92"/>
  <c r="Z21" i="92" s="1"/>
  <c r="F77" i="142"/>
  <c r="V21" i="92"/>
  <c r="AA21" i="92" s="1"/>
  <c r="G77" i="142"/>
  <c r="Y21" i="92"/>
  <c r="E77" i="142"/>
  <c r="F71" i="140"/>
  <c r="G71" i="140"/>
  <c r="E71" i="140"/>
  <c r="D71" i="140"/>
  <c r="H23" i="98"/>
  <c r="B20" i="20"/>
  <c r="B153" i="20" s="1"/>
  <c r="B29" i="20"/>
  <c r="B163" i="20" s="1"/>
  <c r="C84" i="145"/>
  <c r="C81" i="145"/>
  <c r="C78" i="145"/>
  <c r="B18" i="20"/>
  <c r="B151" i="20" s="1"/>
  <c r="B30" i="20"/>
  <c r="B50" i="20" s="1"/>
  <c r="B114" i="20"/>
  <c r="G23" i="98"/>
  <c r="B113" i="20"/>
  <c r="B145" i="20"/>
  <c r="B146" i="20"/>
  <c r="B31" i="20"/>
  <c r="B147" i="20"/>
  <c r="I23" i="98"/>
  <c r="B115" i="20"/>
  <c r="D52" i="115"/>
  <c r="G219" i="54"/>
  <c r="F219" i="54"/>
  <c r="E219" i="54"/>
  <c r="C111" i="20"/>
  <c r="H73" i="20"/>
  <c r="H114" i="20" s="1"/>
  <c r="H71" i="20"/>
  <c r="H112" i="20" s="1"/>
  <c r="H72" i="20"/>
  <c r="H113" i="20" s="1"/>
  <c r="H74" i="20"/>
  <c r="H115" i="20" s="1"/>
  <c r="N115" i="20" s="1"/>
  <c r="M111" i="20"/>
  <c r="W21" i="114"/>
  <c r="W28" i="114" s="1"/>
  <c r="Y21" i="114"/>
  <c r="Y28" i="114" s="1"/>
  <c r="V28" i="114"/>
  <c r="U22" i="114"/>
  <c r="V29" i="114"/>
  <c r="U29" i="114" s="1"/>
  <c r="X21" i="114"/>
  <c r="X28" i="114" s="1"/>
  <c r="X15" i="92"/>
  <c r="C28" i="20"/>
  <c r="C12" i="20"/>
  <c r="C18" i="20" s="1"/>
  <c r="G64" i="21"/>
  <c r="G210" i="21" s="1"/>
  <c r="G208" i="21" s="1"/>
  <c r="L62" i="21"/>
  <c r="L45" i="21"/>
  <c r="O98" i="54"/>
  <c r="N97" i="54"/>
  <c r="N96" i="54" s="1"/>
  <c r="N95" i="54" s="1"/>
  <c r="P64" i="21" l="1"/>
  <c r="P210" i="21" s="1"/>
  <c r="P208" i="21" s="1"/>
  <c r="G26" i="98"/>
  <c r="E41" i="132"/>
  <c r="L195" i="21"/>
  <c r="L193" i="21" s="1"/>
  <c r="L41" i="21"/>
  <c r="L37" i="21"/>
  <c r="M66" i="21"/>
  <c r="M212" i="21" s="1"/>
  <c r="D56" i="21"/>
  <c r="D60" i="21" s="1"/>
  <c r="G41" i="132"/>
  <c r="I26" i="98"/>
  <c r="H21" i="98"/>
  <c r="F41" i="132"/>
  <c r="H26" i="98"/>
  <c r="D34" i="21"/>
  <c r="M48" i="21"/>
  <c r="M52" i="21" s="1"/>
  <c r="M38" i="21"/>
  <c r="L54" i="21"/>
  <c r="L58" i="21" s="1"/>
  <c r="L47" i="21"/>
  <c r="L51" i="21" s="1"/>
  <c r="I21" i="98"/>
  <c r="D39" i="21"/>
  <c r="S35" i="21"/>
  <c r="L63" i="21"/>
  <c r="M42" i="21"/>
  <c r="D197" i="21"/>
  <c r="R197" i="21" s="1"/>
  <c r="M55" i="21"/>
  <c r="M59" i="21" s="1"/>
  <c r="D49" i="21"/>
  <c r="D53" i="21" s="1"/>
  <c r="D43" i="21"/>
  <c r="M33" i="21"/>
  <c r="M30" i="21" s="1"/>
  <c r="M196" i="21"/>
  <c r="Q196" i="21" s="1"/>
  <c r="L46" i="21"/>
  <c r="G121" i="140"/>
  <c r="G76" i="140"/>
  <c r="G104" i="140"/>
  <c r="H52" i="109"/>
  <c r="T5" i="145"/>
  <c r="J52" i="109"/>
  <c r="R5" i="145"/>
  <c r="G120" i="140"/>
  <c r="D123" i="140"/>
  <c r="K55" i="115"/>
  <c r="Q52" i="145" s="1"/>
  <c r="G119" i="140"/>
  <c r="E105" i="140"/>
  <c r="H15" i="135"/>
  <c r="E122" i="140"/>
  <c r="E125" i="140"/>
  <c r="D51" i="115"/>
  <c r="D56" i="115" s="1"/>
  <c r="S5" i="145"/>
  <c r="E76" i="140"/>
  <c r="F108" i="140"/>
  <c r="D121" i="140"/>
  <c r="G125" i="140"/>
  <c r="D108" i="140"/>
  <c r="K53" i="115"/>
  <c r="C56" i="115"/>
  <c r="F122" i="140"/>
  <c r="K52" i="115"/>
  <c r="F109" i="140"/>
  <c r="G108" i="140"/>
  <c r="G105" i="140"/>
  <c r="E119" i="140"/>
  <c r="D107" i="140"/>
  <c r="G106" i="140"/>
  <c r="D122" i="140"/>
  <c r="Q50" i="145"/>
  <c r="F118" i="140"/>
  <c r="E106" i="140"/>
  <c r="E121" i="140"/>
  <c r="G109" i="140"/>
  <c r="Q51" i="145"/>
  <c r="N50" i="145"/>
  <c r="X18" i="92"/>
  <c r="X21" i="92"/>
  <c r="E125" i="142"/>
  <c r="E76" i="142"/>
  <c r="F129" i="142"/>
  <c r="D130" i="142"/>
  <c r="D125" i="142"/>
  <c r="G125" i="142"/>
  <c r="D76" i="142"/>
  <c r="E119" i="142"/>
  <c r="F130" i="142"/>
  <c r="G130" i="142"/>
  <c r="F119" i="142"/>
  <c r="G129" i="142"/>
  <c r="G76" i="142"/>
  <c r="D118" i="142"/>
  <c r="D129" i="142"/>
  <c r="F125" i="142"/>
  <c r="E129" i="142"/>
  <c r="F76" i="142"/>
  <c r="G119" i="142"/>
  <c r="E130" i="142"/>
  <c r="D106" i="142"/>
  <c r="M29" i="146"/>
  <c r="G107" i="142"/>
  <c r="E107" i="142"/>
  <c r="F107" i="142"/>
  <c r="N51" i="145"/>
  <c r="F107" i="140"/>
  <c r="B49" i="20"/>
  <c r="C83" i="145"/>
  <c r="B164" i="20"/>
  <c r="B51" i="20"/>
  <c r="B165" i="20"/>
  <c r="H11" i="135"/>
  <c r="B44" i="115"/>
  <c r="N113" i="20"/>
  <c r="N112" i="20"/>
  <c r="E101" i="20" s="1"/>
  <c r="N114" i="20"/>
  <c r="C115" i="20"/>
  <c r="C114" i="20"/>
  <c r="C113" i="20"/>
  <c r="G21" i="98"/>
  <c r="H57" i="112"/>
  <c r="D196" i="21"/>
  <c r="D55" i="21"/>
  <c r="D59" i="21" s="1"/>
  <c r="D48" i="21"/>
  <c r="D52" i="21" s="1"/>
  <c r="F23" i="84"/>
  <c r="U21" i="114"/>
  <c r="U28" i="114"/>
  <c r="Y20" i="92"/>
  <c r="X20" i="92"/>
  <c r="V20" i="92"/>
  <c r="U20" i="92"/>
  <c r="Z20" i="92" s="1"/>
  <c r="D42" i="21"/>
  <c r="S34" i="21"/>
  <c r="T37" i="55"/>
  <c r="G36" i="112" s="1"/>
  <c r="D33" i="21"/>
  <c r="D38" i="21"/>
  <c r="D31" i="21"/>
  <c r="C29" i="20"/>
  <c r="D18" i="20"/>
  <c r="L65" i="21"/>
  <c r="L211" i="21" s="1"/>
  <c r="O97" i="54"/>
  <c r="O96" i="54" s="1"/>
  <c r="O95" i="54" s="1"/>
  <c r="P98" i="54"/>
  <c r="L44" i="21" l="1"/>
  <c r="M45" i="21"/>
  <c r="L61" i="21"/>
  <c r="D63" i="21"/>
  <c r="Q53" i="145"/>
  <c r="Q54" i="145"/>
  <c r="G118" i="140"/>
  <c r="M21" i="112"/>
  <c r="M62" i="21"/>
  <c r="D46" i="21"/>
  <c r="M195" i="21"/>
  <c r="M193" i="21" s="1"/>
  <c r="Q193" i="21" s="1"/>
  <c r="T193" i="21" s="1"/>
  <c r="L66" i="21"/>
  <c r="L212" i="21" s="1"/>
  <c r="J144" i="84"/>
  <c r="H144" i="84"/>
  <c r="I144" i="84"/>
  <c r="G144" i="84"/>
  <c r="M47" i="21"/>
  <c r="M51" i="21" s="1"/>
  <c r="M54" i="21"/>
  <c r="M58" i="21" s="1"/>
  <c r="M41" i="21"/>
  <c r="M37" i="21"/>
  <c r="R196" i="21"/>
  <c r="L37" i="112"/>
  <c r="Q37" i="112" s="1"/>
  <c r="E118" i="140"/>
  <c r="K37" i="112"/>
  <c r="L23" i="112"/>
  <c r="N37" i="145"/>
  <c r="K52" i="145"/>
  <c r="D118" i="140"/>
  <c r="K41" i="112"/>
  <c r="K51" i="115"/>
  <c r="D106" i="140"/>
  <c r="H51" i="145"/>
  <c r="L36" i="112"/>
  <c r="Q36" i="112" s="1"/>
  <c r="F38" i="140"/>
  <c r="M36" i="112"/>
  <c r="R36" i="112" s="1"/>
  <c r="M37" i="112"/>
  <c r="R37" i="112" s="1"/>
  <c r="E16" i="140"/>
  <c r="F36" i="140"/>
  <c r="G118" i="142"/>
  <c r="G36" i="140"/>
  <c r="F40" i="140"/>
  <c r="F118" i="142"/>
  <c r="F51" i="140"/>
  <c r="E118" i="142"/>
  <c r="F16" i="140"/>
  <c r="G51" i="142"/>
  <c r="E106" i="142"/>
  <c r="F106" i="140"/>
  <c r="F106" i="142"/>
  <c r="G106" i="142"/>
  <c r="M40" i="112"/>
  <c r="R40" i="112" s="1"/>
  <c r="F38" i="142"/>
  <c r="N35" i="145"/>
  <c r="M18" i="145"/>
  <c r="M30" i="145" s="1"/>
  <c r="Q55" i="145"/>
  <c r="L38" i="112"/>
  <c r="Q38" i="112" s="1"/>
  <c r="N52" i="145"/>
  <c r="N39" i="145"/>
  <c r="J18" i="145"/>
  <c r="J30" i="145" s="1"/>
  <c r="N55" i="145"/>
  <c r="N54" i="145"/>
  <c r="N53" i="145"/>
  <c r="M38" i="112"/>
  <c r="R38" i="112" s="1"/>
  <c r="L40" i="112"/>
  <c r="H53" i="145"/>
  <c r="L25" i="112"/>
  <c r="B45" i="115"/>
  <c r="B43" i="115"/>
  <c r="AF38" i="55"/>
  <c r="L41" i="112"/>
  <c r="H111" i="20"/>
  <c r="N111" i="20" s="1"/>
  <c r="E57" i="112"/>
  <c r="AF39" i="55"/>
  <c r="F57" i="112"/>
  <c r="AF20" i="55"/>
  <c r="AF21" i="55"/>
  <c r="AF37" i="55"/>
  <c r="G57" i="112"/>
  <c r="AE58" i="55"/>
  <c r="AF19" i="55"/>
  <c r="AF40" i="55"/>
  <c r="AF41" i="55"/>
  <c r="AF58" i="55"/>
  <c r="D54" i="21"/>
  <c r="D58" i="21" s="1"/>
  <c r="D47" i="21"/>
  <c r="D223" i="21" s="1"/>
  <c r="D41" i="21"/>
  <c r="D195" i="21"/>
  <c r="D193" i="21" s="1"/>
  <c r="S33" i="21"/>
  <c r="E35" i="98"/>
  <c r="E36" i="98" s="1"/>
  <c r="D62" i="21"/>
  <c r="D37" i="21"/>
  <c r="D45" i="21"/>
  <c r="D30" i="21"/>
  <c r="D29" i="20"/>
  <c r="D49" i="20" s="1"/>
  <c r="Q98" i="54"/>
  <c r="P97" i="54"/>
  <c r="P96" i="54" s="1"/>
  <c r="P95" i="54" s="1"/>
  <c r="L64" i="21" l="1"/>
  <c r="L210" i="21" s="1"/>
  <c r="L208" i="21" s="1"/>
  <c r="M65" i="21"/>
  <c r="M211" i="21" s="1"/>
  <c r="D66" i="21"/>
  <c r="S66" i="21" s="1"/>
  <c r="M44" i="21"/>
  <c r="Q39" i="145"/>
  <c r="Q35" i="145"/>
  <c r="G40" i="140"/>
  <c r="G51" i="140"/>
  <c r="D44" i="21"/>
  <c r="Q195" i="21"/>
  <c r="R195" i="21" s="1"/>
  <c r="M61" i="21"/>
  <c r="D65" i="21"/>
  <c r="F48" i="127"/>
  <c r="G48" i="127"/>
  <c r="K55" i="145"/>
  <c r="E51" i="140"/>
  <c r="E36" i="140"/>
  <c r="E40" i="140"/>
  <c r="K51" i="145"/>
  <c r="K39" i="145"/>
  <c r="K53" i="145"/>
  <c r="K25" i="112"/>
  <c r="K35" i="145"/>
  <c r="K40" i="112"/>
  <c r="E41" i="140"/>
  <c r="G36" i="142"/>
  <c r="K54" i="145"/>
  <c r="O50" i="145"/>
  <c r="K36" i="112"/>
  <c r="K50" i="145"/>
  <c r="L50" i="145"/>
  <c r="L21" i="112"/>
  <c r="F40" i="142"/>
  <c r="L37" i="145"/>
  <c r="G40" i="142"/>
  <c r="M41" i="112"/>
  <c r="G38" i="140"/>
  <c r="F36" i="142"/>
  <c r="G16" i="140"/>
  <c r="F41" i="140"/>
  <c r="D36" i="140"/>
  <c r="D38" i="140"/>
  <c r="E38" i="140"/>
  <c r="D40" i="140"/>
  <c r="E40" i="142"/>
  <c r="G41" i="140"/>
  <c r="F51" i="142"/>
  <c r="F16" i="142"/>
  <c r="E16" i="142"/>
  <c r="K37" i="145"/>
  <c r="N40" i="145"/>
  <c r="H50" i="145"/>
  <c r="H35" i="145"/>
  <c r="H37" i="145"/>
  <c r="F82" i="150"/>
  <c r="L18" i="145"/>
  <c r="D6" i="111"/>
  <c r="I18" i="145"/>
  <c r="P18" i="145"/>
  <c r="P30" i="145" s="1"/>
  <c r="H39" i="145"/>
  <c r="Q40" i="145"/>
  <c r="Q37" i="145"/>
  <c r="H54" i="145"/>
  <c r="H52" i="145"/>
  <c r="L52" i="145"/>
  <c r="O52" i="145"/>
  <c r="E6" i="111"/>
  <c r="G28" i="98"/>
  <c r="C145" i="20"/>
  <c r="E145" i="20" s="1"/>
  <c r="D51" i="21"/>
  <c r="D61" i="21" s="1"/>
  <c r="D212" i="21"/>
  <c r="R193" i="21"/>
  <c r="D10" i="84"/>
  <c r="G17" i="120"/>
  <c r="G16" i="120"/>
  <c r="F18" i="20"/>
  <c r="Q97" i="54"/>
  <c r="Q96" i="54" s="1"/>
  <c r="Q95" i="54" s="1"/>
  <c r="R98" i="54"/>
  <c r="L105" i="84" l="1"/>
  <c r="D9" i="127" s="1"/>
  <c r="R66" i="21"/>
  <c r="M64" i="21"/>
  <c r="M210" i="21" s="1"/>
  <c r="M208" i="21" s="1"/>
  <c r="M25" i="112"/>
  <c r="D44" i="115"/>
  <c r="E82" i="150"/>
  <c r="D45" i="115"/>
  <c r="E51" i="142"/>
  <c r="K38" i="112"/>
  <c r="K21" i="112"/>
  <c r="E36" i="142"/>
  <c r="J25" i="112"/>
  <c r="J37" i="112"/>
  <c r="O37" i="112" s="1"/>
  <c r="L51" i="145"/>
  <c r="M39" i="112"/>
  <c r="R39" i="112" s="1"/>
  <c r="O51" i="145"/>
  <c r="L39" i="112"/>
  <c r="Q39" i="112" s="1"/>
  <c r="L35" i="145"/>
  <c r="K26" i="112"/>
  <c r="K40" i="145"/>
  <c r="I50" i="145"/>
  <c r="O35" i="145"/>
  <c r="I39" i="145"/>
  <c r="L39" i="145"/>
  <c r="J38" i="112"/>
  <c r="O38" i="112" s="1"/>
  <c r="O39" i="145"/>
  <c r="D40" i="142"/>
  <c r="O18" i="145"/>
  <c r="G37" i="140"/>
  <c r="E38" i="142"/>
  <c r="G41" i="142"/>
  <c r="F37" i="140"/>
  <c r="G38" i="142"/>
  <c r="D37" i="140"/>
  <c r="E37" i="140"/>
  <c r="G16" i="142"/>
  <c r="F41" i="142"/>
  <c r="D41" i="140"/>
  <c r="D36" i="142"/>
  <c r="D38" i="142"/>
  <c r="E36" i="145"/>
  <c r="B30" i="146"/>
  <c r="G9" i="127"/>
  <c r="N36" i="145"/>
  <c r="M26" i="112"/>
  <c r="K36" i="145"/>
  <c r="H36" i="145"/>
  <c r="Q36" i="145"/>
  <c r="H40" i="145"/>
  <c r="J40" i="112"/>
  <c r="J21" i="112"/>
  <c r="J36" i="112"/>
  <c r="J23" i="112"/>
  <c r="M23" i="112"/>
  <c r="L26" i="112"/>
  <c r="K23" i="112"/>
  <c r="H18" i="20"/>
  <c r="C151" i="20"/>
  <c r="G82" i="150"/>
  <c r="F6" i="111"/>
  <c r="D64" i="21"/>
  <c r="R65" i="21"/>
  <c r="S65" i="21"/>
  <c r="E63" i="98"/>
  <c r="S44" i="21"/>
  <c r="D211" i="21"/>
  <c r="F23" i="55"/>
  <c r="D9" i="84"/>
  <c r="K105" i="84"/>
  <c r="H12" i="84"/>
  <c r="P15" i="55" s="1"/>
  <c r="S98" i="54"/>
  <c r="S97" i="54" s="1"/>
  <c r="S96" i="54" s="1"/>
  <c r="S95" i="54" s="1"/>
  <c r="R97" i="54"/>
  <c r="R96" i="54" s="1"/>
  <c r="R95" i="54" s="1"/>
  <c r="G16" i="54"/>
  <c r="S24" i="54"/>
  <c r="S16" i="54" s="1"/>
  <c r="K24" i="54"/>
  <c r="N24" i="54"/>
  <c r="M24" i="54"/>
  <c r="L24" i="54"/>
  <c r="I24" i="54"/>
  <c r="J24" i="54"/>
  <c r="Q24" i="54"/>
  <c r="R24" i="54"/>
  <c r="R16" i="54" s="1"/>
  <c r="P24" i="54"/>
  <c r="O24" i="54"/>
  <c r="G13" i="92" l="1"/>
  <c r="F13" i="55"/>
  <c r="R23" i="55"/>
  <c r="R13" i="55" s="1"/>
  <c r="V23" i="55"/>
  <c r="V13" i="55" s="1"/>
  <c r="V12" i="55" s="1"/>
  <c r="V43" i="55" s="1"/>
  <c r="V54" i="55" s="1"/>
  <c r="C24" i="110"/>
  <c r="L13" i="92"/>
  <c r="J13" i="92"/>
  <c r="F105" i="84"/>
  <c r="E31" i="110" s="1"/>
  <c r="R64" i="21"/>
  <c r="M204" i="54"/>
  <c r="M205" i="54"/>
  <c r="M208" i="54"/>
  <c r="M207" i="54"/>
  <c r="O16" i="54"/>
  <c r="O14" i="54" s="1"/>
  <c r="O165" i="54" s="1"/>
  <c r="O172" i="54"/>
  <c r="L204" i="54"/>
  <c r="L205" i="54"/>
  <c r="L208" i="54"/>
  <c r="L207" i="54"/>
  <c r="N205" i="54"/>
  <c r="N204" i="54"/>
  <c r="N208" i="54"/>
  <c r="N207" i="54"/>
  <c r="Q16" i="54"/>
  <c r="Q21" i="54" s="1"/>
  <c r="Q19" i="54" s="1"/>
  <c r="Q168" i="54" s="1"/>
  <c r="Q172" i="54"/>
  <c r="Q185" i="54" s="1"/>
  <c r="K208" i="54"/>
  <c r="K207" i="54"/>
  <c r="K205" i="54"/>
  <c r="K204" i="54"/>
  <c r="P16" i="54"/>
  <c r="P172" i="54"/>
  <c r="J208" i="54"/>
  <c r="J207" i="54"/>
  <c r="J205" i="54"/>
  <c r="J204" i="54"/>
  <c r="I208" i="54"/>
  <c r="I207" i="54"/>
  <c r="I205" i="54"/>
  <c r="I204" i="54"/>
  <c r="J16" i="54"/>
  <c r="J21" i="54" s="1"/>
  <c r="J19" i="54" s="1"/>
  <c r="J168" i="54" s="1"/>
  <c r="J172" i="54"/>
  <c r="J185" i="54" s="1"/>
  <c r="J184" i="54" s="1"/>
  <c r="I16" i="54"/>
  <c r="I172" i="54"/>
  <c r="I191" i="54" s="1"/>
  <c r="L16" i="54"/>
  <c r="L14" i="54" s="1"/>
  <c r="L165" i="54" s="1"/>
  <c r="L172" i="54"/>
  <c r="L191" i="54" s="1"/>
  <c r="M16" i="54"/>
  <c r="M172" i="54"/>
  <c r="M191" i="54" s="1"/>
  <c r="N16" i="54"/>
  <c r="N21" i="54" s="1"/>
  <c r="N19" i="54" s="1"/>
  <c r="N168" i="54" s="1"/>
  <c r="N172" i="54"/>
  <c r="N191" i="54" s="1"/>
  <c r="K16" i="54"/>
  <c r="K14" i="54" s="1"/>
  <c r="K165" i="54" s="1"/>
  <c r="K172" i="54"/>
  <c r="K191" i="54" s="1"/>
  <c r="I35" i="145"/>
  <c r="J39" i="112"/>
  <c r="O39" i="112" s="1"/>
  <c r="K39" i="112"/>
  <c r="I52" i="145"/>
  <c r="I51" i="145"/>
  <c r="E41" i="142"/>
  <c r="D210" i="21"/>
  <c r="D208" i="21" s="1"/>
  <c r="B124" i="20" s="1"/>
  <c r="E28" i="140"/>
  <c r="S64" i="21"/>
  <c r="I9" i="127"/>
  <c r="C36" i="145"/>
  <c r="I13" i="92"/>
  <c r="K13" i="92"/>
  <c r="H13" i="92"/>
  <c r="E27" i="140"/>
  <c r="D41" i="142"/>
  <c r="J26" i="112"/>
  <c r="H13" i="84"/>
  <c r="P16" i="55" s="1"/>
  <c r="F9" i="127"/>
  <c r="E27" i="142"/>
  <c r="J28" i="145"/>
  <c r="O40" i="145"/>
  <c r="O37" i="145"/>
  <c r="I37" i="145"/>
  <c r="L40" i="145"/>
  <c r="D46" i="115"/>
  <c r="E151" i="20"/>
  <c r="C9" i="127"/>
  <c r="C12" i="134"/>
  <c r="C12" i="133"/>
  <c r="G12" i="133" s="1"/>
  <c r="U13" i="92"/>
  <c r="J201" i="54"/>
  <c r="J202" i="54"/>
  <c r="N201" i="54"/>
  <c r="N202" i="54"/>
  <c r="H185" i="54"/>
  <c r="H184" i="54" s="1"/>
  <c r="H201" i="54"/>
  <c r="H202" i="54"/>
  <c r="M202" i="54"/>
  <c r="M201" i="54"/>
  <c r="G172" i="54"/>
  <c r="D211" i="54" s="1"/>
  <c r="G204" i="54"/>
  <c r="G205" i="54"/>
  <c r="G207" i="54"/>
  <c r="G208" i="54"/>
  <c r="G201" i="54"/>
  <c r="G202" i="54"/>
  <c r="L201" i="54"/>
  <c r="L202" i="54"/>
  <c r="I201" i="54"/>
  <c r="I202" i="54"/>
  <c r="K202" i="54"/>
  <c r="K201" i="54"/>
  <c r="F14" i="112"/>
  <c r="R21" i="54"/>
  <c r="R19" i="54" s="1"/>
  <c r="R168" i="54" s="1"/>
  <c r="R172" i="54"/>
  <c r="R185" i="54" s="1"/>
  <c r="R184" i="54" s="1"/>
  <c r="P14" i="54"/>
  <c r="P165" i="54" s="1"/>
  <c r="S14" i="54"/>
  <c r="S165" i="54" s="1"/>
  <c r="S172" i="54"/>
  <c r="I22" i="112"/>
  <c r="N23" i="55"/>
  <c r="N13" i="55" s="1"/>
  <c r="N12" i="55" s="1"/>
  <c r="N43" i="55" s="1"/>
  <c r="F12" i="55"/>
  <c r="F43" i="55" s="1"/>
  <c r="F54" i="55" s="1"/>
  <c r="J23" i="55"/>
  <c r="J13" i="55" s="1"/>
  <c r="J12" i="55" s="1"/>
  <c r="J43" i="55" s="1"/>
  <c r="R12" i="55"/>
  <c r="R43" i="55" s="1"/>
  <c r="D4" i="115"/>
  <c r="D9" i="115" s="1"/>
  <c r="G13" i="61"/>
  <c r="J23" i="98"/>
  <c r="K23" i="98" s="1"/>
  <c r="G18" i="120"/>
  <c r="G15" i="120" s="1"/>
  <c r="G8" i="120" s="1"/>
  <c r="G25" i="120" s="1"/>
  <c r="G30" i="120" s="1"/>
  <c r="G28" i="120" s="1"/>
  <c r="G27" i="120" s="1"/>
  <c r="G26" i="120" s="1"/>
  <c r="G32" i="120" s="1"/>
  <c r="G34" i="120" s="1"/>
  <c r="G35" i="120" s="1"/>
  <c r="M14" i="54"/>
  <c r="M165" i="54" s="1"/>
  <c r="H14" i="54"/>
  <c r="H165" i="54" s="1"/>
  <c r="G33" i="22"/>
  <c r="G37" i="22" s="1"/>
  <c r="O21" i="54"/>
  <c r="O19" i="54" s="1"/>
  <c r="O168" i="54" s="1"/>
  <c r="L10" i="21"/>
  <c r="L11" i="21" s="1"/>
  <c r="P10" i="21"/>
  <c r="P11" i="21" s="1"/>
  <c r="O10" i="21"/>
  <c r="O11" i="21" s="1"/>
  <c r="N10" i="21"/>
  <c r="N11" i="21" s="1"/>
  <c r="M10" i="21"/>
  <c r="M11" i="21" s="1"/>
  <c r="G10" i="21"/>
  <c r="E10" i="21"/>
  <c r="E11" i="21" s="1"/>
  <c r="H10" i="21"/>
  <c r="J10" i="21"/>
  <c r="F10" i="21"/>
  <c r="I10" i="21"/>
  <c r="K10" i="21"/>
  <c r="D10" i="21"/>
  <c r="Q13" i="92" l="1"/>
  <c r="R13" i="92"/>
  <c r="C86" i="150"/>
  <c r="G12" i="134"/>
  <c r="G105" i="84"/>
  <c r="J105" i="84"/>
  <c r="R59" i="55"/>
  <c r="R54" i="55"/>
  <c r="V59" i="55"/>
  <c r="V51" i="55"/>
  <c r="V52" i="55" s="1"/>
  <c r="D201" i="84"/>
  <c r="C42" i="108" s="1"/>
  <c r="H7" i="108" s="1"/>
  <c r="I105" i="84"/>
  <c r="H105" i="84"/>
  <c r="O36" i="145"/>
  <c r="I14" i="54"/>
  <c r="I165" i="54" s="1"/>
  <c r="M185" i="54"/>
  <c r="M184" i="54" s="1"/>
  <c r="I40" i="145"/>
  <c r="N185" i="54"/>
  <c r="N184" i="54" s="1"/>
  <c r="H9" i="127"/>
  <c r="I185" i="54"/>
  <c r="I184" i="54" s="1"/>
  <c r="J29" i="145"/>
  <c r="J191" i="54"/>
  <c r="Q14" i="54"/>
  <c r="Q165" i="54" s="1"/>
  <c r="Q171" i="54" s="1"/>
  <c r="G185" i="54"/>
  <c r="G184" i="54" s="1"/>
  <c r="Z13" i="92"/>
  <c r="H13" i="61"/>
  <c r="J13" i="61"/>
  <c r="K13" i="61"/>
  <c r="R13" i="61" s="1"/>
  <c r="I13" i="61"/>
  <c r="M13" i="92"/>
  <c r="K185" i="54"/>
  <c r="K184" i="54" s="1"/>
  <c r="F37" i="142"/>
  <c r="E37" i="142"/>
  <c r="G37" i="142"/>
  <c r="E28" i="142"/>
  <c r="E26" i="142"/>
  <c r="D37" i="142"/>
  <c r="D64" i="142"/>
  <c r="F64" i="142"/>
  <c r="E64" i="142"/>
  <c r="P21" i="54"/>
  <c r="P19" i="54" s="1"/>
  <c r="P168" i="54" s="1"/>
  <c r="P171" i="54" s="1"/>
  <c r="F15" i="112"/>
  <c r="S21" i="54"/>
  <c r="S19" i="54" s="1"/>
  <c r="S168" i="54" s="1"/>
  <c r="S171" i="54" s="1"/>
  <c r="C25" i="146"/>
  <c r="F25" i="146" s="1"/>
  <c r="M25" i="146" s="1"/>
  <c r="K14" i="112"/>
  <c r="P14" i="112" s="1"/>
  <c r="I28" i="145"/>
  <c r="M22" i="112"/>
  <c r="C11" i="110"/>
  <c r="C15" i="110"/>
  <c r="L185" i="54"/>
  <c r="L184" i="54" s="1"/>
  <c r="G191" i="54"/>
  <c r="R14" i="54"/>
  <c r="R165" i="54" s="1"/>
  <c r="R171" i="54" s="1"/>
  <c r="X13" i="92"/>
  <c r="H191" i="54"/>
  <c r="Y13" i="92"/>
  <c r="B42" i="115"/>
  <c r="AB58" i="55"/>
  <c r="AG58" i="55" s="1"/>
  <c r="G211" i="54"/>
  <c r="G213" i="54" s="1"/>
  <c r="F211" i="54"/>
  <c r="F213" i="54" s="1"/>
  <c r="E211" i="54"/>
  <c r="E213" i="54" s="1"/>
  <c r="H211" i="54"/>
  <c r="H213" i="54" s="1"/>
  <c r="AB19" i="55"/>
  <c r="AB39" i="55"/>
  <c r="AB20" i="55"/>
  <c r="AB44" i="55"/>
  <c r="AB38" i="55"/>
  <c r="AB42" i="55"/>
  <c r="AB21" i="55"/>
  <c r="AB37" i="55"/>
  <c r="AB41" i="55"/>
  <c r="AB40" i="55"/>
  <c r="D57" i="112"/>
  <c r="J90" i="85"/>
  <c r="S185" i="54"/>
  <c r="S184" i="54" s="1"/>
  <c r="S191" i="54"/>
  <c r="O171" i="54"/>
  <c r="O185" i="54"/>
  <c r="O184" i="54" s="1"/>
  <c r="O191" i="54"/>
  <c r="Q184" i="54"/>
  <c r="Q191" i="54"/>
  <c r="P185" i="54"/>
  <c r="P184" i="54" s="1"/>
  <c r="P191" i="54"/>
  <c r="R191" i="54"/>
  <c r="J51" i="55"/>
  <c r="R51" i="55"/>
  <c r="R52" i="55" s="1"/>
  <c r="N51" i="55"/>
  <c r="F59" i="55"/>
  <c r="F51" i="55"/>
  <c r="X42" i="55"/>
  <c r="D14" i="93"/>
  <c r="D26" i="93" s="1"/>
  <c r="D11" i="58"/>
  <c r="T42" i="55"/>
  <c r="L41" i="55"/>
  <c r="T41" i="55"/>
  <c r="G41" i="22"/>
  <c r="G40" i="22" s="1"/>
  <c r="G35" i="22"/>
  <c r="L21" i="54"/>
  <c r="L19" i="54" s="1"/>
  <c r="L168" i="54" s="1"/>
  <c r="L171" i="54" s="1"/>
  <c r="G38" i="22"/>
  <c r="I21" i="54"/>
  <c r="I19" i="54" s="1"/>
  <c r="I168" i="54" s="1"/>
  <c r="H21" i="54"/>
  <c r="H19" i="54" s="1"/>
  <c r="H168" i="54" s="1"/>
  <c r="H171" i="54" s="1"/>
  <c r="K21" i="54"/>
  <c r="K19" i="54" s="1"/>
  <c r="K168" i="54" s="1"/>
  <c r="K171" i="54" s="1"/>
  <c r="M21" i="54"/>
  <c r="M19" i="54" s="1"/>
  <c r="M168" i="54" s="1"/>
  <c r="M171" i="54" s="1"/>
  <c r="J14" i="54"/>
  <c r="J165" i="54" s="1"/>
  <c r="J171" i="54" s="1"/>
  <c r="N14" i="54"/>
  <c r="N165" i="54" s="1"/>
  <c r="N171" i="54" s="1"/>
  <c r="I11" i="21"/>
  <c r="I69" i="21"/>
  <c r="K11" i="21"/>
  <c r="K69" i="21"/>
  <c r="E69" i="21"/>
  <c r="H11" i="21"/>
  <c r="H69" i="21"/>
  <c r="D11" i="21"/>
  <c r="D69" i="21"/>
  <c r="J11" i="21"/>
  <c r="J69" i="21"/>
  <c r="F11" i="21"/>
  <c r="F69" i="21"/>
  <c r="G11" i="21"/>
  <c r="G69" i="21"/>
  <c r="G21" i="54"/>
  <c r="G19" i="54" s="1"/>
  <c r="G14" i="54"/>
  <c r="G165" i="54" s="1"/>
  <c r="H201" i="84" l="1"/>
  <c r="G42" i="108" s="1"/>
  <c r="K46" i="115"/>
  <c r="K45" i="115"/>
  <c r="H12" i="109"/>
  <c r="H37" i="109" s="1"/>
  <c r="H47" i="109" s="1"/>
  <c r="F31" i="110"/>
  <c r="E26" i="140"/>
  <c r="K15" i="112"/>
  <c r="P15" i="112" s="1"/>
  <c r="I171" i="54"/>
  <c r="J27" i="145"/>
  <c r="G64" i="142"/>
  <c r="V13" i="92"/>
  <c r="AA13" i="92" s="1"/>
  <c r="F86" i="150"/>
  <c r="Q13" i="61"/>
  <c r="G86" i="150"/>
  <c r="D86" i="150"/>
  <c r="G54" i="140"/>
  <c r="E54" i="140"/>
  <c r="F54" i="140"/>
  <c r="D54" i="140"/>
  <c r="D64" i="140"/>
  <c r="E64" i="140"/>
  <c r="F64" i="140"/>
  <c r="D8" i="146"/>
  <c r="F63" i="142"/>
  <c r="D63" i="142"/>
  <c r="E63" i="142"/>
  <c r="Q57" i="145"/>
  <c r="C76" i="145"/>
  <c r="I29" i="145"/>
  <c r="L22" i="112"/>
  <c r="L36" i="145"/>
  <c r="K22" i="112"/>
  <c r="I36" i="145"/>
  <c r="D23" i="58"/>
  <c r="B12" i="128"/>
  <c r="G12" i="128" s="1"/>
  <c r="F43" i="112"/>
  <c r="B47" i="115"/>
  <c r="G43" i="112"/>
  <c r="G27" i="58"/>
  <c r="H43" i="112"/>
  <c r="H14" i="93"/>
  <c r="AF44" i="55"/>
  <c r="H11" i="58"/>
  <c r="H27" i="58" s="1"/>
  <c r="Y44" i="55"/>
  <c r="E43" i="112"/>
  <c r="G40" i="112"/>
  <c r="Q40" i="112" s="1"/>
  <c r="G41" i="112"/>
  <c r="Q41" i="112" s="1"/>
  <c r="E40" i="112"/>
  <c r="O40" i="112" s="1"/>
  <c r="H41" i="112"/>
  <c r="R41" i="112" s="1"/>
  <c r="AF42" i="55"/>
  <c r="K90" i="85"/>
  <c r="J89" i="85"/>
  <c r="G20" i="22"/>
  <c r="G168" i="54"/>
  <c r="G171" i="54" s="1"/>
  <c r="F52" i="112"/>
  <c r="F52" i="55"/>
  <c r="J22" i="112"/>
  <c r="G19" i="22"/>
  <c r="J26" i="98"/>
  <c r="K26" i="98" s="1"/>
  <c r="D12" i="109" l="1"/>
  <c r="D69" i="109" s="1"/>
  <c r="H69" i="109" s="1"/>
  <c r="I12" i="109"/>
  <c r="G63" i="142"/>
  <c r="D63" i="140"/>
  <c r="G64" i="140"/>
  <c r="E63" i="140"/>
  <c r="F63" i="140"/>
  <c r="F62" i="142"/>
  <c r="E62" i="142"/>
  <c r="D62" i="142"/>
  <c r="K12" i="128"/>
  <c r="F12" i="128"/>
  <c r="J12" i="128"/>
  <c r="E26" i="93"/>
  <c r="E30" i="93"/>
  <c r="H23" i="58"/>
  <c r="H31" i="58"/>
  <c r="H26" i="93"/>
  <c r="H30" i="93"/>
  <c r="H34" i="93" s="1"/>
  <c r="F30" i="93"/>
  <c r="F34" i="93" s="1"/>
  <c r="F26" i="93"/>
  <c r="F31" i="58"/>
  <c r="F23" i="58"/>
  <c r="E23" i="58"/>
  <c r="E27" i="58"/>
  <c r="G26" i="93"/>
  <c r="E19" i="154" s="1"/>
  <c r="F19" i="154" s="1"/>
  <c r="G30" i="93"/>
  <c r="G31" i="58"/>
  <c r="G23" i="58"/>
  <c r="G21" i="22"/>
  <c r="M90" i="85"/>
  <c r="K89" i="85"/>
  <c r="I37" i="109"/>
  <c r="H50" i="109"/>
  <c r="E74" i="54"/>
  <c r="E69" i="54" s="1"/>
  <c r="D63" i="22"/>
  <c r="D62" i="22" s="1"/>
  <c r="J64" i="22" s="1"/>
  <c r="G34" i="93" l="1"/>
  <c r="E20" i="154"/>
  <c r="G62" i="142"/>
  <c r="G63" i="140"/>
  <c r="E31" i="58"/>
  <c r="D27" i="58"/>
  <c r="D31" i="58" s="1"/>
  <c r="E34" i="93"/>
  <c r="D30" i="93"/>
  <c r="D34" i="93" s="1"/>
  <c r="E47" i="54"/>
  <c r="E181" i="54"/>
  <c r="N90" i="85"/>
  <c r="M89" i="85"/>
  <c r="H56" i="109"/>
  <c r="I50" i="109"/>
  <c r="E76" i="54"/>
  <c r="E84" i="54"/>
  <c r="E88" i="54"/>
  <c r="E92" i="54"/>
  <c r="F20" i="154" l="1"/>
  <c r="H20" i="154" s="1"/>
  <c r="E26" i="54"/>
  <c r="D48" i="92" s="1"/>
  <c r="D47" i="92" s="1"/>
  <c r="E49" i="54"/>
  <c r="C59" i="107"/>
  <c r="C87" i="107"/>
  <c r="C116" i="107" s="1"/>
  <c r="O90" i="85"/>
  <c r="N89" i="85"/>
  <c r="D48" i="61"/>
  <c r="D47" i="61" s="1"/>
  <c r="E33" i="139" l="1"/>
  <c r="E15" i="139"/>
  <c r="E42" i="139"/>
  <c r="E24" i="139"/>
  <c r="J8" i="108"/>
  <c r="I8" i="108"/>
  <c r="P90" i="85"/>
  <c r="O89" i="85"/>
  <c r="U58" i="55"/>
  <c r="M58" i="55"/>
  <c r="Q58" i="55"/>
  <c r="E24" i="54"/>
  <c r="E16" i="54" s="1"/>
  <c r="U53" i="55" l="1"/>
  <c r="U54" i="55"/>
  <c r="E21" i="54"/>
  <c r="E14" i="54"/>
  <c r="F24" i="139"/>
  <c r="H24" i="139" s="1"/>
  <c r="H14" i="154"/>
  <c r="F15" i="139"/>
  <c r="H15" i="139" s="1"/>
  <c r="H9" i="154"/>
  <c r="F33" i="139"/>
  <c r="H33" i="139" s="1"/>
  <c r="H19" i="154"/>
  <c r="F42" i="139"/>
  <c r="H42" i="139" s="1"/>
  <c r="G87" i="107"/>
  <c r="G116" i="107" s="1"/>
  <c r="G59" i="107"/>
  <c r="C153" i="107"/>
  <c r="D87" i="107"/>
  <c r="D116" i="107" s="1"/>
  <c r="D59" i="107"/>
  <c r="F87" i="107"/>
  <c r="F116" i="107" s="1"/>
  <c r="F59" i="107"/>
  <c r="C212" i="107"/>
  <c r="E59" i="107"/>
  <c r="E87" i="107"/>
  <c r="E116" i="107" s="1"/>
  <c r="J7" i="108"/>
  <c r="I7" i="108"/>
  <c r="Q90" i="85"/>
  <c r="P89" i="85"/>
  <c r="D33" i="22"/>
  <c r="D38" i="22" s="1"/>
  <c r="E172" i="54"/>
  <c r="E185" i="54" s="1"/>
  <c r="E184" i="54" s="1"/>
  <c r="E58" i="55"/>
  <c r="D35" i="22" l="1"/>
  <c r="D37" i="22"/>
  <c r="D41" i="22"/>
  <c r="D40" i="22" s="1"/>
  <c r="R90" i="85"/>
  <c r="Q89" i="85"/>
  <c r="E191" i="54"/>
  <c r="E19" i="54"/>
  <c r="S90" i="85" l="1"/>
  <c r="R89" i="85"/>
  <c r="D19" i="22"/>
  <c r="E165" i="54"/>
  <c r="D20" i="22"/>
  <c r="E168" i="54"/>
  <c r="D21" i="22" l="1"/>
  <c r="E171" i="54"/>
  <c r="T90" i="85"/>
  <c r="S89" i="85"/>
  <c r="L37" i="55"/>
  <c r="E36" i="112" l="1"/>
  <c r="O36" i="112" s="1"/>
  <c r="U90" i="85"/>
  <c r="T89" i="85"/>
  <c r="C94" i="145"/>
  <c r="D87" i="140" l="1"/>
  <c r="E87" i="140"/>
  <c r="G87" i="140"/>
  <c r="F87" i="140"/>
  <c r="V90" i="85"/>
  <c r="U89" i="85"/>
  <c r="G62" i="140" l="1"/>
  <c r="E62" i="140"/>
  <c r="D62" i="140"/>
  <c r="F62" i="140"/>
  <c r="W90" i="85"/>
  <c r="V89" i="85"/>
  <c r="H89" i="85" s="1"/>
  <c r="C8" i="146"/>
  <c r="B8" i="146" s="1"/>
  <c r="C23" i="146" s="1"/>
  <c r="C50" i="146"/>
  <c r="K8" i="146" l="1"/>
  <c r="W89" i="85"/>
  <c r="I89" i="85" s="1"/>
  <c r="X90" i="85"/>
  <c r="F99" i="140" l="1"/>
  <c r="G99" i="140"/>
  <c r="G98" i="140"/>
  <c r="D99" i="140"/>
  <c r="D98" i="140"/>
  <c r="F98" i="140"/>
  <c r="M14" i="114"/>
  <c r="E98" i="140"/>
  <c r="M15" i="114"/>
  <c r="E99" i="140"/>
  <c r="D15" i="138"/>
  <c r="Y90" i="85"/>
  <c r="Y89" i="85" s="1"/>
  <c r="X89" i="85"/>
  <c r="H10" i="153"/>
  <c r="N14" i="114"/>
  <c r="L14" i="114"/>
  <c r="L15" i="114"/>
  <c r="D33" i="138" l="1"/>
  <c r="F55" i="107"/>
  <c r="D24" i="138"/>
  <c r="C83" i="107"/>
  <c r="C112" i="107" s="1"/>
  <c r="C112" i="145"/>
  <c r="D83" i="107"/>
  <c r="D112" i="107" s="1"/>
  <c r="E15" i="138"/>
  <c r="G15" i="138" s="1"/>
  <c r="O15" i="114"/>
  <c r="N15" i="114"/>
  <c r="O14" i="114"/>
  <c r="K14" i="114" s="1"/>
  <c r="C115" i="145"/>
  <c r="D55" i="107"/>
  <c r="G55" i="107" l="1"/>
  <c r="G83" i="107"/>
  <c r="G112" i="107" s="1"/>
  <c r="E33" i="138"/>
  <c r="G33" i="138" s="1"/>
  <c r="E24" i="138"/>
  <c r="G24" i="138" s="1"/>
  <c r="C55" i="107"/>
  <c r="F83" i="107"/>
  <c r="F112" i="107" s="1"/>
  <c r="K15" i="114"/>
  <c r="K29" i="114" s="1"/>
  <c r="J14" i="114"/>
  <c r="K28" i="114"/>
  <c r="J15" i="114" l="1"/>
  <c r="J29" i="114" s="1"/>
  <c r="J28" i="114"/>
  <c r="H13" i="69" l="1"/>
  <c r="G60" i="63" l="1"/>
  <c r="F60" i="63" l="1"/>
  <c r="I22" i="29" l="1"/>
  <c r="I21" i="29"/>
  <c r="I20" i="29"/>
  <c r="C22" i="29" l="1"/>
  <c r="C21" i="29" l="1"/>
  <c r="C20" i="29" l="1"/>
  <c r="D19" i="29"/>
  <c r="C19" i="29" l="1"/>
  <c r="C28" i="29" s="1"/>
  <c r="C5" i="113" l="1"/>
  <c r="G45" i="55"/>
  <c r="G51" i="55" s="1"/>
  <c r="D44" i="109" l="1"/>
  <c r="G124" i="84"/>
  <c r="I124" i="84"/>
  <c r="J124" i="84"/>
  <c r="C34" i="146" l="1"/>
  <c r="F34" i="146" l="1"/>
  <c r="M34" i="146" s="1"/>
  <c r="F24" i="127"/>
  <c r="G24" i="127"/>
  <c r="H20" i="109"/>
  <c r="C36" i="146" l="1"/>
  <c r="I20" i="109"/>
  <c r="H17" i="109"/>
  <c r="G78" i="140" l="1"/>
  <c r="F78" i="142"/>
  <c r="G78" i="142"/>
  <c r="E78" i="140"/>
  <c r="D78" i="140"/>
  <c r="E78" i="142"/>
  <c r="F78" i="140"/>
  <c r="D78" i="142"/>
  <c r="C85" i="145"/>
  <c r="X22" i="92"/>
  <c r="U22" i="92"/>
  <c r="V22" i="92"/>
  <c r="I17" i="109"/>
  <c r="Y22" i="92"/>
  <c r="D75" i="142" l="1"/>
  <c r="E75" i="142"/>
  <c r="F75" i="142"/>
  <c r="G75" i="142"/>
  <c r="F75" i="140"/>
  <c r="G75" i="140"/>
  <c r="E75" i="140"/>
  <c r="D75" i="140"/>
  <c r="C82" i="145"/>
  <c r="X19" i="92"/>
  <c r="Y19" i="92" l="1"/>
  <c r="U19" i="92"/>
  <c r="V19" i="92"/>
  <c r="F206" i="84" l="1"/>
  <c r="E206" i="84" s="1"/>
  <c r="E208" i="84" s="1"/>
  <c r="D49" i="108" s="1"/>
  <c r="E49" i="108"/>
  <c r="D48" i="108"/>
  <c r="E41" i="108"/>
  <c r="D41" i="108"/>
  <c r="E47" i="108" l="1"/>
  <c r="D47" i="108"/>
  <c r="F17" i="58" l="1"/>
  <c r="F9" i="58" l="1"/>
  <c r="F22" i="58" l="1"/>
  <c r="F30" i="58" l="1"/>
  <c r="F24" i="58" l="1"/>
  <c r="F28" i="58"/>
  <c r="F13" i="58"/>
  <c r="E15" i="153" s="1"/>
  <c r="F15" i="153" l="1"/>
  <c r="H15" i="153" s="1"/>
  <c r="F21" i="58"/>
  <c r="F51" i="58" s="1"/>
  <c r="F32" i="58"/>
  <c r="F29" i="58" s="1"/>
  <c r="F25" i="58"/>
  <c r="F24" i="98"/>
  <c r="B11" i="20"/>
  <c r="F23" i="98" l="1"/>
  <c r="D17" i="20"/>
  <c r="B142" i="20"/>
  <c r="B112" i="20"/>
  <c r="C112" i="20" s="1"/>
  <c r="B28" i="20"/>
  <c r="B17" i="20"/>
  <c r="B150" i="20" s="1"/>
  <c r="F21" i="98" l="1"/>
  <c r="J21" i="98" s="1"/>
  <c r="D41" i="132"/>
  <c r="F26" i="98"/>
  <c r="D28" i="20"/>
  <c r="D48" i="20" s="1"/>
  <c r="C142" i="20"/>
  <c r="B162" i="20"/>
  <c r="B48" i="20"/>
  <c r="D16" i="140" l="1"/>
  <c r="F28" i="98"/>
  <c r="D18" i="145"/>
  <c r="D31" i="145" s="1"/>
  <c r="G18" i="145"/>
  <c r="G30" i="145" s="1"/>
  <c r="F17" i="20"/>
  <c r="C150" i="20" s="1"/>
  <c r="F18" i="145" l="1"/>
  <c r="D16" i="142"/>
  <c r="D30" i="145"/>
  <c r="C144" i="20"/>
  <c r="E144" i="20" s="1"/>
  <c r="H17" i="20"/>
  <c r="C6" i="111"/>
  <c r="B6" i="111" l="1"/>
  <c r="D82" i="150"/>
  <c r="C41" i="132"/>
  <c r="D43" i="115"/>
  <c r="R18" i="145"/>
  <c r="D53" i="109"/>
  <c r="H53" i="109" s="1"/>
  <c r="S18" i="145"/>
  <c r="I16" i="140"/>
  <c r="C18" i="145"/>
  <c r="D29" i="142"/>
  <c r="E150" i="20"/>
  <c r="U18" i="145"/>
  <c r="T18" i="145"/>
  <c r="G13" i="84"/>
  <c r="C82" i="150" l="1"/>
  <c r="D32" i="132"/>
  <c r="I16" i="142"/>
  <c r="G32" i="132"/>
  <c r="J53" i="109"/>
  <c r="G29" i="145"/>
  <c r="F53" i="109"/>
  <c r="G16" i="109" s="1"/>
  <c r="E16" i="109" s="1"/>
  <c r="L16" i="55"/>
  <c r="E32" i="132"/>
  <c r="E36" i="151" s="1"/>
  <c r="C47" i="115"/>
  <c r="D33" i="132"/>
  <c r="O33" i="132" s="1"/>
  <c r="Q33" i="132"/>
  <c r="D42" i="115"/>
  <c r="D47" i="115" s="1"/>
  <c r="E33" i="132"/>
  <c r="P33" i="132" s="1"/>
  <c r="D36" i="150"/>
  <c r="F36" i="150"/>
  <c r="G33" i="132"/>
  <c r="F29" i="142"/>
  <c r="E29" i="142"/>
  <c r="G29" i="142"/>
  <c r="D28" i="142"/>
  <c r="D28" i="140"/>
  <c r="I6" i="84"/>
  <c r="G37" i="131" l="1"/>
  <c r="I15" i="84"/>
  <c r="I45" i="84"/>
  <c r="I26" i="84"/>
  <c r="I17" i="84"/>
  <c r="I55" i="84"/>
  <c r="J6" i="84"/>
  <c r="J57" i="84" s="1"/>
  <c r="G36" i="150"/>
  <c r="G19" i="109"/>
  <c r="E19" i="109" s="1"/>
  <c r="H6" i="84"/>
  <c r="P38" i="55" s="1"/>
  <c r="G37" i="130"/>
  <c r="L32" i="132"/>
  <c r="G36" i="151"/>
  <c r="F36" i="151"/>
  <c r="G12" i="109"/>
  <c r="E12" i="109" s="1"/>
  <c r="G18" i="109"/>
  <c r="E18" i="109" s="1"/>
  <c r="G29" i="109"/>
  <c r="E29" i="109" s="1"/>
  <c r="G30" i="109"/>
  <c r="E30" i="109" s="1"/>
  <c r="G13" i="109"/>
  <c r="E13" i="109" s="1"/>
  <c r="G32" i="109"/>
  <c r="E32" i="109" s="1"/>
  <c r="G34" i="109"/>
  <c r="E34" i="109" s="1"/>
  <c r="G43" i="109"/>
  <c r="E43" i="109" s="1"/>
  <c r="G33" i="109"/>
  <c r="E33" i="109" s="1"/>
  <c r="F37" i="131"/>
  <c r="Q32" i="132"/>
  <c r="G15" i="109"/>
  <c r="G44" i="109"/>
  <c r="E44" i="109" s="1"/>
  <c r="G31" i="109"/>
  <c r="E31" i="109" s="1"/>
  <c r="E15" i="112"/>
  <c r="J33" i="132"/>
  <c r="F37" i="130"/>
  <c r="K33" i="132"/>
  <c r="G6" i="84"/>
  <c r="L33" i="132"/>
  <c r="O32" i="132"/>
  <c r="K32" i="132"/>
  <c r="E37" i="131"/>
  <c r="P32" i="132"/>
  <c r="J32" i="132"/>
  <c r="D37" i="131"/>
  <c r="D36" i="151"/>
  <c r="D37" i="130"/>
  <c r="E24" i="142"/>
  <c r="E25" i="142"/>
  <c r="J15" i="112"/>
  <c r="I74" i="84"/>
  <c r="I43" i="84"/>
  <c r="I44" i="84"/>
  <c r="I73" i="84"/>
  <c r="I38" i="84"/>
  <c r="I77" i="84"/>
  <c r="I57" i="84"/>
  <c r="I36" i="84"/>
  <c r="I33" i="84"/>
  <c r="I54" i="84"/>
  <c r="I80" i="84"/>
  <c r="I63" i="84"/>
  <c r="I71" i="84"/>
  <c r="I65" i="84"/>
  <c r="I78" i="84"/>
  <c r="I51" i="84"/>
  <c r="I34" i="84"/>
  <c r="I50" i="84"/>
  <c r="I79" i="84"/>
  <c r="I60" i="84"/>
  <c r="I59" i="84"/>
  <c r="I58" i="84"/>
  <c r="I20" i="84"/>
  <c r="I53" i="84"/>
  <c r="I21" i="84"/>
  <c r="I70" i="84"/>
  <c r="I29" i="84"/>
  <c r="I61" i="84"/>
  <c r="I47" i="84"/>
  <c r="I35" i="84"/>
  <c r="I62" i="84"/>
  <c r="I72" i="84"/>
  <c r="I68" i="84"/>
  <c r="I52" i="84"/>
  <c r="I67" i="84"/>
  <c r="I56" i="84"/>
  <c r="I22" i="84"/>
  <c r="I76" i="84"/>
  <c r="I69" i="84"/>
  <c r="I64" i="84"/>
  <c r="I32" i="84"/>
  <c r="I16" i="84"/>
  <c r="T22" i="55" s="1"/>
  <c r="I23" i="84"/>
  <c r="I42" i="84"/>
  <c r="I46" i="84"/>
  <c r="I75" i="84"/>
  <c r="I24" i="84"/>
  <c r="I25" i="84"/>
  <c r="I27" i="84"/>
  <c r="I39" i="84"/>
  <c r="I19" i="84"/>
  <c r="I18" i="84"/>
  <c r="N33" i="132"/>
  <c r="H63" i="84" l="1"/>
  <c r="H61" i="84"/>
  <c r="H75" i="84"/>
  <c r="H18" i="84"/>
  <c r="H45" i="84"/>
  <c r="H46" i="84"/>
  <c r="P42" i="55"/>
  <c r="F41" i="112" s="1"/>
  <c r="P41" i="112" s="1"/>
  <c r="H60" i="84"/>
  <c r="H25" i="84"/>
  <c r="H26" i="84"/>
  <c r="P39" i="55"/>
  <c r="F38" i="112" s="1"/>
  <c r="P38" i="112" s="1"/>
  <c r="H43" i="84"/>
  <c r="H71" i="84"/>
  <c r="P41" i="55"/>
  <c r="F40" i="112" s="1"/>
  <c r="P40" i="112" s="1"/>
  <c r="H29" i="84"/>
  <c r="H39" i="84"/>
  <c r="H77" i="84"/>
  <c r="H20" i="84"/>
  <c r="H79" i="84"/>
  <c r="H73" i="84"/>
  <c r="H59" i="84"/>
  <c r="H64" i="84"/>
  <c r="H54" i="84"/>
  <c r="H58" i="84"/>
  <c r="H17" i="84"/>
  <c r="H76" i="84"/>
  <c r="H51" i="84"/>
  <c r="H52" i="84"/>
  <c r="H22" i="84"/>
  <c r="H62" i="84"/>
  <c r="H65" i="84"/>
  <c r="J74" i="84"/>
  <c r="J27" i="84"/>
  <c r="J64" i="84"/>
  <c r="J45" i="84"/>
  <c r="J51" i="84"/>
  <c r="J16" i="84"/>
  <c r="X22" i="55" s="1"/>
  <c r="G14" i="132" s="1"/>
  <c r="J60" i="84"/>
  <c r="J52" i="84"/>
  <c r="J53" i="84"/>
  <c r="J71" i="84"/>
  <c r="J35" i="84"/>
  <c r="J26" i="84"/>
  <c r="J50" i="84"/>
  <c r="J77" i="84"/>
  <c r="J17" i="84"/>
  <c r="J68" i="84"/>
  <c r="J46" i="84"/>
  <c r="J78" i="84"/>
  <c r="J36" i="84"/>
  <c r="J70" i="84"/>
  <c r="J75" i="84"/>
  <c r="J56" i="84"/>
  <c r="J72" i="84"/>
  <c r="J25" i="84"/>
  <c r="J47" i="84"/>
  <c r="J18" i="84"/>
  <c r="J58" i="84"/>
  <c r="J32" i="84"/>
  <c r="J38" i="84"/>
  <c r="J19" i="84"/>
  <c r="J20" i="84"/>
  <c r="J63" i="84"/>
  <c r="J24" i="84"/>
  <c r="J54" i="84"/>
  <c r="J23" i="84"/>
  <c r="J61" i="84"/>
  <c r="J65" i="84"/>
  <c r="J79" i="84"/>
  <c r="J34" i="84"/>
  <c r="J22" i="84"/>
  <c r="J62" i="84"/>
  <c r="J59" i="84"/>
  <c r="J73" i="84"/>
  <c r="J29" i="84"/>
  <c r="J67" i="84"/>
  <c r="J43" i="84"/>
  <c r="J15" i="84"/>
  <c r="X18" i="55" s="1"/>
  <c r="J33" i="84"/>
  <c r="J44" i="84"/>
  <c r="J76" i="84"/>
  <c r="J69" i="84"/>
  <c r="J80" i="84"/>
  <c r="J21" i="84"/>
  <c r="J39" i="84"/>
  <c r="J42" i="84"/>
  <c r="J55" i="84"/>
  <c r="G57" i="84"/>
  <c r="G58" i="84"/>
  <c r="G59" i="84"/>
  <c r="G60" i="84"/>
  <c r="H56" i="84"/>
  <c r="H15" i="84"/>
  <c r="P18" i="55" s="1"/>
  <c r="P37" i="55"/>
  <c r="F36" i="112" s="1"/>
  <c r="P36" i="112" s="1"/>
  <c r="H24" i="84"/>
  <c r="H74" i="84"/>
  <c r="H68" i="84"/>
  <c r="H44" i="84"/>
  <c r="H78" i="84"/>
  <c r="H23" i="84"/>
  <c r="H34" i="84"/>
  <c r="H21" i="84"/>
  <c r="H53" i="84"/>
  <c r="H80" i="84"/>
  <c r="H19" i="84"/>
  <c r="H33" i="84"/>
  <c r="H55" i="84"/>
  <c r="H47" i="84"/>
  <c r="H57" i="84"/>
  <c r="H16" i="84"/>
  <c r="P22" i="55" s="1"/>
  <c r="F21" i="112" s="1"/>
  <c r="P21" i="112" s="1"/>
  <c r="H70" i="84"/>
  <c r="H72" i="84"/>
  <c r="H69" i="84"/>
  <c r="H27" i="84"/>
  <c r="H38" i="84"/>
  <c r="H32" i="84"/>
  <c r="H50" i="84"/>
  <c r="H36" i="84"/>
  <c r="H42" i="84"/>
  <c r="P40" i="55"/>
  <c r="F39" i="112" s="1"/>
  <c r="P39" i="112" s="1"/>
  <c r="H35" i="84"/>
  <c r="H67" i="84"/>
  <c r="O15" i="112"/>
  <c r="G25" i="84"/>
  <c r="I32" i="132"/>
  <c r="I33" i="132"/>
  <c r="H33" i="132" s="1"/>
  <c r="G32" i="84"/>
  <c r="G51" i="84"/>
  <c r="G68" i="84"/>
  <c r="G52" i="84"/>
  <c r="G16" i="84"/>
  <c r="L22" i="55" s="1"/>
  <c r="G56" i="84"/>
  <c r="G18" i="84"/>
  <c r="G27" i="84"/>
  <c r="G22" i="84"/>
  <c r="K6" i="84"/>
  <c r="L42" i="55"/>
  <c r="D51" i="140" s="1"/>
  <c r="G65" i="84"/>
  <c r="G72" i="84"/>
  <c r="G39" i="84"/>
  <c r="G26" i="84"/>
  <c r="G80" i="84"/>
  <c r="G24" i="84"/>
  <c r="G50" i="84"/>
  <c r="G64" i="84"/>
  <c r="G42" i="84"/>
  <c r="G76" i="84"/>
  <c r="G15" i="84"/>
  <c r="L18" i="55" s="1"/>
  <c r="G35" i="84"/>
  <c r="F6" i="84"/>
  <c r="G79" i="84"/>
  <c r="G54" i="84"/>
  <c r="G43" i="84"/>
  <c r="G29" i="84"/>
  <c r="G55" i="84"/>
  <c r="G19" i="84"/>
  <c r="G20" i="84"/>
  <c r="G38" i="84"/>
  <c r="G62" i="84"/>
  <c r="G61" i="84"/>
  <c r="G21" i="84"/>
  <c r="G34" i="84"/>
  <c r="G45" i="84"/>
  <c r="G75" i="84"/>
  <c r="G47" i="84"/>
  <c r="G36" i="84"/>
  <c r="G69" i="84"/>
  <c r="G53" i="84"/>
  <c r="G17" i="84"/>
  <c r="G44" i="84"/>
  <c r="G78" i="84"/>
  <c r="G67" i="84"/>
  <c r="G71" i="84"/>
  <c r="G23" i="84"/>
  <c r="G74" i="84"/>
  <c r="G63" i="84"/>
  <c r="G77" i="84"/>
  <c r="G33" i="84"/>
  <c r="G46" i="84"/>
  <c r="G70" i="84"/>
  <c r="G73" i="84"/>
  <c r="N32" i="132"/>
  <c r="F37" i="112"/>
  <c r="P37" i="112" s="1"/>
  <c r="T27" i="55"/>
  <c r="G21" i="112"/>
  <c r="Q21" i="112" s="1"/>
  <c r="T18" i="55"/>
  <c r="H22" i="55" l="1"/>
  <c r="D21" i="112" s="1"/>
  <c r="N21" i="112" s="1"/>
  <c r="AF22" i="55"/>
  <c r="H21" i="112"/>
  <c r="R21" i="112" s="1"/>
  <c r="C37" i="131"/>
  <c r="X27" i="55"/>
  <c r="H26" i="112" s="1"/>
  <c r="R26" i="112" s="1"/>
  <c r="P27" i="55"/>
  <c r="E21" i="151"/>
  <c r="L27" i="55"/>
  <c r="E26" i="112" s="1"/>
  <c r="O26" i="112" s="1"/>
  <c r="D21" i="151"/>
  <c r="E41" i="112"/>
  <c r="E17" i="112"/>
  <c r="H55" i="145"/>
  <c r="E21" i="112"/>
  <c r="O21" i="112" s="1"/>
  <c r="H32" i="132"/>
  <c r="C36" i="151"/>
  <c r="D55" i="150"/>
  <c r="D17" i="150"/>
  <c r="D17" i="151"/>
  <c r="G17" i="151"/>
  <c r="G55" i="150"/>
  <c r="G17" i="150"/>
  <c r="E17" i="151"/>
  <c r="E55" i="150"/>
  <c r="F17" i="151"/>
  <c r="F55" i="150"/>
  <c r="F17" i="150"/>
  <c r="F59" i="150"/>
  <c r="F21" i="150"/>
  <c r="F21" i="151"/>
  <c r="D16" i="150"/>
  <c r="D54" i="150"/>
  <c r="D16" i="151"/>
  <c r="G17" i="112"/>
  <c r="D17" i="131"/>
  <c r="D17" i="130"/>
  <c r="J13" i="132"/>
  <c r="O13" i="132"/>
  <c r="D18" i="131"/>
  <c r="D18" i="130"/>
  <c r="O14" i="132"/>
  <c r="J14" i="132"/>
  <c r="G18" i="130"/>
  <c r="G18" i="131"/>
  <c r="E18" i="131"/>
  <c r="P14" i="132"/>
  <c r="K14" i="132"/>
  <c r="F17" i="112"/>
  <c r="Q14" i="132"/>
  <c r="F18" i="130"/>
  <c r="L14" i="132"/>
  <c r="F18" i="131"/>
  <c r="H18" i="55"/>
  <c r="Q18" i="132"/>
  <c r="F22" i="131"/>
  <c r="L18" i="132"/>
  <c r="F22" i="130"/>
  <c r="G26" i="112"/>
  <c r="Q26" i="112" s="1"/>
  <c r="AF18" i="55"/>
  <c r="H17" i="112"/>
  <c r="G13" i="132"/>
  <c r="G19" i="132" l="1"/>
  <c r="G60" i="150" s="1"/>
  <c r="AF27" i="55"/>
  <c r="G31" i="145"/>
  <c r="E22" i="131"/>
  <c r="E59" i="150"/>
  <c r="P18" i="132"/>
  <c r="E23" i="131"/>
  <c r="K18" i="132"/>
  <c r="D29" i="140"/>
  <c r="F26" i="112"/>
  <c r="P26" i="112" s="1"/>
  <c r="H27" i="55"/>
  <c r="AB27" i="55" s="1"/>
  <c r="D22" i="150"/>
  <c r="O18" i="132"/>
  <c r="D59" i="150"/>
  <c r="D22" i="131"/>
  <c r="D21" i="150"/>
  <c r="D22" i="130"/>
  <c r="J18" i="132"/>
  <c r="D19" i="151"/>
  <c r="D88" i="109"/>
  <c r="H88" i="109" s="1"/>
  <c r="AB22" i="55"/>
  <c r="E13" i="142"/>
  <c r="F22" i="139"/>
  <c r="F20" i="139" s="1"/>
  <c r="E22" i="139"/>
  <c r="E20" i="139" s="1"/>
  <c r="F22" i="151"/>
  <c r="F60" i="150"/>
  <c r="F22" i="150"/>
  <c r="E19" i="151"/>
  <c r="E57" i="150"/>
  <c r="D51" i="142"/>
  <c r="F19" i="151"/>
  <c r="F19" i="150"/>
  <c r="F57" i="150"/>
  <c r="P19" i="132"/>
  <c r="E60" i="150"/>
  <c r="E22" i="151"/>
  <c r="G29" i="140"/>
  <c r="E29" i="140"/>
  <c r="F29" i="140"/>
  <c r="F54" i="150"/>
  <c r="F16" i="151"/>
  <c r="F16" i="150"/>
  <c r="E16" i="151"/>
  <c r="E54" i="150"/>
  <c r="G54" i="150"/>
  <c r="G16" i="151"/>
  <c r="G16" i="150"/>
  <c r="M31" i="145"/>
  <c r="P31" i="145"/>
  <c r="J31" i="145"/>
  <c r="K19" i="132"/>
  <c r="F23" i="130"/>
  <c r="Q19" i="132"/>
  <c r="F23" i="131"/>
  <c r="L19" i="132"/>
  <c r="F20" i="130"/>
  <c r="L16" i="132"/>
  <c r="F20" i="131"/>
  <c r="Q16" i="132"/>
  <c r="J17" i="112"/>
  <c r="O17" i="112" s="1"/>
  <c r="G17" i="130"/>
  <c r="G17" i="131"/>
  <c r="K13" i="132"/>
  <c r="P13" i="132"/>
  <c r="E17" i="131"/>
  <c r="I14" i="132"/>
  <c r="C17" i="150" s="1"/>
  <c r="AB18" i="55"/>
  <c r="D17" i="112"/>
  <c r="N17" i="112" s="1"/>
  <c r="D87" i="109"/>
  <c r="J41" i="112"/>
  <c r="O41" i="112" s="1"/>
  <c r="E79" i="107"/>
  <c r="E51" i="107"/>
  <c r="E71" i="107" s="1"/>
  <c r="C211" i="107"/>
  <c r="E42" i="107"/>
  <c r="K16" i="132"/>
  <c r="E20" i="131"/>
  <c r="P16" i="132"/>
  <c r="Q13" i="132"/>
  <c r="L13" i="132"/>
  <c r="F17" i="130"/>
  <c r="F17" i="131"/>
  <c r="N14" i="132"/>
  <c r="G22" i="150" l="1"/>
  <c r="G23" i="130"/>
  <c r="G23" i="131"/>
  <c r="G22" i="151"/>
  <c r="D60" i="150"/>
  <c r="D23" i="131"/>
  <c r="D26" i="112"/>
  <c r="N26" i="112" s="1"/>
  <c r="D23" i="130"/>
  <c r="D22" i="151"/>
  <c r="O19" i="132"/>
  <c r="N19" i="132" s="1"/>
  <c r="C22" i="151" s="1"/>
  <c r="J19" i="132"/>
  <c r="I19" i="132" s="1"/>
  <c r="C23" i="130" s="1"/>
  <c r="D20" i="130"/>
  <c r="J16" i="132"/>
  <c r="D20" i="131"/>
  <c r="O16" i="132"/>
  <c r="D19" i="150"/>
  <c r="D57" i="150"/>
  <c r="C18" i="131"/>
  <c r="C17" i="151"/>
  <c r="H22" i="139"/>
  <c r="H20" i="139"/>
  <c r="I13" i="132"/>
  <c r="C16" i="150" s="1"/>
  <c r="E25" i="140"/>
  <c r="J26" i="145"/>
  <c r="E99" i="107"/>
  <c r="E108" i="107"/>
  <c r="E128" i="107" s="1"/>
  <c r="L17" i="112"/>
  <c r="Q17" i="112" s="1"/>
  <c r="L31" i="145"/>
  <c r="C214" i="107"/>
  <c r="C215" i="107" s="1"/>
  <c r="C30" i="147" s="1"/>
  <c r="H87" i="109"/>
  <c r="O31" i="145"/>
  <c r="M17" i="112"/>
  <c r="R17" i="112" s="1"/>
  <c r="N13" i="132"/>
  <c r="H14" i="132"/>
  <c r="C18" i="130"/>
  <c r="K17" i="112"/>
  <c r="P17" i="112" s="1"/>
  <c r="I31" i="145"/>
  <c r="H13" i="154" l="1"/>
  <c r="C17" i="130"/>
  <c r="C23" i="131"/>
  <c r="H19" i="132"/>
  <c r="C22" i="150"/>
  <c r="E24" i="140"/>
  <c r="C17" i="131"/>
  <c r="C16" i="151"/>
  <c r="J25" i="145"/>
  <c r="H13" i="132"/>
  <c r="J68" i="145"/>
  <c r="K57" i="145" l="1"/>
  <c r="N57" i="145"/>
  <c r="H57" i="145"/>
  <c r="J43" i="112"/>
  <c r="O43" i="112" s="1"/>
  <c r="L43" i="112"/>
  <c r="Q43" i="112" s="1"/>
  <c r="M43" i="112"/>
  <c r="R43" i="112" s="1"/>
  <c r="K43" i="112"/>
  <c r="P43" i="112" s="1"/>
  <c r="B46" i="146"/>
  <c r="F54" i="142" l="1"/>
  <c r="G54" i="142"/>
  <c r="D54" i="142"/>
  <c r="F46" i="146"/>
  <c r="M46" i="146" s="1"/>
  <c r="E54" i="142"/>
  <c r="E57" i="145"/>
  <c r="C57" i="145" l="1"/>
  <c r="I43" i="112"/>
  <c r="N43" i="112" s="1"/>
  <c r="C75" i="150" l="1"/>
  <c r="M34" i="132"/>
  <c r="R34" i="132"/>
  <c r="H16" i="108"/>
  <c r="E34" i="132"/>
  <c r="E38" i="151" s="1"/>
  <c r="G34" i="132"/>
  <c r="D34" i="132"/>
  <c r="D38" i="151" l="1"/>
  <c r="D38" i="150"/>
  <c r="G38" i="151"/>
  <c r="G38" i="150"/>
  <c r="F38" i="151"/>
  <c r="F38" i="150"/>
  <c r="D39" i="131"/>
  <c r="J34" i="132"/>
  <c r="D39" i="130"/>
  <c r="O34" i="132"/>
  <c r="F39" i="130"/>
  <c r="L34" i="132"/>
  <c r="F39" i="131"/>
  <c r="Q34" i="132"/>
  <c r="P34" i="132"/>
  <c r="E39" i="131"/>
  <c r="K34" i="132"/>
  <c r="G39" i="130"/>
  <c r="G39" i="131"/>
  <c r="I16" i="108"/>
  <c r="N34" i="132" l="1"/>
  <c r="I34" i="132"/>
  <c r="C38" i="150" s="1"/>
  <c r="C39" i="131" l="1"/>
  <c r="C38" i="151"/>
  <c r="C39" i="130"/>
  <c r="H34" i="132"/>
  <c r="H11" i="20" l="1"/>
  <c r="O13" i="20" l="1"/>
  <c r="E142" i="20"/>
  <c r="D143" i="20" s="1"/>
  <c r="E143" i="20" s="1"/>
  <c r="G12" i="84"/>
  <c r="D27" i="142" l="1"/>
  <c r="D27" i="140"/>
  <c r="G28" i="145"/>
  <c r="L15" i="55"/>
  <c r="J14" i="112" l="1"/>
  <c r="D26" i="142"/>
  <c r="E14" i="112"/>
  <c r="D26" i="140"/>
  <c r="G27" i="145"/>
  <c r="O14" i="112" l="1"/>
  <c r="D25" i="140"/>
  <c r="G26" i="145"/>
  <c r="D25" i="142"/>
  <c r="D24" i="140" l="1"/>
  <c r="G25" i="145"/>
  <c r="D24" i="142"/>
  <c r="E52" i="112"/>
  <c r="G68" i="145" l="1"/>
  <c r="D13" i="142" l="1"/>
  <c r="D13" i="138"/>
  <c r="E13" i="139"/>
  <c r="D13" i="140"/>
  <c r="E13" i="138" l="1"/>
  <c r="E11" i="138" s="1"/>
  <c r="F13" i="139"/>
  <c r="F11" i="139" s="1"/>
  <c r="D42" i="107"/>
  <c r="C135" i="107"/>
  <c r="C172" i="107" s="1"/>
  <c r="C175" i="107" s="1"/>
  <c r="D38" i="107"/>
  <c r="D51" i="107"/>
  <c r="D79" i="107"/>
  <c r="E11" i="139"/>
  <c r="D11" i="138"/>
  <c r="H11" i="139" l="1"/>
  <c r="H13" i="139"/>
  <c r="G11" i="138"/>
  <c r="G13" i="138"/>
  <c r="H9" i="153"/>
  <c r="D99" i="107"/>
  <c r="D108" i="107"/>
  <c r="D95" i="107"/>
  <c r="C178" i="107"/>
  <c r="C181" i="107" s="1"/>
  <c r="D67" i="107"/>
  <c r="D71" i="107"/>
  <c r="D124" i="107" l="1"/>
  <c r="D128" i="107"/>
  <c r="Y25" i="92" l="1"/>
  <c r="Y29" i="92"/>
  <c r="E58" i="112" l="1"/>
  <c r="F13" i="93"/>
  <c r="E53" i="112"/>
  <c r="E13" i="93"/>
  <c r="E10" i="58"/>
  <c r="F53" i="112" l="1"/>
  <c r="Y30" i="92"/>
  <c r="Y26" i="92"/>
  <c r="X23" i="92" l="1"/>
  <c r="X27" i="92"/>
  <c r="E51" i="112" l="1"/>
  <c r="B26" i="115"/>
  <c r="F51" i="112"/>
  <c r="E9" i="129"/>
  <c r="B25" i="115" l="1"/>
  <c r="D9" i="129"/>
  <c r="E13" i="129"/>
  <c r="E12" i="129"/>
  <c r="E11" i="129"/>
  <c r="F12" i="93"/>
  <c r="D13" i="129" l="1"/>
  <c r="H17" i="92" s="1"/>
  <c r="D11" i="129"/>
  <c r="D12" i="129"/>
  <c r="E12" i="93"/>
  <c r="E8" i="154" s="1"/>
  <c r="I17" i="92"/>
  <c r="I17" i="61"/>
  <c r="D21" i="107"/>
  <c r="D78" i="107" s="1"/>
  <c r="G104" i="84"/>
  <c r="E21" i="107"/>
  <c r="B136" i="107" s="1"/>
  <c r="J11" i="129"/>
  <c r="E7" i="154" l="1"/>
  <c r="F8" i="154"/>
  <c r="F7" i="154" s="1"/>
  <c r="H17" i="61"/>
  <c r="B135" i="107"/>
  <c r="B172" i="107" s="1"/>
  <c r="E78" i="107"/>
  <c r="E107" i="107" s="1"/>
  <c r="E50" i="107"/>
  <c r="D50" i="107"/>
  <c r="E73" i="140"/>
  <c r="E73" i="142"/>
  <c r="D73" i="140"/>
  <c r="H104" i="84"/>
  <c r="I11" i="129"/>
  <c r="D107" i="107"/>
  <c r="B211" i="107"/>
  <c r="H8" i="154" l="1"/>
  <c r="H7" i="154"/>
  <c r="D73" i="142"/>
  <c r="Y17" i="92"/>
  <c r="X17" i="92"/>
  <c r="B178" i="107"/>
  <c r="D36" i="130" l="1"/>
  <c r="D35" i="150"/>
  <c r="D106" i="150"/>
  <c r="Y16" i="92" l="1"/>
  <c r="X16" i="92"/>
  <c r="E36" i="131"/>
  <c r="E35" i="151"/>
  <c r="D36" i="131"/>
  <c r="D35" i="151"/>
  <c r="X12" i="92" l="1"/>
  <c r="Y12" i="92" l="1"/>
  <c r="Y11" i="92" l="1"/>
  <c r="X44" i="92" l="1"/>
  <c r="X41" i="92" l="1"/>
  <c r="G26" i="115" l="1"/>
  <c r="E25" i="115"/>
  <c r="E27" i="115" l="1"/>
  <c r="E26" i="115"/>
  <c r="G25" i="115"/>
  <c r="Y45" i="92" l="1"/>
  <c r="X45" i="92" l="1"/>
  <c r="Y39" i="92"/>
  <c r="X39" i="92"/>
  <c r="X40" i="92"/>
  <c r="Y40" i="92"/>
  <c r="Y41" i="92"/>
  <c r="Y44" i="92"/>
  <c r="Y27" i="92"/>
  <c r="F30" i="146"/>
  <c r="M30" i="146" s="1"/>
  <c r="Y23" i="92"/>
  <c r="Y24" i="92"/>
  <c r="X26" i="92"/>
  <c r="Y28" i="92"/>
  <c r="X30" i="92"/>
  <c r="F58" i="112"/>
  <c r="X28" i="92"/>
  <c r="X24" i="92"/>
  <c r="X29" i="92"/>
  <c r="X25" i="92"/>
  <c r="F41" i="84" l="1"/>
  <c r="J41" i="84" l="1"/>
  <c r="I41" i="84"/>
  <c r="H41" i="84"/>
  <c r="G41" i="84"/>
  <c r="H40" i="84" l="1"/>
  <c r="I40" i="84"/>
  <c r="J40" i="84"/>
  <c r="G40" i="84"/>
  <c r="F20" i="109" l="1"/>
  <c r="E41" i="145" l="1"/>
  <c r="B36" i="146"/>
  <c r="F17" i="109"/>
  <c r="D20" i="109"/>
  <c r="G20" i="109"/>
  <c r="E20" i="109" s="1"/>
  <c r="O20" i="132" l="1"/>
  <c r="J20" i="132"/>
  <c r="D61" i="150"/>
  <c r="F36" i="146"/>
  <c r="M36" i="146" s="1"/>
  <c r="D17" i="109"/>
  <c r="G17" i="109"/>
  <c r="E17" i="109" s="1"/>
  <c r="L20" i="132"/>
  <c r="Q20" i="132"/>
  <c r="F61" i="150"/>
  <c r="C41" i="145"/>
  <c r="I27" i="112"/>
  <c r="E61" i="150"/>
  <c r="K20" i="132"/>
  <c r="P20" i="132"/>
  <c r="E38" i="145"/>
  <c r="F58" i="150" l="1"/>
  <c r="Q17" i="132"/>
  <c r="L17" i="132"/>
  <c r="F42" i="140"/>
  <c r="N41" i="145"/>
  <c r="K41" i="145"/>
  <c r="E42" i="140"/>
  <c r="E58" i="150"/>
  <c r="K17" i="132"/>
  <c r="P17" i="132"/>
  <c r="D58" i="150"/>
  <c r="J17" i="132"/>
  <c r="O17" i="132"/>
  <c r="Q41" i="145"/>
  <c r="G42" i="140"/>
  <c r="D42" i="140"/>
  <c r="H41" i="145"/>
  <c r="C38" i="145"/>
  <c r="I24" i="112"/>
  <c r="Q38" i="145" l="1"/>
  <c r="G39" i="140"/>
  <c r="L27" i="112"/>
  <c r="H38" i="145"/>
  <c r="D39" i="140"/>
  <c r="M27" i="112"/>
  <c r="E42" i="142"/>
  <c r="I41" i="145"/>
  <c r="F39" i="140"/>
  <c r="N38" i="145"/>
  <c r="D42" i="142"/>
  <c r="G42" i="142"/>
  <c r="F42" i="142"/>
  <c r="J27" i="112"/>
  <c r="K38" i="145"/>
  <c r="E39" i="140"/>
  <c r="K27" i="112"/>
  <c r="L41" i="145" l="1"/>
  <c r="E39" i="142"/>
  <c r="F39" i="142"/>
  <c r="J24" i="112"/>
  <c r="O41" i="145"/>
  <c r="D39" i="142"/>
  <c r="L24" i="112"/>
  <c r="L38" i="145"/>
  <c r="M24" i="112"/>
  <c r="K24" i="112"/>
  <c r="G39" i="142"/>
  <c r="O38" i="145" l="1"/>
  <c r="I38" i="145"/>
  <c r="I104" i="84" l="1"/>
  <c r="K11" i="129"/>
  <c r="E29" i="107" l="1"/>
  <c r="D29" i="107"/>
  <c r="F25" i="107"/>
  <c r="F82" i="107" l="1"/>
  <c r="B146" i="107"/>
  <c r="F54" i="107"/>
  <c r="D58" i="107"/>
  <c r="D86" i="107"/>
  <c r="B153" i="107"/>
  <c r="D25" i="107"/>
  <c r="E58" i="107"/>
  <c r="B154" i="107"/>
  <c r="E86" i="107"/>
  <c r="E115" i="107" l="1"/>
  <c r="B179" i="107"/>
  <c r="B186" i="107"/>
  <c r="D115" i="107"/>
  <c r="F111" i="107"/>
  <c r="D82" i="107"/>
  <c r="D54" i="107"/>
  <c r="B144" i="107"/>
  <c r="B212" i="107"/>
  <c r="B173" i="107" l="1"/>
  <c r="D111" i="107"/>
  <c r="F24" i="78" l="1"/>
  <c r="F29" i="93" l="1"/>
  <c r="F25" i="93"/>
  <c r="E15" i="154" s="1"/>
  <c r="E29" i="93"/>
  <c r="E25" i="93"/>
  <c r="E26" i="58"/>
  <c r="E22" i="58"/>
  <c r="F15" i="154" l="1"/>
  <c r="F12" i="154" s="1"/>
  <c r="E12" i="154"/>
  <c r="E30" i="58"/>
  <c r="E33" i="93"/>
  <c r="F33" i="93"/>
  <c r="H15" i="154" l="1"/>
  <c r="H12" i="154"/>
  <c r="G22" i="58"/>
  <c r="G26" i="58"/>
  <c r="G30" i="58" l="1"/>
  <c r="G28" i="58" l="1"/>
  <c r="G24" i="58"/>
  <c r="G9" i="58"/>
  <c r="G21" i="58" l="1"/>
  <c r="G51" i="58" s="1"/>
  <c r="G32" i="58"/>
  <c r="G29" i="58" s="1"/>
  <c r="G25" i="58"/>
  <c r="F88" i="150" l="1"/>
  <c r="F85" i="150" s="1"/>
  <c r="E11" i="133" l="1"/>
  <c r="F11" i="133"/>
  <c r="D11" i="133"/>
  <c r="D88" i="150"/>
  <c r="D85" i="150" s="1"/>
  <c r="D16" i="20" l="1"/>
  <c r="D27" i="20"/>
  <c r="D47" i="20" s="1"/>
  <c r="C47" i="20" s="1"/>
  <c r="K8" i="20"/>
  <c r="E33" i="98"/>
  <c r="F33" i="98" s="1"/>
  <c r="G33" i="98" s="1"/>
  <c r="C141" i="20" l="1"/>
  <c r="C27" i="20"/>
  <c r="F22" i="20"/>
  <c r="F25" i="20" s="1"/>
  <c r="G32" i="98"/>
  <c r="H33" i="98"/>
  <c r="E32" i="98"/>
  <c r="F32" i="98"/>
  <c r="G15" i="22"/>
  <c r="G17" i="22"/>
  <c r="G18" i="22" s="1"/>
  <c r="C16" i="20"/>
  <c r="F16" i="20"/>
  <c r="H16" i="20" s="1"/>
  <c r="I16" i="20" s="1"/>
  <c r="D13" i="20" l="1"/>
  <c r="H13" i="20" s="1"/>
  <c r="I12" i="84" s="1"/>
  <c r="F26" i="20"/>
  <c r="C159" i="20" s="1"/>
  <c r="H22" i="20"/>
  <c r="E155" i="20" s="1"/>
  <c r="F24" i="20"/>
  <c r="C157" i="20" s="1"/>
  <c r="D19" i="20"/>
  <c r="C155" i="20"/>
  <c r="F23" i="20"/>
  <c r="C30" i="20"/>
  <c r="D14" i="20"/>
  <c r="C19" i="20"/>
  <c r="C158" i="20"/>
  <c r="H25" i="20"/>
  <c r="M16" i="20"/>
  <c r="C149" i="20"/>
  <c r="I33" i="98"/>
  <c r="I32" i="98" s="1"/>
  <c r="H32" i="98"/>
  <c r="D30" i="20" l="1"/>
  <c r="D50" i="20" s="1"/>
  <c r="F19" i="20"/>
  <c r="H19" i="20" s="1"/>
  <c r="F14" i="20"/>
  <c r="B123" i="20"/>
  <c r="H26" i="20"/>
  <c r="E30" i="145"/>
  <c r="H24" i="20"/>
  <c r="H29" i="20" s="1"/>
  <c r="H28" i="98"/>
  <c r="C146" i="20"/>
  <c r="E146" i="20" s="1"/>
  <c r="C156" i="20"/>
  <c r="H23" i="20"/>
  <c r="E158" i="20"/>
  <c r="I14" i="84"/>
  <c r="T17" i="55" s="1"/>
  <c r="E149" i="20"/>
  <c r="B122" i="20"/>
  <c r="C31" i="20"/>
  <c r="C20" i="20"/>
  <c r="H30" i="20" l="1"/>
  <c r="D31" i="20"/>
  <c r="D51" i="20" s="1"/>
  <c r="C51" i="20" s="1"/>
  <c r="D20" i="20"/>
  <c r="H14" i="20"/>
  <c r="M14" i="20" s="1"/>
  <c r="F20" i="20"/>
  <c r="H20" i="20" s="1"/>
  <c r="H14" i="84"/>
  <c r="P17" i="55" s="1"/>
  <c r="B28" i="146"/>
  <c r="F28" i="146" s="1"/>
  <c r="E157" i="20"/>
  <c r="J14" i="84"/>
  <c r="X17" i="55" s="1"/>
  <c r="H16" i="112" s="1"/>
  <c r="E159" i="20"/>
  <c r="C147" i="20"/>
  <c r="E147" i="20" s="1"/>
  <c r="I28" i="98"/>
  <c r="E28" i="98" s="1"/>
  <c r="C152" i="20"/>
  <c r="H28" i="20"/>
  <c r="G14" i="84"/>
  <c r="L17" i="55" s="1"/>
  <c r="E156" i="20"/>
  <c r="C30" i="145"/>
  <c r="I16" i="112"/>
  <c r="G16" i="112"/>
  <c r="H49" i="20"/>
  <c r="E163" i="20"/>
  <c r="E27" i="145"/>
  <c r="I20" i="20" l="1"/>
  <c r="J13" i="84"/>
  <c r="M20" i="20"/>
  <c r="H31" i="20"/>
  <c r="J11" i="84" s="1"/>
  <c r="G35" i="140"/>
  <c r="AF17" i="55"/>
  <c r="J12" i="84"/>
  <c r="X15" i="55" s="1"/>
  <c r="I13" i="84"/>
  <c r="H50" i="20"/>
  <c r="F14" i="84"/>
  <c r="T15" i="55"/>
  <c r="M28" i="145"/>
  <c r="F27" i="140"/>
  <c r="C153" i="20"/>
  <c r="I14" i="20"/>
  <c r="E152" i="20"/>
  <c r="F27" i="142"/>
  <c r="H10" i="20"/>
  <c r="E16" i="112"/>
  <c r="L14" i="55"/>
  <c r="H48" i="20"/>
  <c r="G11" i="84" s="1"/>
  <c r="E162" i="20"/>
  <c r="F16" i="112"/>
  <c r="P14" i="55"/>
  <c r="H17" i="55"/>
  <c r="M28" i="146"/>
  <c r="E26" i="145"/>
  <c r="H11" i="84"/>
  <c r="F35" i="140"/>
  <c r="N30" i="145"/>
  <c r="M10" i="20" l="1"/>
  <c r="I10" i="20"/>
  <c r="Q30" i="145"/>
  <c r="I11" i="84"/>
  <c r="I10" i="84" s="1"/>
  <c r="E164" i="20"/>
  <c r="F26" i="142"/>
  <c r="F28" i="142"/>
  <c r="E165" i="20"/>
  <c r="H51" i="20"/>
  <c r="I31" i="20"/>
  <c r="AF15" i="55"/>
  <c r="H14" i="112"/>
  <c r="E141" i="20"/>
  <c r="B121" i="20"/>
  <c r="H27" i="20"/>
  <c r="P28" i="145"/>
  <c r="G27" i="140"/>
  <c r="E153" i="20"/>
  <c r="X16" i="55"/>
  <c r="X14" i="55" s="1"/>
  <c r="L28" i="145"/>
  <c r="L14" i="112"/>
  <c r="T16" i="55"/>
  <c r="T14" i="55" s="1"/>
  <c r="G27" i="142"/>
  <c r="F28" i="140"/>
  <c r="M29" i="145"/>
  <c r="F12" i="84"/>
  <c r="H15" i="55"/>
  <c r="G14" i="112"/>
  <c r="E13" i="112"/>
  <c r="D35" i="140"/>
  <c r="H30" i="145"/>
  <c r="Q27" i="145"/>
  <c r="G34" i="140"/>
  <c r="F35" i="142"/>
  <c r="L30" i="145"/>
  <c r="L16" i="112"/>
  <c r="Q16" i="112" s="1"/>
  <c r="F34" i="140"/>
  <c r="N27" i="145"/>
  <c r="H6" i="108"/>
  <c r="AB17" i="55"/>
  <c r="D16" i="112"/>
  <c r="N16" i="112" s="1"/>
  <c r="K30" i="145"/>
  <c r="E35" i="140"/>
  <c r="F11" i="109"/>
  <c r="F13" i="112"/>
  <c r="H10" i="84"/>
  <c r="G35" i="142"/>
  <c r="M16" i="112" l="1"/>
  <c r="R16" i="112" s="1"/>
  <c r="T23" i="55"/>
  <c r="G22" i="112" s="1"/>
  <c r="Q22" i="112" s="1"/>
  <c r="H14" i="55"/>
  <c r="AB14" i="55" s="1"/>
  <c r="F13" i="84"/>
  <c r="Q14" i="112"/>
  <c r="G13" i="112"/>
  <c r="G52" i="112"/>
  <c r="G28" i="142"/>
  <c r="B120" i="20"/>
  <c r="C121" i="20" s="1"/>
  <c r="F26" i="140"/>
  <c r="M27" i="145"/>
  <c r="D29" i="145"/>
  <c r="D28" i="145"/>
  <c r="I51" i="20"/>
  <c r="AB15" i="55"/>
  <c r="D14" i="112"/>
  <c r="H4" i="108"/>
  <c r="G26" i="142"/>
  <c r="G15" i="112"/>
  <c r="H16" i="55"/>
  <c r="G28" i="140"/>
  <c r="P29" i="145"/>
  <c r="O28" i="145"/>
  <c r="M14" i="112"/>
  <c r="R14" i="112" s="1"/>
  <c r="AF14" i="55"/>
  <c r="H13" i="112"/>
  <c r="X53" i="55"/>
  <c r="H52" i="112" s="1"/>
  <c r="G12" i="132"/>
  <c r="I27" i="20"/>
  <c r="E161" i="20"/>
  <c r="H47" i="20"/>
  <c r="I47" i="20" s="1"/>
  <c r="L15" i="112"/>
  <c r="L29" i="145"/>
  <c r="H15" i="112"/>
  <c r="AF16" i="55"/>
  <c r="F25" i="142"/>
  <c r="D35" i="142"/>
  <c r="J16" i="112"/>
  <c r="O16" i="112" s="1"/>
  <c r="D34" i="140"/>
  <c r="H27" i="145"/>
  <c r="D15" i="150"/>
  <c r="D16" i="131"/>
  <c r="D16" i="130"/>
  <c r="D11" i="132"/>
  <c r="J12" i="132"/>
  <c r="D15" i="151"/>
  <c r="O12" i="132"/>
  <c r="D53" i="150"/>
  <c r="P23" i="55"/>
  <c r="E15" i="151"/>
  <c r="E16" i="131"/>
  <c r="P12" i="132"/>
  <c r="E53" i="150"/>
  <c r="K12" i="132"/>
  <c r="F33" i="140"/>
  <c r="N26" i="145"/>
  <c r="G11" i="109"/>
  <c r="E11" i="109" s="1"/>
  <c r="D11" i="109"/>
  <c r="G33" i="140"/>
  <c r="Q26" i="145"/>
  <c r="K16" i="112"/>
  <c r="P16" i="112" s="1"/>
  <c r="F34" i="142"/>
  <c r="O30" i="145"/>
  <c r="E35" i="142"/>
  <c r="T13" i="55"/>
  <c r="G34" i="142"/>
  <c r="K27" i="145"/>
  <c r="E34" i="140"/>
  <c r="I6" i="108"/>
  <c r="J6" i="108"/>
  <c r="L13" i="112"/>
  <c r="D86" i="109" l="1"/>
  <c r="H86" i="109" s="1"/>
  <c r="H53" i="55"/>
  <c r="D13" i="112"/>
  <c r="Q13" i="112"/>
  <c r="L27" i="145"/>
  <c r="O29" i="145"/>
  <c r="M15" i="112"/>
  <c r="R15" i="112" s="1"/>
  <c r="O27" i="145"/>
  <c r="F24" i="142"/>
  <c r="D15" i="112"/>
  <c r="H5" i="108"/>
  <c r="AB16" i="55"/>
  <c r="G25" i="142"/>
  <c r="I14" i="112"/>
  <c r="N14" i="112" s="1"/>
  <c r="C28" i="145"/>
  <c r="J10" i="84"/>
  <c r="F53" i="150"/>
  <c r="Q12" i="132"/>
  <c r="L12" i="132"/>
  <c r="F16" i="130"/>
  <c r="F15" i="151"/>
  <c r="F16" i="131"/>
  <c r="F15" i="150"/>
  <c r="G26" i="140"/>
  <c r="P27" i="145"/>
  <c r="J4" i="108"/>
  <c r="I4" i="108"/>
  <c r="B24" i="146"/>
  <c r="F24" i="146" s="1"/>
  <c r="M24" i="146" s="1"/>
  <c r="D27" i="145"/>
  <c r="C29" i="145"/>
  <c r="I15" i="112"/>
  <c r="G53" i="150"/>
  <c r="G16" i="131"/>
  <c r="G15" i="150"/>
  <c r="G15" i="151"/>
  <c r="G16" i="130"/>
  <c r="Q15" i="112"/>
  <c r="M26" i="145"/>
  <c r="F25" i="140"/>
  <c r="C122" i="20"/>
  <c r="C124" i="20"/>
  <c r="C123" i="20"/>
  <c r="F10" i="109"/>
  <c r="F9" i="109"/>
  <c r="J13" i="112"/>
  <c r="O13" i="112" s="1"/>
  <c r="D33" i="140"/>
  <c r="H26" i="145"/>
  <c r="D34" i="142"/>
  <c r="E33" i="140"/>
  <c r="K26" i="145"/>
  <c r="L12" i="112"/>
  <c r="L26" i="145"/>
  <c r="G12" i="112"/>
  <c r="D52" i="112"/>
  <c r="G33" i="142"/>
  <c r="E34" i="142"/>
  <c r="K13" i="112"/>
  <c r="P13" i="112" s="1"/>
  <c r="F19" i="130"/>
  <c r="F19" i="131"/>
  <c r="L15" i="132"/>
  <c r="Q15" i="132"/>
  <c r="F18" i="150"/>
  <c r="F18" i="151"/>
  <c r="F56" i="150"/>
  <c r="F22" i="112"/>
  <c r="P22" i="112" s="1"/>
  <c r="P13" i="55"/>
  <c r="F33" i="142"/>
  <c r="I30" i="145"/>
  <c r="F14" i="151" l="1"/>
  <c r="F15" i="131"/>
  <c r="F14" i="150"/>
  <c r="F15" i="130"/>
  <c r="F52" i="150"/>
  <c r="Q11" i="132"/>
  <c r="L11" i="132"/>
  <c r="C120" i="20"/>
  <c r="G10" i="109"/>
  <c r="E10" i="109" s="1"/>
  <c r="D10" i="109"/>
  <c r="X23" i="55"/>
  <c r="I5" i="108"/>
  <c r="J5" i="108"/>
  <c r="G24" i="142"/>
  <c r="N15" i="112"/>
  <c r="M13" i="112"/>
  <c r="R13" i="112" s="1"/>
  <c r="Q12" i="112"/>
  <c r="F37" i="109"/>
  <c r="G9" i="109"/>
  <c r="E9" i="109" s="1"/>
  <c r="D9" i="109"/>
  <c r="D68" i="109" s="1"/>
  <c r="H68" i="109" s="1"/>
  <c r="P26" i="145"/>
  <c r="G25" i="140"/>
  <c r="C27" i="145"/>
  <c r="I13" i="112"/>
  <c r="N13" i="112" s="1"/>
  <c r="M25" i="145"/>
  <c r="F24" i="140"/>
  <c r="D26" i="145"/>
  <c r="D33" i="142"/>
  <c r="J12" i="112"/>
  <c r="I26" i="145"/>
  <c r="K12" i="112"/>
  <c r="P15" i="132"/>
  <c r="P11" i="132" s="1"/>
  <c r="E18" i="151"/>
  <c r="E14" i="151" s="1"/>
  <c r="K15" i="132"/>
  <c r="K11" i="132" s="1"/>
  <c r="E19" i="131"/>
  <c r="E15" i="131" s="1"/>
  <c r="E56" i="150"/>
  <c r="E52" i="150" s="1"/>
  <c r="F12" i="112"/>
  <c r="I27" i="145"/>
  <c r="E33" i="142"/>
  <c r="D25" i="145" l="1"/>
  <c r="AF23" i="55"/>
  <c r="G15" i="132"/>
  <c r="H22" i="112"/>
  <c r="R22" i="112" s="1"/>
  <c r="X13" i="55"/>
  <c r="F14" i="109"/>
  <c r="I12" i="112"/>
  <c r="C26" i="145"/>
  <c r="G24" i="140"/>
  <c r="P25" i="145"/>
  <c r="D37" i="109"/>
  <c r="F47" i="109"/>
  <c r="G37" i="109"/>
  <c r="E37" i="109" s="1"/>
  <c r="O26" i="145"/>
  <c r="M12" i="112"/>
  <c r="P12" i="112"/>
  <c r="D47" i="109" l="1"/>
  <c r="F50" i="109"/>
  <c r="F13" i="142"/>
  <c r="D56" i="145"/>
  <c r="E31" i="139"/>
  <c r="AF13" i="55"/>
  <c r="H12" i="112"/>
  <c r="R12" i="112" s="1"/>
  <c r="G14" i="109"/>
  <c r="F8" i="109"/>
  <c r="G8" i="109" s="1"/>
  <c r="M68" i="145"/>
  <c r="G56" i="150"/>
  <c r="G52" i="150" s="1"/>
  <c r="D22" i="138" l="1"/>
  <c r="E40" i="139"/>
  <c r="E17" i="154"/>
  <c r="F13" i="140"/>
  <c r="G13" i="142"/>
  <c r="E29" i="139"/>
  <c r="B5" i="146"/>
  <c r="F17" i="154"/>
  <c r="F31" i="139"/>
  <c r="F29" i="139" s="1"/>
  <c r="D64" i="145"/>
  <c r="F79" i="107"/>
  <c r="F38" i="107"/>
  <c r="F51" i="107"/>
  <c r="F42" i="107"/>
  <c r="D50" i="109"/>
  <c r="F56" i="109"/>
  <c r="D56" i="109" s="1"/>
  <c r="G50" i="109"/>
  <c r="E50" i="109" s="1"/>
  <c r="P68" i="145"/>
  <c r="D31" i="138" l="1"/>
  <c r="H18" i="154"/>
  <c r="F71" i="107"/>
  <c r="F67" i="107"/>
  <c r="H31" i="139"/>
  <c r="H17" i="154"/>
  <c r="H29" i="139"/>
  <c r="F40" i="139"/>
  <c r="F38" i="139" s="1"/>
  <c r="E13" i="153"/>
  <c r="F108" i="107"/>
  <c r="F95" i="107"/>
  <c r="F99" i="107"/>
  <c r="E22" i="138"/>
  <c r="E20" i="138" s="1"/>
  <c r="F13" i="153"/>
  <c r="C185" i="107"/>
  <c r="C188" i="107" s="1"/>
  <c r="C189" i="107" s="1"/>
  <c r="C191" i="107"/>
  <c r="C194" i="107" s="1"/>
  <c r="C195" i="107" s="1"/>
  <c r="G51" i="107"/>
  <c r="G42" i="107"/>
  <c r="G79" i="107"/>
  <c r="G38" i="107"/>
  <c r="G13" i="140"/>
  <c r="B14" i="146"/>
  <c r="K14" i="146" s="1"/>
  <c r="B23" i="146"/>
  <c r="F23" i="146" s="1"/>
  <c r="M23" i="146" s="1"/>
  <c r="K5" i="146"/>
  <c r="E38" i="139"/>
  <c r="D20" i="138"/>
  <c r="H40" i="139" l="1"/>
  <c r="H38" i="139"/>
  <c r="C204" i="107"/>
  <c r="C198" i="107"/>
  <c r="E31" i="138"/>
  <c r="E29" i="138" s="1"/>
  <c r="G71" i="107"/>
  <c r="G67" i="107"/>
  <c r="F124" i="107"/>
  <c r="F128" i="107"/>
  <c r="I29" i="138"/>
  <c r="J18" i="153"/>
  <c r="G22" i="138"/>
  <c r="G99" i="107"/>
  <c r="G108" i="107"/>
  <c r="G95" i="107"/>
  <c r="H14" i="153"/>
  <c r="D29" i="138"/>
  <c r="G20" i="138"/>
  <c r="H13" i="153"/>
  <c r="C68" i="145"/>
  <c r="C71" i="145" l="1"/>
  <c r="G31" i="138"/>
  <c r="G29" i="138"/>
  <c r="C79" i="107"/>
  <c r="C42" i="107"/>
  <c r="C38" i="107"/>
  <c r="C51" i="107"/>
  <c r="K18" i="153"/>
  <c r="J29" i="138"/>
  <c r="G128" i="107"/>
  <c r="G124" i="107"/>
  <c r="C67" i="107" l="1"/>
  <c r="C71" i="107"/>
  <c r="C108" i="107"/>
  <c r="C95" i="107"/>
  <c r="C99" i="107"/>
  <c r="C128" i="107" l="1"/>
  <c r="C124" i="107"/>
  <c r="D48" i="127" l="1"/>
  <c r="I48" i="127" s="1"/>
  <c r="C48" i="127"/>
  <c r="H48" i="127" s="1"/>
  <c r="F23" i="150" l="1"/>
  <c r="F20" i="150" s="1"/>
  <c r="F24" i="130"/>
  <c r="F21" i="130" s="1"/>
  <c r="F93" i="150"/>
  <c r="D23" i="150"/>
  <c r="D20" i="150" s="1"/>
  <c r="D24" i="130"/>
  <c r="D21" i="130" s="1"/>
  <c r="D93" i="150"/>
  <c r="F90" i="150" l="1"/>
  <c r="F24" i="131" l="1"/>
  <c r="F21" i="131" s="1"/>
  <c r="F23" i="151"/>
  <c r="F20" i="151" s="1"/>
  <c r="D23" i="151"/>
  <c r="D20" i="151" s="1"/>
  <c r="D24" i="131"/>
  <c r="D21" i="131" s="1"/>
  <c r="E23" i="151"/>
  <c r="E20" i="151" s="1"/>
  <c r="E24" i="131"/>
  <c r="E21" i="131" s="1"/>
  <c r="D90" i="150"/>
  <c r="Z19" i="92"/>
  <c r="G10" i="84" l="1"/>
  <c r="F11" i="84"/>
  <c r="F10" i="84" l="1"/>
  <c r="E18" i="110"/>
  <c r="L23" i="55"/>
  <c r="M11" i="84"/>
  <c r="C12" i="132"/>
  <c r="D184" i="84"/>
  <c r="M12" i="132" l="1"/>
  <c r="R12" i="132"/>
  <c r="C15" i="132"/>
  <c r="E5" i="110"/>
  <c r="F5" i="110" s="1"/>
  <c r="F18" i="110"/>
  <c r="C53" i="150"/>
  <c r="E22" i="112"/>
  <c r="O22" i="112" s="1"/>
  <c r="L13" i="55"/>
  <c r="H23" i="55"/>
  <c r="H184" i="84"/>
  <c r="G25" i="108" s="1"/>
  <c r="C25" i="108"/>
  <c r="H3" i="108" s="1"/>
  <c r="C11" i="132" l="1"/>
  <c r="C56" i="150"/>
  <c r="C52" i="150" s="1"/>
  <c r="M15" i="132"/>
  <c r="M11" i="132" s="1"/>
  <c r="R15" i="132"/>
  <c r="R11" i="132" s="1"/>
  <c r="N12" i="132"/>
  <c r="I12" i="132"/>
  <c r="AB23" i="55"/>
  <c r="H13" i="55"/>
  <c r="D22" i="112"/>
  <c r="N22" i="112" s="1"/>
  <c r="E12" i="112"/>
  <c r="O12" i="112" s="1"/>
  <c r="O15" i="132"/>
  <c r="D18" i="151"/>
  <c r="D14" i="151" s="1"/>
  <c r="D56" i="150"/>
  <c r="D52" i="150" s="1"/>
  <c r="J15" i="132"/>
  <c r="D19" i="131"/>
  <c r="D15" i="131" s="1"/>
  <c r="D19" i="130"/>
  <c r="D15" i="130" s="1"/>
  <c r="D18" i="150"/>
  <c r="D14" i="150" s="1"/>
  <c r="J3" i="108"/>
  <c r="I3" i="108"/>
  <c r="G11" i="132" l="1"/>
  <c r="C15" i="151"/>
  <c r="C16" i="131"/>
  <c r="C16" i="130"/>
  <c r="C15" i="150"/>
  <c r="H12" i="132"/>
  <c r="N15" i="132"/>
  <c r="O11" i="132"/>
  <c r="I15" i="132"/>
  <c r="J11" i="132"/>
  <c r="AB13" i="55"/>
  <c r="D12" i="112"/>
  <c r="N12" i="112" s="1"/>
  <c r="H15" i="132" l="1"/>
  <c r="I11" i="132"/>
  <c r="N11" i="132"/>
  <c r="H11" i="132" l="1"/>
  <c r="H27" i="109" l="1"/>
  <c r="I27" i="109" s="1"/>
  <c r="H23" i="109"/>
  <c r="I23" i="109" s="1"/>
  <c r="H22" i="109"/>
  <c r="H26" i="109"/>
  <c r="F102" i="150" l="1"/>
  <c r="Q20" i="135"/>
  <c r="J20" i="135"/>
  <c r="D102" i="150"/>
  <c r="K25" i="135"/>
  <c r="J23" i="109"/>
  <c r="K23" i="109" s="1"/>
  <c r="F97" i="150"/>
  <c r="D97" i="150"/>
  <c r="F96" i="150"/>
  <c r="D96" i="150"/>
  <c r="J27" i="109"/>
  <c r="K27" i="109" s="1"/>
  <c r="I26" i="109"/>
  <c r="F22" i="109"/>
  <c r="F98" i="150"/>
  <c r="D98" i="150"/>
  <c r="E127" i="150"/>
  <c r="P20" i="135"/>
  <c r="K20" i="135"/>
  <c r="J26" i="109"/>
  <c r="J22" i="109"/>
  <c r="F27" i="109"/>
  <c r="G27" i="109" s="1"/>
  <c r="F26" i="109"/>
  <c r="I22" i="109"/>
  <c r="D101" i="150"/>
  <c r="F101" i="150"/>
  <c r="F23" i="109"/>
  <c r="I27" i="22"/>
  <c r="L25" i="135" l="1"/>
  <c r="F132" i="150"/>
  <c r="Q25" i="135"/>
  <c r="O25" i="135"/>
  <c r="L20" i="135"/>
  <c r="F127" i="150"/>
  <c r="O20" i="135"/>
  <c r="P25" i="135"/>
  <c r="E27" i="109"/>
  <c r="E132" i="150"/>
  <c r="D127" i="150"/>
  <c r="J24" i="109"/>
  <c r="K24" i="109" s="1"/>
  <c r="E8" i="110"/>
  <c r="J24" i="135"/>
  <c r="O24" i="135"/>
  <c r="D131" i="150"/>
  <c r="D23" i="109"/>
  <c r="D67" i="109" s="1"/>
  <c r="G23" i="109"/>
  <c r="E23" i="109" s="1"/>
  <c r="F100" i="150"/>
  <c r="K22" i="109"/>
  <c r="J28" i="109"/>
  <c r="K28" i="109" s="1"/>
  <c r="H28" i="109"/>
  <c r="E9" i="110"/>
  <c r="D130" i="150"/>
  <c r="J23" i="135"/>
  <c r="O23" i="135"/>
  <c r="F125" i="150"/>
  <c r="Q18" i="135"/>
  <c r="L18" i="135"/>
  <c r="L24" i="135"/>
  <c r="F131" i="150"/>
  <c r="Q24" i="135"/>
  <c r="B42" i="146"/>
  <c r="E47" i="145"/>
  <c r="E48" i="145"/>
  <c r="B43" i="146"/>
  <c r="G22" i="109"/>
  <c r="D22" i="109"/>
  <c r="D66" i="109" s="1"/>
  <c r="E126" i="150"/>
  <c r="P19" i="135"/>
  <c r="K19" i="135"/>
  <c r="D39" i="146"/>
  <c r="C127" i="145"/>
  <c r="H24" i="109"/>
  <c r="P24" i="135"/>
  <c r="K24" i="135"/>
  <c r="E131" i="150"/>
  <c r="F20" i="134"/>
  <c r="F10" i="134" s="1"/>
  <c r="F95" i="150"/>
  <c r="F94" i="150" s="1"/>
  <c r="F84" i="150" s="1"/>
  <c r="E6" i="110"/>
  <c r="F130" i="150"/>
  <c r="Q23" i="135"/>
  <c r="L23" i="135"/>
  <c r="E125" i="150"/>
  <c r="P18" i="135"/>
  <c r="K18" i="135"/>
  <c r="D20" i="134"/>
  <c r="D10" i="134" s="1"/>
  <c r="D95" i="150"/>
  <c r="D94" i="150" s="1"/>
  <c r="D84" i="150" s="1"/>
  <c r="D100" i="150"/>
  <c r="D43" i="146"/>
  <c r="G26" i="109"/>
  <c r="K26" i="109"/>
  <c r="D103" i="150"/>
  <c r="F103" i="150"/>
  <c r="E7" i="110"/>
  <c r="B38" i="146"/>
  <c r="E43" i="145"/>
  <c r="O19" i="135"/>
  <c r="J19" i="135"/>
  <c r="D126" i="150"/>
  <c r="C126" i="145"/>
  <c r="K23" i="135"/>
  <c r="P23" i="135"/>
  <c r="E130" i="150"/>
  <c r="J18" i="135"/>
  <c r="D125" i="150"/>
  <c r="O18" i="135"/>
  <c r="B39" i="146"/>
  <c r="E44" i="145"/>
  <c r="L19" i="135"/>
  <c r="Q19" i="135"/>
  <c r="F126" i="150"/>
  <c r="P26" i="135" l="1"/>
  <c r="J26" i="135"/>
  <c r="F133" i="150"/>
  <c r="F129" i="150" s="1"/>
  <c r="J25" i="135"/>
  <c r="D132" i="150"/>
  <c r="J25" i="109"/>
  <c r="K25" i="109" s="1"/>
  <c r="E26" i="109"/>
  <c r="E22" i="109"/>
  <c r="F25" i="134"/>
  <c r="F31" i="134" s="1"/>
  <c r="F7" i="110"/>
  <c r="F112" i="140"/>
  <c r="F9" i="110"/>
  <c r="F27" i="151"/>
  <c r="Q24" i="132"/>
  <c r="L24" i="132"/>
  <c r="F28" i="131"/>
  <c r="F27" i="150"/>
  <c r="F28" i="130"/>
  <c r="F65" i="150"/>
  <c r="F24" i="109"/>
  <c r="Q29" i="132"/>
  <c r="L29" i="132"/>
  <c r="F32" i="151"/>
  <c r="F33" i="130"/>
  <c r="F70" i="150"/>
  <c r="F33" i="131"/>
  <c r="F32" i="150"/>
  <c r="P21" i="135"/>
  <c r="K21" i="135"/>
  <c r="E128" i="150"/>
  <c r="E124" i="150" s="1"/>
  <c r="E117" i="150" s="1"/>
  <c r="D99" i="150"/>
  <c r="D105" i="150" s="1"/>
  <c r="E17" i="135"/>
  <c r="E112" i="142"/>
  <c r="F6" i="110"/>
  <c r="E116" i="142"/>
  <c r="G112" i="140"/>
  <c r="D116" i="140"/>
  <c r="F8" i="110"/>
  <c r="E32" i="151"/>
  <c r="E70" i="150"/>
  <c r="P29" i="132"/>
  <c r="E33" i="131"/>
  <c r="K29" i="132"/>
  <c r="J21" i="135"/>
  <c r="O21" i="135"/>
  <c r="D128" i="150"/>
  <c r="D124" i="150" s="1"/>
  <c r="D117" i="150" s="1"/>
  <c r="D25" i="134"/>
  <c r="D31" i="134" s="1"/>
  <c r="G116" i="142"/>
  <c r="I24" i="109"/>
  <c r="H21" i="109"/>
  <c r="I21" i="109" s="1"/>
  <c r="D112" i="140"/>
  <c r="I34" i="112"/>
  <c r="C48" i="145"/>
  <c r="I28" i="109"/>
  <c r="H25" i="109"/>
  <c r="I25" i="109" s="1"/>
  <c r="J24" i="132"/>
  <c r="D27" i="150"/>
  <c r="D65" i="150"/>
  <c r="D28" i="130"/>
  <c r="D27" i="151"/>
  <c r="O24" i="132"/>
  <c r="D28" i="131"/>
  <c r="G116" i="140"/>
  <c r="F28" i="109"/>
  <c r="G112" i="142"/>
  <c r="D116" i="142"/>
  <c r="H66" i="109"/>
  <c r="J21" i="109"/>
  <c r="H67" i="109"/>
  <c r="J29" i="132"/>
  <c r="D70" i="150"/>
  <c r="D32" i="150"/>
  <c r="D33" i="130"/>
  <c r="D32" i="151"/>
  <c r="O29" i="132"/>
  <c r="D33" i="131"/>
  <c r="I30" i="112"/>
  <c r="C44" i="145"/>
  <c r="E116" i="140"/>
  <c r="F116" i="142"/>
  <c r="I33" i="112"/>
  <c r="C47" i="145"/>
  <c r="E10" i="110"/>
  <c r="F128" i="150"/>
  <c r="F124" i="150" s="1"/>
  <c r="F117" i="150" s="1"/>
  <c r="L21" i="135"/>
  <c r="Q21" i="135"/>
  <c r="D38" i="146"/>
  <c r="F112" i="142"/>
  <c r="C43" i="145"/>
  <c r="I29" i="112"/>
  <c r="D17" i="135"/>
  <c r="F116" i="140"/>
  <c r="D42" i="146"/>
  <c r="D112" i="142"/>
  <c r="E112" i="140"/>
  <c r="F17" i="135"/>
  <c r="Q17" i="135" s="1"/>
  <c r="F99" i="150"/>
  <c r="F105" i="150" s="1"/>
  <c r="P24" i="132"/>
  <c r="E28" i="131"/>
  <c r="E27" i="151"/>
  <c r="E65" i="150"/>
  <c r="K24" i="132"/>
  <c r="L26" i="135" l="1"/>
  <c r="E133" i="150"/>
  <c r="E129" i="150" s="1"/>
  <c r="K26" i="135"/>
  <c r="E22" i="135"/>
  <c r="K22" i="135" s="1"/>
  <c r="D133" i="150"/>
  <c r="D129" i="150" s="1"/>
  <c r="Q26" i="135"/>
  <c r="F22" i="135"/>
  <c r="O26" i="135"/>
  <c r="D22" i="135"/>
  <c r="J22" i="135" s="1"/>
  <c r="D44" i="146"/>
  <c r="H47" i="145"/>
  <c r="D48" i="140"/>
  <c r="E111" i="142"/>
  <c r="Q10" i="135"/>
  <c r="F10" i="135"/>
  <c r="L17" i="135"/>
  <c r="L10" i="135" s="1"/>
  <c r="F27" i="131"/>
  <c r="F64" i="150"/>
  <c r="L23" i="132"/>
  <c r="F26" i="151"/>
  <c r="F26" i="150"/>
  <c r="F27" i="130"/>
  <c r="Q23" i="132"/>
  <c r="P25" i="132"/>
  <c r="K25" i="132"/>
  <c r="E66" i="150"/>
  <c r="N47" i="145"/>
  <c r="F48" i="140"/>
  <c r="G45" i="140"/>
  <c r="Q44" i="145"/>
  <c r="O23" i="132"/>
  <c r="D27" i="130"/>
  <c r="D64" i="150"/>
  <c r="D27" i="131"/>
  <c r="D26" i="150"/>
  <c r="D26" i="151"/>
  <c r="J23" i="132"/>
  <c r="O30" i="132"/>
  <c r="D34" i="130"/>
  <c r="D71" i="150"/>
  <c r="D33" i="150"/>
  <c r="J30" i="132"/>
  <c r="P17" i="135"/>
  <c r="P10" i="135" s="1"/>
  <c r="E10" i="135"/>
  <c r="K17" i="135"/>
  <c r="K10" i="135" s="1"/>
  <c r="E111" i="140"/>
  <c r="G24" i="109"/>
  <c r="E24" i="109" s="1"/>
  <c r="D24" i="109"/>
  <c r="F21" i="109"/>
  <c r="F30" i="150"/>
  <c r="F31" i="130"/>
  <c r="F26" i="132"/>
  <c r="F30" i="151"/>
  <c r="L27" i="132"/>
  <c r="Q27" i="132"/>
  <c r="F68" i="150"/>
  <c r="F31" i="131"/>
  <c r="N44" i="145"/>
  <c r="F45" i="140"/>
  <c r="D111" i="140"/>
  <c r="G49" i="140"/>
  <c r="Q48" i="145"/>
  <c r="D115" i="142"/>
  <c r="K23" i="132"/>
  <c r="E26" i="151"/>
  <c r="P23" i="132"/>
  <c r="E27" i="131"/>
  <c r="E64" i="150"/>
  <c r="D30" i="151"/>
  <c r="D30" i="150"/>
  <c r="D26" i="132"/>
  <c r="D68" i="150"/>
  <c r="J27" i="132"/>
  <c r="D31" i="130"/>
  <c r="D31" i="131"/>
  <c r="O27" i="132"/>
  <c r="O17" i="135"/>
  <c r="J17" i="135"/>
  <c r="D10" i="135"/>
  <c r="G44" i="140"/>
  <c r="Q43" i="145"/>
  <c r="F115" i="142"/>
  <c r="L25" i="132"/>
  <c r="F29" i="130"/>
  <c r="F66" i="150"/>
  <c r="Q25" i="132"/>
  <c r="F28" i="150"/>
  <c r="Q47" i="145"/>
  <c r="G48" i="140"/>
  <c r="K21" i="109"/>
  <c r="J7" i="109"/>
  <c r="G115" i="140"/>
  <c r="F111" i="142"/>
  <c r="O28" i="132"/>
  <c r="D32" i="130"/>
  <c r="D69" i="150"/>
  <c r="D31" i="150"/>
  <c r="D31" i="151"/>
  <c r="D32" i="131"/>
  <c r="J28" i="132"/>
  <c r="K47" i="145"/>
  <c r="E48" i="140"/>
  <c r="E26" i="132"/>
  <c r="E30" i="151"/>
  <c r="E68" i="150"/>
  <c r="K27" i="132"/>
  <c r="P27" i="132"/>
  <c r="E31" i="131"/>
  <c r="D26" i="131"/>
  <c r="D25" i="151"/>
  <c r="D25" i="150"/>
  <c r="O22" i="132"/>
  <c r="D63" i="150"/>
  <c r="D26" i="130"/>
  <c r="J22" i="132"/>
  <c r="D21" i="132"/>
  <c r="D10" i="132" s="1"/>
  <c r="D111" i="142"/>
  <c r="F49" i="140"/>
  <c r="N48" i="145"/>
  <c r="F71" i="150"/>
  <c r="Q30" i="132"/>
  <c r="F34" i="130"/>
  <c r="F33" i="150"/>
  <c r="L30" i="132"/>
  <c r="F25" i="150"/>
  <c r="F63" i="150"/>
  <c r="F26" i="130"/>
  <c r="F26" i="131"/>
  <c r="F25" i="151"/>
  <c r="L22" i="132"/>
  <c r="Q22" i="132"/>
  <c r="F21" i="132"/>
  <c r="F44" i="140"/>
  <c r="N43" i="145"/>
  <c r="E26" i="131"/>
  <c r="E25" i="151"/>
  <c r="K22" i="132"/>
  <c r="E63" i="150"/>
  <c r="P22" i="132"/>
  <c r="E21" i="132"/>
  <c r="E32" i="131"/>
  <c r="P28" i="132"/>
  <c r="E31" i="151"/>
  <c r="E69" i="150"/>
  <c r="K28" i="132"/>
  <c r="H43" i="145"/>
  <c r="D44" i="140"/>
  <c r="F10" i="110"/>
  <c r="K44" i="145"/>
  <c r="E45" i="140"/>
  <c r="B41" i="146"/>
  <c r="E46" i="145"/>
  <c r="H48" i="145"/>
  <c r="D49" i="140"/>
  <c r="K30" i="132"/>
  <c r="P30" i="132"/>
  <c r="E71" i="150"/>
  <c r="E115" i="140"/>
  <c r="F111" i="140"/>
  <c r="F115" i="140"/>
  <c r="G115" i="142"/>
  <c r="F31" i="151"/>
  <c r="F69" i="150"/>
  <c r="F31" i="150"/>
  <c r="F32" i="130"/>
  <c r="F32" i="131"/>
  <c r="L28" i="132"/>
  <c r="Q28" i="132"/>
  <c r="E115" i="142"/>
  <c r="E44" i="140"/>
  <c r="K43" i="145"/>
  <c r="G111" i="140"/>
  <c r="O25" i="132"/>
  <c r="D28" i="150"/>
  <c r="D29" i="130"/>
  <c r="D66" i="150"/>
  <c r="J25" i="132"/>
  <c r="D115" i="140"/>
  <c r="D45" i="140"/>
  <c r="H44" i="145"/>
  <c r="D28" i="109"/>
  <c r="G28" i="109"/>
  <c r="E28" i="109" s="1"/>
  <c r="F25" i="109"/>
  <c r="E49" i="140"/>
  <c r="K48" i="145"/>
  <c r="G111" i="142"/>
  <c r="E42" i="145"/>
  <c r="B37" i="146"/>
  <c r="P22" i="135" l="1"/>
  <c r="C129" i="145"/>
  <c r="O22" i="135"/>
  <c r="D41" i="146"/>
  <c r="L22" i="135"/>
  <c r="Q22" i="135"/>
  <c r="C128" i="145"/>
  <c r="F117" i="140"/>
  <c r="D117" i="140"/>
  <c r="G114" i="140"/>
  <c r="G117" i="140"/>
  <c r="E117" i="140"/>
  <c r="D40" i="132"/>
  <c r="F62" i="150"/>
  <c r="F51" i="150" s="1"/>
  <c r="F24" i="150"/>
  <c r="F13" i="150" s="1"/>
  <c r="F25" i="130"/>
  <c r="F14" i="130" s="1"/>
  <c r="D30" i="130"/>
  <c r="I48" i="145"/>
  <c r="E49" i="142"/>
  <c r="M29" i="112"/>
  <c r="F67" i="150"/>
  <c r="F29" i="150"/>
  <c r="L47" i="145"/>
  <c r="F48" i="142"/>
  <c r="L33" i="112"/>
  <c r="K34" i="112"/>
  <c r="D44" i="142"/>
  <c r="D62" i="150"/>
  <c r="D51" i="150" s="1"/>
  <c r="E25" i="145"/>
  <c r="I32" i="112"/>
  <c r="C46" i="145"/>
  <c r="P21" i="132"/>
  <c r="P10" i="132" s="1"/>
  <c r="K21" i="132"/>
  <c r="K10" i="132" s="1"/>
  <c r="E10" i="132"/>
  <c r="Q21" i="132"/>
  <c r="Q10" i="132" s="1"/>
  <c r="L21" i="132"/>
  <c r="L10" i="132" s="1"/>
  <c r="F10" i="132"/>
  <c r="D114" i="150"/>
  <c r="G44" i="142"/>
  <c r="O43" i="145"/>
  <c r="L30" i="112"/>
  <c r="D48" i="142"/>
  <c r="J30" i="112"/>
  <c r="I43" i="145"/>
  <c r="E44" i="142"/>
  <c r="B40" i="146"/>
  <c r="E45" i="145"/>
  <c r="M33" i="112"/>
  <c r="M34" i="112"/>
  <c r="F45" i="142"/>
  <c r="D21" i="109"/>
  <c r="G21" i="109"/>
  <c r="E21" i="109" s="1"/>
  <c r="F7" i="109"/>
  <c r="M30" i="112"/>
  <c r="J33" i="112"/>
  <c r="J34" i="112"/>
  <c r="D45" i="142"/>
  <c r="K29" i="112"/>
  <c r="J29" i="112"/>
  <c r="D114" i="140"/>
  <c r="E114" i="140"/>
  <c r="K30" i="112"/>
  <c r="E62" i="150"/>
  <c r="E51" i="150" s="1"/>
  <c r="L43" i="145"/>
  <c r="F44" i="142"/>
  <c r="F49" i="142"/>
  <c r="L48" i="145"/>
  <c r="O21" i="132"/>
  <c r="J21" i="132"/>
  <c r="E67" i="150"/>
  <c r="E48" i="142"/>
  <c r="I47" i="145"/>
  <c r="K7" i="109"/>
  <c r="J35" i="109"/>
  <c r="G48" i="142"/>
  <c r="J10" i="135"/>
  <c r="D67" i="150"/>
  <c r="O48" i="145"/>
  <c r="G49" i="142"/>
  <c r="D40" i="146"/>
  <c r="G45" i="142"/>
  <c r="G25" i="109"/>
  <c r="E25" i="109" s="1"/>
  <c r="D25" i="109"/>
  <c r="D49" i="142"/>
  <c r="B54" i="146"/>
  <c r="L34" i="112"/>
  <c r="D24" i="150"/>
  <c r="D13" i="150" s="1"/>
  <c r="C42" i="145"/>
  <c r="I28" i="112"/>
  <c r="B44" i="146"/>
  <c r="E49" i="145"/>
  <c r="I44" i="145"/>
  <c r="E45" i="142"/>
  <c r="L29" i="112"/>
  <c r="K33" i="112"/>
  <c r="O10" i="135"/>
  <c r="J26" i="132"/>
  <c r="O26" i="132"/>
  <c r="L26" i="132"/>
  <c r="Q26" i="132"/>
  <c r="D25" i="130"/>
  <c r="D14" i="130" s="1"/>
  <c r="P26" i="132"/>
  <c r="K26" i="132"/>
  <c r="D29" i="150"/>
  <c r="F30" i="130"/>
  <c r="F114" i="140" l="1"/>
  <c r="C125" i="145"/>
  <c r="J38" i="115"/>
  <c r="F28" i="151"/>
  <c r="F24" i="151" s="1"/>
  <c r="F13" i="151" s="1"/>
  <c r="X23" i="114"/>
  <c r="V23" i="114"/>
  <c r="D25" i="133"/>
  <c r="D34" i="131"/>
  <c r="D30" i="131" s="1"/>
  <c r="D33" i="151"/>
  <c r="D29" i="151" s="1"/>
  <c r="F25" i="133"/>
  <c r="F34" i="131"/>
  <c r="F30" i="131" s="1"/>
  <c r="F33" i="151"/>
  <c r="F29" i="151" s="1"/>
  <c r="E25" i="133"/>
  <c r="E33" i="151"/>
  <c r="E29" i="151" s="1"/>
  <c r="E34" i="131"/>
  <c r="E30" i="131" s="1"/>
  <c r="D113" i="142"/>
  <c r="C43" i="146"/>
  <c r="F43" i="146" s="1"/>
  <c r="M43" i="146" s="1"/>
  <c r="J39" i="109"/>
  <c r="K35" i="109"/>
  <c r="J36" i="109"/>
  <c r="J45" i="109"/>
  <c r="D113" i="140"/>
  <c r="F20" i="133"/>
  <c r="F10" i="133" s="1"/>
  <c r="E56" i="145"/>
  <c r="J10" i="132"/>
  <c r="O47" i="145"/>
  <c r="L44" i="145"/>
  <c r="D20" i="133"/>
  <c r="D10" i="133" s="1"/>
  <c r="D28" i="151"/>
  <c r="D24" i="151" s="1"/>
  <c r="D13" i="151" s="1"/>
  <c r="D29" i="131"/>
  <c r="D25" i="131" s="1"/>
  <c r="D14" i="131" s="1"/>
  <c r="O10" i="132"/>
  <c r="E113" i="140"/>
  <c r="E20" i="133"/>
  <c r="E10" i="133" s="1"/>
  <c r="E28" i="151"/>
  <c r="E24" i="151" s="1"/>
  <c r="E13" i="151" s="1"/>
  <c r="E29" i="131"/>
  <c r="E25" i="131" s="1"/>
  <c r="E14" i="131" s="1"/>
  <c r="C49" i="145"/>
  <c r="I35" i="112"/>
  <c r="F113" i="140"/>
  <c r="D37" i="146"/>
  <c r="O44" i="145"/>
  <c r="B15" i="111"/>
  <c r="B16" i="111" s="1"/>
  <c r="B24" i="111"/>
  <c r="B25" i="111" s="1"/>
  <c r="I42" i="112"/>
  <c r="C56" i="145"/>
  <c r="C45" i="145"/>
  <c r="I31" i="112"/>
  <c r="C42" i="146"/>
  <c r="F42" i="146" s="1"/>
  <c r="M42" i="146" s="1"/>
  <c r="G7" i="109"/>
  <c r="F35" i="109"/>
  <c r="D112" i="150"/>
  <c r="F113" i="142"/>
  <c r="C25" i="145"/>
  <c r="I11" i="112"/>
  <c r="E113" i="142"/>
  <c r="G113" i="140"/>
  <c r="C118" i="145"/>
  <c r="G113" i="142"/>
  <c r="C38" i="146"/>
  <c r="F38" i="146" s="1"/>
  <c r="M38" i="146" s="1"/>
  <c r="C39" i="146"/>
  <c r="F39" i="146" s="1"/>
  <c r="M39" i="146" s="1"/>
  <c r="G117" i="142" l="1"/>
  <c r="E117" i="142"/>
  <c r="F117" i="142"/>
  <c r="D117" i="142"/>
  <c r="E28" i="111"/>
  <c r="E29" i="111" s="1"/>
  <c r="F29" i="131"/>
  <c r="F25" i="131" s="1"/>
  <c r="F14" i="131" s="1"/>
  <c r="W23" i="114"/>
  <c r="Y23" i="114"/>
  <c r="Y20" i="114"/>
  <c r="V20" i="114"/>
  <c r="F131" i="142"/>
  <c r="W20" i="114"/>
  <c r="F31" i="133"/>
  <c r="D31" i="133"/>
  <c r="D8" i="133" s="1"/>
  <c r="E31" i="133"/>
  <c r="E8" i="133" s="1"/>
  <c r="B28" i="111"/>
  <c r="B29" i="111" s="1"/>
  <c r="B19" i="111"/>
  <c r="B20" i="111" s="1"/>
  <c r="E85" i="142"/>
  <c r="F84" i="140"/>
  <c r="D54" i="146"/>
  <c r="D84" i="142"/>
  <c r="G81" i="142"/>
  <c r="D85" i="140"/>
  <c r="D110" i="142"/>
  <c r="E131" i="142"/>
  <c r="F45" i="109"/>
  <c r="F36" i="109"/>
  <c r="F39" i="109"/>
  <c r="G35" i="109"/>
  <c r="C91" i="145"/>
  <c r="N45" i="145"/>
  <c r="F46" i="140"/>
  <c r="G84" i="142"/>
  <c r="E80" i="142"/>
  <c r="E81" i="142"/>
  <c r="E85" i="140"/>
  <c r="G84" i="140"/>
  <c r="D46" i="140"/>
  <c r="H45" i="145"/>
  <c r="E84" i="142"/>
  <c r="D80" i="142"/>
  <c r="H49" i="145"/>
  <c r="D50" i="140"/>
  <c r="J42" i="109"/>
  <c r="K45" i="109"/>
  <c r="C92" i="145"/>
  <c r="E80" i="140"/>
  <c r="G80" i="140"/>
  <c r="E81" i="140"/>
  <c r="D80" i="140"/>
  <c r="G110" i="142"/>
  <c r="E124" i="142"/>
  <c r="E46" i="140"/>
  <c r="K45" i="145"/>
  <c r="F110" i="140"/>
  <c r="Q49" i="145"/>
  <c r="G50" i="140"/>
  <c r="D124" i="142"/>
  <c r="D81" i="142"/>
  <c r="F85" i="140"/>
  <c r="G81" i="140"/>
  <c r="F81" i="140"/>
  <c r="F124" i="142"/>
  <c r="C88" i="145"/>
  <c r="G85" i="142"/>
  <c r="D81" i="140"/>
  <c r="C87" i="145"/>
  <c r="D85" i="142"/>
  <c r="G110" i="140"/>
  <c r="X20" i="114"/>
  <c r="E84" i="140"/>
  <c r="G46" i="140"/>
  <c r="Q45" i="145"/>
  <c r="F84" i="142"/>
  <c r="G80" i="142"/>
  <c r="N49" i="145"/>
  <c r="F50" i="140"/>
  <c r="E110" i="140"/>
  <c r="D110" i="140"/>
  <c r="F81" i="142"/>
  <c r="J38" i="109"/>
  <c r="K36" i="109"/>
  <c r="G85" i="140"/>
  <c r="G131" i="142"/>
  <c r="F80" i="140"/>
  <c r="F85" i="142"/>
  <c r="E110" i="142"/>
  <c r="D84" i="140"/>
  <c r="F80" i="142"/>
  <c r="K49" i="145"/>
  <c r="E50" i="140"/>
  <c r="E114" i="142" l="1"/>
  <c r="G114" i="142"/>
  <c r="D114" i="142"/>
  <c r="F114" i="142"/>
  <c r="F110" i="142"/>
  <c r="G124" i="142"/>
  <c r="U23" i="114"/>
  <c r="D131" i="142"/>
  <c r="E128" i="142"/>
  <c r="U20" i="114"/>
  <c r="R26" i="115"/>
  <c r="R16" i="115" s="1"/>
  <c r="E10" i="151"/>
  <c r="E11" i="131"/>
  <c r="D10" i="151"/>
  <c r="D11" i="131"/>
  <c r="R25" i="115"/>
  <c r="R15" i="115" s="1"/>
  <c r="K46" i="145"/>
  <c r="E47" i="140"/>
  <c r="D86" i="142"/>
  <c r="U25" i="92"/>
  <c r="Z25" i="92" s="1"/>
  <c r="Q46" i="145"/>
  <c r="G47" i="140"/>
  <c r="F103" i="140"/>
  <c r="E46" i="142"/>
  <c r="D47" i="140"/>
  <c r="H46" i="145"/>
  <c r="F43" i="140"/>
  <c r="N42" i="145"/>
  <c r="V30" i="92"/>
  <c r="G86" i="142"/>
  <c r="E103" i="140"/>
  <c r="K42" i="145"/>
  <c r="E43" i="140"/>
  <c r="H42" i="145"/>
  <c r="D43" i="140"/>
  <c r="D46" i="142"/>
  <c r="C37" i="146"/>
  <c r="F37" i="146" s="1"/>
  <c r="M37" i="146" s="1"/>
  <c r="D103" i="142"/>
  <c r="V24" i="92"/>
  <c r="F83" i="142"/>
  <c r="G46" i="142"/>
  <c r="C41" i="146"/>
  <c r="F41" i="146" s="1"/>
  <c r="M41" i="146" s="1"/>
  <c r="V28" i="92"/>
  <c r="V25" i="92"/>
  <c r="C28" i="111"/>
  <c r="C29" i="111" s="1"/>
  <c r="C19" i="111"/>
  <c r="C20" i="111" s="1"/>
  <c r="D28" i="111"/>
  <c r="D29" i="111" s="1"/>
  <c r="U24" i="92"/>
  <c r="Z24" i="92" s="1"/>
  <c r="U30" i="92"/>
  <c r="Z30" i="92" s="1"/>
  <c r="F86" i="142"/>
  <c r="D103" i="140"/>
  <c r="F50" i="142"/>
  <c r="U28" i="92"/>
  <c r="Z28" i="92" s="1"/>
  <c r="J41" i="109"/>
  <c r="K42" i="109"/>
  <c r="G36" i="109"/>
  <c r="F38" i="109"/>
  <c r="D111" i="150"/>
  <c r="D110" i="150" s="1"/>
  <c r="D36" i="134"/>
  <c r="D8" i="134" s="1"/>
  <c r="W19" i="114"/>
  <c r="Q42" i="145"/>
  <c r="G43" i="140"/>
  <c r="F128" i="142"/>
  <c r="F42" i="109"/>
  <c r="G45" i="109"/>
  <c r="E19" i="111"/>
  <c r="E20" i="111" s="1"/>
  <c r="U29" i="92"/>
  <c r="Z29" i="92" s="1"/>
  <c r="E50" i="142"/>
  <c r="E103" i="142"/>
  <c r="E86" i="142"/>
  <c r="F47" i="140"/>
  <c r="N46" i="145"/>
  <c r="F103" i="142"/>
  <c r="G103" i="140"/>
  <c r="V29" i="92"/>
  <c r="G50" i="142"/>
  <c r="G103" i="142"/>
  <c r="D50" i="142"/>
  <c r="F46" i="142"/>
  <c r="F19" i="111"/>
  <c r="F20" i="111" s="1"/>
  <c r="F28" i="111"/>
  <c r="F29" i="111" s="1"/>
  <c r="D128" i="142" l="1"/>
  <c r="X19" i="114"/>
  <c r="G128" i="142"/>
  <c r="Y19" i="114"/>
  <c r="V19" i="114"/>
  <c r="V27" i="92"/>
  <c r="F36" i="133"/>
  <c r="F8" i="133" s="1"/>
  <c r="K56" i="145"/>
  <c r="E52" i="140"/>
  <c r="D52" i="140"/>
  <c r="H56" i="145"/>
  <c r="E17" i="58"/>
  <c r="E11" i="153" s="1"/>
  <c r="E24" i="58"/>
  <c r="E21" i="58" s="1"/>
  <c r="E51" i="58" s="1"/>
  <c r="E28" i="58"/>
  <c r="E124" i="140"/>
  <c r="D124" i="140"/>
  <c r="C44" i="146"/>
  <c r="F44" i="146" s="1"/>
  <c r="M44" i="146" s="1"/>
  <c r="C40" i="146"/>
  <c r="F40" i="146" s="1"/>
  <c r="M40" i="146" s="1"/>
  <c r="K28" i="112"/>
  <c r="N25" i="145"/>
  <c r="F32" i="140"/>
  <c r="F31" i="93"/>
  <c r="E33" i="107"/>
  <c r="F27" i="93"/>
  <c r="F24" i="93" s="1"/>
  <c r="F62" i="93" s="1"/>
  <c r="K32" i="112"/>
  <c r="G124" i="140"/>
  <c r="L32" i="112"/>
  <c r="Y18" i="114"/>
  <c r="G32" i="140"/>
  <c r="Q25" i="145"/>
  <c r="E127" i="142"/>
  <c r="E27" i="93"/>
  <c r="E24" i="93" s="1"/>
  <c r="E62" i="93" s="1"/>
  <c r="D33" i="107"/>
  <c r="C205" i="107" s="1"/>
  <c r="E31" i="93"/>
  <c r="D47" i="142"/>
  <c r="O42" i="145"/>
  <c r="G43" i="142"/>
  <c r="D51" i="146"/>
  <c r="G83" i="142"/>
  <c r="F52" i="140"/>
  <c r="N56" i="145"/>
  <c r="X16" i="114"/>
  <c r="X30" i="114" s="1"/>
  <c r="G42" i="109"/>
  <c r="M28" i="112"/>
  <c r="D83" i="142"/>
  <c r="K41" i="109"/>
  <c r="J40" i="109"/>
  <c r="W16" i="114"/>
  <c r="W30" i="114" s="1"/>
  <c r="D43" i="142"/>
  <c r="V18" i="114"/>
  <c r="F33" i="107"/>
  <c r="B164" i="107" s="1"/>
  <c r="J32" i="112"/>
  <c r="J28" i="112"/>
  <c r="Y16" i="114"/>
  <c r="Y30" i="114" s="1"/>
  <c r="F41" i="109"/>
  <c r="D11" i="130"/>
  <c r="Q25" i="115"/>
  <c r="Q15" i="115" s="1"/>
  <c r="D10" i="150"/>
  <c r="V16" i="114"/>
  <c r="H25" i="145"/>
  <c r="D32" i="140"/>
  <c r="F43" i="142"/>
  <c r="M32" i="112"/>
  <c r="W18" i="114"/>
  <c r="X18" i="114"/>
  <c r="E83" i="142"/>
  <c r="F47" i="142"/>
  <c r="F124" i="140"/>
  <c r="G58" i="112"/>
  <c r="E32" i="140"/>
  <c r="K25" i="145"/>
  <c r="E43" i="142"/>
  <c r="L28" i="112"/>
  <c r="G47" i="142"/>
  <c r="E47" i="142"/>
  <c r="F11" i="153" l="1"/>
  <c r="F8" i="153" s="1"/>
  <c r="E8" i="153"/>
  <c r="G127" i="142"/>
  <c r="D127" i="142"/>
  <c r="U19" i="114"/>
  <c r="F127" i="142"/>
  <c r="K42" i="112"/>
  <c r="D24" i="111"/>
  <c r="D25" i="111" s="1"/>
  <c r="C24" i="111"/>
  <c r="C25" i="111" s="1"/>
  <c r="C15" i="111"/>
  <c r="C16" i="111" s="1"/>
  <c r="J42" i="112"/>
  <c r="F82" i="142"/>
  <c r="L45" i="145"/>
  <c r="F32" i="142"/>
  <c r="V30" i="114"/>
  <c r="U30" i="114" s="1"/>
  <c r="U16" i="114"/>
  <c r="X13" i="114"/>
  <c r="X27" i="114" s="1"/>
  <c r="K35" i="135"/>
  <c r="E142" i="150"/>
  <c r="P35" i="135"/>
  <c r="G86" i="140"/>
  <c r="E82" i="142"/>
  <c r="D49" i="146"/>
  <c r="J11" i="112"/>
  <c r="F131" i="140"/>
  <c r="O45" i="145"/>
  <c r="L35" i="135"/>
  <c r="Q35" i="135"/>
  <c r="F142" i="150"/>
  <c r="O25" i="145"/>
  <c r="M11" i="112"/>
  <c r="L35" i="112"/>
  <c r="K31" i="112"/>
  <c r="C89" i="145"/>
  <c r="D131" i="140"/>
  <c r="Y13" i="114"/>
  <c r="Y27" i="114" s="1"/>
  <c r="U18" i="114"/>
  <c r="D32" i="142"/>
  <c r="L42" i="112"/>
  <c r="E15" i="111"/>
  <c r="E16" i="111" s="1"/>
  <c r="G82" i="140"/>
  <c r="C93" i="145"/>
  <c r="E52" i="142"/>
  <c r="E32" i="142"/>
  <c r="L31" i="112"/>
  <c r="G52" i="140"/>
  <c r="Q56" i="145"/>
  <c r="U27" i="92"/>
  <c r="Z27" i="92" s="1"/>
  <c r="G131" i="140"/>
  <c r="J31" i="112"/>
  <c r="E35" i="93"/>
  <c r="E32" i="93" s="1"/>
  <c r="E28" i="93"/>
  <c r="L46" i="145"/>
  <c r="K35" i="112"/>
  <c r="L25" i="145"/>
  <c r="L11" i="112"/>
  <c r="I42" i="145"/>
  <c r="F82" i="140"/>
  <c r="F86" i="140"/>
  <c r="E32" i="58"/>
  <c r="E29" i="58" s="1"/>
  <c r="E25" i="58"/>
  <c r="G52" i="142"/>
  <c r="F24" i="111"/>
  <c r="F25" i="111" s="1"/>
  <c r="M42" i="112"/>
  <c r="F15" i="111"/>
  <c r="F16" i="111" s="1"/>
  <c r="G82" i="142"/>
  <c r="K11" i="112"/>
  <c r="I25" i="145"/>
  <c r="G53" i="112"/>
  <c r="G13" i="93"/>
  <c r="O46" i="145"/>
  <c r="W13" i="114"/>
  <c r="W27" i="114" s="1"/>
  <c r="D62" i="107"/>
  <c r="B162" i="107"/>
  <c r="D37" i="107"/>
  <c r="D90" i="107"/>
  <c r="D41" i="107"/>
  <c r="J35" i="135"/>
  <c r="O35" i="135"/>
  <c r="D142" i="150"/>
  <c r="B163" i="107"/>
  <c r="E90" i="107"/>
  <c r="E41" i="107"/>
  <c r="E62" i="107"/>
  <c r="E70" i="107" s="1"/>
  <c r="D82" i="140"/>
  <c r="D86" i="140"/>
  <c r="D82" i="142"/>
  <c r="L42" i="145"/>
  <c r="M35" i="112"/>
  <c r="V13" i="114"/>
  <c r="G41" i="109"/>
  <c r="J35" i="112"/>
  <c r="F90" i="107"/>
  <c r="F62" i="107"/>
  <c r="E131" i="140"/>
  <c r="J46" i="109"/>
  <c r="K40" i="109"/>
  <c r="J48" i="109"/>
  <c r="M31" i="112"/>
  <c r="G32" i="142"/>
  <c r="E126" i="142"/>
  <c r="I46" i="145"/>
  <c r="F28" i="93"/>
  <c r="F35" i="93"/>
  <c r="F32" i="93" s="1"/>
  <c r="E82" i="140"/>
  <c r="E86" i="140"/>
  <c r="C206" i="107" l="1"/>
  <c r="C207" i="107" s="1"/>
  <c r="C208" i="107" s="1"/>
  <c r="E26" i="147" s="1"/>
  <c r="C201" i="107"/>
  <c r="C202" i="107" s="1"/>
  <c r="E24" i="147" s="1"/>
  <c r="H11" i="153"/>
  <c r="H8" i="153"/>
  <c r="D126" i="142"/>
  <c r="G126" i="142"/>
  <c r="F102" i="142"/>
  <c r="F126" i="142"/>
  <c r="O49" i="145"/>
  <c r="I49" i="145"/>
  <c r="G27" i="115"/>
  <c r="V12" i="114"/>
  <c r="D79" i="142"/>
  <c r="D83" i="140"/>
  <c r="E119" i="107"/>
  <c r="E127" i="107" s="1"/>
  <c r="E98" i="107"/>
  <c r="D66" i="107"/>
  <c r="D70" i="107"/>
  <c r="G25" i="93"/>
  <c r="G29" i="93"/>
  <c r="G79" i="142"/>
  <c r="D52" i="142"/>
  <c r="G16" i="114"/>
  <c r="C86" i="145"/>
  <c r="E24" i="111"/>
  <c r="E25" i="111" s="1"/>
  <c r="E79" i="142"/>
  <c r="U26" i="92"/>
  <c r="Z26" i="92" s="1"/>
  <c r="B213" i="107"/>
  <c r="W12" i="114"/>
  <c r="W26" i="114" s="1"/>
  <c r="D102" i="142"/>
  <c r="V26" i="92"/>
  <c r="G23" i="114"/>
  <c r="K49" i="112"/>
  <c r="M49" i="112"/>
  <c r="E45" i="139"/>
  <c r="E36" i="139"/>
  <c r="D48" i="146"/>
  <c r="F79" i="140"/>
  <c r="E44" i="131"/>
  <c r="E43" i="151"/>
  <c r="P39" i="132"/>
  <c r="E80" i="150"/>
  <c r="K39" i="132"/>
  <c r="G79" i="140"/>
  <c r="Y12" i="114"/>
  <c r="Y26" i="114" s="1"/>
  <c r="G83" i="140"/>
  <c r="E102" i="142"/>
  <c r="E83" i="140"/>
  <c r="E140" i="150"/>
  <c r="P33" i="135"/>
  <c r="K33" i="135"/>
  <c r="D119" i="107"/>
  <c r="D94" i="107"/>
  <c r="D98" i="107"/>
  <c r="E128" i="140"/>
  <c r="F83" i="140"/>
  <c r="C90" i="145"/>
  <c r="G102" i="142"/>
  <c r="J49" i="112"/>
  <c r="F80" i="150"/>
  <c r="F43" i="151"/>
  <c r="Q39" i="132"/>
  <c r="L39" i="132"/>
  <c r="F44" i="131"/>
  <c r="X12" i="114"/>
  <c r="X26" i="114" s="1"/>
  <c r="F79" i="142"/>
  <c r="F119" i="107"/>
  <c r="E79" i="140"/>
  <c r="K46" i="109"/>
  <c r="J49" i="109"/>
  <c r="L33" i="135"/>
  <c r="F140" i="150"/>
  <c r="Q33" i="135"/>
  <c r="C64" i="107"/>
  <c r="C92" i="107"/>
  <c r="C121" i="107" s="1"/>
  <c r="E27" i="139"/>
  <c r="I45" i="145"/>
  <c r="J39" i="132"/>
  <c r="O39" i="132"/>
  <c r="D80" i="150"/>
  <c r="D44" i="131"/>
  <c r="D43" i="151"/>
  <c r="D44" i="130"/>
  <c r="D43" i="150"/>
  <c r="L49" i="145"/>
  <c r="F52" i="142"/>
  <c r="L49" i="112"/>
  <c r="B193" i="107"/>
  <c r="D128" i="140"/>
  <c r="J54" i="109"/>
  <c r="K48" i="109"/>
  <c r="V27" i="114"/>
  <c r="U27" i="114" s="1"/>
  <c r="U13" i="114"/>
  <c r="O33" i="135"/>
  <c r="D140" i="150"/>
  <c r="J33" i="135"/>
  <c r="D79" i="140"/>
  <c r="B174" i="107"/>
  <c r="G128" i="140"/>
  <c r="E18" i="139"/>
  <c r="F128" i="140"/>
  <c r="H23" i="114" l="1"/>
  <c r="F60" i="140"/>
  <c r="N63" i="145"/>
  <c r="J55" i="109"/>
  <c r="K49" i="109"/>
  <c r="G127" i="140"/>
  <c r="F36" i="139"/>
  <c r="H36" i="139" s="1"/>
  <c r="I23" i="114"/>
  <c r="G60" i="140"/>
  <c r="Q63" i="145"/>
  <c r="D127" i="140"/>
  <c r="E92" i="107"/>
  <c r="E121" i="107" s="1"/>
  <c r="E64" i="107"/>
  <c r="X11" i="114"/>
  <c r="X25" i="114" s="1"/>
  <c r="Y11" i="114"/>
  <c r="Y25" i="114" s="1"/>
  <c r="G60" i="142"/>
  <c r="I16" i="114"/>
  <c r="D47" i="146"/>
  <c r="D52" i="146" s="1"/>
  <c r="F92" i="107"/>
  <c r="F121" i="107" s="1"/>
  <c r="F64" i="107"/>
  <c r="G92" i="107"/>
  <c r="G121" i="107" s="1"/>
  <c r="G64" i="107"/>
  <c r="B214" i="107"/>
  <c r="B215" i="107" s="1"/>
  <c r="F27" i="139"/>
  <c r="H27" i="139" s="1"/>
  <c r="F127" i="140"/>
  <c r="I49" i="112"/>
  <c r="C63" i="145"/>
  <c r="F45" i="139"/>
  <c r="H45" i="139" s="1"/>
  <c r="E60" i="140"/>
  <c r="K63" i="145"/>
  <c r="E127" i="140"/>
  <c r="E60" i="142"/>
  <c r="F16" i="114"/>
  <c r="D60" i="142"/>
  <c r="F60" i="142"/>
  <c r="H16" i="114"/>
  <c r="B188" i="107"/>
  <c r="B189" i="107" s="1"/>
  <c r="B175" i="107"/>
  <c r="B176" i="107" s="1"/>
  <c r="B180" i="107"/>
  <c r="D139" i="150"/>
  <c r="D138" i="150" s="1"/>
  <c r="O32" i="135"/>
  <c r="D31" i="135"/>
  <c r="J32" i="135"/>
  <c r="V23" i="92"/>
  <c r="V11" i="114"/>
  <c r="D92" i="107"/>
  <c r="D121" i="107" s="1"/>
  <c r="D64" i="107"/>
  <c r="E31" i="135"/>
  <c r="E139" i="150"/>
  <c r="E138" i="150" s="1"/>
  <c r="P32" i="135"/>
  <c r="K32" i="135"/>
  <c r="D127" i="107"/>
  <c r="D123" i="107"/>
  <c r="G33" i="93"/>
  <c r="U12" i="114"/>
  <c r="V26" i="114"/>
  <c r="U26" i="114" s="1"/>
  <c r="F18" i="139"/>
  <c r="H18" i="139" s="1"/>
  <c r="F31" i="135"/>
  <c r="F139" i="150"/>
  <c r="F138" i="150" s="1"/>
  <c r="Q32" i="135"/>
  <c r="L32" i="135"/>
  <c r="H63" i="145"/>
  <c r="D60" i="140"/>
  <c r="F23" i="114"/>
  <c r="W11" i="114"/>
  <c r="W25" i="114" s="1"/>
  <c r="U23" i="92"/>
  <c r="Z23" i="92" s="1"/>
  <c r="E23" i="114" l="1"/>
  <c r="B30" i="147"/>
  <c r="B11" i="147"/>
  <c r="H11" i="147"/>
  <c r="B18" i="147"/>
  <c r="F126" i="140"/>
  <c r="B10" i="146"/>
  <c r="J31" i="135"/>
  <c r="O31" i="135"/>
  <c r="D8" i="135"/>
  <c r="E126" i="140"/>
  <c r="E16" i="114"/>
  <c r="K31" i="135"/>
  <c r="P31" i="135"/>
  <c r="E8" i="135"/>
  <c r="B181" i="107"/>
  <c r="B182" i="107" s="1"/>
  <c r="D126" i="140"/>
  <c r="L31" i="135"/>
  <c r="Q31" i="135"/>
  <c r="F8" i="135"/>
  <c r="V25" i="114"/>
  <c r="U25" i="114" s="1"/>
  <c r="U11" i="114"/>
  <c r="E63" i="145"/>
  <c r="B51" i="146"/>
  <c r="G126" i="140"/>
  <c r="B13" i="147" l="1"/>
  <c r="H13" i="147"/>
  <c r="D12" i="130"/>
  <c r="D12" i="131"/>
  <c r="D11" i="151"/>
  <c r="S25" i="115"/>
  <c r="S15" i="115" s="1"/>
  <c r="D11" i="150"/>
  <c r="F102" i="140"/>
  <c r="D102" i="140"/>
  <c r="S26" i="115"/>
  <c r="S16" i="115" s="1"/>
  <c r="E11" i="151"/>
  <c r="E12" i="131"/>
  <c r="E102" i="140"/>
  <c r="S27" i="115"/>
  <c r="S17" i="115" s="1"/>
  <c r="F11" i="151"/>
  <c r="F12" i="130"/>
  <c r="F12" i="131"/>
  <c r="F11" i="150"/>
  <c r="D36" i="138"/>
  <c r="D27" i="146"/>
  <c r="D53" i="146" s="1"/>
  <c r="K10" i="146"/>
  <c r="B9" i="146"/>
  <c r="D27" i="138"/>
  <c r="G102" i="140"/>
  <c r="D18" i="138"/>
  <c r="K9" i="146" l="1"/>
  <c r="E36" i="138"/>
  <c r="G36" i="138" s="1"/>
  <c r="E18" i="138"/>
  <c r="G18" i="138" s="1"/>
  <c r="E27" i="138"/>
  <c r="G27" i="138" s="1"/>
  <c r="B4" i="146" l="1"/>
  <c r="D25" i="115" l="1"/>
  <c r="B3" i="146"/>
  <c r="K4" i="146"/>
  <c r="B27" i="146"/>
  <c r="D26" i="115"/>
  <c r="K3" i="146" l="1"/>
  <c r="C80" i="107" l="1"/>
  <c r="C52" i="107"/>
  <c r="D52" i="107"/>
  <c r="D80" i="107"/>
  <c r="G80" i="107"/>
  <c r="G52" i="107"/>
  <c r="F80" i="107"/>
  <c r="F52" i="107"/>
  <c r="E80" i="107"/>
  <c r="E52" i="107"/>
  <c r="E109" i="107" l="1"/>
  <c r="G109" i="107"/>
  <c r="C109" i="107"/>
  <c r="D109" i="107"/>
  <c r="F109" i="107"/>
  <c r="C88" i="107" l="1"/>
  <c r="C60" i="107"/>
  <c r="C43" i="107"/>
  <c r="C72" i="107" l="1"/>
  <c r="C117" i="107"/>
  <c r="C129" i="107" s="1"/>
  <c r="C100" i="107"/>
  <c r="C84" i="107"/>
  <c r="C56" i="107"/>
  <c r="C39" i="107"/>
  <c r="C113" i="107" l="1"/>
  <c r="C125" i="107" s="1"/>
  <c r="C96" i="107"/>
  <c r="C68" i="107"/>
  <c r="G88" i="107" l="1"/>
  <c r="G60" i="107"/>
  <c r="G72" i="107" s="1"/>
  <c r="G43" i="107"/>
  <c r="F88" i="107"/>
  <c r="F60" i="107"/>
  <c r="F72" i="107" s="1"/>
  <c r="F43" i="107"/>
  <c r="E60" i="107"/>
  <c r="E72" i="107" s="1"/>
  <c r="E88" i="107"/>
  <c r="E43" i="107"/>
  <c r="D88" i="107"/>
  <c r="D60" i="107"/>
  <c r="D72" i="107" s="1"/>
  <c r="D43" i="107"/>
  <c r="D30" i="147" l="1"/>
  <c r="G84" i="107"/>
  <c r="G56" i="107"/>
  <c r="G68" i="107" s="1"/>
  <c r="G39" i="107"/>
  <c r="E117" i="107"/>
  <c r="E129" i="107" s="1"/>
  <c r="E100" i="107"/>
  <c r="G117" i="107"/>
  <c r="G129" i="107" s="1"/>
  <c r="G100" i="107"/>
  <c r="F56" i="107"/>
  <c r="F68" i="107" s="1"/>
  <c r="F84" i="107"/>
  <c r="F39" i="107"/>
  <c r="F117" i="107"/>
  <c r="F129" i="107" s="1"/>
  <c r="F100" i="107"/>
  <c r="D84" i="107"/>
  <c r="D56" i="107"/>
  <c r="D68" i="107" s="1"/>
  <c r="D39" i="107"/>
  <c r="D117" i="107"/>
  <c r="D129" i="107" s="1"/>
  <c r="D100" i="107"/>
  <c r="J30" i="138" l="1"/>
  <c r="G113" i="107"/>
  <c r="G125" i="107" s="1"/>
  <c r="G96" i="107"/>
  <c r="F113" i="107"/>
  <c r="F125" i="107" s="1"/>
  <c r="F96" i="107"/>
  <c r="I30" i="138"/>
  <c r="D113" i="107"/>
  <c r="D125" i="107" s="1"/>
  <c r="D96" i="107"/>
  <c r="AB48" i="55" l="1"/>
  <c r="D47" i="112"/>
  <c r="X48" i="55"/>
  <c r="T48" i="55"/>
  <c r="L48" i="55"/>
  <c r="P48" i="55"/>
  <c r="L47" i="112" l="1"/>
  <c r="E43" i="131"/>
  <c r="E79" i="150"/>
  <c r="K38" i="132"/>
  <c r="E42" i="151"/>
  <c r="P38" i="132"/>
  <c r="M47" i="112"/>
  <c r="B50" i="146"/>
  <c r="F50" i="146" s="1"/>
  <c r="M50" i="146" s="1"/>
  <c r="E61" i="145"/>
  <c r="H47" i="112"/>
  <c r="G47" i="112"/>
  <c r="H7" i="114"/>
  <c r="G7" i="114"/>
  <c r="F47" i="112"/>
  <c r="E47" i="112"/>
  <c r="F7" i="114"/>
  <c r="I47" i="112"/>
  <c r="N47" i="112" s="1"/>
  <c r="I7" i="114"/>
  <c r="AF48" i="55"/>
  <c r="J47" i="112"/>
  <c r="C61" i="145"/>
  <c r="G38" i="132"/>
  <c r="G21" i="114"/>
  <c r="Q47" i="112" l="1"/>
  <c r="K47" i="112"/>
  <c r="P47" i="112" s="1"/>
  <c r="R47" i="112"/>
  <c r="K61" i="145"/>
  <c r="F21" i="114"/>
  <c r="H61" i="145"/>
  <c r="D58" i="140"/>
  <c r="D58" i="142"/>
  <c r="F14" i="114"/>
  <c r="F28" i="114" s="1"/>
  <c r="F58" i="140"/>
  <c r="H21" i="114"/>
  <c r="N61" i="145"/>
  <c r="G14" i="114"/>
  <c r="G28" i="114" s="1"/>
  <c r="E7" i="114"/>
  <c r="D7" i="114" s="1"/>
  <c r="D42" i="151"/>
  <c r="D43" i="131"/>
  <c r="O38" i="132"/>
  <c r="D43" i="130"/>
  <c r="D42" i="150"/>
  <c r="J38" i="132"/>
  <c r="D79" i="150"/>
  <c r="F43" i="131"/>
  <c r="F42" i="151"/>
  <c r="F43" i="130"/>
  <c r="Q38" i="132"/>
  <c r="F42" i="150"/>
  <c r="L38" i="132"/>
  <c r="F79" i="150"/>
  <c r="G43" i="130"/>
  <c r="G42" i="151"/>
  <c r="G43" i="131"/>
  <c r="G79" i="150"/>
  <c r="G42" i="150"/>
  <c r="O47" i="112"/>
  <c r="Q61" i="145"/>
  <c r="G58" i="140"/>
  <c r="I21" i="114"/>
  <c r="E58" i="140" l="1"/>
  <c r="E21" i="114"/>
  <c r="D21" i="114" s="1"/>
  <c r="I14" i="114"/>
  <c r="I28" i="114" s="1"/>
  <c r="G58" i="142"/>
  <c r="E58" i="142"/>
  <c r="H14" i="114"/>
  <c r="H28" i="114" s="1"/>
  <c r="F58" i="142"/>
  <c r="D48" i="112"/>
  <c r="AB49" i="55"/>
  <c r="C62" i="145"/>
  <c r="X49" i="55"/>
  <c r="P49" i="55"/>
  <c r="L49" i="55"/>
  <c r="T49" i="55"/>
  <c r="E28" i="114" l="1"/>
  <c r="D28" i="114" s="1"/>
  <c r="E14" i="114"/>
  <c r="D14" i="114" s="1"/>
  <c r="F48" i="112"/>
  <c r="G8" i="114"/>
  <c r="G48" i="112"/>
  <c r="H8" i="114"/>
  <c r="E48" i="112"/>
  <c r="F8" i="114"/>
  <c r="I8" i="114"/>
  <c r="H48" i="112"/>
  <c r="AF49" i="55"/>
  <c r="B9" i="111"/>
  <c r="B10" i="111" s="1"/>
  <c r="I48" i="112"/>
  <c r="N48" i="112" s="1"/>
  <c r="R38" i="132" l="1"/>
  <c r="N38" i="132" s="1"/>
  <c r="M38" i="132"/>
  <c r="I38" i="132" s="1"/>
  <c r="E62" i="145"/>
  <c r="D9" i="111"/>
  <c r="D10" i="111" s="1"/>
  <c r="G22" i="114"/>
  <c r="K48" i="112"/>
  <c r="P48" i="112" s="1"/>
  <c r="C60" i="145"/>
  <c r="I46" i="112"/>
  <c r="C79" i="150"/>
  <c r="E9" i="111"/>
  <c r="E10" i="111" s="1"/>
  <c r="L48" i="112"/>
  <c r="Q48" i="112" s="1"/>
  <c r="L46" i="112"/>
  <c r="G15" i="114"/>
  <c r="G29" i="114" s="1"/>
  <c r="K46" i="112"/>
  <c r="G20" i="114"/>
  <c r="F35" i="132"/>
  <c r="M46" i="112"/>
  <c r="J37" i="132"/>
  <c r="O37" i="132"/>
  <c r="D42" i="131"/>
  <c r="D41" i="150"/>
  <c r="D42" i="130"/>
  <c r="D41" i="151"/>
  <c r="D78" i="150"/>
  <c r="C9" i="111"/>
  <c r="C10" i="111" s="1"/>
  <c r="J48" i="112"/>
  <c r="O48" i="112" s="1"/>
  <c r="F78" i="150"/>
  <c r="Q37" i="132"/>
  <c r="F42" i="131"/>
  <c r="F41" i="151"/>
  <c r="L37" i="132"/>
  <c r="J46" i="112"/>
  <c r="K37" i="132"/>
  <c r="P37" i="132"/>
  <c r="E42" i="131"/>
  <c r="E41" i="151"/>
  <c r="E78" i="150"/>
  <c r="M48" i="112"/>
  <c r="R48" i="112" s="1"/>
  <c r="F9" i="111"/>
  <c r="F10" i="111" s="1"/>
  <c r="E8" i="114"/>
  <c r="D8" i="114" s="1"/>
  <c r="M45" i="112"/>
  <c r="G13" i="114"/>
  <c r="H38" i="132" l="1"/>
  <c r="C43" i="131"/>
  <c r="C42" i="151"/>
  <c r="G56" i="140"/>
  <c r="I19" i="114"/>
  <c r="Q59" i="145"/>
  <c r="D59" i="140"/>
  <c r="H62" i="145"/>
  <c r="F22" i="114"/>
  <c r="I20" i="114"/>
  <c r="G57" i="140"/>
  <c r="Q60" i="145"/>
  <c r="E57" i="140"/>
  <c r="K60" i="145"/>
  <c r="E59" i="142"/>
  <c r="M44" i="112"/>
  <c r="H13" i="114"/>
  <c r="F57" i="142"/>
  <c r="E59" i="140"/>
  <c r="K62" i="145"/>
  <c r="E40" i="151"/>
  <c r="E39" i="151" s="1"/>
  <c r="E44" i="151" s="1"/>
  <c r="E41" i="131"/>
  <c r="E40" i="131" s="1"/>
  <c r="E45" i="131" s="1"/>
  <c r="E77" i="150"/>
  <c r="E76" i="150" s="1"/>
  <c r="P36" i="132"/>
  <c r="K36" i="132"/>
  <c r="N60" i="145"/>
  <c r="H20" i="114"/>
  <c r="F57" i="140"/>
  <c r="J45" i="112"/>
  <c r="I15" i="114"/>
  <c r="I29" i="114" s="1"/>
  <c r="G59" i="142"/>
  <c r="D40" i="150"/>
  <c r="D39" i="150" s="1"/>
  <c r="D44" i="150" s="1"/>
  <c r="D41" i="130"/>
  <c r="D40" i="130" s="1"/>
  <c r="D45" i="130" s="1"/>
  <c r="D77" i="150"/>
  <c r="D76" i="150" s="1"/>
  <c r="D40" i="151"/>
  <c r="D39" i="151" s="1"/>
  <c r="D44" i="151" s="1"/>
  <c r="D41" i="131"/>
  <c r="D40" i="131" s="1"/>
  <c r="D45" i="131" s="1"/>
  <c r="J36" i="132"/>
  <c r="O36" i="132"/>
  <c r="G59" i="140"/>
  <c r="Q62" i="145"/>
  <c r="I22" i="114"/>
  <c r="H15" i="114"/>
  <c r="H29" i="114" s="1"/>
  <c r="F59" i="142"/>
  <c r="L45" i="112"/>
  <c r="H22" i="114"/>
  <c r="F59" i="140"/>
  <c r="N62" i="145"/>
  <c r="B49" i="146"/>
  <c r="E60" i="145"/>
  <c r="G57" i="142"/>
  <c r="I13" i="114"/>
  <c r="G19" i="114"/>
  <c r="K45" i="112"/>
  <c r="E57" i="142"/>
  <c r="G12" i="114"/>
  <c r="I12" i="114"/>
  <c r="G56" i="142"/>
  <c r="H60" i="145"/>
  <c r="D57" i="140"/>
  <c r="F20" i="114"/>
  <c r="F15" i="114"/>
  <c r="D59" i="142"/>
  <c r="F77" i="150"/>
  <c r="F76" i="150" s="1"/>
  <c r="F41" i="131"/>
  <c r="F40" i="131" s="1"/>
  <c r="F40" i="151"/>
  <c r="F39" i="151" s="1"/>
  <c r="L36" i="132"/>
  <c r="Q36" i="132"/>
  <c r="F13" i="114"/>
  <c r="D57" i="142"/>
  <c r="E20" i="114" l="1"/>
  <c r="K35" i="132"/>
  <c r="P35" i="132"/>
  <c r="E40" i="132"/>
  <c r="F12" i="114"/>
  <c r="D56" i="142"/>
  <c r="G11" i="114"/>
  <c r="N59" i="145"/>
  <c r="H19" i="114"/>
  <c r="F56" i="140"/>
  <c r="I45" i="112"/>
  <c r="C59" i="145"/>
  <c r="J44" i="112"/>
  <c r="L35" i="132"/>
  <c r="Q35" i="132"/>
  <c r="L44" i="112"/>
  <c r="E22" i="114"/>
  <c r="D22" i="114" s="1"/>
  <c r="G55" i="140"/>
  <c r="Q58" i="145"/>
  <c r="I18" i="114"/>
  <c r="J35" i="132"/>
  <c r="O35" i="132"/>
  <c r="C62" i="115"/>
  <c r="G18" i="114"/>
  <c r="K44" i="112"/>
  <c r="M50" i="112"/>
  <c r="E56" i="142"/>
  <c r="K59" i="145"/>
  <c r="E56" i="140"/>
  <c r="F19" i="114"/>
  <c r="D56" i="140"/>
  <c r="H59" i="145"/>
  <c r="E13" i="114"/>
  <c r="E15" i="114"/>
  <c r="D15" i="114" s="1"/>
  <c r="F29" i="114"/>
  <c r="E29" i="114" s="1"/>
  <c r="D29" i="114" s="1"/>
  <c r="G55" i="142"/>
  <c r="I11" i="114"/>
  <c r="F56" i="142"/>
  <c r="H12" i="114"/>
  <c r="E19" i="114" l="1"/>
  <c r="G51" i="112"/>
  <c r="B27" i="115"/>
  <c r="D27" i="115" s="1"/>
  <c r="G15" i="93"/>
  <c r="G27" i="93" s="1"/>
  <c r="F9" i="129"/>
  <c r="M51" i="112"/>
  <c r="K50" i="112"/>
  <c r="C58" i="145"/>
  <c r="I44" i="112"/>
  <c r="F40" i="109"/>
  <c r="H11" i="114"/>
  <c r="F55" i="142"/>
  <c r="E55" i="140"/>
  <c r="K58" i="145"/>
  <c r="O40" i="132"/>
  <c r="D8" i="132"/>
  <c r="J40" i="132"/>
  <c r="D81" i="150"/>
  <c r="J50" i="112"/>
  <c r="E58" i="145"/>
  <c r="B47" i="146"/>
  <c r="E12" i="114"/>
  <c r="E81" i="150"/>
  <c r="K40" i="132"/>
  <c r="P40" i="132"/>
  <c r="E8" i="132"/>
  <c r="E55" i="142"/>
  <c r="F18" i="114"/>
  <c r="C61" i="115"/>
  <c r="H58" i="145"/>
  <c r="D55" i="140"/>
  <c r="G31" i="142"/>
  <c r="Q64" i="145"/>
  <c r="G31" i="140"/>
  <c r="L40" i="132"/>
  <c r="Q40" i="132"/>
  <c r="F81" i="150"/>
  <c r="F8" i="132"/>
  <c r="B48" i="146"/>
  <c r="E59" i="145"/>
  <c r="F11" i="114"/>
  <c r="D55" i="142"/>
  <c r="L50" i="112"/>
  <c r="H18" i="114"/>
  <c r="N58" i="145"/>
  <c r="F55" i="140"/>
  <c r="L51" i="112" l="1"/>
  <c r="Q51" i="112" s="1"/>
  <c r="K64" i="145"/>
  <c r="E31" i="140"/>
  <c r="C64" i="145"/>
  <c r="I50" i="112"/>
  <c r="Q69" i="145"/>
  <c r="E31" i="142"/>
  <c r="G12" i="93"/>
  <c r="F21" i="107" s="1"/>
  <c r="B137" i="107" s="1"/>
  <c r="B191" i="107" s="1"/>
  <c r="G31" i="93"/>
  <c r="K51" i="112"/>
  <c r="P51" i="112" s="1"/>
  <c r="E11" i="114"/>
  <c r="P27" i="115"/>
  <c r="P17" i="115" s="1"/>
  <c r="F10" i="130"/>
  <c r="F9" i="151"/>
  <c r="F9" i="150"/>
  <c r="F10" i="131"/>
  <c r="E18" i="114"/>
  <c r="P26" i="115"/>
  <c r="P16" i="115" s="1"/>
  <c r="E9" i="151"/>
  <c r="E8" i="151" s="1"/>
  <c r="E10" i="131"/>
  <c r="E9" i="131" s="1"/>
  <c r="O26" i="115" s="1"/>
  <c r="O16" i="115" s="1"/>
  <c r="J51" i="112"/>
  <c r="O51" i="112" s="1"/>
  <c r="C65" i="115"/>
  <c r="F31" i="140"/>
  <c r="N64" i="145"/>
  <c r="H64" i="145"/>
  <c r="D31" i="140"/>
  <c r="E64" i="145"/>
  <c r="D31" i="142"/>
  <c r="B52" i="146"/>
  <c r="B53" i="146" s="1"/>
  <c r="D10" i="130"/>
  <c r="D9" i="130" s="1"/>
  <c r="N25" i="115" s="1"/>
  <c r="N15" i="115" s="1"/>
  <c r="D10" i="131"/>
  <c r="D9" i="131" s="1"/>
  <c r="O25" i="115" s="1"/>
  <c r="O15" i="115" s="1"/>
  <c r="D9" i="151"/>
  <c r="D8" i="151" s="1"/>
  <c r="D9" i="150"/>
  <c r="D8" i="150" s="1"/>
  <c r="P25" i="115"/>
  <c r="P15" i="115" s="1"/>
  <c r="F31" i="142"/>
  <c r="G40" i="109"/>
  <c r="F48" i="109"/>
  <c r="F46" i="109"/>
  <c r="F13" i="129"/>
  <c r="F11" i="129"/>
  <c r="F12" i="129"/>
  <c r="F50" i="107" l="1"/>
  <c r="F78" i="107"/>
  <c r="F107" i="107" s="1"/>
  <c r="H69" i="145"/>
  <c r="K69" i="145"/>
  <c r="F54" i="109"/>
  <c r="G48" i="109"/>
  <c r="N69" i="145"/>
  <c r="G24" i="93"/>
  <c r="G62" i="93" s="1"/>
  <c r="C65" i="145"/>
  <c r="C66" i="145"/>
  <c r="I51" i="112"/>
  <c r="E41" i="139"/>
  <c r="J17" i="61"/>
  <c r="D32" i="138"/>
  <c r="G73" i="140"/>
  <c r="G35" i="93"/>
  <c r="G32" i="93" s="1"/>
  <c r="G28" i="93"/>
  <c r="G46" i="109"/>
  <c r="F49" i="109"/>
  <c r="G73" i="142"/>
  <c r="F55" i="109" l="1"/>
  <c r="G49" i="109"/>
  <c r="E32" i="138"/>
  <c r="G32" i="138" s="1"/>
  <c r="F73" i="142"/>
  <c r="D23" i="138"/>
  <c r="D14" i="138"/>
  <c r="V17" i="92"/>
  <c r="E23" i="139"/>
  <c r="E14" i="139"/>
  <c r="E32" i="139"/>
  <c r="F73" i="140"/>
  <c r="C69" i="145"/>
  <c r="E69" i="145"/>
  <c r="F41" i="139"/>
  <c r="H41" i="139" s="1"/>
  <c r="F23" i="139" l="1"/>
  <c r="H23" i="139" s="1"/>
  <c r="U17" i="92"/>
  <c r="Z17" i="92" s="1"/>
  <c r="E72" i="145"/>
  <c r="C72" i="145"/>
  <c r="E23" i="138"/>
  <c r="G23" i="138" s="1"/>
  <c r="C35" i="146"/>
  <c r="F35" i="146" s="1"/>
  <c r="H15" i="109"/>
  <c r="F14" i="139"/>
  <c r="G21" i="127"/>
  <c r="F21" i="127"/>
  <c r="F32" i="139"/>
  <c r="H32" i="139" s="1"/>
  <c r="E14" i="138"/>
  <c r="G14" i="138" s="1"/>
  <c r="F35" i="150" l="1"/>
  <c r="F36" i="130"/>
  <c r="F106" i="150"/>
  <c r="F114" i="150"/>
  <c r="F43" i="150"/>
  <c r="F44" i="130"/>
  <c r="F8" i="127"/>
  <c r="G8" i="127"/>
  <c r="M35" i="146"/>
  <c r="F54" i="146"/>
  <c r="H14" i="139"/>
  <c r="D15" i="109"/>
  <c r="I15" i="109"/>
  <c r="E15" i="109" s="1"/>
  <c r="F36" i="131"/>
  <c r="F45" i="131" s="1"/>
  <c r="F35" i="151"/>
  <c r="F44" i="151" s="1"/>
  <c r="H14" i="109"/>
  <c r="E72" i="142" l="1"/>
  <c r="C30" i="146"/>
  <c r="F72" i="142"/>
  <c r="F7" i="127"/>
  <c r="C80" i="145"/>
  <c r="F10" i="151"/>
  <c r="F8" i="151" s="1"/>
  <c r="F11" i="131"/>
  <c r="F9" i="131" s="1"/>
  <c r="O27" i="115" s="1"/>
  <c r="O17" i="115" s="1"/>
  <c r="R27" i="115"/>
  <c r="R17" i="115" s="1"/>
  <c r="D14" i="109"/>
  <c r="D8" i="109" s="1"/>
  <c r="D7" i="109" s="1"/>
  <c r="I14" i="109"/>
  <c r="E14" i="109" s="1"/>
  <c r="H8" i="109"/>
  <c r="D72" i="142"/>
  <c r="G7" i="127"/>
  <c r="F112" i="150"/>
  <c r="F42" i="130"/>
  <c r="F41" i="150"/>
  <c r="G72" i="142"/>
  <c r="F72" i="140" l="1"/>
  <c r="I8" i="109"/>
  <c r="E8" i="109" s="1"/>
  <c r="H7" i="109"/>
  <c r="J7" i="127"/>
  <c r="G72" i="140"/>
  <c r="K7" i="127"/>
  <c r="C79" i="145"/>
  <c r="D68" i="142"/>
  <c r="F111" i="150"/>
  <c r="F110" i="150" s="1"/>
  <c r="F36" i="134"/>
  <c r="F8" i="134" s="1"/>
  <c r="F40" i="150"/>
  <c r="F39" i="150" s="1"/>
  <c r="F44" i="150" s="1"/>
  <c r="F41" i="130"/>
  <c r="F40" i="130" s="1"/>
  <c r="F45" i="130" s="1"/>
  <c r="U16" i="92"/>
  <c r="Z16" i="92" s="1"/>
  <c r="C54" i="146"/>
  <c r="V16" i="92"/>
  <c r="V12" i="92"/>
  <c r="F68" i="142"/>
  <c r="D72" i="140"/>
  <c r="G68" i="142"/>
  <c r="E72" i="140"/>
  <c r="E68" i="142"/>
  <c r="D100" i="140" l="1"/>
  <c r="E100" i="142"/>
  <c r="F100" i="140"/>
  <c r="E100" i="140"/>
  <c r="D100" i="142"/>
  <c r="N37" i="92"/>
  <c r="X37" i="92" s="1"/>
  <c r="F67" i="142"/>
  <c r="C75" i="145"/>
  <c r="F10" i="150"/>
  <c r="F8" i="150" s="1"/>
  <c r="Q27" i="115"/>
  <c r="Q17" i="115" s="1"/>
  <c r="F11" i="130"/>
  <c r="F9" i="130" s="1"/>
  <c r="N27" i="115" s="1"/>
  <c r="N17" i="115" s="1"/>
  <c r="D26" i="111"/>
  <c r="D27" i="111" s="1"/>
  <c r="D30" i="111" s="1"/>
  <c r="G67" i="142"/>
  <c r="D68" i="140"/>
  <c r="U12" i="92"/>
  <c r="Z12" i="92" s="1"/>
  <c r="D67" i="142"/>
  <c r="E68" i="140"/>
  <c r="E67" i="142"/>
  <c r="G68" i="140"/>
  <c r="I7" i="109"/>
  <c r="E7" i="109" s="1"/>
  <c r="H35" i="109"/>
  <c r="F68" i="140"/>
  <c r="Q23" i="114" l="1"/>
  <c r="D97" i="140"/>
  <c r="R23" i="114"/>
  <c r="E97" i="142"/>
  <c r="E97" i="140"/>
  <c r="M16" i="114"/>
  <c r="F97" i="140"/>
  <c r="N16" i="114"/>
  <c r="D97" i="142"/>
  <c r="L16" i="114"/>
  <c r="E17" i="111"/>
  <c r="E18" i="111" s="1"/>
  <c r="E21" i="111" s="1"/>
  <c r="C74" i="145"/>
  <c r="D67" i="140"/>
  <c r="I35" i="109"/>
  <c r="E35" i="109" s="1"/>
  <c r="H39" i="109"/>
  <c r="H45" i="109"/>
  <c r="D35" i="109"/>
  <c r="D39" i="109" s="1"/>
  <c r="H36" i="109"/>
  <c r="E93" i="142"/>
  <c r="V11" i="92"/>
  <c r="E67" i="140"/>
  <c r="B26" i="111"/>
  <c r="B27" i="111" s="1"/>
  <c r="B30" i="111" s="1"/>
  <c r="G67" i="140"/>
  <c r="D93" i="142"/>
  <c r="G93" i="142"/>
  <c r="F93" i="142"/>
  <c r="F67" i="140"/>
  <c r="U11" i="92"/>
  <c r="Z11" i="92" s="1"/>
  <c r="F17" i="111"/>
  <c r="F18" i="111" s="1"/>
  <c r="F21" i="111" s="1"/>
  <c r="N13" i="114" l="1"/>
  <c r="D96" i="140"/>
  <c r="R20" i="114"/>
  <c r="C107" i="145"/>
  <c r="L13" i="114"/>
  <c r="F96" i="140"/>
  <c r="Q20" i="114"/>
  <c r="M13" i="114"/>
  <c r="E96" i="140"/>
  <c r="D96" i="142"/>
  <c r="E96" i="142"/>
  <c r="C26" i="111"/>
  <c r="C27" i="111" s="1"/>
  <c r="C30" i="111" s="1"/>
  <c r="E93" i="140"/>
  <c r="I45" i="109"/>
  <c r="E45" i="109" s="1"/>
  <c r="D45" i="109"/>
  <c r="H42" i="109"/>
  <c r="B17" i="111"/>
  <c r="B18" i="111" s="1"/>
  <c r="B21" i="111" s="1"/>
  <c r="C100" i="145"/>
  <c r="G93" i="140"/>
  <c r="U37" i="92"/>
  <c r="Z37" i="92" s="1"/>
  <c r="E26" i="111"/>
  <c r="E27" i="111" s="1"/>
  <c r="E30" i="111" s="1"/>
  <c r="F93" i="140"/>
  <c r="F26" i="111"/>
  <c r="F27" i="111" s="1"/>
  <c r="F30" i="111" s="1"/>
  <c r="V37" i="92"/>
  <c r="D36" i="109"/>
  <c r="D38" i="109" s="1"/>
  <c r="H38" i="109"/>
  <c r="I36" i="109"/>
  <c r="E36" i="109" s="1"/>
  <c r="D93" i="140"/>
  <c r="H62" i="115" l="1"/>
  <c r="E95" i="142"/>
  <c r="E95" i="140"/>
  <c r="F95" i="140"/>
  <c r="L12" i="114"/>
  <c r="R19" i="114"/>
  <c r="C104" i="145"/>
  <c r="C51" i="146"/>
  <c r="F51" i="146" s="1"/>
  <c r="M51" i="146" s="1"/>
  <c r="F100" i="142"/>
  <c r="N12" i="114"/>
  <c r="G100" i="140"/>
  <c r="M12" i="114"/>
  <c r="H61" i="115"/>
  <c r="D95" i="142"/>
  <c r="Q19" i="114"/>
  <c r="G100" i="142"/>
  <c r="D95" i="140"/>
  <c r="D42" i="109"/>
  <c r="I42" i="109"/>
  <c r="E42" i="109" s="1"/>
  <c r="C17" i="111"/>
  <c r="C18" i="111" s="1"/>
  <c r="C21" i="111" s="1"/>
  <c r="H41" i="109"/>
  <c r="F66" i="140"/>
  <c r="D66" i="140"/>
  <c r="E66" i="140"/>
  <c r="H65" i="115" l="1"/>
  <c r="D66" i="142"/>
  <c r="R18" i="114"/>
  <c r="G97" i="140"/>
  <c r="F97" i="142"/>
  <c r="E66" i="142"/>
  <c r="T23" i="114"/>
  <c r="V44" i="92"/>
  <c r="O16" i="114"/>
  <c r="K16" i="114" s="1"/>
  <c r="F61" i="115"/>
  <c r="L11" i="114"/>
  <c r="C103" i="145"/>
  <c r="G97" i="142"/>
  <c r="C49" i="146"/>
  <c r="F49" i="146" s="1"/>
  <c r="M49" i="146" s="1"/>
  <c r="Q18" i="114"/>
  <c r="F62" i="115"/>
  <c r="M11" i="114"/>
  <c r="U44" i="92"/>
  <c r="Z44" i="92" s="1"/>
  <c r="S23" i="114"/>
  <c r="F63" i="115"/>
  <c r="N11" i="114"/>
  <c r="I41" i="109"/>
  <c r="E41" i="109" s="1"/>
  <c r="D41" i="109"/>
  <c r="H40" i="109"/>
  <c r="F65" i="115" l="1"/>
  <c r="P23" i="114"/>
  <c r="J23" i="114" s="1"/>
  <c r="D23" i="114" s="1"/>
  <c r="G96" i="142"/>
  <c r="C48" i="146"/>
  <c r="F48" i="146" s="1"/>
  <c r="M48" i="146" s="1"/>
  <c r="T20" i="114"/>
  <c r="V41" i="92"/>
  <c r="G96" i="140"/>
  <c r="G16" i="93"/>
  <c r="F29" i="107" s="1"/>
  <c r="O13" i="114"/>
  <c r="K13" i="114" s="1"/>
  <c r="J16" i="114"/>
  <c r="F96" i="142"/>
  <c r="S20" i="114"/>
  <c r="U41" i="92"/>
  <c r="Z41" i="92" s="1"/>
  <c r="C102" i="145"/>
  <c r="D25" i="138"/>
  <c r="D16" i="138"/>
  <c r="I40" i="109"/>
  <c r="E40" i="109" s="1"/>
  <c r="D75" i="109"/>
  <c r="H46" i="109"/>
  <c r="D40" i="109"/>
  <c r="H48" i="109"/>
  <c r="F86" i="107" l="1"/>
  <c r="F58" i="107"/>
  <c r="F70" i="107" s="1"/>
  <c r="B155" i="107"/>
  <c r="B192" i="107" s="1"/>
  <c r="B194" i="107" s="1"/>
  <c r="B195" i="107" s="1"/>
  <c r="B20" i="147" s="1"/>
  <c r="F41" i="107"/>
  <c r="P20" i="114"/>
  <c r="J20" i="114" s="1"/>
  <c r="D20" i="114" s="1"/>
  <c r="C108" i="145"/>
  <c r="S19" i="114"/>
  <c r="U40" i="92"/>
  <c r="Z40" i="92" s="1"/>
  <c r="V40" i="92"/>
  <c r="T19" i="114"/>
  <c r="J13" i="114"/>
  <c r="G95" i="142"/>
  <c r="D16" i="114"/>
  <c r="C47" i="146"/>
  <c r="G95" i="140"/>
  <c r="O12" i="114"/>
  <c r="K12" i="114" s="1"/>
  <c r="E25" i="139"/>
  <c r="E21" i="139" s="1"/>
  <c r="F95" i="142"/>
  <c r="E16" i="139"/>
  <c r="E12" i="139" s="1"/>
  <c r="I46" i="109"/>
  <c r="E46" i="109" s="1"/>
  <c r="D46" i="109"/>
  <c r="H49" i="109"/>
  <c r="E16" i="138"/>
  <c r="E12" i="138" s="1"/>
  <c r="E25" i="138"/>
  <c r="E21" i="138" s="1"/>
  <c r="H75" i="109"/>
  <c r="D12" i="138"/>
  <c r="D21" i="138"/>
  <c r="H54" i="109"/>
  <c r="D54" i="109" s="1"/>
  <c r="I48" i="109"/>
  <c r="E48" i="109" s="1"/>
  <c r="D48" i="109"/>
  <c r="F14" i="140"/>
  <c r="D14" i="140"/>
  <c r="F115" i="107" l="1"/>
  <c r="F127" i="107" s="1"/>
  <c r="F98" i="107"/>
  <c r="P19" i="114"/>
  <c r="F66" i="142"/>
  <c r="F16" i="139"/>
  <c r="O11" i="114"/>
  <c r="K11" i="114" s="1"/>
  <c r="E14" i="142"/>
  <c r="F47" i="146"/>
  <c r="C52" i="146"/>
  <c r="J12" i="114"/>
  <c r="C110" i="145"/>
  <c r="C109" i="145"/>
  <c r="D14" i="142"/>
  <c r="F25" i="139"/>
  <c r="J19" i="114"/>
  <c r="D19" i="114" s="1"/>
  <c r="D7" i="146"/>
  <c r="D6" i="146" s="1"/>
  <c r="G66" i="140"/>
  <c r="G66" i="142"/>
  <c r="U39" i="92"/>
  <c r="Z39" i="92" s="1"/>
  <c r="S18" i="114"/>
  <c r="C7" i="146"/>
  <c r="D13" i="114"/>
  <c r="V39" i="92"/>
  <c r="T18" i="114"/>
  <c r="G25" i="138"/>
  <c r="I49" i="109"/>
  <c r="E49" i="109" s="1"/>
  <c r="H55" i="109"/>
  <c r="D55" i="109" s="1"/>
  <c r="D49" i="109"/>
  <c r="G21" i="138"/>
  <c r="G12" i="138"/>
  <c r="G16" i="138"/>
  <c r="P18" i="114" l="1"/>
  <c r="J18" i="114" s="1"/>
  <c r="D18" i="114" s="1"/>
  <c r="C6" i="146"/>
  <c r="B7" i="146"/>
  <c r="F12" i="139"/>
  <c r="H12" i="139" s="1"/>
  <c r="H16" i="139"/>
  <c r="M47" i="146"/>
  <c r="F52" i="146"/>
  <c r="F21" i="139"/>
  <c r="H21" i="139" s="1"/>
  <c r="H25" i="139"/>
  <c r="D12" i="114"/>
  <c r="J11" i="114"/>
  <c r="V45" i="92"/>
  <c r="U45" i="92"/>
  <c r="Z45" i="92" s="1"/>
  <c r="D11" i="114" l="1"/>
  <c r="E34" i="139"/>
  <c r="C116" i="145"/>
  <c r="C113" i="145"/>
  <c r="D34" i="138"/>
  <c r="E43" i="139"/>
  <c r="B13" i="146"/>
  <c r="B6" i="146"/>
  <c r="K6" i="146" s="1"/>
  <c r="K7" i="146"/>
  <c r="C27" i="146"/>
  <c r="C53" i="146" s="1"/>
  <c r="E34" i="138" l="1"/>
  <c r="E30" i="138" s="1"/>
  <c r="E30" i="139"/>
  <c r="F14" i="142"/>
  <c r="K13" i="146"/>
  <c r="B12" i="146"/>
  <c r="F27" i="146"/>
  <c r="G14" i="140"/>
  <c r="E39" i="139"/>
  <c r="F43" i="139"/>
  <c r="F39" i="139" s="1"/>
  <c r="G14" i="142"/>
  <c r="D30" i="138"/>
  <c r="F34" i="139"/>
  <c r="F30" i="139" s="1"/>
  <c r="G34" i="138" l="1"/>
  <c r="G30" i="138"/>
  <c r="H34" i="139"/>
  <c r="M27" i="146"/>
  <c r="F53" i="146"/>
  <c r="H30" i="139"/>
  <c r="H43" i="139"/>
  <c r="M13" i="146"/>
  <c r="M14" i="146"/>
  <c r="K12" i="146"/>
  <c r="K15" i="146" s="1"/>
  <c r="H39" i="139"/>
  <c r="I28" i="135" l="1"/>
  <c r="H28" i="135" s="1"/>
  <c r="I34" i="135"/>
  <c r="H34" i="135" s="1"/>
  <c r="C37" i="130" l="1"/>
  <c r="C36" i="150"/>
  <c r="C43" i="130"/>
  <c r="C42" i="150"/>
  <c r="F61" i="78" l="1"/>
  <c r="F60" i="78" l="1"/>
  <c r="T50" i="66" l="1"/>
  <c r="S50" i="66"/>
  <c r="G13" i="107" l="1"/>
  <c r="J5" i="107" s="1"/>
  <c r="E195" i="107" l="1"/>
  <c r="E20" i="147" s="1"/>
  <c r="D19" i="69" l="1"/>
  <c r="D9" i="69" l="1"/>
  <c r="F19" i="69"/>
  <c r="F22" i="69" s="1"/>
  <c r="F21" i="69" s="1"/>
  <c r="D22" i="69"/>
  <c r="D24" i="69"/>
  <c r="H19" i="69" l="1"/>
  <c r="N18" i="69" s="1"/>
  <c r="D21" i="69"/>
  <c r="H22" i="69"/>
  <c r="H21" i="69" s="1"/>
  <c r="D14" i="69"/>
  <c r="F9" i="69"/>
  <c r="H9" i="69" s="1"/>
  <c r="D12" i="69"/>
  <c r="F24" i="69"/>
  <c r="F27" i="69" s="1"/>
  <c r="F26" i="69" s="1"/>
  <c r="D27" i="69"/>
  <c r="J21" i="69" l="1"/>
  <c r="H24" i="69"/>
  <c r="J26" i="69" s="1"/>
  <c r="D11" i="69"/>
  <c r="N17" i="69"/>
  <c r="F28" i="84"/>
  <c r="F8" i="90"/>
  <c r="J11" i="69"/>
  <c r="J8" i="90"/>
  <c r="F21" i="83"/>
  <c r="F12" i="69"/>
  <c r="F11" i="69" s="1"/>
  <c r="D49" i="69"/>
  <c r="D26" i="69"/>
  <c r="H27" i="69"/>
  <c r="H26" i="69" s="1"/>
  <c r="F14" i="69"/>
  <c r="F17" i="69" s="1"/>
  <c r="F16" i="69" s="1"/>
  <c r="D17" i="69"/>
  <c r="N20" i="69" l="1"/>
  <c r="H14" i="69"/>
  <c r="H64" i="69" s="1"/>
  <c r="F49" i="69"/>
  <c r="F52" i="69" s="1"/>
  <c r="F51" i="69" s="1"/>
  <c r="D52" i="69"/>
  <c r="F38" i="83"/>
  <c r="G15" i="57"/>
  <c r="AF15" i="57" s="1"/>
  <c r="E40" i="110"/>
  <c r="C12" i="135"/>
  <c r="F40" i="83"/>
  <c r="D73" i="83"/>
  <c r="F24" i="83"/>
  <c r="G21" i="83"/>
  <c r="J21" i="83"/>
  <c r="I21" i="83"/>
  <c r="H21" i="83"/>
  <c r="N21" i="69"/>
  <c r="O21" i="69" s="1"/>
  <c r="D16" i="69"/>
  <c r="H17" i="69"/>
  <c r="H16" i="69" s="1"/>
  <c r="E16" i="110"/>
  <c r="F48" i="84"/>
  <c r="D182" i="84"/>
  <c r="F49" i="84"/>
  <c r="C16" i="132"/>
  <c r="F31" i="84"/>
  <c r="I28" i="84"/>
  <c r="G28" i="84"/>
  <c r="H28" i="84"/>
  <c r="J28" i="84"/>
  <c r="F118" i="84"/>
  <c r="H12" i="69"/>
  <c r="H11" i="69" s="1"/>
  <c r="D44" i="69"/>
  <c r="K118" i="84" l="1"/>
  <c r="K141" i="84" s="1"/>
  <c r="C45" i="127" s="1"/>
  <c r="H45" i="127" s="1"/>
  <c r="L118" i="84"/>
  <c r="J16" i="69"/>
  <c r="H49" i="69"/>
  <c r="N19" i="69"/>
  <c r="O21" i="83"/>
  <c r="X24" i="55"/>
  <c r="I49" i="84"/>
  <c r="G49" i="84"/>
  <c r="H49" i="84"/>
  <c r="J49" i="84"/>
  <c r="P24" i="55"/>
  <c r="C23" i="108"/>
  <c r="H182" i="84"/>
  <c r="G23" i="108" s="1"/>
  <c r="C14" i="135"/>
  <c r="E41" i="110"/>
  <c r="F41" i="110" s="1"/>
  <c r="D74" i="83"/>
  <c r="G17" i="57"/>
  <c r="AF17" i="57" s="1"/>
  <c r="F23" i="83"/>
  <c r="G24" i="83"/>
  <c r="H24" i="83"/>
  <c r="J24" i="83"/>
  <c r="I24" i="83"/>
  <c r="G38" i="83"/>
  <c r="H38" i="83"/>
  <c r="J38" i="83"/>
  <c r="I38" i="83"/>
  <c r="L24" i="55"/>
  <c r="I48" i="84"/>
  <c r="J48" i="84"/>
  <c r="G48" i="84"/>
  <c r="H48" i="84"/>
  <c r="C54" i="108"/>
  <c r="H73" i="83"/>
  <c r="G54" i="108" s="1"/>
  <c r="F21" i="66"/>
  <c r="H66" i="69"/>
  <c r="J51" i="69"/>
  <c r="K140" i="84"/>
  <c r="C44" i="127" s="1"/>
  <c r="H44" i="127" s="1"/>
  <c r="T24" i="55"/>
  <c r="F16" i="110"/>
  <c r="G40" i="83"/>
  <c r="H40" i="83"/>
  <c r="J40" i="83"/>
  <c r="I40" i="83"/>
  <c r="D51" i="69"/>
  <c r="H52" i="69"/>
  <c r="H51" i="69" s="1"/>
  <c r="S23" i="78" s="1"/>
  <c r="C18" i="132"/>
  <c r="D183" i="84"/>
  <c r="E17" i="110"/>
  <c r="I31" i="84"/>
  <c r="T26" i="55" s="1"/>
  <c r="J31" i="84"/>
  <c r="X26" i="55" s="1"/>
  <c r="G31" i="84"/>
  <c r="L26" i="55" s="1"/>
  <c r="H31" i="84"/>
  <c r="P26" i="55" s="1"/>
  <c r="F30" i="84"/>
  <c r="C119" i="150"/>
  <c r="G12" i="135"/>
  <c r="M12" i="135"/>
  <c r="R12" i="135"/>
  <c r="E28" i="110"/>
  <c r="F141" i="84"/>
  <c r="D198" i="84"/>
  <c r="F140" i="84"/>
  <c r="F121" i="84"/>
  <c r="G118" i="84"/>
  <c r="J118" i="84"/>
  <c r="H118" i="84"/>
  <c r="I118" i="84"/>
  <c r="F44" i="69"/>
  <c r="D47" i="69"/>
  <c r="D54" i="69"/>
  <c r="V119" i="84"/>
  <c r="L141" i="84"/>
  <c r="D45" i="127" s="1"/>
  <c r="I45" i="127" s="1"/>
  <c r="L140" i="84"/>
  <c r="D44" i="127" s="1"/>
  <c r="I44" i="127" s="1"/>
  <c r="I8" i="90"/>
  <c r="G18" i="92"/>
  <c r="D22" i="127"/>
  <c r="I22" i="127" s="1"/>
  <c r="L121" i="84"/>
  <c r="C57" i="150"/>
  <c r="M16" i="132"/>
  <c r="I16" i="132" s="1"/>
  <c r="R16" i="132"/>
  <c r="N16" i="132" s="1"/>
  <c r="F40" i="110"/>
  <c r="C15" i="134" l="1"/>
  <c r="G15" i="134" s="1"/>
  <c r="G89" i="150" s="1"/>
  <c r="U119" i="84"/>
  <c r="G18" i="61"/>
  <c r="C22" i="127"/>
  <c r="H22" i="127" s="1"/>
  <c r="H8" i="90"/>
  <c r="G8" i="90" s="1"/>
  <c r="E8" i="90" s="1"/>
  <c r="K121" i="84"/>
  <c r="O40" i="83"/>
  <c r="O38" i="83"/>
  <c r="J141" i="84"/>
  <c r="H141" i="84"/>
  <c r="G141" i="84"/>
  <c r="I141" i="84"/>
  <c r="G25" i="112"/>
  <c r="Q25" i="112" s="1"/>
  <c r="C89" i="150"/>
  <c r="H23" i="83"/>
  <c r="H9" i="83" s="1"/>
  <c r="C121" i="150"/>
  <c r="G14" i="135"/>
  <c r="G121" i="150" s="1"/>
  <c r="R14" i="135"/>
  <c r="N14" i="135" s="1"/>
  <c r="M14" i="135"/>
  <c r="I14" i="135" s="1"/>
  <c r="D25" i="127"/>
  <c r="I25" i="127" s="1"/>
  <c r="G20" i="92"/>
  <c r="L120" i="84"/>
  <c r="F28" i="110"/>
  <c r="F17" i="110"/>
  <c r="G23" i="83"/>
  <c r="G9" i="83" s="1"/>
  <c r="C20" i="132"/>
  <c r="I30" i="84"/>
  <c r="J30" i="84"/>
  <c r="G30" i="84"/>
  <c r="H30" i="84"/>
  <c r="F9" i="84"/>
  <c r="C24" i="108"/>
  <c r="H183" i="84"/>
  <c r="G24" i="108" s="1"/>
  <c r="H24" i="55"/>
  <c r="E23" i="112"/>
  <c r="O23" i="112" s="1"/>
  <c r="C16" i="135"/>
  <c r="C13" i="135" s="1"/>
  <c r="G16" i="57"/>
  <c r="F9" i="83"/>
  <c r="C15" i="133"/>
  <c r="G15" i="133" s="1"/>
  <c r="J18" i="92"/>
  <c r="I18" i="92"/>
  <c r="H18" i="92"/>
  <c r="K18" i="92"/>
  <c r="E29" i="110"/>
  <c r="F29" i="110" s="1"/>
  <c r="D199" i="84"/>
  <c r="I121" i="84"/>
  <c r="G121" i="84"/>
  <c r="H121" i="84"/>
  <c r="J121" i="84"/>
  <c r="F120" i="84"/>
  <c r="N12" i="135"/>
  <c r="F25" i="112"/>
  <c r="P25" i="112" s="1"/>
  <c r="C59" i="150"/>
  <c r="R18" i="132"/>
  <c r="N18" i="132" s="1"/>
  <c r="M18" i="132"/>
  <c r="I18" i="132" s="1"/>
  <c r="C17" i="132"/>
  <c r="G23" i="112"/>
  <c r="Q23" i="112" s="1"/>
  <c r="O24" i="83"/>
  <c r="D46" i="69"/>
  <c r="D56" i="69" s="1"/>
  <c r="H16" i="132"/>
  <c r="H44" i="69"/>
  <c r="F47" i="69"/>
  <c r="F46" i="69" s="1"/>
  <c r="F56" i="69" s="1"/>
  <c r="F54" i="69"/>
  <c r="H140" i="84"/>
  <c r="G140" i="84"/>
  <c r="J140" i="84"/>
  <c r="I140" i="84"/>
  <c r="I12" i="135"/>
  <c r="E25" i="112"/>
  <c r="O25" i="112" s="1"/>
  <c r="H26" i="55"/>
  <c r="E64" i="110"/>
  <c r="F39" i="66"/>
  <c r="F23" i="66"/>
  <c r="F20" i="66" s="1"/>
  <c r="F58" i="66"/>
  <c r="N21" i="66"/>
  <c r="I23" i="83"/>
  <c r="I9" i="83" s="1"/>
  <c r="H74" i="83"/>
  <c r="G55" i="108" s="1"/>
  <c r="C55" i="108"/>
  <c r="C39" i="108"/>
  <c r="H198" i="84"/>
  <c r="G39" i="108" s="1"/>
  <c r="G119" i="150"/>
  <c r="AF26" i="55"/>
  <c r="H25" i="112"/>
  <c r="R25" i="112" s="1"/>
  <c r="G18" i="132"/>
  <c r="H18" i="61"/>
  <c r="K18" i="61"/>
  <c r="J18" i="61"/>
  <c r="I18" i="61"/>
  <c r="C25" i="127"/>
  <c r="H25" i="127" s="1"/>
  <c r="C17" i="134"/>
  <c r="G20" i="61"/>
  <c r="K120" i="84"/>
  <c r="J23" i="83"/>
  <c r="J9" i="83" s="1"/>
  <c r="F23" i="112"/>
  <c r="P23" i="112" s="1"/>
  <c r="AF24" i="55"/>
  <c r="G16" i="132"/>
  <c r="H23" i="112"/>
  <c r="R23" i="112" s="1"/>
  <c r="H12" i="135" l="1"/>
  <c r="C19" i="151"/>
  <c r="H14" i="135"/>
  <c r="C20" i="130"/>
  <c r="C120" i="150"/>
  <c r="G13" i="135"/>
  <c r="M13" i="135"/>
  <c r="R13" i="135"/>
  <c r="C22" i="130"/>
  <c r="H18" i="132"/>
  <c r="C21" i="150"/>
  <c r="C40" i="108"/>
  <c r="H199" i="84"/>
  <c r="G40" i="108" s="1"/>
  <c r="P28" i="55"/>
  <c r="H9" i="84"/>
  <c r="N121" i="84"/>
  <c r="G22" i="92"/>
  <c r="G19" i="92" s="1"/>
  <c r="D24" i="127"/>
  <c r="I24" i="127" s="1"/>
  <c r="I10" i="90"/>
  <c r="AB26" i="55"/>
  <c r="D25" i="112"/>
  <c r="N25" i="112" s="1"/>
  <c r="E48" i="110"/>
  <c r="D83" i="83"/>
  <c r="H6" i="115"/>
  <c r="J6" i="115" s="1"/>
  <c r="F5" i="107"/>
  <c r="G39" i="110" s="1"/>
  <c r="J10" i="90"/>
  <c r="O9" i="83"/>
  <c r="AB24" i="55"/>
  <c r="D23" i="112"/>
  <c r="N23" i="112" s="1"/>
  <c r="L28" i="55"/>
  <c r="G9" i="84"/>
  <c r="D8" i="90"/>
  <c r="E9" i="90" s="1"/>
  <c r="J20" i="92"/>
  <c r="K20" i="92"/>
  <c r="I20" i="92"/>
  <c r="H20" i="92"/>
  <c r="C17" i="133"/>
  <c r="G17" i="133" s="1"/>
  <c r="G22" i="131" s="1"/>
  <c r="C24" i="127"/>
  <c r="H24" i="127" s="1"/>
  <c r="G22" i="61"/>
  <c r="G19" i="61" s="1"/>
  <c r="C19" i="134"/>
  <c r="C16" i="134" s="1"/>
  <c r="H10" i="90"/>
  <c r="R18" i="61"/>
  <c r="Q18" i="61"/>
  <c r="N58" i="66"/>
  <c r="C19" i="150"/>
  <c r="J120" i="84"/>
  <c r="Q18" i="92"/>
  <c r="AA18" i="92" s="1"/>
  <c r="R18" i="92"/>
  <c r="O23" i="83"/>
  <c r="X28" i="55"/>
  <c r="J9" i="84"/>
  <c r="G19" i="150"/>
  <c r="G57" i="150"/>
  <c r="G19" i="151"/>
  <c r="G20" i="130"/>
  <c r="G20" i="131"/>
  <c r="I20" i="61"/>
  <c r="H20" i="61"/>
  <c r="K20" i="61"/>
  <c r="J20" i="61"/>
  <c r="E65" i="110"/>
  <c r="N23" i="66"/>
  <c r="N20" i="66" s="1"/>
  <c r="H47" i="69"/>
  <c r="H46" i="69" s="1"/>
  <c r="H56" i="69" s="1"/>
  <c r="H120" i="84"/>
  <c r="H103" i="84" s="1"/>
  <c r="G19" i="57"/>
  <c r="AF19" i="57" s="1"/>
  <c r="AF16" i="57"/>
  <c r="T28" i="55"/>
  <c r="I9" i="84"/>
  <c r="G17" i="134"/>
  <c r="G91" i="150" s="1"/>
  <c r="C91" i="150"/>
  <c r="N39" i="66"/>
  <c r="F38" i="66"/>
  <c r="G120" i="84"/>
  <c r="G103" i="84" s="1"/>
  <c r="C123" i="150"/>
  <c r="G16" i="135"/>
  <c r="G123" i="150" s="1"/>
  <c r="R16" i="135"/>
  <c r="N16" i="135" s="1"/>
  <c r="M16" i="135"/>
  <c r="I16" i="135" s="1"/>
  <c r="M20" i="132"/>
  <c r="I20" i="132" s="1"/>
  <c r="C61" i="150"/>
  <c r="R20" i="132"/>
  <c r="N20" i="132" s="1"/>
  <c r="G21" i="151"/>
  <c r="G59" i="150"/>
  <c r="H65" i="69"/>
  <c r="H63" i="69" s="1"/>
  <c r="F21" i="78"/>
  <c r="J46" i="69"/>
  <c r="H54" i="69"/>
  <c r="C20" i="131"/>
  <c r="C58" i="150"/>
  <c r="M17" i="132"/>
  <c r="I17" i="132" s="1"/>
  <c r="R17" i="132"/>
  <c r="N17" i="132" s="1"/>
  <c r="I120" i="84"/>
  <c r="I103" i="84" s="1"/>
  <c r="I5" i="107"/>
  <c r="C5" i="107"/>
  <c r="E24" i="110"/>
  <c r="H4" i="115"/>
  <c r="D192" i="84"/>
  <c r="F10" i="90"/>
  <c r="H17" i="132" l="1"/>
  <c r="G22" i="130"/>
  <c r="F24" i="110"/>
  <c r="E15" i="110"/>
  <c r="F15" i="110" s="1"/>
  <c r="G21" i="150"/>
  <c r="J19" i="61"/>
  <c r="H19" i="61"/>
  <c r="K19" i="61"/>
  <c r="I19" i="61"/>
  <c r="G20" i="132"/>
  <c r="H27" i="112"/>
  <c r="R27" i="112" s="1"/>
  <c r="AF28" i="55"/>
  <c r="X25" i="55"/>
  <c r="H22" i="61"/>
  <c r="J22" i="61"/>
  <c r="K22" i="61"/>
  <c r="I22" i="61"/>
  <c r="R20" i="92"/>
  <c r="Q20" i="92"/>
  <c r="AA20" i="92" s="1"/>
  <c r="C22" i="131"/>
  <c r="K22" i="92"/>
  <c r="H22" i="92"/>
  <c r="C19" i="133"/>
  <c r="G19" i="133" s="1"/>
  <c r="G16" i="133" s="1"/>
  <c r="I22" i="92"/>
  <c r="J22" i="92"/>
  <c r="Z22" i="92" s="1"/>
  <c r="E52" i="110"/>
  <c r="E3" i="110" s="1"/>
  <c r="F55" i="78"/>
  <c r="F54" i="78"/>
  <c r="F23" i="78"/>
  <c r="F20" i="78" s="1"/>
  <c r="R20" i="61"/>
  <c r="Q20" i="61"/>
  <c r="K19" i="92"/>
  <c r="H19" i="92"/>
  <c r="J19" i="92"/>
  <c r="I19" i="92"/>
  <c r="C16" i="133"/>
  <c r="N13" i="135"/>
  <c r="J35" i="69"/>
  <c r="J36" i="69" s="1"/>
  <c r="N8" i="90"/>
  <c r="O8" i="90" s="1"/>
  <c r="J56" i="69"/>
  <c r="C23" i="150"/>
  <c r="C20" i="150" s="1"/>
  <c r="H16" i="135"/>
  <c r="N38" i="66"/>
  <c r="N8" i="66" s="1"/>
  <c r="G27" i="112"/>
  <c r="Q27" i="112" s="1"/>
  <c r="T25" i="55"/>
  <c r="K9" i="90"/>
  <c r="M9" i="90"/>
  <c r="D9" i="90"/>
  <c r="L9" i="90"/>
  <c r="C64" i="108"/>
  <c r="C82" i="83"/>
  <c r="C79" i="83"/>
  <c r="C76" i="83"/>
  <c r="D81" i="83"/>
  <c r="C75" i="83"/>
  <c r="C78" i="83"/>
  <c r="C77" i="83"/>
  <c r="C80" i="83"/>
  <c r="H83" i="83"/>
  <c r="G64" i="108" s="1"/>
  <c r="C73" i="83"/>
  <c r="C74" i="83"/>
  <c r="I13" i="135"/>
  <c r="G10" i="90"/>
  <c r="N10" i="90" s="1"/>
  <c r="F48" i="110"/>
  <c r="E39" i="110"/>
  <c r="F27" i="112"/>
  <c r="P27" i="112" s="1"/>
  <c r="P25" i="55"/>
  <c r="G120" i="150"/>
  <c r="H20" i="132"/>
  <c r="C24" i="130"/>
  <c r="C21" i="130" s="1"/>
  <c r="C187" i="84"/>
  <c r="C184" i="84"/>
  <c r="C191" i="84"/>
  <c r="C188" i="84"/>
  <c r="C186" i="84"/>
  <c r="C185" i="84"/>
  <c r="D190" i="84"/>
  <c r="H192" i="84"/>
  <c r="G33" i="108" s="1"/>
  <c r="C189" i="84"/>
  <c r="C33" i="108"/>
  <c r="C182" i="84"/>
  <c r="C183" i="84"/>
  <c r="J4" i="115"/>
  <c r="G16" i="134"/>
  <c r="G90" i="150" s="1"/>
  <c r="C90" i="150"/>
  <c r="G19" i="134"/>
  <c r="G93" i="150" s="1"/>
  <c r="C93" i="150"/>
  <c r="E27" i="112"/>
  <c r="O27" i="112" s="1"/>
  <c r="H28" i="55"/>
  <c r="L25" i="55"/>
  <c r="C21" i="151"/>
  <c r="F8" i="66"/>
  <c r="C23" i="151" l="1"/>
  <c r="C20" i="151" s="1"/>
  <c r="C24" i="131"/>
  <c r="C21" i="131" s="1"/>
  <c r="H13" i="135"/>
  <c r="E10" i="90"/>
  <c r="I11" i="90" s="1"/>
  <c r="E72" i="110"/>
  <c r="E63" i="110" s="1"/>
  <c r="P7" i="66"/>
  <c r="H8" i="115"/>
  <c r="J8" i="115" s="1"/>
  <c r="D19" i="90"/>
  <c r="M19" i="90" s="1"/>
  <c r="M21" i="90" s="1"/>
  <c r="B30" i="108"/>
  <c r="G189" i="84"/>
  <c r="F30" i="108" s="1"/>
  <c r="G191" i="84"/>
  <c r="F32" i="108" s="1"/>
  <c r="B32" i="108"/>
  <c r="G80" i="83"/>
  <c r="F61" i="108" s="1"/>
  <c r="B61" i="108"/>
  <c r="B60" i="108"/>
  <c r="G79" i="83"/>
  <c r="F60" i="108" s="1"/>
  <c r="K19" i="90"/>
  <c r="K21" i="90" s="1"/>
  <c r="G17" i="132"/>
  <c r="G58" i="150" s="1"/>
  <c r="AF25" i="55"/>
  <c r="H24" i="112"/>
  <c r="R24" i="112" s="1"/>
  <c r="G184" i="84"/>
  <c r="F25" i="108" s="1"/>
  <c r="B25" i="108"/>
  <c r="F39" i="110"/>
  <c r="H39" i="110"/>
  <c r="B58" i="108"/>
  <c r="G77" i="83"/>
  <c r="F58" i="108" s="1"/>
  <c r="B63" i="108"/>
  <c r="G82" i="83"/>
  <c r="F63" i="108" s="1"/>
  <c r="R19" i="92"/>
  <c r="Q19" i="92"/>
  <c r="AA19" i="92" s="1"/>
  <c r="H190" i="84"/>
  <c r="G31" i="108" s="1"/>
  <c r="C31" i="108"/>
  <c r="C190" i="84"/>
  <c r="G187" i="84"/>
  <c r="F28" i="108" s="1"/>
  <c r="B28" i="108"/>
  <c r="G78" i="83"/>
  <c r="F59" i="108" s="1"/>
  <c r="B59" i="108"/>
  <c r="G24" i="112"/>
  <c r="Q24" i="112" s="1"/>
  <c r="E53" i="110"/>
  <c r="E4" i="110" s="1"/>
  <c r="G185" i="84"/>
  <c r="F26" i="108" s="1"/>
  <c r="B26" i="108"/>
  <c r="G75" i="83"/>
  <c r="F56" i="108" s="1"/>
  <c r="B56" i="108"/>
  <c r="F39" i="78"/>
  <c r="Q22" i="61"/>
  <c r="R22" i="61"/>
  <c r="G61" i="150"/>
  <c r="G24" i="130"/>
  <c r="G21" i="130" s="1"/>
  <c r="G23" i="150"/>
  <c r="G20" i="150" s="1"/>
  <c r="G24" i="131"/>
  <c r="G21" i="131" s="1"/>
  <c r="G23" i="151"/>
  <c r="G20" i="151" s="1"/>
  <c r="G183" i="84"/>
  <c r="F24" i="108" s="1"/>
  <c r="B24" i="108"/>
  <c r="B55" i="108"/>
  <c r="G74" i="83"/>
  <c r="F55" i="108" s="1"/>
  <c r="E24" i="112"/>
  <c r="O24" i="112" s="1"/>
  <c r="G182" i="84"/>
  <c r="F23" i="108" s="1"/>
  <c r="B23" i="108"/>
  <c r="G186" i="84"/>
  <c r="F27" i="108" s="1"/>
  <c r="B27" i="108"/>
  <c r="G73" i="83"/>
  <c r="F54" i="108" s="1"/>
  <c r="B54" i="108"/>
  <c r="C81" i="83"/>
  <c r="C62" i="108"/>
  <c r="H81" i="83"/>
  <c r="G62" i="108" s="1"/>
  <c r="R22" i="92"/>
  <c r="Q22" i="92"/>
  <c r="AA22" i="92" s="1"/>
  <c r="D27" i="112"/>
  <c r="N27" i="112" s="1"/>
  <c r="AB28" i="55"/>
  <c r="H25" i="55"/>
  <c r="G188" i="84"/>
  <c r="F29" i="108" s="1"/>
  <c r="B29" i="108"/>
  <c r="F24" i="112"/>
  <c r="P24" i="112" s="1"/>
  <c r="B57" i="108"/>
  <c r="G76" i="83"/>
  <c r="F57" i="108" s="1"/>
  <c r="F3" i="110"/>
  <c r="R19" i="61"/>
  <c r="Q19" i="61"/>
  <c r="G11" i="90" l="1"/>
  <c r="H11" i="90"/>
  <c r="F11" i="90"/>
  <c r="E11" i="90"/>
  <c r="J11" i="90"/>
  <c r="L19" i="90"/>
  <c r="L21" i="90" s="1"/>
  <c r="G81" i="83"/>
  <c r="F62" i="108" s="1"/>
  <c r="B62" i="108"/>
  <c r="F4" i="110"/>
  <c r="C83" i="83"/>
  <c r="C192" i="84"/>
  <c r="G190" i="84"/>
  <c r="F31" i="108" s="1"/>
  <c r="B31" i="108"/>
  <c r="D21" i="90"/>
  <c r="D22" i="90" s="1"/>
  <c r="E19" i="90"/>
  <c r="F8" i="78"/>
  <c r="AB25" i="55"/>
  <c r="D24" i="112"/>
  <c r="N24" i="112" s="1"/>
  <c r="K22" i="90" l="1"/>
  <c r="E20" i="90"/>
  <c r="E21" i="90"/>
  <c r="E22" i="90" s="1"/>
  <c r="M22" i="90"/>
  <c r="G192" i="84"/>
  <c r="F33" i="108" s="1"/>
  <c r="B33" i="108"/>
  <c r="L22" i="90"/>
  <c r="E60" i="110"/>
  <c r="E51" i="110" s="1"/>
  <c r="H7" i="115"/>
  <c r="J7" i="115" s="1"/>
  <c r="D12" i="90"/>
  <c r="G83" i="83"/>
  <c r="F64" i="108" s="1"/>
  <c r="B64" i="108"/>
  <c r="D14" i="90" l="1"/>
  <c r="D15" i="90" s="1"/>
  <c r="M12" i="90"/>
  <c r="M14" i="90" s="1"/>
  <c r="K12" i="90"/>
  <c r="K14" i="90" s="1"/>
  <c r="K15" i="90" s="1"/>
  <c r="E12" i="90"/>
  <c r="L12" i="90"/>
  <c r="L14" i="90" s="1"/>
  <c r="L15" i="90" s="1"/>
  <c r="M15" i="90" l="1"/>
  <c r="N5" i="78" s="1"/>
  <c r="N37" i="78" s="1"/>
  <c r="E13" i="90"/>
  <c r="E14" i="90"/>
  <c r="E15" i="90" s="1"/>
  <c r="M5" i="78"/>
  <c r="M5" i="66"/>
  <c r="L5" i="66"/>
  <c r="L5" i="78"/>
  <c r="N46" i="78" l="1"/>
  <c r="N58" i="78"/>
  <c r="N55" i="78"/>
  <c r="N60" i="78"/>
  <c r="N21" i="78"/>
  <c r="N28" i="78"/>
  <c r="N23" i="78"/>
  <c r="N43" i="78"/>
  <c r="N12" i="78"/>
  <c r="N54" i="78"/>
  <c r="N13" i="78"/>
  <c r="N29" i="78"/>
  <c r="N26" i="78"/>
  <c r="N44" i="78"/>
  <c r="N31" i="78"/>
  <c r="N50" i="78"/>
  <c r="N56" i="78"/>
  <c r="N35" i="78"/>
  <c r="N49" i="78"/>
  <c r="N40" i="78"/>
  <c r="N38" i="78"/>
  <c r="N34" i="78"/>
  <c r="N62" i="78"/>
  <c r="N15" i="78"/>
  <c r="N51" i="78"/>
  <c r="N32" i="78"/>
  <c r="N64" i="78"/>
  <c r="N57" i="78"/>
  <c r="N45" i="78"/>
  <c r="N63" i="78"/>
  <c r="N42" i="78"/>
  <c r="N53" i="78"/>
  <c r="N48" i="78"/>
  <c r="N61" i="78"/>
  <c r="N14" i="78"/>
  <c r="N47" i="78"/>
  <c r="N30" i="78"/>
  <c r="N10" i="78"/>
  <c r="N36" i="78"/>
  <c r="N68" i="78"/>
  <c r="N41" i="78"/>
  <c r="N22" i="78"/>
  <c r="N18" i="78"/>
  <c r="N52" i="78"/>
  <c r="N67" i="78"/>
  <c r="N27" i="78"/>
  <c r="N17" i="78"/>
  <c r="N59" i="78"/>
  <c r="N16" i="78"/>
  <c r="N25" i="78"/>
  <c r="N65" i="78"/>
  <c r="N33" i="78"/>
  <c r="N66" i="78"/>
  <c r="N11" i="78"/>
  <c r="N19" i="78"/>
  <c r="M66" i="66"/>
  <c r="M34" i="66"/>
  <c r="M22" i="66"/>
  <c r="M64" i="66"/>
  <c r="M12" i="66"/>
  <c r="M53" i="66"/>
  <c r="M47" i="66"/>
  <c r="M56" i="66"/>
  <c r="M63" i="66"/>
  <c r="M27" i="66"/>
  <c r="M36" i="66"/>
  <c r="M42" i="66"/>
  <c r="M28" i="66"/>
  <c r="M18" i="66"/>
  <c r="M10" i="66"/>
  <c r="M30" i="66"/>
  <c r="M25" i="66"/>
  <c r="M44" i="66"/>
  <c r="M15" i="66"/>
  <c r="M59" i="66"/>
  <c r="M46" i="66"/>
  <c r="M60" i="66"/>
  <c r="M35" i="66"/>
  <c r="M41" i="66"/>
  <c r="M17" i="66"/>
  <c r="M16" i="66"/>
  <c r="M19" i="66"/>
  <c r="M49" i="66"/>
  <c r="M29" i="66"/>
  <c r="M13" i="66"/>
  <c r="M61" i="66"/>
  <c r="M37" i="66"/>
  <c r="M43" i="66"/>
  <c r="M51" i="66"/>
  <c r="M52" i="66"/>
  <c r="M54" i="66"/>
  <c r="M45" i="66"/>
  <c r="M11" i="66"/>
  <c r="M33" i="66"/>
  <c r="M55" i="66"/>
  <c r="M26" i="66"/>
  <c r="M65" i="66"/>
  <c r="M14" i="66"/>
  <c r="M62" i="66"/>
  <c r="M32" i="66"/>
  <c r="M40" i="66"/>
  <c r="M31" i="66"/>
  <c r="M57" i="66"/>
  <c r="M48" i="66"/>
  <c r="M21" i="66"/>
  <c r="M58" i="66"/>
  <c r="M23" i="66"/>
  <c r="M39" i="66"/>
  <c r="M38" i="66"/>
  <c r="M56" i="78"/>
  <c r="M15" i="78"/>
  <c r="M37" i="78"/>
  <c r="M18" i="78"/>
  <c r="M43" i="78"/>
  <c r="M35" i="78"/>
  <c r="M53" i="78"/>
  <c r="M16" i="78"/>
  <c r="M25" i="78"/>
  <c r="M61" i="78"/>
  <c r="M65" i="78"/>
  <c r="M63" i="78"/>
  <c r="M41" i="78"/>
  <c r="M52" i="78"/>
  <c r="M13" i="78"/>
  <c r="M10" i="78"/>
  <c r="M58" i="78"/>
  <c r="M44" i="78"/>
  <c r="M67" i="78"/>
  <c r="M36" i="78"/>
  <c r="M27" i="78"/>
  <c r="M17" i="78"/>
  <c r="M46" i="78"/>
  <c r="M48" i="78"/>
  <c r="M49" i="78"/>
  <c r="M14" i="78"/>
  <c r="M12" i="78"/>
  <c r="M42" i="78"/>
  <c r="M47" i="78"/>
  <c r="M51" i="78"/>
  <c r="M50" i="78"/>
  <c r="M29" i="78"/>
  <c r="M38" i="78"/>
  <c r="M59" i="78"/>
  <c r="M28" i="78"/>
  <c r="M34" i="78"/>
  <c r="M64" i="78"/>
  <c r="M57" i="78"/>
  <c r="M19" i="78"/>
  <c r="M40" i="78"/>
  <c r="M66" i="78"/>
  <c r="M26" i="78"/>
  <c r="M68" i="78"/>
  <c r="M33" i="78"/>
  <c r="M11" i="78"/>
  <c r="M45" i="78"/>
  <c r="M32" i="78"/>
  <c r="M30" i="78"/>
  <c r="M31" i="78"/>
  <c r="M22" i="78"/>
  <c r="M62" i="78"/>
  <c r="M60" i="78"/>
  <c r="M21" i="78"/>
  <c r="M54" i="78"/>
  <c r="M55" i="78"/>
  <c r="M23" i="78"/>
  <c r="L42" i="78"/>
  <c r="L51" i="78"/>
  <c r="L11" i="78"/>
  <c r="L14" i="78"/>
  <c r="L62" i="78"/>
  <c r="L63" i="78"/>
  <c r="L67" i="78"/>
  <c r="L45" i="78"/>
  <c r="L13" i="78"/>
  <c r="L43" i="78"/>
  <c r="L61" i="78"/>
  <c r="L35" i="78"/>
  <c r="L10" i="78"/>
  <c r="L18" i="78"/>
  <c r="L52" i="78"/>
  <c r="L64" i="78"/>
  <c r="L60" i="78"/>
  <c r="L66" i="78"/>
  <c r="L37" i="78"/>
  <c r="L56" i="78"/>
  <c r="L49" i="78"/>
  <c r="L50" i="78"/>
  <c r="L30" i="78"/>
  <c r="L46" i="78"/>
  <c r="L28" i="78"/>
  <c r="L22" i="78"/>
  <c r="L27" i="78"/>
  <c r="L29" i="78"/>
  <c r="L15" i="78"/>
  <c r="L25" i="78"/>
  <c r="L48" i="78"/>
  <c r="L36" i="78"/>
  <c r="L40" i="78"/>
  <c r="L68" i="78"/>
  <c r="L44" i="78"/>
  <c r="L38" i="78"/>
  <c r="L58" i="78"/>
  <c r="L12" i="78"/>
  <c r="L65" i="78"/>
  <c r="L34" i="78"/>
  <c r="L47" i="78"/>
  <c r="L26" i="78"/>
  <c r="L31" i="78"/>
  <c r="L53" i="78"/>
  <c r="L32" i="78"/>
  <c r="L16" i="78"/>
  <c r="L41" i="78"/>
  <c r="L17" i="78"/>
  <c r="L59" i="78"/>
  <c r="L19" i="78"/>
  <c r="L33" i="78"/>
  <c r="L57" i="78"/>
  <c r="L21" i="78"/>
  <c r="L23" i="78"/>
  <c r="D80" i="78" s="1"/>
  <c r="L55" i="78"/>
  <c r="L54" i="78"/>
  <c r="L65" i="66"/>
  <c r="L60" i="66"/>
  <c r="L43" i="66"/>
  <c r="L32" i="66"/>
  <c r="L22" i="66"/>
  <c r="L36" i="66"/>
  <c r="L17" i="66"/>
  <c r="L33" i="66"/>
  <c r="L37" i="66"/>
  <c r="L55" i="66"/>
  <c r="L57" i="66"/>
  <c r="L12" i="66"/>
  <c r="L41" i="66"/>
  <c r="L13" i="66"/>
  <c r="L44" i="66"/>
  <c r="L34" i="66"/>
  <c r="L30" i="66"/>
  <c r="L47" i="66"/>
  <c r="L40" i="66"/>
  <c r="L19" i="66"/>
  <c r="L26" i="66"/>
  <c r="L51" i="66"/>
  <c r="L62" i="66"/>
  <c r="L18" i="66"/>
  <c r="L25" i="66"/>
  <c r="L48" i="66"/>
  <c r="L15" i="66"/>
  <c r="L27" i="66"/>
  <c r="L10" i="66"/>
  <c r="L53" i="66"/>
  <c r="L61" i="66"/>
  <c r="L66" i="66"/>
  <c r="L45" i="66"/>
  <c r="L35" i="66"/>
  <c r="L14" i="66"/>
  <c r="L46" i="66"/>
  <c r="L59" i="66"/>
  <c r="L29" i="66"/>
  <c r="L56" i="66"/>
  <c r="L54" i="66"/>
  <c r="L42" i="66"/>
  <c r="L64" i="66"/>
  <c r="L16" i="66"/>
  <c r="L52" i="66"/>
  <c r="L28" i="66"/>
  <c r="L31" i="66"/>
  <c r="L11" i="66"/>
  <c r="L63" i="66"/>
  <c r="L49" i="66"/>
  <c r="L21" i="66"/>
  <c r="L23" i="66"/>
  <c r="D107" i="66" s="1"/>
  <c r="L39" i="66"/>
  <c r="L58" i="66"/>
  <c r="L38" i="66"/>
  <c r="I13" i="90"/>
  <c r="H13" i="90"/>
  <c r="F13" i="90"/>
  <c r="J13" i="90"/>
  <c r="G13" i="90"/>
  <c r="E17" i="90"/>
  <c r="E18" i="90" s="1"/>
  <c r="N20" i="78" l="1"/>
  <c r="N24" i="78"/>
  <c r="N39" i="78"/>
  <c r="N9" i="78"/>
  <c r="J17" i="124"/>
  <c r="K17" i="124" s="1"/>
  <c r="L9" i="66"/>
  <c r="J17" i="90"/>
  <c r="J18" i="90" s="1"/>
  <c r="J20" i="90" s="1"/>
  <c r="F6" i="107"/>
  <c r="J14" i="90"/>
  <c r="J15" i="90" s="1"/>
  <c r="C70" i="108"/>
  <c r="H80" i="78"/>
  <c r="G70" i="108" s="1"/>
  <c r="D86" i="78"/>
  <c r="L24" i="78"/>
  <c r="M24" i="78"/>
  <c r="M9" i="66"/>
  <c r="F14" i="90"/>
  <c r="C6" i="107"/>
  <c r="F17" i="90"/>
  <c r="F18" i="90" s="1"/>
  <c r="F20" i="90" s="1"/>
  <c r="D79" i="78"/>
  <c r="J16" i="124"/>
  <c r="L20" i="78"/>
  <c r="M20" i="66"/>
  <c r="D106" i="66"/>
  <c r="L20" i="66"/>
  <c r="J20" i="124"/>
  <c r="H107" i="66"/>
  <c r="G85" i="108" s="1"/>
  <c r="C85" i="108"/>
  <c r="H17" i="90"/>
  <c r="H18" i="90" s="1"/>
  <c r="H20" i="90" s="1"/>
  <c r="D6" i="107"/>
  <c r="H14" i="90"/>
  <c r="H15" i="90" s="1"/>
  <c r="I14" i="90"/>
  <c r="I15" i="90" s="1"/>
  <c r="E6" i="107"/>
  <c r="I17" i="90"/>
  <c r="I18" i="90" s="1"/>
  <c r="I20" i="90" s="1"/>
  <c r="L24" i="66"/>
  <c r="D113" i="66"/>
  <c r="L39" i="78"/>
  <c r="D111" i="66"/>
  <c r="M20" i="78"/>
  <c r="M24" i="66"/>
  <c r="N8" i="78"/>
  <c r="G17" i="90"/>
  <c r="G18" i="90" s="1"/>
  <c r="G20" i="90" s="1"/>
  <c r="G21" i="90" s="1"/>
  <c r="G22" i="90" s="1"/>
  <c r="G14" i="90"/>
  <c r="G15" i="90" s="1"/>
  <c r="D84" i="78"/>
  <c r="D71" i="109"/>
  <c r="L9" i="78"/>
  <c r="M39" i="78"/>
  <c r="M9" i="78"/>
  <c r="J21" i="124"/>
  <c r="K21" i="124" s="1"/>
  <c r="L8" i="78" l="1"/>
  <c r="D89" i="78" s="1"/>
  <c r="C86" i="78" s="1"/>
  <c r="M8" i="78"/>
  <c r="E7" i="107"/>
  <c r="I21" i="90"/>
  <c r="I22" i="90" s="1"/>
  <c r="I6" i="107"/>
  <c r="F15" i="90"/>
  <c r="H71" i="109"/>
  <c r="M8" i="66"/>
  <c r="H12" i="108"/>
  <c r="C89" i="108"/>
  <c r="H111" i="66"/>
  <c r="G89" i="108" s="1"/>
  <c r="J5" i="78"/>
  <c r="J5" i="66"/>
  <c r="K16" i="124"/>
  <c r="K5" i="66"/>
  <c r="K5" i="78"/>
  <c r="H5" i="66"/>
  <c r="G46" i="22"/>
  <c r="G47" i="22"/>
  <c r="H5" i="78"/>
  <c r="G31" i="22"/>
  <c r="G44" i="22"/>
  <c r="G45" i="22" s="1"/>
  <c r="G43" i="22"/>
  <c r="I5" i="78"/>
  <c r="I5" i="66"/>
  <c r="K20" i="124"/>
  <c r="H79" i="78"/>
  <c r="G69" i="108" s="1"/>
  <c r="C69" i="108"/>
  <c r="H113" i="66"/>
  <c r="G91" i="108" s="1"/>
  <c r="C91" i="108"/>
  <c r="C7" i="107"/>
  <c r="F21" i="90"/>
  <c r="H86" i="78"/>
  <c r="G76" i="108" s="1"/>
  <c r="C76" i="108"/>
  <c r="J21" i="90"/>
  <c r="J22" i="90" s="1"/>
  <c r="G75" i="22" s="1"/>
  <c r="F7" i="107"/>
  <c r="F8" i="107" s="1"/>
  <c r="C74" i="108"/>
  <c r="H84" i="78"/>
  <c r="G74" i="108" s="1"/>
  <c r="H21" i="90"/>
  <c r="H22" i="90" s="1"/>
  <c r="D7" i="107"/>
  <c r="H106" i="66"/>
  <c r="G84" i="108" s="1"/>
  <c r="C84" i="108"/>
  <c r="G6" i="107"/>
  <c r="L51" i="110" s="1"/>
  <c r="M51" i="110" s="1"/>
  <c r="L8" i="66"/>
  <c r="D116" i="66" s="1"/>
  <c r="C113" i="66" s="1"/>
  <c r="J18" i="124" l="1"/>
  <c r="J15" i="124" s="1"/>
  <c r="J8" i="124" s="1"/>
  <c r="C84" i="78"/>
  <c r="C79" i="78"/>
  <c r="H13" i="108"/>
  <c r="K18" i="124"/>
  <c r="K15" i="124" s="1"/>
  <c r="K8" i="124" s="1"/>
  <c r="H10" i="108"/>
  <c r="G113" i="66"/>
  <c r="F91" i="108" s="1"/>
  <c r="B91" i="108"/>
  <c r="G78" i="22"/>
  <c r="G5" i="66"/>
  <c r="G5" i="78"/>
  <c r="B76" i="108"/>
  <c r="G86" i="78"/>
  <c r="F76" i="108" s="1"/>
  <c r="H30" i="78"/>
  <c r="H27" i="78"/>
  <c r="H57" i="78"/>
  <c r="H16" i="78"/>
  <c r="H60" i="78"/>
  <c r="H46" i="78"/>
  <c r="H35" i="78"/>
  <c r="H33" i="78"/>
  <c r="H45" i="78"/>
  <c r="H53" i="78"/>
  <c r="H17" i="78"/>
  <c r="H59" i="78"/>
  <c r="H19" i="78"/>
  <c r="H42" i="78"/>
  <c r="H40" i="78"/>
  <c r="H36" i="78"/>
  <c r="H61" i="78"/>
  <c r="H15" i="78"/>
  <c r="H49" i="78"/>
  <c r="H18" i="78"/>
  <c r="H48" i="78"/>
  <c r="H29" i="78"/>
  <c r="H64" i="78"/>
  <c r="H34" i="78"/>
  <c r="H58" i="78"/>
  <c r="H66" i="78"/>
  <c r="H28" i="78"/>
  <c r="H44" i="78"/>
  <c r="H14" i="78"/>
  <c r="H10" i="78"/>
  <c r="H37" i="78"/>
  <c r="H51" i="78"/>
  <c r="H65" i="78"/>
  <c r="H62" i="78"/>
  <c r="H50" i="78"/>
  <c r="H22" i="78"/>
  <c r="H67" i="78"/>
  <c r="H68" i="78"/>
  <c r="H63" i="78"/>
  <c r="H12" i="78"/>
  <c r="H31" i="78"/>
  <c r="H25" i="78"/>
  <c r="H52" i="78"/>
  <c r="H47" i="78"/>
  <c r="H41" i="78"/>
  <c r="H13" i="78"/>
  <c r="H56" i="78"/>
  <c r="H38" i="78"/>
  <c r="H26" i="78"/>
  <c r="H32" i="78"/>
  <c r="H43" i="78"/>
  <c r="H11" i="78"/>
  <c r="H21" i="78"/>
  <c r="H55" i="78"/>
  <c r="H54" i="78"/>
  <c r="H23" i="78"/>
  <c r="K55" i="78"/>
  <c r="K16" i="78"/>
  <c r="K26" i="78"/>
  <c r="K27" i="78"/>
  <c r="J56" i="110" s="1"/>
  <c r="K36" i="78"/>
  <c r="K68" i="78"/>
  <c r="K46" i="78"/>
  <c r="K64" i="78"/>
  <c r="K22" i="78"/>
  <c r="K44" i="78"/>
  <c r="K28" i="78"/>
  <c r="J55" i="110" s="1"/>
  <c r="K41" i="78"/>
  <c r="K18" i="78"/>
  <c r="K63" i="78"/>
  <c r="K62" i="78"/>
  <c r="K57" i="78"/>
  <c r="K29" i="78"/>
  <c r="K33" i="78"/>
  <c r="K67" i="78"/>
  <c r="K32" i="78"/>
  <c r="K42" i="78"/>
  <c r="K56" i="78"/>
  <c r="K35" i="78"/>
  <c r="K15" i="78"/>
  <c r="K11" i="78"/>
  <c r="K49" i="78"/>
  <c r="K12" i="78"/>
  <c r="K37" i="78"/>
  <c r="K58" i="78"/>
  <c r="K19" i="78"/>
  <c r="K40" i="78"/>
  <c r="K65" i="78"/>
  <c r="J58" i="110" s="1"/>
  <c r="K17" i="78"/>
  <c r="K51" i="78"/>
  <c r="K50" i="78"/>
  <c r="K52" i="78"/>
  <c r="K13" i="78"/>
  <c r="K60" i="78"/>
  <c r="K31" i="78"/>
  <c r="K47" i="78"/>
  <c r="K34" i="78"/>
  <c r="K48" i="78"/>
  <c r="K66" i="78"/>
  <c r="K59" i="78"/>
  <c r="K45" i="78"/>
  <c r="K61" i="78"/>
  <c r="K53" i="78"/>
  <c r="K30" i="78"/>
  <c r="K10" i="78"/>
  <c r="K25" i="78"/>
  <c r="K14" i="78"/>
  <c r="K38" i="78"/>
  <c r="K43" i="78"/>
  <c r="K21" i="78"/>
  <c r="K23" i="78"/>
  <c r="K54" i="78"/>
  <c r="J12" i="108"/>
  <c r="I12" i="108"/>
  <c r="G84" i="78"/>
  <c r="F74" i="108" s="1"/>
  <c r="B74" i="108"/>
  <c r="J10" i="108"/>
  <c r="I10" i="108"/>
  <c r="I41" i="66"/>
  <c r="I12" i="66"/>
  <c r="I30" i="66"/>
  <c r="I33" i="66"/>
  <c r="I55" i="66"/>
  <c r="I45" i="66"/>
  <c r="I54" i="66"/>
  <c r="I51" i="66"/>
  <c r="I44" i="66"/>
  <c r="I57" i="66"/>
  <c r="H70" i="110" s="1"/>
  <c r="I52" i="66"/>
  <c r="I62" i="66"/>
  <c r="I37" i="66"/>
  <c r="I59" i="66"/>
  <c r="I26" i="66"/>
  <c r="I22" i="66"/>
  <c r="I40" i="66"/>
  <c r="I48" i="66"/>
  <c r="I18" i="66"/>
  <c r="I56" i="66"/>
  <c r="I31" i="66"/>
  <c r="I43" i="66"/>
  <c r="I29" i="66"/>
  <c r="I34" i="66"/>
  <c r="I49" i="66"/>
  <c r="I17" i="66"/>
  <c r="I36" i="66"/>
  <c r="I53" i="66"/>
  <c r="I14" i="66"/>
  <c r="I66" i="66"/>
  <c r="I35" i="66"/>
  <c r="I28" i="66"/>
  <c r="H67" i="110" s="1"/>
  <c r="I63" i="66"/>
  <c r="I60" i="66"/>
  <c r="I42" i="66"/>
  <c r="I15" i="66"/>
  <c r="I64" i="66"/>
  <c r="I13" i="66"/>
  <c r="I19" i="66"/>
  <c r="I32" i="66"/>
  <c r="I27" i="66"/>
  <c r="H68" i="110" s="1"/>
  <c r="I16" i="66"/>
  <c r="I10" i="66"/>
  <c r="I25" i="66"/>
  <c r="I47" i="66"/>
  <c r="I65" i="66"/>
  <c r="I11" i="66"/>
  <c r="I46" i="66"/>
  <c r="I21" i="66"/>
  <c r="I23" i="66"/>
  <c r="I39" i="66"/>
  <c r="I58" i="66"/>
  <c r="G79" i="22"/>
  <c r="J21" i="66"/>
  <c r="J36" i="66"/>
  <c r="J52" i="66"/>
  <c r="J61" i="66"/>
  <c r="T61" i="66" s="1"/>
  <c r="J12" i="66"/>
  <c r="J14" i="66"/>
  <c r="J25" i="66"/>
  <c r="J42" i="66"/>
  <c r="J29" i="66"/>
  <c r="J31" i="66"/>
  <c r="J30" i="66"/>
  <c r="J51" i="66"/>
  <c r="J59" i="66"/>
  <c r="J10" i="66"/>
  <c r="J37" i="66"/>
  <c r="J65" i="66"/>
  <c r="J66" i="66"/>
  <c r="J33" i="66"/>
  <c r="J45" i="66"/>
  <c r="J49" i="66"/>
  <c r="J22" i="66"/>
  <c r="J57" i="66"/>
  <c r="I70" i="110" s="1"/>
  <c r="J15" i="66"/>
  <c r="J48" i="66"/>
  <c r="J43" i="66"/>
  <c r="J56" i="66"/>
  <c r="J32" i="66"/>
  <c r="J64" i="66"/>
  <c r="J27" i="66"/>
  <c r="I68" i="110" s="1"/>
  <c r="J53" i="66"/>
  <c r="J47" i="66"/>
  <c r="J11" i="66"/>
  <c r="J16" i="66"/>
  <c r="J28" i="66"/>
  <c r="I67" i="110" s="1"/>
  <c r="J41" i="66"/>
  <c r="J26" i="66"/>
  <c r="J40" i="66"/>
  <c r="J35" i="66"/>
  <c r="J60" i="66"/>
  <c r="J18" i="66"/>
  <c r="J44" i="66"/>
  <c r="J62" i="66"/>
  <c r="J54" i="66"/>
  <c r="J55" i="66"/>
  <c r="J63" i="66"/>
  <c r="J34" i="66"/>
  <c r="J13" i="66"/>
  <c r="J17" i="66"/>
  <c r="J19" i="66"/>
  <c r="J46" i="66"/>
  <c r="J39" i="66"/>
  <c r="J58" i="66"/>
  <c r="J23" i="66"/>
  <c r="J22" i="124"/>
  <c r="C94" i="108"/>
  <c r="H116" i="66"/>
  <c r="G94" i="108" s="1"/>
  <c r="C112" i="66"/>
  <c r="C109" i="66"/>
  <c r="C108" i="66"/>
  <c r="C110" i="66"/>
  <c r="C115" i="66"/>
  <c r="D114" i="66"/>
  <c r="C107" i="66"/>
  <c r="C106" i="66"/>
  <c r="G79" i="78"/>
  <c r="F69" i="108" s="1"/>
  <c r="B69" i="108"/>
  <c r="I30" i="78"/>
  <c r="I36" i="78"/>
  <c r="I35" i="78"/>
  <c r="I68" i="78"/>
  <c r="I29" i="78"/>
  <c r="I45" i="78"/>
  <c r="I14" i="78"/>
  <c r="I19" i="78"/>
  <c r="I34" i="78"/>
  <c r="I22" i="78"/>
  <c r="I67" i="78"/>
  <c r="I48" i="78"/>
  <c r="I37" i="78"/>
  <c r="I33" i="78"/>
  <c r="I50" i="78"/>
  <c r="I61" i="78"/>
  <c r="I27" i="78"/>
  <c r="H56" i="110" s="1"/>
  <c r="I40" i="78"/>
  <c r="I52" i="78"/>
  <c r="I16" i="78"/>
  <c r="I65" i="78"/>
  <c r="H58" i="110" s="1"/>
  <c r="I41" i="78"/>
  <c r="I56" i="78"/>
  <c r="I10" i="78"/>
  <c r="I60" i="78"/>
  <c r="I12" i="78"/>
  <c r="I17" i="78"/>
  <c r="I38" i="78"/>
  <c r="I62" i="78"/>
  <c r="I59" i="78"/>
  <c r="I46" i="78"/>
  <c r="I47" i="78"/>
  <c r="I31" i="78"/>
  <c r="I64" i="78"/>
  <c r="I44" i="78"/>
  <c r="I26" i="78"/>
  <c r="I11" i="78"/>
  <c r="I15" i="78"/>
  <c r="I28" i="78"/>
  <c r="H55" i="110" s="1"/>
  <c r="I43" i="78"/>
  <c r="I32" i="78"/>
  <c r="I53" i="78"/>
  <c r="I49" i="78"/>
  <c r="I57" i="78"/>
  <c r="I13" i="78"/>
  <c r="I63" i="78"/>
  <c r="I42" i="78"/>
  <c r="I18" i="78"/>
  <c r="I58" i="78"/>
  <c r="I51" i="78"/>
  <c r="I66" i="78"/>
  <c r="I25" i="78"/>
  <c r="I21" i="78"/>
  <c r="I55" i="78"/>
  <c r="I54" i="78"/>
  <c r="I23" i="78"/>
  <c r="G76" i="22"/>
  <c r="G77" i="22" s="1"/>
  <c r="J17" i="78"/>
  <c r="J48" i="78"/>
  <c r="J53" i="78"/>
  <c r="J62" i="78"/>
  <c r="J66" i="78"/>
  <c r="J19" i="78"/>
  <c r="J58" i="78"/>
  <c r="J36" i="78"/>
  <c r="J50" i="78"/>
  <c r="J41" i="78"/>
  <c r="J25" i="78"/>
  <c r="J42" i="78"/>
  <c r="J13" i="78"/>
  <c r="J14" i="78"/>
  <c r="J68" i="78"/>
  <c r="J61" i="78"/>
  <c r="J56" i="78"/>
  <c r="J67" i="78"/>
  <c r="J22" i="78"/>
  <c r="J30" i="78"/>
  <c r="J32" i="78"/>
  <c r="J12" i="78"/>
  <c r="J44" i="78"/>
  <c r="J63" i="78"/>
  <c r="J52" i="78"/>
  <c r="J37" i="78"/>
  <c r="J60" i="78"/>
  <c r="J15" i="78"/>
  <c r="J11" i="78"/>
  <c r="J26" i="78"/>
  <c r="J10" i="78"/>
  <c r="J29" i="78"/>
  <c r="J49" i="78"/>
  <c r="J47" i="78"/>
  <c r="J28" i="78"/>
  <c r="I55" i="110" s="1"/>
  <c r="J46" i="78"/>
  <c r="J16" i="78"/>
  <c r="J51" i="78"/>
  <c r="J33" i="78"/>
  <c r="J27" i="78"/>
  <c r="I56" i="110" s="1"/>
  <c r="J31" i="78"/>
  <c r="J57" i="78"/>
  <c r="J64" i="78"/>
  <c r="J38" i="78"/>
  <c r="J40" i="78"/>
  <c r="J59" i="78"/>
  <c r="J34" i="78"/>
  <c r="J18" i="78"/>
  <c r="J65" i="78"/>
  <c r="I58" i="110" s="1"/>
  <c r="J35" i="78"/>
  <c r="J45" i="78"/>
  <c r="J43" i="78"/>
  <c r="J21" i="78"/>
  <c r="J54" i="78"/>
  <c r="J23" i="78"/>
  <c r="J55" i="78"/>
  <c r="I7" i="107"/>
  <c r="F22" i="90"/>
  <c r="G28" i="22" s="1"/>
  <c r="H11" i="108"/>
  <c r="G32" i="22"/>
  <c r="H21" i="66"/>
  <c r="H34" i="66"/>
  <c r="H14" i="66"/>
  <c r="H15" i="66"/>
  <c r="H31" i="66"/>
  <c r="H45" i="66"/>
  <c r="H59" i="66"/>
  <c r="H41" i="66"/>
  <c r="H55" i="66"/>
  <c r="T55" i="66" s="1"/>
  <c r="H53" i="66"/>
  <c r="H40" i="66"/>
  <c r="H60" i="66"/>
  <c r="H28" i="66"/>
  <c r="H36" i="66"/>
  <c r="G69" i="110" s="1"/>
  <c r="H49" i="66"/>
  <c r="H26" i="66"/>
  <c r="H43" i="66"/>
  <c r="H63" i="66"/>
  <c r="H46" i="66"/>
  <c r="H18" i="66"/>
  <c r="H27" i="66"/>
  <c r="H54" i="66"/>
  <c r="H52" i="66"/>
  <c r="H29" i="66"/>
  <c r="H32" i="66"/>
  <c r="H25" i="66"/>
  <c r="H66" i="66"/>
  <c r="H13" i="66"/>
  <c r="H48" i="66"/>
  <c r="H19" i="66"/>
  <c r="H10" i="66"/>
  <c r="H12" i="66"/>
  <c r="H33" i="66"/>
  <c r="H11" i="66"/>
  <c r="H35" i="66"/>
  <c r="T35" i="66" s="1"/>
  <c r="H22" i="66"/>
  <c r="H42" i="66"/>
  <c r="H44" i="66"/>
  <c r="H65" i="66"/>
  <c r="H16" i="66"/>
  <c r="H57" i="66"/>
  <c r="H30" i="66"/>
  <c r="H37" i="66"/>
  <c r="H47" i="66"/>
  <c r="H51" i="66"/>
  <c r="H62" i="66"/>
  <c r="H56" i="66"/>
  <c r="H17" i="66"/>
  <c r="H64" i="66"/>
  <c r="H23" i="66"/>
  <c r="H58" i="66"/>
  <c r="H39" i="66"/>
  <c r="G60" i="22"/>
  <c r="G61" i="22" s="1"/>
  <c r="C111" i="66"/>
  <c r="I13" i="108"/>
  <c r="J13" i="108"/>
  <c r="G7" i="107"/>
  <c r="L63" i="110" s="1"/>
  <c r="M63" i="110" s="1"/>
  <c r="K27" i="66"/>
  <c r="J68" i="110" s="1"/>
  <c r="K64" i="66"/>
  <c r="K51" i="66"/>
  <c r="K52" i="66"/>
  <c r="K63" i="66"/>
  <c r="K12" i="66"/>
  <c r="K36" i="66"/>
  <c r="K32" i="66"/>
  <c r="K22" i="66"/>
  <c r="K66" i="66"/>
  <c r="K13" i="66"/>
  <c r="K29" i="66"/>
  <c r="K33" i="66"/>
  <c r="K26" i="66"/>
  <c r="K18" i="66"/>
  <c r="K44" i="66"/>
  <c r="K28" i="66"/>
  <c r="J67" i="110" s="1"/>
  <c r="K45" i="66"/>
  <c r="K15" i="66"/>
  <c r="K62" i="66"/>
  <c r="K19" i="66"/>
  <c r="K14" i="66"/>
  <c r="K48" i="66"/>
  <c r="K57" i="66"/>
  <c r="J70" i="110" s="1"/>
  <c r="K35" i="66"/>
  <c r="K47" i="66"/>
  <c r="K55" i="66"/>
  <c r="K40" i="66"/>
  <c r="K10" i="66"/>
  <c r="K11" i="66"/>
  <c r="K53" i="66"/>
  <c r="K16" i="66"/>
  <c r="K30" i="66"/>
  <c r="K34" i="66"/>
  <c r="K49" i="66"/>
  <c r="K25" i="66"/>
  <c r="K65" i="66"/>
  <c r="K31" i="66"/>
  <c r="K37" i="66"/>
  <c r="K17" i="66"/>
  <c r="K43" i="66"/>
  <c r="K60" i="66"/>
  <c r="K42" i="66"/>
  <c r="K41" i="66"/>
  <c r="K61" i="66"/>
  <c r="S61" i="66" s="1"/>
  <c r="K54" i="66"/>
  <c r="K46" i="66"/>
  <c r="K59" i="66"/>
  <c r="K56" i="66"/>
  <c r="K21" i="66"/>
  <c r="K39" i="66"/>
  <c r="K58" i="66"/>
  <c r="K23" i="66"/>
  <c r="C83" i="78"/>
  <c r="D87" i="78"/>
  <c r="C82" i="78"/>
  <c r="C85" i="78"/>
  <c r="C79" i="108"/>
  <c r="C81" i="78"/>
  <c r="C88" i="78"/>
  <c r="H89" i="78"/>
  <c r="G79" i="108" s="1"/>
  <c r="C80" i="78"/>
  <c r="T49" i="66" l="1"/>
  <c r="T14" i="66"/>
  <c r="T63" i="66"/>
  <c r="T47" i="66"/>
  <c r="T44" i="66"/>
  <c r="T34" i="66"/>
  <c r="T17" i="66"/>
  <c r="T48" i="66"/>
  <c r="T62" i="66"/>
  <c r="T32" i="66"/>
  <c r="T13" i="66"/>
  <c r="T15" i="66"/>
  <c r="T53" i="66"/>
  <c r="T65" i="66"/>
  <c r="T19" i="66"/>
  <c r="T40" i="66"/>
  <c r="K9" i="78"/>
  <c r="K38" i="66"/>
  <c r="G65" i="110"/>
  <c r="T23" i="66"/>
  <c r="G71" i="110"/>
  <c r="H24" i="66"/>
  <c r="T25" i="66"/>
  <c r="I57" i="110"/>
  <c r="C23" i="133"/>
  <c r="G23" i="133" s="1"/>
  <c r="H52" i="110"/>
  <c r="C21" i="134"/>
  <c r="I20" i="78"/>
  <c r="G24" i="61"/>
  <c r="G110" i="66"/>
  <c r="F88" i="108" s="1"/>
  <c r="B88" i="108"/>
  <c r="K22" i="124"/>
  <c r="K19" i="124" s="1"/>
  <c r="L19" i="124" s="1"/>
  <c r="J19" i="124"/>
  <c r="J25" i="124" s="1"/>
  <c r="J32" i="124" s="1"/>
  <c r="J34" i="124" s="1"/>
  <c r="J35" i="124" s="1"/>
  <c r="T11" i="66"/>
  <c r="T42" i="66"/>
  <c r="T29" i="66"/>
  <c r="T52" i="66"/>
  <c r="G52" i="110"/>
  <c r="V21" i="78"/>
  <c r="H20" i="78"/>
  <c r="V56" i="78"/>
  <c r="V31" i="78"/>
  <c r="V50" i="78"/>
  <c r="V14" i="78"/>
  <c r="V64" i="78"/>
  <c r="V61" i="78"/>
  <c r="V17" i="78"/>
  <c r="V60" i="78"/>
  <c r="G49" i="66"/>
  <c r="S49" i="66" s="1"/>
  <c r="G37" i="66"/>
  <c r="S37" i="66" s="1"/>
  <c r="G10" i="66"/>
  <c r="G43" i="66"/>
  <c r="S43" i="66" s="1"/>
  <c r="G19" i="66"/>
  <c r="S19" i="66" s="1"/>
  <c r="G28" i="66"/>
  <c r="G15" i="66"/>
  <c r="S15" i="66" s="1"/>
  <c r="G62" i="66"/>
  <c r="S62" i="66" s="1"/>
  <c r="G48" i="66"/>
  <c r="S48" i="66" s="1"/>
  <c r="G52" i="66"/>
  <c r="S52" i="66" s="1"/>
  <c r="G64" i="66"/>
  <c r="S64" i="66" s="1"/>
  <c r="G63" i="66"/>
  <c r="S63" i="66" s="1"/>
  <c r="G36" i="66"/>
  <c r="C29" i="132" s="1"/>
  <c r="G22" i="66"/>
  <c r="S22" i="66" s="1"/>
  <c r="G32" i="66"/>
  <c r="S32" i="66" s="1"/>
  <c r="G16" i="66"/>
  <c r="S16" i="66" s="1"/>
  <c r="G27" i="66"/>
  <c r="G34" i="66"/>
  <c r="S34" i="66" s="1"/>
  <c r="G53" i="66"/>
  <c r="S53" i="66" s="1"/>
  <c r="G35" i="66"/>
  <c r="S35" i="66" s="1"/>
  <c r="F5" i="66"/>
  <c r="G17" i="66"/>
  <c r="S17" i="66" s="1"/>
  <c r="G55" i="66"/>
  <c r="S55" i="66" s="1"/>
  <c r="G33" i="66"/>
  <c r="S33" i="66" s="1"/>
  <c r="G46" i="66"/>
  <c r="S46" i="66" s="1"/>
  <c r="G13" i="66"/>
  <c r="S13" i="66" s="1"/>
  <c r="G54" i="66"/>
  <c r="S54" i="66" s="1"/>
  <c r="G25" i="66"/>
  <c r="G18" i="66"/>
  <c r="S18" i="66" s="1"/>
  <c r="G57" i="66"/>
  <c r="G42" i="66"/>
  <c r="S42" i="66" s="1"/>
  <c r="G29" i="66"/>
  <c r="S29" i="66" s="1"/>
  <c r="G26" i="66"/>
  <c r="S26" i="66" s="1"/>
  <c r="G65" i="66"/>
  <c r="S65" i="66" s="1"/>
  <c r="G11" i="66"/>
  <c r="S11" i="66" s="1"/>
  <c r="G45" i="66"/>
  <c r="S45" i="66" s="1"/>
  <c r="G51" i="66"/>
  <c r="S51" i="66" s="1"/>
  <c r="G44" i="66"/>
  <c r="S44" i="66" s="1"/>
  <c r="G40" i="66"/>
  <c r="S40" i="66" s="1"/>
  <c r="G60" i="66"/>
  <c r="S60" i="66" s="1"/>
  <c r="G14" i="66"/>
  <c r="S14" i="66" s="1"/>
  <c r="G41" i="66"/>
  <c r="S41" i="66" s="1"/>
  <c r="G59" i="66"/>
  <c r="S59" i="66" s="1"/>
  <c r="G31" i="66"/>
  <c r="S31" i="66" s="1"/>
  <c r="G66" i="66"/>
  <c r="S66" i="66" s="1"/>
  <c r="G47" i="66"/>
  <c r="S47" i="66" s="1"/>
  <c r="G12" i="66"/>
  <c r="S12" i="66" s="1"/>
  <c r="G56" i="66"/>
  <c r="S56" i="66" s="1"/>
  <c r="G30" i="66"/>
  <c r="S30" i="66" s="1"/>
  <c r="G21" i="66"/>
  <c r="G23" i="66"/>
  <c r="G39" i="66"/>
  <c r="G58" i="66"/>
  <c r="S58" i="66" s="1"/>
  <c r="B70" i="108"/>
  <c r="G80" i="78"/>
  <c r="F70" i="108" s="1"/>
  <c r="H9" i="66"/>
  <c r="G67" i="110"/>
  <c r="T28" i="66"/>
  <c r="H20" i="66"/>
  <c r="G64" i="110"/>
  <c r="T21" i="66"/>
  <c r="G25" i="92"/>
  <c r="I53" i="110"/>
  <c r="J9" i="78"/>
  <c r="H59" i="110"/>
  <c r="I24" i="78"/>
  <c r="G108" i="66"/>
  <c r="F86" i="108" s="1"/>
  <c r="B86" i="108"/>
  <c r="G29" i="92"/>
  <c r="I65" i="110"/>
  <c r="T41" i="66"/>
  <c r="T58" i="66"/>
  <c r="T60" i="66"/>
  <c r="T43" i="66"/>
  <c r="T22" i="66"/>
  <c r="T33" i="66"/>
  <c r="J59" i="110"/>
  <c r="K24" i="78"/>
  <c r="V11" i="78"/>
  <c r="V13" i="78"/>
  <c r="V12" i="78"/>
  <c r="V62" i="78"/>
  <c r="V44" i="78"/>
  <c r="V29" i="78"/>
  <c r="V36" i="78"/>
  <c r="V53" i="78"/>
  <c r="V16" i="78"/>
  <c r="G24" i="22"/>
  <c r="B72" i="108"/>
  <c r="G82" i="78"/>
  <c r="F72" i="108" s="1"/>
  <c r="J69" i="110"/>
  <c r="C25" i="135"/>
  <c r="B84" i="108"/>
  <c r="G106" i="66"/>
  <c r="F84" i="108" s="1"/>
  <c r="G109" i="66"/>
  <c r="F87" i="108" s="1"/>
  <c r="B87" i="108"/>
  <c r="T39" i="66"/>
  <c r="I38" i="66"/>
  <c r="T36" i="66"/>
  <c r="C28" i="134"/>
  <c r="H69" i="110"/>
  <c r="T31" i="66"/>
  <c r="T26" i="66"/>
  <c r="T30" i="66"/>
  <c r="J53" i="110"/>
  <c r="C19" i="135"/>
  <c r="G22" i="57"/>
  <c r="AF22" i="57" s="1"/>
  <c r="K39" i="78"/>
  <c r="V43" i="78"/>
  <c r="V41" i="78"/>
  <c r="V63" i="78"/>
  <c r="G58" i="110"/>
  <c r="V65" i="78"/>
  <c r="V28" i="78"/>
  <c r="G55" i="110"/>
  <c r="V48" i="78"/>
  <c r="V40" i="78"/>
  <c r="H39" i="78"/>
  <c r="V45" i="78"/>
  <c r="V57" i="78"/>
  <c r="G27" i="22"/>
  <c r="B75" i="108"/>
  <c r="G85" i="78"/>
  <c r="F75" i="108" s="1"/>
  <c r="G88" i="78"/>
  <c r="F78" i="108" s="1"/>
  <c r="B78" i="108"/>
  <c r="G70" i="110"/>
  <c r="T57" i="66"/>
  <c r="J11" i="108"/>
  <c r="I11" i="108"/>
  <c r="I52" i="110"/>
  <c r="G24" i="92"/>
  <c r="J20" i="78"/>
  <c r="J24" i="78"/>
  <c r="I59" i="110"/>
  <c r="H53" i="110"/>
  <c r="C22" i="134"/>
  <c r="G25" i="61"/>
  <c r="B85" i="108"/>
  <c r="G107" i="66"/>
  <c r="F85" i="108" s="1"/>
  <c r="G112" i="66"/>
  <c r="F90" i="108" s="1"/>
  <c r="B90" i="108"/>
  <c r="J38" i="66"/>
  <c r="G29" i="61"/>
  <c r="C27" i="134"/>
  <c r="H65" i="110"/>
  <c r="H71" i="110"/>
  <c r="I24" i="66"/>
  <c r="T56" i="66"/>
  <c r="T59" i="66"/>
  <c r="T51" i="66"/>
  <c r="T12" i="66"/>
  <c r="C18" i="135"/>
  <c r="J52" i="110"/>
  <c r="G21" i="57"/>
  <c r="AF21" i="57" s="1"/>
  <c r="K20" i="78"/>
  <c r="V23" i="78"/>
  <c r="G53" i="110"/>
  <c r="V32" i="78"/>
  <c r="V47" i="78"/>
  <c r="V68" i="78"/>
  <c r="V51" i="78"/>
  <c r="V66" i="78"/>
  <c r="V18" i="78"/>
  <c r="V42" i="78"/>
  <c r="V33" i="78"/>
  <c r="G56" i="110"/>
  <c r="V27" i="78"/>
  <c r="G22" i="22"/>
  <c r="B89" i="108"/>
  <c r="G111" i="66"/>
  <c r="F89" i="108" s="1"/>
  <c r="B73" i="108"/>
  <c r="G83" i="78"/>
  <c r="F73" i="108" s="1"/>
  <c r="G81" i="78"/>
  <c r="B71" i="108"/>
  <c r="K9" i="66"/>
  <c r="H38" i="66"/>
  <c r="C23" i="134"/>
  <c r="H57" i="110"/>
  <c r="C92" i="108"/>
  <c r="H114" i="66"/>
  <c r="G92" i="108" s="1"/>
  <c r="C114" i="66"/>
  <c r="J9" i="66"/>
  <c r="I69" i="110"/>
  <c r="C28" i="133"/>
  <c r="G28" i="133" s="1"/>
  <c r="C26" i="134"/>
  <c r="I20" i="66"/>
  <c r="G28" i="61"/>
  <c r="H64" i="110"/>
  <c r="T10" i="66"/>
  <c r="I9" i="66"/>
  <c r="T64" i="66"/>
  <c r="T18" i="66"/>
  <c r="T37" i="66"/>
  <c r="T54" i="66"/>
  <c r="V54" i="78"/>
  <c r="V26" i="78"/>
  <c r="V52" i="78"/>
  <c r="V67" i="78"/>
  <c r="G57" i="110"/>
  <c r="V37" i="78"/>
  <c r="V58" i="78"/>
  <c r="V49" i="78"/>
  <c r="V19" i="78"/>
  <c r="V35" i="78"/>
  <c r="V30" i="78"/>
  <c r="G25" i="22"/>
  <c r="G26" i="22" s="1"/>
  <c r="J64" i="110"/>
  <c r="G25" i="57"/>
  <c r="AF25" i="57" s="1"/>
  <c r="C23" i="135"/>
  <c r="K20" i="66"/>
  <c r="C87" i="78"/>
  <c r="C89" i="78" s="1"/>
  <c r="C77" i="108"/>
  <c r="H87" i="78"/>
  <c r="G77" i="108" s="1"/>
  <c r="J71" i="110"/>
  <c r="K24" i="66"/>
  <c r="J65" i="110"/>
  <c r="C24" i="135"/>
  <c r="G26" i="57"/>
  <c r="AF26" i="57" s="1"/>
  <c r="G68" i="110"/>
  <c r="T27" i="66"/>
  <c r="J39" i="78"/>
  <c r="I9" i="78"/>
  <c r="I39" i="78"/>
  <c r="B93" i="108"/>
  <c r="G115" i="66"/>
  <c r="F93" i="108" s="1"/>
  <c r="I71" i="110"/>
  <c r="J24" i="66"/>
  <c r="I64" i="110"/>
  <c r="G28" i="92"/>
  <c r="J20" i="66"/>
  <c r="T46" i="66"/>
  <c r="T16" i="66"/>
  <c r="T66" i="66"/>
  <c r="T45" i="66"/>
  <c r="C20" i="135"/>
  <c r="J57" i="110"/>
  <c r="V55" i="78"/>
  <c r="V38" i="78"/>
  <c r="V25" i="78"/>
  <c r="G59" i="110"/>
  <c r="H24" i="78"/>
  <c r="V22" i="78"/>
  <c r="V10" i="78"/>
  <c r="H9" i="78"/>
  <c r="V34" i="78"/>
  <c r="V15" i="78"/>
  <c r="V59" i="78"/>
  <c r="V46" i="78"/>
  <c r="G14" i="78"/>
  <c r="U14" i="78" s="1"/>
  <c r="G40" i="78"/>
  <c r="G29" i="78"/>
  <c r="U29" i="78" s="1"/>
  <c r="G17" i="78"/>
  <c r="U17" i="78" s="1"/>
  <c r="G50" i="78"/>
  <c r="U50" i="78" s="1"/>
  <c r="G12" i="78"/>
  <c r="U12" i="78" s="1"/>
  <c r="G28" i="78"/>
  <c r="G58" i="78"/>
  <c r="U58" i="78" s="1"/>
  <c r="G36" i="78"/>
  <c r="U36" i="78" s="1"/>
  <c r="G31" i="78"/>
  <c r="U31" i="78" s="1"/>
  <c r="G47" i="78"/>
  <c r="U47" i="78" s="1"/>
  <c r="G57" i="78"/>
  <c r="U57" i="78" s="1"/>
  <c r="G51" i="78"/>
  <c r="U51" i="78" s="1"/>
  <c r="G60" i="78"/>
  <c r="U60" i="78" s="1"/>
  <c r="G34" i="78"/>
  <c r="U34" i="78" s="1"/>
  <c r="G37" i="78"/>
  <c r="G35" i="78"/>
  <c r="U35" i="78" s="1"/>
  <c r="G56" i="78"/>
  <c r="U56" i="78" s="1"/>
  <c r="G18" i="78"/>
  <c r="U18" i="78" s="1"/>
  <c r="G43" i="78"/>
  <c r="G44" i="78"/>
  <c r="U44" i="78" s="1"/>
  <c r="G45" i="78"/>
  <c r="U45" i="78" s="1"/>
  <c r="G41" i="78"/>
  <c r="U41" i="78" s="1"/>
  <c r="G48" i="78"/>
  <c r="U48" i="78" s="1"/>
  <c r="G32" i="78"/>
  <c r="U32" i="78" s="1"/>
  <c r="G46" i="78"/>
  <c r="U46" i="78" s="1"/>
  <c r="G64" i="78"/>
  <c r="U64" i="78" s="1"/>
  <c r="G19" i="78"/>
  <c r="U19" i="78" s="1"/>
  <c r="G61" i="78"/>
  <c r="U61" i="78" s="1"/>
  <c r="G66" i="78"/>
  <c r="U66" i="78" s="1"/>
  <c r="G16" i="78"/>
  <c r="U16" i="78" s="1"/>
  <c r="G65" i="78"/>
  <c r="G13" i="78"/>
  <c r="U13" i="78" s="1"/>
  <c r="G63" i="78"/>
  <c r="U63" i="78" s="1"/>
  <c r="G42" i="78"/>
  <c r="U42" i="78" s="1"/>
  <c r="G68" i="78"/>
  <c r="U68" i="78" s="1"/>
  <c r="G30" i="78"/>
  <c r="U30" i="78" s="1"/>
  <c r="G49" i="78"/>
  <c r="U49" i="78" s="1"/>
  <c r="G15" i="78"/>
  <c r="U15" i="78" s="1"/>
  <c r="G59" i="78"/>
  <c r="U59" i="78" s="1"/>
  <c r="G62" i="78"/>
  <c r="U62" i="78" s="1"/>
  <c r="G27" i="78"/>
  <c r="G33" i="78"/>
  <c r="U33" i="78" s="1"/>
  <c r="G25" i="78"/>
  <c r="G11" i="78"/>
  <c r="U11" i="78" s="1"/>
  <c r="G10" i="78"/>
  <c r="G53" i="78"/>
  <c r="U53" i="78" s="1"/>
  <c r="G26" i="78"/>
  <c r="U26" i="78" s="1"/>
  <c r="G22" i="78"/>
  <c r="U22" i="78" s="1"/>
  <c r="G38" i="78"/>
  <c r="F5" i="78"/>
  <c r="G67" i="78"/>
  <c r="U67" i="78" s="1"/>
  <c r="G52" i="78"/>
  <c r="U52" i="78" s="1"/>
  <c r="G21" i="78"/>
  <c r="G23" i="78"/>
  <c r="G55" i="78"/>
  <c r="U55" i="78" s="1"/>
  <c r="G54" i="78"/>
  <c r="U54" i="78" s="1"/>
  <c r="V24" i="78" l="1"/>
  <c r="K25" i="124"/>
  <c r="K32" i="124" s="1"/>
  <c r="T38" i="66"/>
  <c r="K8" i="78"/>
  <c r="J60" i="110" s="1"/>
  <c r="J51" i="110" s="1"/>
  <c r="I8" i="78"/>
  <c r="H60" i="110" s="1"/>
  <c r="H51" i="110" s="1"/>
  <c r="C21" i="135"/>
  <c r="G21" i="135" s="1"/>
  <c r="C97" i="150"/>
  <c r="G23" i="134"/>
  <c r="G97" i="150" s="1"/>
  <c r="G22" i="134"/>
  <c r="G96" i="150" s="1"/>
  <c r="C96" i="150"/>
  <c r="C24" i="134"/>
  <c r="C20" i="134" s="1"/>
  <c r="G20" i="134" s="1"/>
  <c r="S57" i="66"/>
  <c r="F70" i="110"/>
  <c r="F67" i="110"/>
  <c r="S28" i="66"/>
  <c r="G20" i="135"/>
  <c r="G127" i="150" s="1"/>
  <c r="C127" i="150"/>
  <c r="R20" i="135"/>
  <c r="N20" i="135" s="1"/>
  <c r="M20" i="135"/>
  <c r="I20" i="135" s="1"/>
  <c r="H28" i="92"/>
  <c r="J28" i="92"/>
  <c r="I28" i="92"/>
  <c r="C26" i="133"/>
  <c r="K28" i="92"/>
  <c r="G89" i="78"/>
  <c r="F79" i="108" s="1"/>
  <c r="B79" i="108"/>
  <c r="J8" i="66"/>
  <c r="V39" i="78"/>
  <c r="T20" i="66"/>
  <c r="F68" i="110"/>
  <c r="S27" i="66"/>
  <c r="I24" i="61"/>
  <c r="J24" i="61"/>
  <c r="H24" i="61"/>
  <c r="K24" i="61"/>
  <c r="U10" i="78"/>
  <c r="G9" i="78"/>
  <c r="U37" i="78"/>
  <c r="F57" i="110"/>
  <c r="D89" i="109"/>
  <c r="G24" i="135"/>
  <c r="G131" i="150" s="1"/>
  <c r="M24" i="135"/>
  <c r="I24" i="135" s="1"/>
  <c r="C131" i="150"/>
  <c r="R24" i="135"/>
  <c r="N24" i="135" s="1"/>
  <c r="G87" i="78"/>
  <c r="F77" i="108" s="1"/>
  <c r="B77" i="108"/>
  <c r="I28" i="61"/>
  <c r="J28" i="61"/>
  <c r="K28" i="61"/>
  <c r="H28" i="61"/>
  <c r="C116" i="66"/>
  <c r="B92" i="108"/>
  <c r="G114" i="66"/>
  <c r="F92" i="108" s="1"/>
  <c r="K8" i="66"/>
  <c r="C26" i="135"/>
  <c r="C22" i="135" s="1"/>
  <c r="G18" i="135"/>
  <c r="G125" i="150" s="1"/>
  <c r="M18" i="135"/>
  <c r="I18" i="135" s="1"/>
  <c r="C125" i="150"/>
  <c r="R18" i="135"/>
  <c r="N18" i="135" s="1"/>
  <c r="G19" i="135"/>
  <c r="G126" i="150" s="1"/>
  <c r="C126" i="150"/>
  <c r="M19" i="135"/>
  <c r="I19" i="135" s="1"/>
  <c r="R19" i="135"/>
  <c r="N19" i="135" s="1"/>
  <c r="G28" i="134"/>
  <c r="G102" i="150" s="1"/>
  <c r="C102" i="150"/>
  <c r="G23" i="22"/>
  <c r="J8" i="78"/>
  <c r="S39" i="66"/>
  <c r="G38" i="66"/>
  <c r="S38" i="66" s="1"/>
  <c r="F71" i="110"/>
  <c r="G24" i="66"/>
  <c r="S24" i="66" s="1"/>
  <c r="S25" i="66"/>
  <c r="V20" i="78"/>
  <c r="T24" i="66"/>
  <c r="G23" i="61"/>
  <c r="J29" i="92"/>
  <c r="K29" i="92"/>
  <c r="C27" i="133"/>
  <c r="G27" i="133" s="1"/>
  <c r="I29" i="92"/>
  <c r="H29" i="92"/>
  <c r="F65" i="110"/>
  <c r="C28" i="132"/>
  <c r="H35" i="55"/>
  <c r="S23" i="66"/>
  <c r="G9" i="66"/>
  <c r="S10" i="66"/>
  <c r="M37" i="124"/>
  <c r="N23" i="124" s="1"/>
  <c r="O23" i="124" s="1"/>
  <c r="N37" i="124"/>
  <c r="C95" i="150"/>
  <c r="G21" i="134"/>
  <c r="G95" i="150" s="1"/>
  <c r="F52" i="110"/>
  <c r="G20" i="78"/>
  <c r="U20" i="78" s="1"/>
  <c r="H30" i="55"/>
  <c r="C22" i="132"/>
  <c r="U21" i="78"/>
  <c r="U27" i="78"/>
  <c r="F56" i="110"/>
  <c r="U25" i="78"/>
  <c r="D73" i="109"/>
  <c r="F59" i="110"/>
  <c r="G24" i="78"/>
  <c r="U24" i="78" s="1"/>
  <c r="F58" i="110"/>
  <c r="U65" i="78"/>
  <c r="U43" i="78"/>
  <c r="D91" i="109"/>
  <c r="U40" i="78"/>
  <c r="G39" i="78"/>
  <c r="U39" i="78" s="1"/>
  <c r="V9" i="78"/>
  <c r="H8" i="78"/>
  <c r="G23" i="135"/>
  <c r="G130" i="150" s="1"/>
  <c r="M23" i="135"/>
  <c r="I23" i="135" s="1"/>
  <c r="R23" i="135"/>
  <c r="N23" i="135" s="1"/>
  <c r="C130" i="150"/>
  <c r="G26" i="134"/>
  <c r="G100" i="150" s="1"/>
  <c r="C100" i="150"/>
  <c r="C54" i="110"/>
  <c r="F71" i="108"/>
  <c r="G27" i="134"/>
  <c r="G101" i="150" s="1"/>
  <c r="C101" i="150"/>
  <c r="G25" i="135"/>
  <c r="G132" i="150" s="1"/>
  <c r="C132" i="150"/>
  <c r="R25" i="135"/>
  <c r="N25" i="135" s="1"/>
  <c r="M25" i="135"/>
  <c r="I25" i="135" s="1"/>
  <c r="H25" i="92"/>
  <c r="C22" i="133"/>
  <c r="G22" i="133" s="1"/>
  <c r="I25" i="92"/>
  <c r="J25" i="92"/>
  <c r="K25" i="92"/>
  <c r="H8" i="66"/>
  <c r="T9" i="66"/>
  <c r="F64" i="110"/>
  <c r="G20" i="66"/>
  <c r="S20" i="66" s="1"/>
  <c r="C27" i="132"/>
  <c r="H34" i="55"/>
  <c r="S21" i="66"/>
  <c r="C24" i="132"/>
  <c r="U38" i="78"/>
  <c r="C23" i="132"/>
  <c r="H31" i="55"/>
  <c r="F53" i="110"/>
  <c r="U23" i="78"/>
  <c r="F55" i="110"/>
  <c r="U28" i="78"/>
  <c r="I8" i="66"/>
  <c r="C29" i="134"/>
  <c r="H29" i="61"/>
  <c r="I29" i="61"/>
  <c r="J29" i="61"/>
  <c r="K29" i="61"/>
  <c r="K25" i="61"/>
  <c r="J25" i="61"/>
  <c r="H25" i="61"/>
  <c r="I25" i="61"/>
  <c r="K24" i="92"/>
  <c r="I24" i="92"/>
  <c r="H24" i="92"/>
  <c r="C21" i="133"/>
  <c r="J24" i="92"/>
  <c r="B7" i="111"/>
  <c r="F69" i="110"/>
  <c r="S36" i="66"/>
  <c r="M21" i="135" l="1"/>
  <c r="I21" i="135" s="1"/>
  <c r="G20" i="57"/>
  <c r="AF20" i="57" s="1"/>
  <c r="C17" i="135"/>
  <c r="C10" i="135" s="1"/>
  <c r="R21" i="135"/>
  <c r="N21" i="135" s="1"/>
  <c r="C128" i="150"/>
  <c r="C124" i="150" s="1"/>
  <c r="C117" i="150" s="1"/>
  <c r="H20" i="135"/>
  <c r="H25" i="135"/>
  <c r="H23" i="135"/>
  <c r="R25" i="61"/>
  <c r="Q25" i="61"/>
  <c r="R24" i="61"/>
  <c r="Q24" i="61"/>
  <c r="G26" i="133"/>
  <c r="G24" i="134"/>
  <c r="G98" i="150" s="1"/>
  <c r="G94" i="150" s="1"/>
  <c r="C98" i="150"/>
  <c r="C94" i="150" s="1"/>
  <c r="G13" i="57"/>
  <c r="AF13" i="57" s="1"/>
  <c r="G23" i="57"/>
  <c r="AF23" i="57" s="1"/>
  <c r="C70" i="150"/>
  <c r="R29" i="132"/>
  <c r="N29" i="132" s="1"/>
  <c r="M29" i="132"/>
  <c r="I29" i="132" s="1"/>
  <c r="G29" i="132"/>
  <c r="Q29" i="61"/>
  <c r="R29" i="61"/>
  <c r="G60" i="110"/>
  <c r="G51" i="110" s="1"/>
  <c r="V8" i="78"/>
  <c r="H23" i="61"/>
  <c r="G26" i="61"/>
  <c r="I23" i="61"/>
  <c r="J23" i="61"/>
  <c r="K23" i="61"/>
  <c r="H89" i="109"/>
  <c r="Q24" i="92"/>
  <c r="AA24" i="92" s="1"/>
  <c r="R24" i="92"/>
  <c r="C65" i="150"/>
  <c r="G24" i="132"/>
  <c r="R24" i="132"/>
  <c r="N24" i="132" s="1"/>
  <c r="M24" i="132"/>
  <c r="I24" i="132" s="1"/>
  <c r="G22" i="135"/>
  <c r="M22" i="135"/>
  <c r="I22" i="135" s="1"/>
  <c r="R22" i="135"/>
  <c r="N22" i="135" s="1"/>
  <c r="G8" i="66"/>
  <c r="C30" i="132"/>
  <c r="S9" i="66"/>
  <c r="H36" i="55"/>
  <c r="H19" i="135"/>
  <c r="H18" i="135"/>
  <c r="B94" i="108"/>
  <c r="G116" i="66"/>
  <c r="F94" i="108" s="1"/>
  <c r="I72" i="110"/>
  <c r="I63" i="110" s="1"/>
  <c r="G27" i="92"/>
  <c r="H72" i="110"/>
  <c r="H63" i="110" s="1"/>
  <c r="G27" i="61"/>
  <c r="G23" i="92"/>
  <c r="I60" i="110"/>
  <c r="I51" i="110" s="1"/>
  <c r="B8" i="111"/>
  <c r="E7" i="111"/>
  <c r="E8" i="111" s="1"/>
  <c r="C7" i="111"/>
  <c r="C8" i="111" s="1"/>
  <c r="D7" i="111"/>
  <c r="D8" i="111" s="1"/>
  <c r="F7" i="111"/>
  <c r="F8" i="111" s="1"/>
  <c r="G72" i="110"/>
  <c r="G63" i="110" s="1"/>
  <c r="T8" i="66"/>
  <c r="P34" i="55"/>
  <c r="D33" i="112"/>
  <c r="N33" i="112" s="1"/>
  <c r="T34" i="55"/>
  <c r="L34" i="55"/>
  <c r="AB34" i="55"/>
  <c r="X34" i="55"/>
  <c r="R25" i="92"/>
  <c r="Q25" i="92"/>
  <c r="AA25" i="92" s="1"/>
  <c r="C51" i="110"/>
  <c r="C5" i="110"/>
  <c r="M22" i="132"/>
  <c r="R22" i="132"/>
  <c r="C63" i="150"/>
  <c r="D34" i="112"/>
  <c r="N34" i="112" s="1"/>
  <c r="T35" i="55"/>
  <c r="G34" i="112" s="1"/>
  <c r="Q34" i="112" s="1"/>
  <c r="X35" i="55"/>
  <c r="AB35" i="55"/>
  <c r="L35" i="55"/>
  <c r="E34" i="112" s="1"/>
  <c r="O34" i="112" s="1"/>
  <c r="P35" i="55"/>
  <c r="F34" i="112" s="1"/>
  <c r="P34" i="112" s="1"/>
  <c r="Q29" i="92"/>
  <c r="AA29" i="92" s="1"/>
  <c r="R29" i="92"/>
  <c r="G26" i="135"/>
  <c r="G133" i="150" s="1"/>
  <c r="G129" i="150" s="1"/>
  <c r="C133" i="150"/>
  <c r="C129" i="150" s="1"/>
  <c r="M26" i="135"/>
  <c r="I26" i="135" s="1"/>
  <c r="R26" i="135"/>
  <c r="N26" i="135" s="1"/>
  <c r="R28" i="61"/>
  <c r="Q28" i="61"/>
  <c r="U9" i="78"/>
  <c r="C25" i="132"/>
  <c r="G8" i="78"/>
  <c r="G17" i="135"/>
  <c r="G10" i="135" s="1"/>
  <c r="G128" i="150"/>
  <c r="G124" i="150" s="1"/>
  <c r="G117" i="150" s="1"/>
  <c r="R23" i="132"/>
  <c r="N23" i="132" s="1"/>
  <c r="C64" i="150"/>
  <c r="M23" i="132"/>
  <c r="I23" i="132" s="1"/>
  <c r="G21" i="133"/>
  <c r="C103" i="150"/>
  <c r="C99" i="150" s="1"/>
  <c r="G29" i="134"/>
  <c r="G103" i="150" s="1"/>
  <c r="G99" i="150" s="1"/>
  <c r="L31" i="55"/>
  <c r="E30" i="112" s="1"/>
  <c r="O30" i="112" s="1"/>
  <c r="P31" i="55"/>
  <c r="F30" i="112" s="1"/>
  <c r="P30" i="112" s="1"/>
  <c r="T31" i="55"/>
  <c r="G30" i="112" s="1"/>
  <c r="Q30" i="112" s="1"/>
  <c r="X31" i="55"/>
  <c r="AB31" i="55"/>
  <c r="D30" i="112"/>
  <c r="N30" i="112" s="1"/>
  <c r="D85" i="109"/>
  <c r="R27" i="132"/>
  <c r="N27" i="132" s="1"/>
  <c r="C68" i="150"/>
  <c r="M27" i="132"/>
  <c r="I27" i="132" s="1"/>
  <c r="C25" i="134"/>
  <c r="G25" i="134" s="1"/>
  <c r="H91" i="109"/>
  <c r="H73" i="109"/>
  <c r="D74" i="109"/>
  <c r="L30" i="55"/>
  <c r="D29" i="112"/>
  <c r="N29" i="112" s="1"/>
  <c r="AB30" i="55"/>
  <c r="P30" i="55"/>
  <c r="X30" i="55"/>
  <c r="T30" i="55"/>
  <c r="D84" i="109"/>
  <c r="M28" i="132"/>
  <c r="I28" i="132" s="1"/>
  <c r="R28" i="132"/>
  <c r="N28" i="132" s="1"/>
  <c r="C69" i="150"/>
  <c r="R17" i="135"/>
  <c r="M17" i="135"/>
  <c r="J72" i="110"/>
  <c r="J63" i="110" s="1"/>
  <c r="G24" i="57"/>
  <c r="H24" i="135"/>
  <c r="R28" i="92"/>
  <c r="Q28" i="92"/>
  <c r="AA28" i="92" s="1"/>
  <c r="X34" i="57"/>
  <c r="H21" i="135" l="1"/>
  <c r="H26" i="135"/>
  <c r="F60" i="110"/>
  <c r="F51" i="110" s="1"/>
  <c r="H29" i="55"/>
  <c r="Y43" i="55"/>
  <c r="U8" i="78"/>
  <c r="N22" i="132"/>
  <c r="AF34" i="55"/>
  <c r="G27" i="132"/>
  <c r="H33" i="112"/>
  <c r="R33" i="112" s="1"/>
  <c r="C31" i="131"/>
  <c r="C30" i="151"/>
  <c r="C27" i="130"/>
  <c r="H23" i="132"/>
  <c r="C26" i="150"/>
  <c r="C21" i="132"/>
  <c r="C10" i="132" s="1"/>
  <c r="M25" i="132"/>
  <c r="I25" i="132" s="1"/>
  <c r="C66" i="150"/>
  <c r="C62" i="150" s="1"/>
  <c r="C51" i="150" s="1"/>
  <c r="G25" i="132"/>
  <c r="R25" i="132"/>
  <c r="N25" i="132" s="1"/>
  <c r="I22" i="132"/>
  <c r="H22" i="135"/>
  <c r="G27" i="57"/>
  <c r="AF27" i="57" s="1"/>
  <c r="AF24" i="57"/>
  <c r="G34" i="57"/>
  <c r="H34" i="112"/>
  <c r="R34" i="112" s="1"/>
  <c r="G28" i="132"/>
  <c r="AF35" i="55"/>
  <c r="C2" i="110"/>
  <c r="E33" i="112"/>
  <c r="O33" i="112" s="1"/>
  <c r="H27" i="92"/>
  <c r="G30" i="92"/>
  <c r="K27" i="92"/>
  <c r="I27" i="92"/>
  <c r="J27" i="92"/>
  <c r="P36" i="55"/>
  <c r="F35" i="112" s="1"/>
  <c r="P35" i="112" s="1"/>
  <c r="L36" i="55"/>
  <c r="E35" i="112" s="1"/>
  <c r="O35" i="112" s="1"/>
  <c r="X36" i="55"/>
  <c r="D35" i="112"/>
  <c r="N35" i="112" s="1"/>
  <c r="T36" i="55"/>
  <c r="G35" i="112" s="1"/>
  <c r="Q35" i="112" s="1"/>
  <c r="AB36" i="55"/>
  <c r="J26" i="61"/>
  <c r="H26" i="61"/>
  <c r="I26" i="61"/>
  <c r="K26" i="61"/>
  <c r="G32" i="150"/>
  <c r="G33" i="131"/>
  <c r="G32" i="151"/>
  <c r="G70" i="150"/>
  <c r="G33" i="130"/>
  <c r="AF30" i="55"/>
  <c r="G22" i="132"/>
  <c r="H29" i="112"/>
  <c r="R29" i="112" s="1"/>
  <c r="C32" i="130"/>
  <c r="C31" i="150"/>
  <c r="H28" i="132"/>
  <c r="C26" i="151"/>
  <c r="C27" i="131"/>
  <c r="G33" i="112"/>
  <c r="Q33" i="112" s="1"/>
  <c r="T33" i="55"/>
  <c r="I23" i="92"/>
  <c r="G26" i="92"/>
  <c r="J23" i="92"/>
  <c r="H23" i="92"/>
  <c r="K23" i="92"/>
  <c r="C27" i="150"/>
  <c r="C28" i="130"/>
  <c r="H24" i="132"/>
  <c r="C32" i="150"/>
  <c r="H29" i="132"/>
  <c r="C33" i="130"/>
  <c r="N17" i="135"/>
  <c r="N10" i="135" s="1"/>
  <c r="R10" i="135"/>
  <c r="F29" i="112"/>
  <c r="P29" i="112" s="1"/>
  <c r="H84" i="109"/>
  <c r="E29" i="112"/>
  <c r="O29" i="112" s="1"/>
  <c r="C26" i="132"/>
  <c r="G30" i="132"/>
  <c r="C71" i="150"/>
  <c r="C67" i="150" s="1"/>
  <c r="M30" i="132"/>
  <c r="I30" i="132" s="1"/>
  <c r="R30" i="132"/>
  <c r="N30" i="132" s="1"/>
  <c r="C28" i="131"/>
  <c r="C27" i="151"/>
  <c r="C33" i="131"/>
  <c r="C32" i="151"/>
  <c r="C31" i="151"/>
  <c r="C32" i="131"/>
  <c r="H85" i="109"/>
  <c r="I17" i="135"/>
  <c r="M10" i="135"/>
  <c r="G29" i="112"/>
  <c r="Q29" i="112" s="1"/>
  <c r="D76" i="109"/>
  <c r="H74" i="109"/>
  <c r="C30" i="150"/>
  <c r="C31" i="130"/>
  <c r="H27" i="132"/>
  <c r="AF31" i="55"/>
  <c r="H30" i="112"/>
  <c r="R30" i="112" s="1"/>
  <c r="G23" i="132"/>
  <c r="F33" i="112"/>
  <c r="P33" i="112" s="1"/>
  <c r="I27" i="61"/>
  <c r="H27" i="61"/>
  <c r="K27" i="61"/>
  <c r="G30" i="61"/>
  <c r="J27" i="61"/>
  <c r="F72" i="110"/>
  <c r="F63" i="110" s="1"/>
  <c r="H33" i="55"/>
  <c r="S8" i="66"/>
  <c r="G65" i="150"/>
  <c r="G28" i="131"/>
  <c r="G28" i="130"/>
  <c r="G27" i="150"/>
  <c r="G27" i="151"/>
  <c r="R23" i="61"/>
  <c r="Q23" i="61"/>
  <c r="P33" i="55" l="1"/>
  <c r="M21" i="132"/>
  <c r="M10" i="132" s="1"/>
  <c r="R21" i="132"/>
  <c r="R10" i="132" s="1"/>
  <c r="C66" i="109"/>
  <c r="H76" i="109"/>
  <c r="C68" i="109"/>
  <c r="G68" i="109" s="1"/>
  <c r="C67" i="109"/>
  <c r="G67" i="109" s="1"/>
  <c r="C70" i="109"/>
  <c r="G70" i="109" s="1"/>
  <c r="C69" i="109"/>
  <c r="G69" i="109" s="1"/>
  <c r="C75" i="109"/>
  <c r="G75" i="109" s="1"/>
  <c r="C72" i="109"/>
  <c r="G72" i="109" s="1"/>
  <c r="C71" i="109"/>
  <c r="G71" i="109" s="1"/>
  <c r="C73" i="109"/>
  <c r="G73" i="109" s="1"/>
  <c r="R26" i="61"/>
  <c r="Q26" i="61"/>
  <c r="R27" i="92"/>
  <c r="Q27" i="92"/>
  <c r="AA27" i="92" s="1"/>
  <c r="J9" i="110"/>
  <c r="J3" i="110"/>
  <c r="J8" i="110"/>
  <c r="J7" i="110"/>
  <c r="J10" i="110"/>
  <c r="J11" i="110"/>
  <c r="J6" i="110"/>
  <c r="J4" i="110"/>
  <c r="C24" i="133"/>
  <c r="I26" i="92"/>
  <c r="J26" i="92"/>
  <c r="H26" i="92"/>
  <c r="K26" i="92"/>
  <c r="H35" i="112"/>
  <c r="R35" i="112" s="1"/>
  <c r="AF36" i="55"/>
  <c r="K30" i="92"/>
  <c r="H30" i="92"/>
  <c r="J30" i="92"/>
  <c r="C29" i="133"/>
  <c r="I30" i="92"/>
  <c r="H25" i="132"/>
  <c r="C28" i="150"/>
  <c r="C29" i="130"/>
  <c r="C26" i="131"/>
  <c r="C25" i="151"/>
  <c r="F32" i="112"/>
  <c r="P32" i="112" s="1"/>
  <c r="H30" i="132"/>
  <c r="C34" i="130"/>
  <c r="C30" i="130" s="1"/>
  <c r="C33" i="150"/>
  <c r="C29" i="150" s="1"/>
  <c r="G31" i="150"/>
  <c r="G31" i="151"/>
  <c r="G32" i="130"/>
  <c r="G32" i="131"/>
  <c r="G69" i="150"/>
  <c r="I21" i="132"/>
  <c r="X33" i="55"/>
  <c r="G32" i="112"/>
  <c r="Q32" i="112" s="1"/>
  <c r="L33" i="55"/>
  <c r="C25" i="150"/>
  <c r="C26" i="130"/>
  <c r="H22" i="132"/>
  <c r="AB33" i="55"/>
  <c r="D32" i="112"/>
  <c r="N32" i="112" s="1"/>
  <c r="K30" i="61"/>
  <c r="H30" i="61"/>
  <c r="I30" i="61"/>
  <c r="J30" i="61"/>
  <c r="G64" i="150"/>
  <c r="G27" i="130"/>
  <c r="G26" i="151"/>
  <c r="G26" i="150"/>
  <c r="G27" i="131"/>
  <c r="C74" i="109"/>
  <c r="G74" i="109" s="1"/>
  <c r="I10" i="135"/>
  <c r="H17" i="135"/>
  <c r="G71" i="150"/>
  <c r="G33" i="150"/>
  <c r="G34" i="130"/>
  <c r="Q23" i="92"/>
  <c r="AA23" i="92" s="1"/>
  <c r="R23" i="92"/>
  <c r="D18" i="58"/>
  <c r="Y34" i="57"/>
  <c r="AF34" i="57"/>
  <c r="I33" i="115"/>
  <c r="I38" i="115" s="1"/>
  <c r="G41" i="57"/>
  <c r="D21" i="93"/>
  <c r="X33" i="57"/>
  <c r="C29" i="131"/>
  <c r="C28" i="151"/>
  <c r="G26" i="132"/>
  <c r="G31" i="131"/>
  <c r="G30" i="151"/>
  <c r="G30" i="150"/>
  <c r="G31" i="130"/>
  <c r="G68" i="150"/>
  <c r="H32" i="55"/>
  <c r="D28" i="112"/>
  <c r="N28" i="112" s="1"/>
  <c r="AB29" i="55"/>
  <c r="H12" i="55"/>
  <c r="Q27" i="61"/>
  <c r="R27" i="61"/>
  <c r="R26" i="132"/>
  <c r="N26" i="132" s="1"/>
  <c r="M26" i="132"/>
  <c r="I26" i="132" s="1"/>
  <c r="G25" i="151"/>
  <c r="G63" i="150"/>
  <c r="G26" i="131"/>
  <c r="G25" i="150"/>
  <c r="G26" i="130"/>
  <c r="G21" i="132"/>
  <c r="G10" i="132" s="1"/>
  <c r="J5" i="110"/>
  <c r="G29" i="130"/>
  <c r="G66" i="150"/>
  <c r="G28" i="150"/>
  <c r="C25" i="130" l="1"/>
  <c r="N21" i="132"/>
  <c r="N10" i="132" s="1"/>
  <c r="C25" i="131"/>
  <c r="G29" i="150"/>
  <c r="G30" i="130"/>
  <c r="C34" i="131"/>
  <c r="C30" i="131" s="1"/>
  <c r="G67" i="150"/>
  <c r="G62" i="150"/>
  <c r="G51" i="150" s="1"/>
  <c r="H26" i="132"/>
  <c r="D11" i="112"/>
  <c r="N11" i="112" s="1"/>
  <c r="AB12" i="55"/>
  <c r="H18" i="58"/>
  <c r="H32" i="112"/>
  <c r="R32" i="112" s="1"/>
  <c r="AF33" i="55"/>
  <c r="C24" i="150"/>
  <c r="Q30" i="92"/>
  <c r="AA30" i="92" s="1"/>
  <c r="R30" i="92"/>
  <c r="E11" i="128"/>
  <c r="H21" i="93"/>
  <c r="R30" i="61"/>
  <c r="Q30" i="61"/>
  <c r="G24" i="133"/>
  <c r="C20" i="133"/>
  <c r="G20" i="133" s="1"/>
  <c r="G25" i="130"/>
  <c r="G24" i="150"/>
  <c r="X32" i="55"/>
  <c r="T32" i="55"/>
  <c r="P32" i="55"/>
  <c r="L32" i="55"/>
  <c r="AB32" i="55"/>
  <c r="D31" i="112"/>
  <c r="N31" i="112" s="1"/>
  <c r="AF41" i="57"/>
  <c r="U9" i="114"/>
  <c r="F12" i="107"/>
  <c r="G37" i="57"/>
  <c r="G38" i="57" s="1"/>
  <c r="C35" i="135"/>
  <c r="H43" i="55"/>
  <c r="H10" i="135"/>
  <c r="E32" i="112"/>
  <c r="O32" i="112" s="1"/>
  <c r="I10" i="132"/>
  <c r="C24" i="151"/>
  <c r="C33" i="151"/>
  <c r="C29" i="151" s="1"/>
  <c r="C25" i="133"/>
  <c r="Q26" i="92"/>
  <c r="AA26" i="92" s="1"/>
  <c r="R26" i="92"/>
  <c r="G66" i="109"/>
  <c r="C76" i="109"/>
  <c r="G76" i="109" s="1"/>
  <c r="H10" i="132" l="1"/>
  <c r="H21" i="132"/>
  <c r="G25" i="133"/>
  <c r="G33" i="151"/>
  <c r="G29" i="151" s="1"/>
  <c r="G34" i="131"/>
  <c r="G30" i="131" s="1"/>
  <c r="G36" i="57"/>
  <c r="C33" i="135"/>
  <c r="U6" i="114"/>
  <c r="F11" i="107"/>
  <c r="AF38" i="57"/>
  <c r="M35" i="135"/>
  <c r="I35" i="135" s="1"/>
  <c r="C142" i="150"/>
  <c r="R35" i="135"/>
  <c r="N35" i="135" s="1"/>
  <c r="G35" i="135"/>
  <c r="G142" i="150" s="1"/>
  <c r="E31" i="112"/>
  <c r="O31" i="112" s="1"/>
  <c r="L29" i="55"/>
  <c r="E22" i="128"/>
  <c r="AF37" i="57"/>
  <c r="C32" i="135"/>
  <c r="U5" i="114"/>
  <c r="F10" i="107"/>
  <c r="F31" i="112"/>
  <c r="P31" i="112" s="1"/>
  <c r="P29" i="55"/>
  <c r="G28" i="151"/>
  <c r="G24" i="151" s="1"/>
  <c r="G29" i="131"/>
  <c r="G25" i="131" s="1"/>
  <c r="G31" i="112"/>
  <c r="Q31" i="112" s="1"/>
  <c r="T29" i="55"/>
  <c r="AB43" i="55"/>
  <c r="H54" i="55"/>
  <c r="D42" i="112"/>
  <c r="N42" i="112" s="1"/>
  <c r="I8" i="107"/>
  <c r="C8" i="107" s="1"/>
  <c r="H59" i="55"/>
  <c r="D58" i="112" s="1"/>
  <c r="B33" i="115"/>
  <c r="Z43" i="55"/>
  <c r="X29" i="55"/>
  <c r="AF32" i="55"/>
  <c r="H31" i="112"/>
  <c r="R31" i="112" s="1"/>
  <c r="J8" i="107" l="1"/>
  <c r="E28" i="112"/>
  <c r="O28" i="112" s="1"/>
  <c r="L12" i="55"/>
  <c r="D10" i="58"/>
  <c r="D13" i="93"/>
  <c r="D53" i="112"/>
  <c r="C139" i="150"/>
  <c r="C31" i="135"/>
  <c r="G32" i="135"/>
  <c r="G139" i="150" s="1"/>
  <c r="R32" i="135"/>
  <c r="N32" i="135" s="1"/>
  <c r="M32" i="135"/>
  <c r="I32" i="135" s="1"/>
  <c r="F9" i="107"/>
  <c r="F14" i="107" s="1"/>
  <c r="B21" i="146" s="1"/>
  <c r="C21" i="146" s="1"/>
  <c r="F28" i="112"/>
  <c r="P28" i="112" s="1"/>
  <c r="P12" i="55"/>
  <c r="D33" i="115"/>
  <c r="H35" i="135"/>
  <c r="G33" i="135"/>
  <c r="G140" i="150" s="1"/>
  <c r="M33" i="135"/>
  <c r="I33" i="135" s="1"/>
  <c r="C140" i="150"/>
  <c r="R33" i="135"/>
  <c r="N33" i="135" s="1"/>
  <c r="H28" i="112"/>
  <c r="R28" i="112" s="1"/>
  <c r="AF29" i="55"/>
  <c r="X12" i="55"/>
  <c r="G28" i="112"/>
  <c r="Q28" i="112" s="1"/>
  <c r="T12" i="55"/>
  <c r="X36" i="57"/>
  <c r="U4" i="114"/>
  <c r="AF36" i="57"/>
  <c r="D20" i="58"/>
  <c r="D23" i="93"/>
  <c r="G42" i="57"/>
  <c r="G11" i="112" l="1"/>
  <c r="Q11" i="112" s="1"/>
  <c r="T43" i="55"/>
  <c r="B11" i="128"/>
  <c r="F11" i="112"/>
  <c r="P11" i="112" s="1"/>
  <c r="P43" i="55"/>
  <c r="G138" i="150"/>
  <c r="E11" i="112"/>
  <c r="O11" i="112" s="1"/>
  <c r="L43" i="55"/>
  <c r="G31" i="135"/>
  <c r="M31" i="135"/>
  <c r="I31" i="135" s="1"/>
  <c r="R31" i="135"/>
  <c r="N31" i="135" s="1"/>
  <c r="N38" i="135" s="1"/>
  <c r="C8" i="135"/>
  <c r="S31" i="115" s="1"/>
  <c r="D45" i="93"/>
  <c r="E13" i="128"/>
  <c r="H23" i="93"/>
  <c r="D20" i="93"/>
  <c r="C33" i="107" s="1"/>
  <c r="AF12" i="55"/>
  <c r="H11" i="112"/>
  <c r="R11" i="112" s="1"/>
  <c r="X43" i="55"/>
  <c r="C138" i="150"/>
  <c r="AF42" i="57"/>
  <c r="G43" i="57"/>
  <c r="H20" i="58"/>
  <c r="D42" i="58"/>
  <c r="D17" i="58"/>
  <c r="H33" i="135"/>
  <c r="H32" i="135"/>
  <c r="H31" i="135" l="1"/>
  <c r="I38" i="135"/>
  <c r="H38" i="135" s="1"/>
  <c r="E24" i="128"/>
  <c r="E25" i="128" s="1"/>
  <c r="E26" i="128" s="1"/>
  <c r="E27" i="128" s="1"/>
  <c r="E29" i="128" s="1"/>
  <c r="E14" i="128"/>
  <c r="E15" i="128" s="1"/>
  <c r="E16" i="128" s="1"/>
  <c r="E18" i="128" s="1"/>
  <c r="G11" i="150"/>
  <c r="G12" i="131"/>
  <c r="G11" i="151"/>
  <c r="G12" i="130"/>
  <c r="S28" i="115"/>
  <c r="S18" i="115" s="1"/>
  <c r="X54" i="55"/>
  <c r="H42" i="112"/>
  <c r="R42" i="112" s="1"/>
  <c r="X59" i="55"/>
  <c r="H58" i="112" s="1"/>
  <c r="X50" i="55"/>
  <c r="B37" i="115"/>
  <c r="D37" i="115" s="1"/>
  <c r="AF43" i="55"/>
  <c r="L50" i="55"/>
  <c r="E42" i="112"/>
  <c r="O42" i="112" s="1"/>
  <c r="B34" i="115"/>
  <c r="B22" i="128"/>
  <c r="H45" i="93"/>
  <c r="H20" i="93"/>
  <c r="H42" i="58"/>
  <c r="H17" i="58"/>
  <c r="E21" i="153" s="1"/>
  <c r="F21" i="153" s="1"/>
  <c r="G42" i="112"/>
  <c r="Q42" i="112" s="1"/>
  <c r="B36" i="115"/>
  <c r="D36" i="115" s="1"/>
  <c r="T50" i="55"/>
  <c r="I24" i="115"/>
  <c r="X37" i="57"/>
  <c r="G58" i="57"/>
  <c r="AF43" i="57"/>
  <c r="X43" i="57"/>
  <c r="C90" i="107"/>
  <c r="C119" i="107" s="1"/>
  <c r="C62" i="107"/>
  <c r="J62" i="107" s="1"/>
  <c r="K62" i="107" s="1"/>
  <c r="B35" i="115"/>
  <c r="D35" i="115" s="1"/>
  <c r="P50" i="55"/>
  <c r="F42" i="112"/>
  <c r="P42" i="112" s="1"/>
  <c r="H21" i="153" l="1"/>
  <c r="E49" i="112"/>
  <c r="O49" i="112" s="1"/>
  <c r="H50" i="55"/>
  <c r="L47" i="55"/>
  <c r="F9" i="114"/>
  <c r="H53" i="112"/>
  <c r="H10" i="58"/>
  <c r="H13" i="93"/>
  <c r="G9" i="114"/>
  <c r="G30" i="114" s="1"/>
  <c r="F49" i="112"/>
  <c r="P49" i="112" s="1"/>
  <c r="P47" i="55"/>
  <c r="T47" i="55"/>
  <c r="G49" i="112"/>
  <c r="Q49" i="112" s="1"/>
  <c r="H9" i="114"/>
  <c r="H30" i="114" s="1"/>
  <c r="E25" i="154"/>
  <c r="F25" i="154" s="1"/>
  <c r="G33" i="107"/>
  <c r="D34" i="115"/>
  <c r="D38" i="115" s="1"/>
  <c r="B38" i="115"/>
  <c r="X46" i="55"/>
  <c r="X47" i="55" s="1"/>
  <c r="H49" i="112"/>
  <c r="R49" i="112" s="1"/>
  <c r="AF50" i="55"/>
  <c r="I9" i="114"/>
  <c r="I30" i="114" s="1"/>
  <c r="G39" i="132"/>
  <c r="F11" i="156" l="1"/>
  <c r="AF47" i="55"/>
  <c r="H46" i="112"/>
  <c r="R46" i="112" s="1"/>
  <c r="I6" i="114"/>
  <c r="I27" i="114" s="1"/>
  <c r="G37" i="132"/>
  <c r="G6" i="114"/>
  <c r="G27" i="114" s="1"/>
  <c r="P46" i="55"/>
  <c r="F46" i="112"/>
  <c r="P46" i="112" s="1"/>
  <c r="E9" i="114"/>
  <c r="F30" i="114"/>
  <c r="E30" i="114" s="1"/>
  <c r="B165" i="107"/>
  <c r="G62" i="107"/>
  <c r="G90" i="107"/>
  <c r="G119" i="107" s="1"/>
  <c r="E46" i="112"/>
  <c r="O46" i="112" s="1"/>
  <c r="L46" i="55"/>
  <c r="F6" i="114"/>
  <c r="H47" i="55"/>
  <c r="H25" i="154"/>
  <c r="C39" i="132"/>
  <c r="D49" i="112"/>
  <c r="N49" i="112" s="1"/>
  <c r="C12" i="107"/>
  <c r="AB50" i="55"/>
  <c r="G80" i="150"/>
  <c r="I5" i="114"/>
  <c r="I26" i="114" s="1"/>
  <c r="H45" i="112"/>
  <c r="R45" i="112" s="1"/>
  <c r="G36" i="132"/>
  <c r="AF46" i="55"/>
  <c r="X45" i="55"/>
  <c r="H6" i="114"/>
  <c r="H27" i="114" s="1"/>
  <c r="T46" i="55"/>
  <c r="G46" i="112"/>
  <c r="Q46" i="112" s="1"/>
  <c r="F16" i="156" l="1"/>
  <c r="G77" i="150"/>
  <c r="P45" i="55"/>
  <c r="F45" i="112"/>
  <c r="P45" i="112" s="1"/>
  <c r="G5" i="114"/>
  <c r="G26" i="114" s="1"/>
  <c r="C11" i="107"/>
  <c r="AB47" i="55"/>
  <c r="D46" i="112"/>
  <c r="N46" i="112" s="1"/>
  <c r="C37" i="132"/>
  <c r="E165" i="107"/>
  <c r="H165" i="107" s="1"/>
  <c r="B206" i="107"/>
  <c r="B200" i="107"/>
  <c r="G78" i="150"/>
  <c r="F27" i="114"/>
  <c r="E27" i="114" s="1"/>
  <c r="E6" i="114"/>
  <c r="E45" i="112"/>
  <c r="O45" i="112" s="1"/>
  <c r="H46" i="55"/>
  <c r="L45" i="55"/>
  <c r="F5" i="114"/>
  <c r="T45" i="55"/>
  <c r="G45" i="112"/>
  <c r="Q45" i="112" s="1"/>
  <c r="H5" i="114"/>
  <c r="H26" i="114" s="1"/>
  <c r="H44" i="112"/>
  <c r="R44" i="112" s="1"/>
  <c r="G35" i="132"/>
  <c r="AF45" i="55"/>
  <c r="B64" i="115"/>
  <c r="D64" i="115" s="1"/>
  <c r="I4" i="114"/>
  <c r="I25" i="114" s="1"/>
  <c r="X51" i="55"/>
  <c r="R39" i="132"/>
  <c r="N39" i="132" s="1"/>
  <c r="C80" i="150"/>
  <c r="M39" i="132"/>
  <c r="I39" i="132" s="1"/>
  <c r="G76" i="150" l="1"/>
  <c r="C78" i="150"/>
  <c r="R37" i="132"/>
  <c r="N37" i="132" s="1"/>
  <c r="M37" i="132"/>
  <c r="I37" i="132" s="1"/>
  <c r="G4" i="114"/>
  <c r="G25" i="114" s="1"/>
  <c r="B62" i="115"/>
  <c r="D62" i="115" s="1"/>
  <c r="F44" i="112"/>
  <c r="P44" i="112" s="1"/>
  <c r="P51" i="55"/>
  <c r="F50" i="112" s="1"/>
  <c r="P50" i="112" s="1"/>
  <c r="H39" i="132"/>
  <c r="G44" i="112"/>
  <c r="Q44" i="112" s="1"/>
  <c r="B63" i="115"/>
  <c r="D63" i="115" s="1"/>
  <c r="H4" i="114"/>
  <c r="H25" i="114" s="1"/>
  <c r="T51" i="55"/>
  <c r="G50" i="112" s="1"/>
  <c r="Q50" i="112" s="1"/>
  <c r="G40" i="132"/>
  <c r="E5" i="114"/>
  <c r="F26" i="114"/>
  <c r="E26" i="114" s="1"/>
  <c r="F4" i="114"/>
  <c r="B61" i="115"/>
  <c r="D61" i="115" s="1"/>
  <c r="E44" i="112"/>
  <c r="O44" i="112" s="1"/>
  <c r="L51" i="55"/>
  <c r="E50" i="112" s="1"/>
  <c r="O50" i="112" s="1"/>
  <c r="X52" i="55"/>
  <c r="AF51" i="55"/>
  <c r="H50" i="112"/>
  <c r="R50" i="112" s="1"/>
  <c r="C36" i="132"/>
  <c r="C10" i="107"/>
  <c r="C9" i="107" s="1"/>
  <c r="AB46" i="55"/>
  <c r="D45" i="112"/>
  <c r="N45" i="112" s="1"/>
  <c r="H45" i="55"/>
  <c r="M36" i="132" l="1"/>
  <c r="I36" i="132" s="1"/>
  <c r="R36" i="132"/>
  <c r="N36" i="132" s="1"/>
  <c r="C35" i="132"/>
  <c r="C40" i="132" s="1"/>
  <c r="C77" i="150"/>
  <c r="C76" i="150" s="1"/>
  <c r="B60" i="115"/>
  <c r="I9" i="107"/>
  <c r="J9" i="107" s="1"/>
  <c r="D44" i="112"/>
  <c r="N44" i="112" s="1"/>
  <c r="AB45" i="55"/>
  <c r="D93" i="109"/>
  <c r="H93" i="109" s="1"/>
  <c r="H51" i="55"/>
  <c r="E4" i="114"/>
  <c r="F25" i="114"/>
  <c r="E25" i="114" s="1"/>
  <c r="H51" i="112"/>
  <c r="R51" i="112" s="1"/>
  <c r="G9" i="129"/>
  <c r="H12" i="58"/>
  <c r="H15" i="93"/>
  <c r="B28" i="115"/>
  <c r="D28" i="115" s="1"/>
  <c r="G8" i="132"/>
  <c r="G81" i="150"/>
  <c r="H37" i="132"/>
  <c r="C16" i="107"/>
  <c r="C14" i="107"/>
  <c r="H40" i="58" l="1"/>
  <c r="H9" i="58"/>
  <c r="D94" i="109"/>
  <c r="I14" i="107"/>
  <c r="J14" i="107" s="1"/>
  <c r="D50" i="112"/>
  <c r="N50" i="112" s="1"/>
  <c r="H52" i="55"/>
  <c r="AB51" i="55"/>
  <c r="D60" i="115"/>
  <c r="D65" i="115" s="1"/>
  <c r="B65" i="115"/>
  <c r="G12" i="129"/>
  <c r="G11" i="129"/>
  <c r="C11" i="129" s="1"/>
  <c r="G13" i="129"/>
  <c r="M35" i="132"/>
  <c r="R35" i="132"/>
  <c r="G9" i="151"/>
  <c r="G10" i="131"/>
  <c r="G9" i="150"/>
  <c r="P28" i="115"/>
  <c r="P18" i="115" s="1"/>
  <c r="H36" i="132"/>
  <c r="B18" i="146"/>
  <c r="C18" i="146" s="1"/>
  <c r="C17" i="107"/>
  <c r="H43" i="93"/>
  <c r="H12" i="93"/>
  <c r="E23" i="154" s="1"/>
  <c r="P31" i="115" l="1"/>
  <c r="C81" i="150"/>
  <c r="K17" i="61"/>
  <c r="G15" i="129"/>
  <c r="C12" i="129"/>
  <c r="C93" i="109"/>
  <c r="G93" i="109" s="1"/>
  <c r="H94" i="109"/>
  <c r="D92" i="109"/>
  <c r="C86" i="109"/>
  <c r="G86" i="109" s="1"/>
  <c r="C88" i="109"/>
  <c r="G88" i="109" s="1"/>
  <c r="C90" i="109"/>
  <c r="G90" i="109" s="1"/>
  <c r="C87" i="109"/>
  <c r="G87" i="109" s="1"/>
  <c r="C91" i="109"/>
  <c r="G91" i="109" s="1"/>
  <c r="C89" i="109"/>
  <c r="G89" i="109" s="1"/>
  <c r="C85" i="109"/>
  <c r="G85" i="109" s="1"/>
  <c r="C84" i="109"/>
  <c r="N35" i="132"/>
  <c r="N40" i="132" s="1"/>
  <c r="R40" i="132"/>
  <c r="E19" i="153"/>
  <c r="J117" i="84"/>
  <c r="G21" i="107"/>
  <c r="M40" i="132"/>
  <c r="I35" i="132"/>
  <c r="E14" i="156"/>
  <c r="F23" i="154"/>
  <c r="G16" i="129"/>
  <c r="K17" i="92"/>
  <c r="C13" i="129"/>
  <c r="B24" i="115"/>
  <c r="D24" i="115" s="1"/>
  <c r="D15" i="93"/>
  <c r="D12" i="58"/>
  <c r="D51" i="112"/>
  <c r="N51" i="112" s="1"/>
  <c r="H23" i="154" l="1"/>
  <c r="K117" i="84"/>
  <c r="C15" i="129"/>
  <c r="C94" i="109"/>
  <c r="G94" i="109" s="1"/>
  <c r="G84" i="109"/>
  <c r="Q17" i="61"/>
  <c r="R17" i="61"/>
  <c r="L117" i="84"/>
  <c r="C16" i="129"/>
  <c r="H92" i="109"/>
  <c r="C92" i="109"/>
  <c r="G92" i="109" s="1"/>
  <c r="I40" i="132"/>
  <c r="H35" i="132"/>
  <c r="D40" i="58"/>
  <c r="B13" i="128"/>
  <c r="D9" i="58"/>
  <c r="C21" i="107" s="1"/>
  <c r="D43" i="93"/>
  <c r="D12" i="93"/>
  <c r="E9" i="156"/>
  <c r="F19" i="153"/>
  <c r="R17" i="92"/>
  <c r="Q17" i="92"/>
  <c r="AA17" i="92" s="1"/>
  <c r="G50" i="107"/>
  <c r="B138" i="107"/>
  <c r="G78" i="107"/>
  <c r="F117" i="84"/>
  <c r="L11" i="129"/>
  <c r="J104" i="84"/>
  <c r="J103" i="84" s="1"/>
  <c r="F14" i="156"/>
  <c r="H19" i="153" l="1"/>
  <c r="T40" i="132"/>
  <c r="H40" i="132"/>
  <c r="C78" i="107"/>
  <c r="C50" i="107"/>
  <c r="G107" i="107"/>
  <c r="H11" i="129"/>
  <c r="F104" i="84"/>
  <c r="F103" i="84" s="1"/>
  <c r="D200" i="84"/>
  <c r="E138" i="107"/>
  <c r="H138" i="107" s="1"/>
  <c r="B204" i="107"/>
  <c r="B198" i="107"/>
  <c r="F9" i="156"/>
  <c r="B24" i="128"/>
  <c r="B14" i="128"/>
  <c r="D21" i="127"/>
  <c r="I21" i="127" s="1"/>
  <c r="L104" i="84"/>
  <c r="G17" i="92"/>
  <c r="C32" i="134"/>
  <c r="G17" i="61"/>
  <c r="K104" i="84"/>
  <c r="C21" i="127"/>
  <c r="H21" i="127" s="1"/>
  <c r="J50" i="107" l="1"/>
  <c r="K50" i="107" s="1"/>
  <c r="C107" i="107"/>
  <c r="L17" i="92"/>
  <c r="C32" i="133"/>
  <c r="B25" i="128"/>
  <c r="G16" i="92"/>
  <c r="L103" i="84"/>
  <c r="D8" i="127"/>
  <c r="I8" i="127" s="1"/>
  <c r="C14" i="134"/>
  <c r="G16" i="61"/>
  <c r="C8" i="127"/>
  <c r="H8" i="127" s="1"/>
  <c r="K103" i="84"/>
  <c r="B15" i="128"/>
  <c r="B16" i="128" s="1"/>
  <c r="B18" i="128" s="1"/>
  <c r="C41" i="108"/>
  <c r="H9" i="108" s="1"/>
  <c r="H200" i="84"/>
  <c r="G41" i="108" s="1"/>
  <c r="G32" i="134"/>
  <c r="C36" i="130"/>
  <c r="C35" i="150"/>
  <c r="C106" i="150"/>
  <c r="D208" i="84"/>
  <c r="E36" i="110"/>
  <c r="H5" i="115"/>
  <c r="K29" i="93"/>
  <c r="I9" i="108" l="1"/>
  <c r="J9" i="108"/>
  <c r="H16" i="61"/>
  <c r="H12" i="61" s="1"/>
  <c r="H11" i="61" s="1"/>
  <c r="H37" i="61" s="1"/>
  <c r="K16" i="61"/>
  <c r="I16" i="61"/>
  <c r="I12" i="61" s="1"/>
  <c r="I11" i="61" s="1"/>
  <c r="I37" i="61" s="1"/>
  <c r="G12" i="61"/>
  <c r="G11" i="61" s="1"/>
  <c r="G37" i="61" s="1"/>
  <c r="J16" i="61"/>
  <c r="J12" i="61" s="1"/>
  <c r="J11" i="61" s="1"/>
  <c r="J37" i="61" s="1"/>
  <c r="C19" i="130"/>
  <c r="C15" i="130" s="1"/>
  <c r="C14" i="130" s="1"/>
  <c r="G14" i="134"/>
  <c r="C11" i="134"/>
  <c r="C10" i="134" s="1"/>
  <c r="C31" i="134" s="1"/>
  <c r="C88" i="150"/>
  <c r="C85" i="150" s="1"/>
  <c r="C84" i="150" s="1"/>
  <c r="C105" i="150" s="1"/>
  <c r="C18" i="150"/>
  <c r="C14" i="150" s="1"/>
  <c r="C13" i="150" s="1"/>
  <c r="D7" i="127"/>
  <c r="I7" i="127" s="1"/>
  <c r="E5" i="107"/>
  <c r="E8" i="107" s="1"/>
  <c r="L37" i="92"/>
  <c r="F36" i="110"/>
  <c r="E27" i="110"/>
  <c r="F27" i="110" s="1"/>
  <c r="E11" i="110"/>
  <c r="C200" i="84"/>
  <c r="C203" i="84"/>
  <c r="C204" i="84"/>
  <c r="C205" i="84"/>
  <c r="C49" i="108"/>
  <c r="H17" i="108" s="1"/>
  <c r="D206" i="84"/>
  <c r="C201" i="84"/>
  <c r="H208" i="84"/>
  <c r="G49" i="108" s="1"/>
  <c r="C207" i="84"/>
  <c r="C202" i="84"/>
  <c r="C198" i="84"/>
  <c r="C199" i="84"/>
  <c r="G36" i="130"/>
  <c r="I36" i="130" s="1"/>
  <c r="G35" i="150"/>
  <c r="G106" i="150"/>
  <c r="D5" i="107"/>
  <c r="C7" i="127"/>
  <c r="H7" i="127" s="1"/>
  <c r="I16" i="92"/>
  <c r="I12" i="92" s="1"/>
  <c r="I11" i="92" s="1"/>
  <c r="I37" i="92" s="1"/>
  <c r="H16" i="92"/>
  <c r="H12" i="92" s="1"/>
  <c r="H11" i="92" s="1"/>
  <c r="H37" i="92" s="1"/>
  <c r="J16" i="92"/>
  <c r="J12" i="92" s="1"/>
  <c r="J11" i="92" s="1"/>
  <c r="J37" i="92" s="1"/>
  <c r="G36" i="115" s="1"/>
  <c r="G12" i="92"/>
  <c r="G11" i="92" s="1"/>
  <c r="G37" i="92" s="1"/>
  <c r="K16" i="92"/>
  <c r="C14" i="133"/>
  <c r="G32" i="133"/>
  <c r="C36" i="131"/>
  <c r="C35" i="151"/>
  <c r="J5" i="115"/>
  <c r="H9" i="115"/>
  <c r="B26" i="128"/>
  <c r="B27" i="128" s="1"/>
  <c r="B29" i="128" s="1"/>
  <c r="C3" i="108" l="1"/>
  <c r="D3" i="108" s="1"/>
  <c r="C14" i="108"/>
  <c r="D14" i="108" s="1"/>
  <c r="C16" i="108"/>
  <c r="D16" i="108" s="1"/>
  <c r="J17" i="108"/>
  <c r="C5" i="108"/>
  <c r="D5" i="108" s="1"/>
  <c r="C8" i="108"/>
  <c r="D8" i="108" s="1"/>
  <c r="C7" i="108"/>
  <c r="D7" i="108" s="1"/>
  <c r="C6" i="108"/>
  <c r="D6" i="108" s="1"/>
  <c r="C17" i="108"/>
  <c r="H15" i="108"/>
  <c r="I17" i="108"/>
  <c r="C4" i="108"/>
  <c r="D4" i="108" s="1"/>
  <c r="C10" i="108"/>
  <c r="D10" i="108" s="1"/>
  <c r="C12" i="108"/>
  <c r="D12" i="108" s="1"/>
  <c r="C13" i="108"/>
  <c r="D13" i="108" s="1"/>
  <c r="C11" i="108"/>
  <c r="D11" i="108" s="1"/>
  <c r="I44" i="61"/>
  <c r="I41" i="61" s="1"/>
  <c r="I40" i="61" s="1"/>
  <c r="I39" i="61" s="1"/>
  <c r="E35" i="115"/>
  <c r="R16" i="92"/>
  <c r="K12" i="92"/>
  <c r="Q16" i="92"/>
  <c r="AA16" i="92" s="1"/>
  <c r="G27" i="110"/>
  <c r="H27" i="110" s="1"/>
  <c r="D8" i="107"/>
  <c r="G5" i="107"/>
  <c r="B43" i="108"/>
  <c r="G202" i="84"/>
  <c r="F43" i="108" s="1"/>
  <c r="B46" i="108"/>
  <c r="G205" i="84"/>
  <c r="F46" i="108" s="1"/>
  <c r="Q16" i="61"/>
  <c r="K12" i="61"/>
  <c r="R16" i="61"/>
  <c r="G44" i="92"/>
  <c r="G33" i="115"/>
  <c r="D17" i="93"/>
  <c r="M37" i="92"/>
  <c r="L36" i="92"/>
  <c r="G207" i="84"/>
  <c r="F48" i="108" s="1"/>
  <c r="B48" i="108"/>
  <c r="G204" i="84"/>
  <c r="F45" i="108" s="1"/>
  <c r="B45" i="108"/>
  <c r="G88" i="150"/>
  <c r="G85" i="150" s="1"/>
  <c r="G84" i="150" s="1"/>
  <c r="G105" i="150" s="1"/>
  <c r="G18" i="150"/>
  <c r="G14" i="150" s="1"/>
  <c r="G13" i="150" s="1"/>
  <c r="G19" i="130"/>
  <c r="G15" i="130" s="1"/>
  <c r="G14" i="130" s="1"/>
  <c r="G11" i="134"/>
  <c r="G10" i="134" s="1"/>
  <c r="G31" i="134" s="1"/>
  <c r="H44" i="61"/>
  <c r="H41" i="61" s="1"/>
  <c r="H40" i="61" s="1"/>
  <c r="H39" i="61" s="1"/>
  <c r="E34" i="115"/>
  <c r="G203" i="84"/>
  <c r="F44" i="108" s="1"/>
  <c r="B44" i="108"/>
  <c r="C9" i="108"/>
  <c r="D9" i="108" s="1"/>
  <c r="B39" i="108"/>
  <c r="G198" i="84"/>
  <c r="F39" i="108" s="1"/>
  <c r="H44" i="92"/>
  <c r="H41" i="92" s="1"/>
  <c r="H40" i="92" s="1"/>
  <c r="H39" i="92" s="1"/>
  <c r="G34" i="115"/>
  <c r="G201" i="84"/>
  <c r="F42" i="108" s="1"/>
  <c r="B42" i="108"/>
  <c r="G200" i="84"/>
  <c r="F41" i="108" s="1"/>
  <c r="B41" i="108"/>
  <c r="E36" i="115"/>
  <c r="J44" i="61"/>
  <c r="J41" i="61" s="1"/>
  <c r="J40" i="61" s="1"/>
  <c r="J39" i="61" s="1"/>
  <c r="G14" i="133"/>
  <c r="C19" i="131"/>
  <c r="C15" i="131" s="1"/>
  <c r="C14" i="131" s="1"/>
  <c r="C18" i="151"/>
  <c r="C14" i="151" s="1"/>
  <c r="C13" i="151" s="1"/>
  <c r="C11" i="133"/>
  <c r="C10" i="133" s="1"/>
  <c r="J9" i="115"/>
  <c r="H10" i="115"/>
  <c r="I32" i="133"/>
  <c r="G36" i="131"/>
  <c r="G35" i="151"/>
  <c r="G35" i="115"/>
  <c r="I44" i="92"/>
  <c r="I41" i="92" s="1"/>
  <c r="I40" i="92" s="1"/>
  <c r="I39" i="92" s="1"/>
  <c r="G199" i="84"/>
  <c r="F40" i="108" s="1"/>
  <c r="B40" i="108"/>
  <c r="C47" i="108"/>
  <c r="C206" i="84"/>
  <c r="H206" i="84"/>
  <c r="G47" i="108" s="1"/>
  <c r="F11" i="110"/>
  <c r="E2" i="110"/>
  <c r="G44" i="61"/>
  <c r="E33" i="115"/>
  <c r="L33" i="115" s="1"/>
  <c r="D14" i="58"/>
  <c r="I11" i="110" l="1"/>
  <c r="F2" i="110"/>
  <c r="D11" i="128"/>
  <c r="D25" i="93"/>
  <c r="H45" i="61"/>
  <c r="E61" i="115"/>
  <c r="G8" i="107"/>
  <c r="E62" i="115"/>
  <c r="I45" i="61"/>
  <c r="G18" i="151"/>
  <c r="G14" i="151" s="1"/>
  <c r="G13" i="151" s="1"/>
  <c r="G19" i="131"/>
  <c r="G15" i="131" s="1"/>
  <c r="G14" i="131" s="1"/>
  <c r="G11" i="133"/>
  <c r="G10" i="133" s="1"/>
  <c r="G31" i="133" s="1"/>
  <c r="P9" i="114"/>
  <c r="P30" i="114" s="1"/>
  <c r="E12" i="107"/>
  <c r="G40" i="92"/>
  <c r="C40" i="133"/>
  <c r="J44" i="92"/>
  <c r="K44" i="92"/>
  <c r="G41" i="92"/>
  <c r="C15" i="108"/>
  <c r="D15" i="108" s="1"/>
  <c r="I15" i="108"/>
  <c r="J15" i="108"/>
  <c r="C208" i="84"/>
  <c r="B47" i="108"/>
  <c r="G206" i="84"/>
  <c r="F47" i="108" s="1"/>
  <c r="E63" i="115"/>
  <c r="J45" i="61"/>
  <c r="I6" i="110"/>
  <c r="I7" i="110"/>
  <c r="I8" i="110"/>
  <c r="G6" i="110"/>
  <c r="G5" i="110"/>
  <c r="G12" i="110"/>
  <c r="I5" i="110"/>
  <c r="G7" i="110"/>
  <c r="I10" i="110"/>
  <c r="G10" i="110"/>
  <c r="G8" i="110"/>
  <c r="G9" i="110"/>
  <c r="I9" i="110"/>
  <c r="I3" i="110"/>
  <c r="G3" i="110"/>
  <c r="I4" i="110"/>
  <c r="G4" i="110"/>
  <c r="G11" i="110"/>
  <c r="I45" i="92"/>
  <c r="G62" i="115"/>
  <c r="H45" i="92"/>
  <c r="G61" i="115"/>
  <c r="R12" i="61"/>
  <c r="K11" i="61"/>
  <c r="Q12" i="61"/>
  <c r="R12" i="92"/>
  <c r="K11" i="92"/>
  <c r="Q12" i="92"/>
  <c r="AA12" i="92" s="1"/>
  <c r="C11" i="128"/>
  <c r="D22" i="58"/>
  <c r="K9" i="114"/>
  <c r="D12" i="107"/>
  <c r="C40" i="134"/>
  <c r="G40" i="61"/>
  <c r="C31" i="133"/>
  <c r="C37" i="134" l="1"/>
  <c r="K5" i="114"/>
  <c r="D10" i="107"/>
  <c r="C37" i="133"/>
  <c r="E10" i="107"/>
  <c r="J40" i="92"/>
  <c r="K40" i="92"/>
  <c r="P5" i="114"/>
  <c r="P26" i="114" s="1"/>
  <c r="G12" i="107"/>
  <c r="J2" i="107" s="1"/>
  <c r="G39" i="92"/>
  <c r="E11" i="107"/>
  <c r="K41" i="92"/>
  <c r="C38" i="133"/>
  <c r="J41" i="92"/>
  <c r="P6" i="114"/>
  <c r="P27" i="114" s="1"/>
  <c r="C22" i="128"/>
  <c r="J11" i="128"/>
  <c r="F11" i="128"/>
  <c r="J9" i="114"/>
  <c r="K30" i="114"/>
  <c r="I2" i="110"/>
  <c r="R44" i="92"/>
  <c r="Q52" i="92"/>
  <c r="Q44" i="92"/>
  <c r="AA44" i="92" s="1"/>
  <c r="J1" i="107"/>
  <c r="H11" i="115"/>
  <c r="H12" i="115" s="1"/>
  <c r="D22" i="128"/>
  <c r="G11" i="128"/>
  <c r="K11" i="128"/>
  <c r="B49" i="108"/>
  <c r="G208" i="84"/>
  <c r="F49" i="108" s="1"/>
  <c r="G40" i="134"/>
  <c r="C114" i="150"/>
  <c r="C43" i="150"/>
  <c r="C44" i="130"/>
  <c r="R11" i="92"/>
  <c r="Q11" i="92"/>
  <c r="K37" i="92"/>
  <c r="I36" i="133"/>
  <c r="G41" i="61"/>
  <c r="R11" i="61"/>
  <c r="Q11" i="61"/>
  <c r="K37" i="61"/>
  <c r="G40" i="133"/>
  <c r="C44" i="131"/>
  <c r="C43" i="151"/>
  <c r="G10" i="107" l="1"/>
  <c r="K22" i="128"/>
  <c r="G22" i="128"/>
  <c r="E9" i="107"/>
  <c r="E14" i="107" s="1"/>
  <c r="B20" i="146" s="1"/>
  <c r="C20" i="146" s="1"/>
  <c r="F22" i="128"/>
  <c r="J22" i="128"/>
  <c r="L47" i="92"/>
  <c r="G60" i="115"/>
  <c r="G45" i="92"/>
  <c r="D19" i="93"/>
  <c r="L39" i="92"/>
  <c r="P4" i="114"/>
  <c r="P25" i="114" s="1"/>
  <c r="G37" i="133"/>
  <c r="C36" i="133"/>
  <c r="C41" i="131"/>
  <c r="C40" i="151"/>
  <c r="J30" i="114"/>
  <c r="D30" i="114" s="1"/>
  <c r="D9" i="114"/>
  <c r="J39" i="92"/>
  <c r="AA11" i="92"/>
  <c r="O37" i="92"/>
  <c r="Y37" i="92" s="1"/>
  <c r="G38" i="133"/>
  <c r="C42" i="131"/>
  <c r="C41" i="151"/>
  <c r="K26" i="114"/>
  <c r="J5" i="114"/>
  <c r="G39" i="61"/>
  <c r="K6" i="114"/>
  <c r="C38" i="134"/>
  <c r="C36" i="134" s="1"/>
  <c r="D11" i="107"/>
  <c r="D9" i="107" s="1"/>
  <c r="G44" i="131"/>
  <c r="G43" i="151"/>
  <c r="R37" i="61"/>
  <c r="K44" i="61"/>
  <c r="E37" i="115"/>
  <c r="E38" i="115" s="1"/>
  <c r="Q37" i="61"/>
  <c r="H14" i="58"/>
  <c r="G37" i="115"/>
  <c r="G38" i="115" s="1"/>
  <c r="R37" i="92"/>
  <c r="H17" i="93"/>
  <c r="Q37" i="92"/>
  <c r="AA37" i="92" s="1"/>
  <c r="G114" i="150"/>
  <c r="G44" i="130"/>
  <c r="G43" i="150"/>
  <c r="Q41" i="92"/>
  <c r="AA41" i="92" s="1"/>
  <c r="R41" i="92"/>
  <c r="Q51" i="92"/>
  <c r="R40" i="92"/>
  <c r="Q50" i="92"/>
  <c r="Q40" i="92"/>
  <c r="AA40" i="92" s="1"/>
  <c r="K39" i="92"/>
  <c r="C111" i="150"/>
  <c r="G37" i="134"/>
  <c r="C40" i="150"/>
  <c r="C41" i="130"/>
  <c r="C39" i="151" l="1"/>
  <c r="C48" i="151" s="1"/>
  <c r="J26" i="114"/>
  <c r="D26" i="114" s="1"/>
  <c r="D5" i="114"/>
  <c r="D13" i="128"/>
  <c r="D44" i="93"/>
  <c r="D27" i="93"/>
  <c r="D16" i="93"/>
  <c r="C29" i="107" s="1"/>
  <c r="H22" i="58"/>
  <c r="H26" i="58"/>
  <c r="G46" i="92"/>
  <c r="G11" i="107"/>
  <c r="J3" i="107" s="1"/>
  <c r="C8" i="134"/>
  <c r="G36" i="134"/>
  <c r="G8" i="134" s="1"/>
  <c r="G9" i="107"/>
  <c r="D14" i="107"/>
  <c r="G63" i="115"/>
  <c r="J45" i="92"/>
  <c r="G36" i="133"/>
  <c r="G8" i="133" s="1"/>
  <c r="C8" i="133"/>
  <c r="R31" i="115" s="1"/>
  <c r="G111" i="150"/>
  <c r="G41" i="130"/>
  <c r="G40" i="150"/>
  <c r="Q53" i="92"/>
  <c r="G38" i="134"/>
  <c r="C112" i="150"/>
  <c r="C110" i="150" s="1"/>
  <c r="C41" i="150"/>
  <c r="C39" i="150" s="1"/>
  <c r="C42" i="130"/>
  <c r="C40" i="130" s="1"/>
  <c r="C40" i="131"/>
  <c r="G40" i="151"/>
  <c r="G41" i="131"/>
  <c r="H29" i="93"/>
  <c r="H25" i="93"/>
  <c r="Q44" i="61"/>
  <c r="K40" i="61"/>
  <c r="K41" i="61" s="1"/>
  <c r="R44" i="61"/>
  <c r="J6" i="114"/>
  <c r="K27" i="114"/>
  <c r="G42" i="131"/>
  <c r="G41" i="151"/>
  <c r="F74" i="150"/>
  <c r="E75" i="150"/>
  <c r="G73" i="150"/>
  <c r="F73" i="150"/>
  <c r="E74" i="150"/>
  <c r="G75" i="150"/>
  <c r="G74" i="150"/>
  <c r="D74" i="150"/>
  <c r="D73" i="150"/>
  <c r="F75" i="150"/>
  <c r="D75" i="150"/>
  <c r="E73" i="150"/>
  <c r="H19" i="93"/>
  <c r="G64" i="115"/>
  <c r="R39" i="92"/>
  <c r="Q39" i="92"/>
  <c r="AA39" i="92" s="1"/>
  <c r="K45" i="92"/>
  <c r="K4" i="114"/>
  <c r="D16" i="58"/>
  <c r="G45" i="61"/>
  <c r="G46" i="61" s="1"/>
  <c r="E24" i="115" s="1"/>
  <c r="E60" i="115"/>
  <c r="K31" i="93"/>
  <c r="K28" i="93" s="1"/>
  <c r="C44" i="151" l="1"/>
  <c r="H16" i="93"/>
  <c r="E24" i="154" s="1"/>
  <c r="H31" i="93"/>
  <c r="G39" i="151"/>
  <c r="G44" i="151" s="1"/>
  <c r="G40" i="131"/>
  <c r="G45" i="131" s="1"/>
  <c r="G65" i="115"/>
  <c r="Q41" i="61"/>
  <c r="R41" i="61"/>
  <c r="C86" i="107"/>
  <c r="C58" i="107"/>
  <c r="C41" i="107"/>
  <c r="C13" i="128"/>
  <c r="D41" i="58"/>
  <c r="D24" i="58"/>
  <c r="D13" i="58"/>
  <c r="C25" i="107" s="1"/>
  <c r="H44" i="93"/>
  <c r="H27" i="93"/>
  <c r="H46" i="93" s="1"/>
  <c r="G112" i="150"/>
  <c r="G110" i="150" s="1"/>
  <c r="G42" i="130"/>
  <c r="G40" i="130" s="1"/>
  <c r="G45" i="130" s="1"/>
  <c r="G41" i="150"/>
  <c r="G39" i="150" s="1"/>
  <c r="G44" i="150" s="1"/>
  <c r="B19" i="146"/>
  <c r="C19" i="146" s="1"/>
  <c r="G14" i="107"/>
  <c r="L45" i="92"/>
  <c r="D46" i="93"/>
  <c r="D24" i="93"/>
  <c r="D62" i="93" s="1"/>
  <c r="J4" i="114"/>
  <c r="K25" i="114"/>
  <c r="Q40" i="61"/>
  <c r="R40" i="61"/>
  <c r="K39" i="61"/>
  <c r="R28" i="115"/>
  <c r="R18" i="115" s="1"/>
  <c r="G9" i="131"/>
  <c r="O28" i="115" s="1"/>
  <c r="O18" i="115" s="1"/>
  <c r="G10" i="151"/>
  <c r="G8" i="151" s="1"/>
  <c r="J4" i="107"/>
  <c r="H14" i="107"/>
  <c r="L46" i="92"/>
  <c r="L48" i="92" s="1"/>
  <c r="G24" i="115"/>
  <c r="R45" i="92"/>
  <c r="Q45" i="92"/>
  <c r="AA45" i="92" s="1"/>
  <c r="K46" i="92"/>
  <c r="G28" i="115" s="1"/>
  <c r="C45" i="131"/>
  <c r="O31" i="115" s="1"/>
  <c r="D26" i="58"/>
  <c r="H30" i="58"/>
  <c r="D24" i="128"/>
  <c r="K13" i="128"/>
  <c r="G13" i="128"/>
  <c r="G14" i="128" s="1"/>
  <c r="G15" i="128" s="1"/>
  <c r="G16" i="128" s="1"/>
  <c r="G18" i="128" s="1"/>
  <c r="D14" i="128"/>
  <c r="C45" i="130"/>
  <c r="N31" i="115" s="1"/>
  <c r="Q28" i="115"/>
  <c r="Q18" i="115" s="1"/>
  <c r="G10" i="150"/>
  <c r="G8" i="150" s="1"/>
  <c r="G11" i="130"/>
  <c r="G9" i="130" s="1"/>
  <c r="N28" i="115" s="1"/>
  <c r="N18" i="115" s="1"/>
  <c r="J27" i="114"/>
  <c r="D27" i="114" s="1"/>
  <c r="D6" i="114"/>
  <c r="H33" i="93"/>
  <c r="D29" i="93"/>
  <c r="H28" i="93"/>
  <c r="C47" i="150"/>
  <c r="C44" i="150"/>
  <c r="Q31" i="115"/>
  <c r="P32" i="115" s="1"/>
  <c r="H24" i="93" l="1"/>
  <c r="H62" i="93" s="1"/>
  <c r="G29" i="107"/>
  <c r="O32" i="115"/>
  <c r="C53" i="131" s="1"/>
  <c r="D15" i="128"/>
  <c r="K15" i="128" s="1"/>
  <c r="K14" i="128"/>
  <c r="D30" i="58"/>
  <c r="J25" i="114"/>
  <c r="D25" i="114" s="1"/>
  <c r="D4" i="114"/>
  <c r="C82" i="107"/>
  <c r="C94" i="107" s="1"/>
  <c r="C54" i="107"/>
  <c r="C37" i="107"/>
  <c r="C115" i="107"/>
  <c r="C127" i="107" s="1"/>
  <c r="C98" i="107"/>
  <c r="D43" i="58"/>
  <c r="D21" i="58"/>
  <c r="R39" i="61"/>
  <c r="K45" i="61"/>
  <c r="Q39" i="61"/>
  <c r="E64" i="115"/>
  <c r="E65" i="115" s="1"/>
  <c r="H16" i="58"/>
  <c r="C24" i="128"/>
  <c r="J13" i="128"/>
  <c r="F13" i="128"/>
  <c r="F14" i="128" s="1"/>
  <c r="F15" i="128" s="1"/>
  <c r="F16" i="128" s="1"/>
  <c r="F18" i="128" s="1"/>
  <c r="C14" i="128"/>
  <c r="B17" i="146"/>
  <c r="C17" i="146" s="1"/>
  <c r="C54" i="131"/>
  <c r="J6" i="107"/>
  <c r="H35" i="93"/>
  <c r="H32" i="93" s="1"/>
  <c r="D31" i="93"/>
  <c r="D28" i="93" s="1"/>
  <c r="G86" i="107"/>
  <c r="G58" i="107"/>
  <c r="G70" i="107" s="1"/>
  <c r="B156" i="107"/>
  <c r="G41" i="107"/>
  <c r="J29" i="93"/>
  <c r="L29" i="93" s="1"/>
  <c r="D33" i="93"/>
  <c r="G24" i="128"/>
  <c r="G25" i="128" s="1"/>
  <c r="G26" i="128" s="1"/>
  <c r="G27" i="128" s="1"/>
  <c r="G29" i="128" s="1"/>
  <c r="K24" i="128"/>
  <c r="D25" i="128"/>
  <c r="D48" i="151"/>
  <c r="E48" i="151" s="1"/>
  <c r="C49" i="151"/>
  <c r="C50" i="151" s="1"/>
  <c r="J58" i="107"/>
  <c r="K58" i="107" s="1"/>
  <c r="C70" i="107"/>
  <c r="J70" i="107" s="1"/>
  <c r="K70" i="107" s="1"/>
  <c r="F24" i="154"/>
  <c r="E22" i="154"/>
  <c r="H24" i="154" l="1"/>
  <c r="F22" i="154"/>
  <c r="H22" i="154" s="1"/>
  <c r="K16" i="128"/>
  <c r="K18" i="128" s="1"/>
  <c r="K19" i="128" s="1"/>
  <c r="G115" i="107"/>
  <c r="G127" i="107" s="1"/>
  <c r="G98" i="107"/>
  <c r="D35" i="93"/>
  <c r="D32" i="93" s="1"/>
  <c r="C15" i="128"/>
  <c r="J15" i="128" s="1"/>
  <c r="J14" i="128"/>
  <c r="F15" i="156"/>
  <c r="E13" i="156"/>
  <c r="F13" i="156" s="1"/>
  <c r="K46" i="61"/>
  <c r="E28" i="115" s="1"/>
  <c r="Q45" i="61"/>
  <c r="R45" i="61"/>
  <c r="D26" i="128"/>
  <c r="K26" i="128" s="1"/>
  <c r="K25" i="128"/>
  <c r="K4" i="107"/>
  <c r="K6" i="107"/>
  <c r="K5" i="107"/>
  <c r="K1" i="107"/>
  <c r="K2" i="107"/>
  <c r="K3" i="107"/>
  <c r="J54" i="107"/>
  <c r="K54" i="107" s="1"/>
  <c r="C66" i="107"/>
  <c r="J66" i="107" s="1"/>
  <c r="K66" i="107" s="1"/>
  <c r="E156" i="107"/>
  <c r="H156" i="107" s="1"/>
  <c r="B205" i="107"/>
  <c r="B207" i="107" s="1"/>
  <c r="J24" i="128"/>
  <c r="F24" i="128"/>
  <c r="F25" i="128" s="1"/>
  <c r="F26" i="128" s="1"/>
  <c r="F27" i="128" s="1"/>
  <c r="F29" i="128" s="1"/>
  <c r="C25" i="128"/>
  <c r="D51" i="58"/>
  <c r="H37" i="107"/>
  <c r="C111" i="107"/>
  <c r="C123" i="107" s="1"/>
  <c r="D16" i="128"/>
  <c r="D18" i="128" s="1"/>
  <c r="H41" i="58"/>
  <c r="H28" i="58"/>
  <c r="H24" i="58"/>
  <c r="H13" i="58"/>
  <c r="B208" i="107" l="1"/>
  <c r="C16" i="128"/>
  <c r="C18" i="128" s="1"/>
  <c r="K27" i="128"/>
  <c r="K29" i="128" s="1"/>
  <c r="K30" i="128" s="1"/>
  <c r="D27" i="128"/>
  <c r="D29" i="128" s="1"/>
  <c r="C48" i="150"/>
  <c r="C26" i="128"/>
  <c r="J26" i="128" s="1"/>
  <c r="J25" i="128"/>
  <c r="E20" i="153"/>
  <c r="G25" i="107"/>
  <c r="H43" i="58"/>
  <c r="H21" i="58"/>
  <c r="H51" i="58" s="1"/>
  <c r="D28" i="58"/>
  <c r="H32" i="58"/>
  <c r="H29" i="58" s="1"/>
  <c r="H25" i="58"/>
  <c r="J16" i="128"/>
  <c r="J18" i="128" s="1"/>
  <c r="J19" i="128" s="1"/>
  <c r="E208" i="107" l="1"/>
  <c r="H208" i="107" s="1"/>
  <c r="B26" i="147"/>
  <c r="H26" i="147" s="1"/>
  <c r="J27" i="128"/>
  <c r="J29" i="128" s="1"/>
  <c r="J30" i="128" s="1"/>
  <c r="C27" i="128"/>
  <c r="C29" i="128" s="1"/>
  <c r="F20" i="153"/>
  <c r="E18" i="153"/>
  <c r="D32" i="58"/>
  <c r="D29" i="58" s="1"/>
  <c r="D25" i="58"/>
  <c r="J28" i="93" s="1"/>
  <c r="L28" i="93" s="1"/>
  <c r="J31" i="93"/>
  <c r="L31" i="93" s="1"/>
  <c r="C52" i="131"/>
  <c r="B147" i="107"/>
  <c r="G82" i="107"/>
  <c r="G54" i="107"/>
  <c r="G66" i="107" s="1"/>
  <c r="G37" i="107"/>
  <c r="D49" i="151"/>
  <c r="E49" i="151" s="1"/>
  <c r="C49" i="150"/>
  <c r="D50" i="151" s="1"/>
  <c r="E50" i="151" s="1"/>
  <c r="H20" i="153" l="1"/>
  <c r="F18" i="153"/>
  <c r="H18" i="153" s="1"/>
  <c r="G111" i="107"/>
  <c r="G123" i="107" s="1"/>
  <c r="G94" i="107"/>
  <c r="E147" i="107"/>
  <c r="H147" i="107" s="1"/>
  <c r="B199" i="107"/>
  <c r="B201" i="107" s="1"/>
  <c r="F10" i="156"/>
  <c r="E8" i="156"/>
  <c r="B202" i="107" l="1"/>
  <c r="E202" i="107" l="1"/>
  <c r="H202" i="107" s="1"/>
  <c r="B24" i="147"/>
  <c r="H24" i="1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J99" authorId="0" shapeId="0" xr:uid="{00000000-0006-0000-0C00-000001000000}">
      <text>
        <r>
          <rPr>
            <b/>
            <sz val="9"/>
            <color indexed="81"/>
            <rFont val="Tahoma"/>
            <family val="2"/>
            <charset val="204"/>
          </rPr>
          <t>Автор:</t>
        </r>
        <r>
          <rPr>
            <sz val="9"/>
            <color indexed="81"/>
            <rFont val="Tahoma"/>
            <family val="2"/>
            <charset val="204"/>
          </rPr>
          <t xml:space="preserve">
фактичні кВТгод РЦ за 2021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0" authorId="0" shapeId="0" xr:uid="{00000000-0006-0000-1400-000001000000}">
      <text>
        <r>
          <rPr>
            <b/>
            <sz val="9"/>
            <color indexed="81"/>
            <rFont val="Tahoma"/>
            <family val="2"/>
            <charset val="204"/>
          </rPr>
          <t>Автор:</t>
        </r>
        <r>
          <rPr>
            <sz val="9"/>
            <color indexed="81"/>
            <rFont val="Tahoma"/>
            <family val="2"/>
            <charset val="204"/>
          </rPr>
          <t xml:space="preserve">
нове</t>
        </r>
      </text>
    </comment>
  </commentList>
</comments>
</file>

<file path=xl/sharedStrings.xml><?xml version="1.0" encoding="utf-8"?>
<sst xmlns="http://schemas.openxmlformats.org/spreadsheetml/2006/main" count="11635" uniqueCount="3527">
  <si>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</si>
  <si>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</si>
  <si>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</si>
  <si>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</si>
  <si>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</si>
  <si>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</si>
  <si>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</si>
  <si>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</si>
  <si>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</si>
  <si>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</si>
  <si>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</si>
  <si>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</si>
  <si>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</si>
  <si>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</si>
  <si>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</si>
  <si>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</si>
  <si>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</si>
  <si>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</si>
  <si>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</si>
  <si>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</si>
  <si>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</si>
  <si>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</si>
  <si>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</si>
  <si>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</si>
  <si>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</si>
  <si>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</si>
  <si>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</si>
  <si>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</si>
  <si>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</si>
  <si>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</si>
  <si>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</si>
  <si>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</si>
  <si>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</si>
  <si>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</si>
  <si>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</si>
  <si>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</si>
  <si>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</si>
  <si>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</si>
  <si>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</si>
  <si>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</si>
  <si>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</si>
  <si>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</si>
  <si>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</si>
  <si>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</si>
  <si>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</si>
  <si>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</si>
  <si>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</si>
  <si>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</si>
  <si>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</si>
  <si>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</si>
  <si>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</si>
  <si>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</si>
  <si>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</si>
  <si>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</si>
  <si>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</si>
  <si>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</si>
  <si>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</si>
  <si>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</si>
  <si>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</si>
  <si>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</si>
  <si>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</si>
  <si>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</si>
  <si>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</si>
  <si>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</si>
  <si>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</si>
  <si>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</si>
  <si>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</si>
  <si>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</si>
  <si>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</si>
  <si>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</si>
  <si>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</si>
  <si>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</si>
  <si>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</si>
  <si>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</si>
  <si>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</si>
  <si>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</si>
  <si>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</si>
  <si>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</si>
  <si>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</si>
  <si>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</si>
  <si>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</si>
  <si>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передбачено діючим тарифом</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</si>
  <si>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</si>
  <si>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</si>
  <si>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</si>
  <si>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</si>
  <si>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</si>
  <si>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</si>
  <si>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</si>
  <si>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</si>
  <si>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</si>
  <si>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</si>
  <si>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</si>
  <si>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</si>
  <si>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</si>
  <si>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</si>
  <si>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</si>
  <si>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</si>
  <si>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</si>
  <si>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</si>
  <si>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</si>
  <si>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</si>
  <si>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</si>
  <si>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</si>
  <si>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</si>
  <si>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</si>
  <si>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</si>
  <si>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</si>
  <si>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</si>
  <si>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</si>
  <si>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</si>
  <si>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</si>
  <si>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</si>
  <si>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</si>
  <si>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</si>
  <si>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</si>
  <si>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</si>
  <si>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</si>
  <si>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</si>
  <si>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</si>
  <si>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</si>
  <si>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</si>
  <si>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</si>
  <si>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</si>
  <si>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</si>
  <si>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</si>
  <si>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</si>
  <si>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</si>
  <si>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</si>
  <si>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Вид палива</t>
  </si>
  <si>
    <t>Відпуск теплової енергії з колекторів, Гкал</t>
  </si>
  <si>
    <t>Калорійність натурального палива, ккал/м3, ккал/кг</t>
  </si>
  <si>
    <t>Витрати натурального палива, тис.м3, тонн</t>
  </si>
  <si>
    <t>Ціна натурального палива, грн/тис. м3, грн/тонну</t>
  </si>
  <si>
    <t>Вартість палива, тис.грн</t>
  </si>
  <si>
    <t>Ціна 1 тонни умовного палива, грн/тонну</t>
  </si>
  <si>
    <t>Газ, у т.ч. для потреб:</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</si>
  <si>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</si>
  <si>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</si>
  <si>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</si>
  <si>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</si>
  <si>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</si>
  <si>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</si>
  <si>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</si>
  <si>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</si>
  <si>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</si>
  <si>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</si>
  <si>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</si>
  <si>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</si>
  <si>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</si>
  <si>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</si>
  <si>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</si>
  <si>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</si>
  <si>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</si>
  <si>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</si>
  <si>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</si>
  <si>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</si>
  <si>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</si>
  <si>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</si>
  <si>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</si>
  <si>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</si>
  <si>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</si>
  <si>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</si>
  <si>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</si>
  <si>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</si>
  <si>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</si>
  <si>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</si>
  <si>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</si>
  <si>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</si>
  <si>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</si>
  <si>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</si>
  <si>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</si>
  <si>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</si>
  <si>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</si>
  <si>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</si>
  <si>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</si>
  <si>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</si>
  <si>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</si>
  <si>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</si>
  <si>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</si>
  <si>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</si>
  <si>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</si>
  <si>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</si>
  <si>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</si>
  <si>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</si>
  <si>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</si>
  <si>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</si>
  <si>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</si>
  <si>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</si>
  <si>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</si>
  <si>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</si>
  <si>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</si>
  <si>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</si>
  <si>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</si>
  <si>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</si>
  <si>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</si>
  <si>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</si>
  <si>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</si>
  <si>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</si>
  <si>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</si>
  <si>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</si>
  <si>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</si>
  <si>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</si>
  <si>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</si>
  <si>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 xml:space="preserve">Базовий період </t>
  </si>
  <si>
    <t>Річний план</t>
  </si>
  <si>
    <t>період, попередній до базового</t>
  </si>
  <si>
    <t>плановий  період</t>
  </si>
  <si>
    <t>(орган місцевого самоврядування)</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</si>
  <si>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</si>
  <si>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</si>
  <si>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</si>
  <si>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</si>
  <si>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корисний відпуск теплової енергії власним  споживачам суб’єкта господарювання, усього,  зокрема на потреби:</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</si>
  <si>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</si>
  <si>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</si>
  <si>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</si>
  <si>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</si>
  <si>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</si>
  <si>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</si>
  <si>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</si>
  <si>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</si>
  <si>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</si>
  <si>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</si>
  <si>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</si>
  <si>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</si>
  <si>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</si>
  <si>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</si>
  <si>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</si>
  <si>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</si>
  <si>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</si>
  <si>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</si>
  <si>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</si>
  <si>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</si>
  <si>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</si>
  <si>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</si>
  <si>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</si>
  <si>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</si>
  <si>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</si>
  <si>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</si>
  <si>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</si>
  <si>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</si>
  <si>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</si>
  <si>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</si>
  <si>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</si>
  <si>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</si>
  <si>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</si>
  <si>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</si>
  <si>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</si>
  <si>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</si>
  <si>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</si>
  <si>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</si>
  <si>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</si>
  <si>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</si>
  <si>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</si>
  <si>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</si>
  <si>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</si>
  <si>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</si>
  <si>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</si>
  <si>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</si>
  <si>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</si>
  <si>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</si>
  <si>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</si>
  <si>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</si>
  <si>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</si>
  <si>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</si>
  <si>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</si>
  <si>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</si>
  <si>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</si>
  <si>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</si>
  <si>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</si>
  <si>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</si>
  <si>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</si>
  <si>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</si>
  <si>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</si>
  <si>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</si>
  <si>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</si>
  <si>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</si>
  <si>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</si>
  <si>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</si>
  <si>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</si>
  <si>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</si>
  <si>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</si>
  <si>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</si>
  <si>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</si>
  <si>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</si>
  <si>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</si>
  <si>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</si>
  <si>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</si>
  <si>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</si>
  <si>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</si>
  <si>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</si>
  <si>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</si>
  <si>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</si>
  <si>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</si>
  <si>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</si>
  <si>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</si>
  <si>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</si>
  <si>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</si>
  <si>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</si>
  <si>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</si>
  <si>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</si>
  <si>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</si>
  <si>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</si>
  <si>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</si>
  <si>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</si>
  <si>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</si>
  <si>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</si>
  <si>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</si>
  <si>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</si>
  <si>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</si>
  <si>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</si>
  <si>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</si>
  <si>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</si>
  <si>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</si>
  <si>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</si>
  <si>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</si>
  <si>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</si>
  <si>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</si>
  <si>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</si>
  <si>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</si>
  <si>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</si>
  <si>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</si>
  <si>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</si>
  <si>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</si>
  <si>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</si>
  <si>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</si>
  <si>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</si>
  <si>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</si>
  <si>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</si>
  <si>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</si>
  <si>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</si>
  <si>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</si>
  <si>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</si>
  <si>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</si>
  <si>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</si>
  <si>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</si>
  <si>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</si>
  <si>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</si>
  <si>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</si>
  <si>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</si>
  <si>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</si>
  <si>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</si>
  <si>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</si>
  <si>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</si>
  <si>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</si>
  <si>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</si>
  <si>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</si>
  <si>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</si>
  <si>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</si>
  <si>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Зокрема</t>
  </si>
  <si>
    <t>5 і більше поверхів</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</si>
  <si>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</si>
  <si>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</si>
  <si>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</si>
  <si>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</si>
  <si>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</si>
  <si>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</si>
  <si>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</si>
  <si>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</si>
  <si>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</si>
  <si>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</si>
  <si>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</si>
  <si>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</si>
  <si>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</si>
  <si>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</si>
  <si>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</si>
  <si>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</si>
  <si>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</si>
  <si>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</si>
  <si>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</si>
  <si>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</si>
  <si>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</si>
  <si>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</si>
  <si>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</si>
  <si>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</si>
  <si>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</si>
  <si>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</si>
  <si>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</si>
  <si>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</si>
  <si>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</si>
  <si>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</si>
  <si>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</si>
  <si>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</si>
  <si>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</si>
  <si>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</si>
  <si>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</si>
  <si>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</si>
  <si>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</si>
  <si>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</si>
  <si>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</si>
  <si>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</si>
  <si>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</si>
  <si>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</si>
  <si>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</si>
  <si>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</si>
  <si>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</si>
  <si>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</si>
  <si>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</si>
  <si>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</si>
  <si>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</si>
  <si>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</si>
  <si>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</si>
  <si>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</si>
  <si>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</si>
  <si>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</si>
  <si>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</si>
  <si>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</si>
  <si>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</si>
  <si>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</si>
  <si>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</si>
  <si>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</si>
  <si>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</si>
  <si>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</si>
  <si>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</si>
  <si>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</si>
  <si>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</si>
  <si>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</si>
  <si>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</si>
  <si>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</si>
  <si>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</si>
  <si>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</si>
  <si>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</si>
  <si>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</si>
  <si>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</si>
  <si>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</si>
  <si>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</si>
  <si>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</si>
  <si>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</si>
  <si>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</si>
  <si>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 xml:space="preserve">*До обласної чи районної ради заява про встановлення тарифів подається лише підприємствами (суб’єктами господарювання), що перебувають у спільній власності територіальних громад. </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</si>
  <si>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</si>
  <si>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</si>
  <si>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</si>
  <si>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</si>
  <si>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</si>
  <si>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</si>
  <si>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</si>
  <si>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</si>
  <si>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</si>
  <si>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</si>
  <si>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</si>
  <si>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</si>
  <si>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</si>
  <si>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</si>
  <si>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</si>
  <si>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</si>
  <si>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</si>
  <si>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</si>
  <si>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</si>
  <si>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</si>
  <si>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</si>
  <si>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</si>
  <si>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</si>
  <si>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</si>
  <si>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</si>
  <si>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</si>
  <si>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</si>
  <si>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</si>
  <si>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</si>
  <si>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</si>
  <si>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</si>
  <si>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</si>
  <si>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</si>
  <si>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</si>
  <si>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</si>
  <si>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</si>
  <si>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</si>
  <si>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</si>
  <si>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</si>
  <si>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</si>
  <si>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</si>
  <si>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</si>
  <si>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</si>
  <si>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</si>
  <si>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</si>
  <si>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</si>
  <si>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</si>
  <si>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</si>
  <si>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</si>
  <si>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</si>
  <si>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</si>
  <si>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</si>
  <si>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</si>
  <si>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</si>
  <si>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</si>
  <si>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</si>
  <si>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</si>
  <si>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</si>
  <si>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</si>
  <si>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</si>
  <si>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</si>
  <si>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</si>
  <si>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</si>
  <si>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</si>
  <si>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</si>
  <si>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</si>
  <si>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</si>
  <si>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</si>
  <si>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</si>
  <si>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</si>
  <si>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</si>
  <si>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</si>
  <si>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</si>
  <si>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</si>
  <si>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</si>
  <si>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</si>
  <si>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</si>
  <si>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</si>
  <si>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</si>
  <si>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</si>
  <si>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</si>
  <si>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</si>
  <si>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</si>
  <si>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</si>
  <si>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</si>
  <si>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</si>
  <si>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</si>
  <si>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</si>
  <si>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</si>
  <si>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</si>
  <si>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</si>
  <si>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</si>
  <si>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</si>
  <si>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</si>
  <si>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</si>
  <si>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</si>
  <si>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</si>
  <si>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</si>
  <si>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</si>
  <si>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</si>
  <si>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</si>
  <si>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</si>
  <si>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</si>
  <si>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</si>
  <si>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</si>
  <si>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</si>
  <si>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</si>
  <si>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</si>
  <si>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</si>
  <si>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</si>
  <si>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</si>
  <si>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</si>
  <si>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</si>
  <si>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</si>
  <si>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</si>
  <si>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</si>
  <si>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</si>
  <si>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</si>
  <si>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</si>
  <si>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</si>
  <si>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</si>
  <si>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</si>
  <si>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</si>
  <si>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</si>
  <si>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</si>
  <si>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</si>
  <si>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</si>
  <si>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</si>
  <si>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</si>
  <si>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</si>
  <si>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</si>
  <si>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</si>
  <si>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</si>
  <si>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</si>
  <si>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</si>
  <si>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</si>
  <si>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</si>
  <si>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</si>
  <si>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</si>
  <si>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</si>
  <si>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</si>
  <si>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</si>
  <si>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</si>
  <si>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</si>
  <si>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</si>
  <si>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</si>
  <si>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Чинні тарифи (зазначити через дефіс номер і дату рішення для кожної групи споживачів, якщо це різні рішення)</t>
  </si>
  <si>
    <t>Адреси житлових будинків із системами автономного опалення (САО)</t>
  </si>
  <si>
    <t>відсутні</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</si>
  <si>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</si>
  <si>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</si>
  <si>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</si>
  <si>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</si>
  <si>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</si>
  <si>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</si>
  <si>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</si>
  <si>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</si>
  <si>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</si>
  <si>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</si>
  <si>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</si>
  <si>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</si>
  <si>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</si>
  <si>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змінено назву, було - амортизаційні відрахування</t>
  </si>
  <si>
    <t>змінено назву, було - відрахування на соціальні заходи</t>
  </si>
  <si>
    <t>змінено назву, було - обсяг реалізованої…</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</si>
  <si>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</si>
  <si>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</si>
  <si>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</si>
  <si>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</si>
  <si>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</si>
  <si>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ЗАТВЕРДЖЕНО:</t>
  </si>
  <si>
    <t>Директор КП "ЧТЕ"</t>
  </si>
  <si>
    <t>Паншин А.В.</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</si>
  <si>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</si>
  <si>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</si>
  <si>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</si>
  <si>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</si>
  <si>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</si>
  <si>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</si>
  <si>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2017 - 2018</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</si>
  <si>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</si>
  <si>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</si>
  <si>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</si>
  <si>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</si>
  <si>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</si>
  <si>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</si>
  <si>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</si>
  <si>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</si>
  <si>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</si>
  <si>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</si>
  <si>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</si>
  <si>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</si>
  <si>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</si>
  <si>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</si>
  <si>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</si>
  <si>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</si>
  <si>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</si>
  <si>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</si>
  <si>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</si>
  <si>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</si>
  <si>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</si>
  <si>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</si>
  <si>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</si>
  <si>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</si>
  <si>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</si>
  <si>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</si>
  <si>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</si>
  <si>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</si>
  <si>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</si>
  <si>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</si>
  <si>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</si>
  <si>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</si>
  <si>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</si>
  <si>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</si>
  <si>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</si>
  <si>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</si>
  <si>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</si>
  <si>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</si>
  <si>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</si>
  <si>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</si>
  <si>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</si>
  <si>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</si>
  <si>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</si>
  <si>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</si>
  <si>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</si>
  <si>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</si>
  <si>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</si>
  <si>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</si>
  <si>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</si>
  <si>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</si>
  <si>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</si>
  <si>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</si>
  <si>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</si>
  <si>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</si>
  <si>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</si>
  <si>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</si>
  <si>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</si>
  <si>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</si>
  <si>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</si>
  <si>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</si>
  <si>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</si>
  <si>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</si>
  <si>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</si>
  <si>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</si>
  <si>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</si>
  <si>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</si>
  <si>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</si>
  <si>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</si>
  <si>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</si>
  <si>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</si>
  <si>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</si>
  <si>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</si>
  <si>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</si>
  <si>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</si>
  <si>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</si>
  <si>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</si>
  <si>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</si>
  <si>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</si>
  <si>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</si>
  <si>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</si>
  <si>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</si>
  <si>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</si>
  <si>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</si>
  <si>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</si>
  <si>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</si>
  <si>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</si>
  <si>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</si>
  <si>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</si>
  <si>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ВТВ</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</si>
  <si>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</si>
  <si>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</si>
  <si>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</si>
  <si>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</si>
  <si>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</si>
  <si>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</si>
  <si>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</si>
  <si>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</si>
  <si>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</si>
  <si>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</si>
  <si>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</si>
  <si>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</si>
  <si>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</si>
  <si>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</si>
  <si>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</si>
  <si>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</si>
  <si>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</si>
  <si>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</si>
  <si>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</si>
  <si>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</si>
  <si>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</si>
  <si>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</si>
  <si>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</si>
  <si>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</si>
  <si>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</si>
  <si>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</si>
  <si>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</si>
  <si>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</si>
  <si>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</si>
  <si>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</si>
  <si>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</si>
  <si>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</si>
  <si>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</si>
  <si>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</si>
  <si>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</si>
  <si>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</si>
  <si>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</si>
  <si>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</si>
  <si>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</si>
  <si>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</si>
  <si>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</si>
  <si>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</si>
  <si>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</si>
  <si>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</si>
  <si>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</si>
  <si>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</si>
  <si>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</si>
  <si>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</si>
  <si>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</si>
  <si>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</si>
  <si>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</si>
  <si>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</si>
  <si>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</si>
  <si>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</si>
  <si>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</si>
  <si>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</si>
  <si>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</si>
  <si>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змінено порядок</t>
  </si>
  <si>
    <t>Вартість електроенергії (постачання)</t>
  </si>
  <si>
    <t>грн/кВт ∙год</t>
  </si>
  <si>
    <t>Вартість електроенергії (розподіл)</t>
  </si>
  <si>
    <t>грн/кВАр∙год</t>
  </si>
  <si>
    <t>Тариф на послуги з розподілу електричної енергії, 2 клас напруги, без ПДВ</t>
  </si>
  <si>
    <t>Тариф на електричну енергію, без ПДВ</t>
  </si>
  <si>
    <t>кВт×год</t>
  </si>
  <si>
    <t>квар×год</t>
  </si>
  <si>
    <t>Всього</t>
  </si>
  <si>
    <t>в тому числі</t>
  </si>
  <si>
    <t>прямі витрати на виробництво теплової енергії (технологічні)</t>
  </si>
  <si>
    <t>прямі витрати на транспортування теплової енергії (технологічні)</t>
  </si>
  <si>
    <t>на неліцензовану діяльність (абонвідділ)</t>
  </si>
  <si>
    <t>на внески</t>
  </si>
  <si>
    <t>витрати на проведення ремонтів</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</si>
  <si>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</si>
  <si>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</si>
  <si>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</si>
  <si>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</si>
  <si>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</si>
  <si>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</si>
  <si>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</si>
  <si>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</si>
  <si>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</si>
  <si>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</si>
  <si>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</si>
  <si>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</si>
  <si>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Розрахунок фактичного співвідношення активної та реактивної електроенергії за</t>
  </si>
  <si>
    <t>рік для застосування у планованому періоді</t>
  </si>
  <si>
    <t>Планований рік всього</t>
  </si>
  <si>
    <t>Обсяг споживання активної електроенергії всього, у т.ч.:</t>
  </si>
  <si>
    <t>ЦТП</t>
  </si>
  <si>
    <t>Мережеві насоси</t>
  </si>
  <si>
    <t>Підживлювальні насоси</t>
  </si>
  <si>
    <t>Усього витрати електроенергії</t>
  </si>
  <si>
    <t>Відноситься до котельні / ЦТП</t>
  </si>
  <si>
    <t>Втрати при трансформації (4%)</t>
  </si>
  <si>
    <t>Усього витрати електроенергії з втратами</t>
  </si>
  <si>
    <t>з ЦТП (розподіл по % відпуску)</t>
  </si>
  <si>
    <t>без ЦТП (розподіл по % відпуску)</t>
  </si>
  <si>
    <t>Загальні витрати електроенергії з ЦТП</t>
  </si>
  <si>
    <t>Загальні витрати електроенергії з ЦТП з урахуванням втрат</t>
  </si>
  <si>
    <t>Загальні витрати електроенергії без ЦТП</t>
  </si>
  <si>
    <t>Загальні витрати електроенергії без ЦТП з урахуванням втрат</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</si>
  <si>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</si>
  <si>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</si>
  <si>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</si>
  <si>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</si>
  <si>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</si>
  <si>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</si>
  <si>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</si>
  <si>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</si>
  <si>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</si>
  <si>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</si>
  <si>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</si>
  <si>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</si>
  <si>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</si>
  <si>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Розрахунок калорійного еквіваленту за</t>
  </si>
  <si>
    <t>Калорійний еквівалент</t>
  </si>
  <si>
    <t>тариф на послуги розподілу природного газу</t>
  </si>
  <si>
    <t>тариф на транспортування природного газу</t>
  </si>
  <si>
    <t>Постачання природного газу</t>
  </si>
  <si>
    <t>Транспортування природного газу</t>
  </si>
  <si>
    <t>Розподіл природного газу</t>
  </si>
  <si>
    <t>Розподіл обсягу відпуску теплової енергії  та кубів природного газу для послуги розподілу для господарських потреб ліцензованої діяльності суб’єкта господарювання</t>
  </si>
  <si>
    <t>куб.м.</t>
  </si>
  <si>
    <t>2019, 2020-2021</t>
  </si>
  <si>
    <t>Прийнятий для планових розрахунків із заокругленням</t>
  </si>
  <si>
    <t>Калорійність прийнята для планових розрахунків (еквівалент * 7000)</t>
  </si>
  <si>
    <t>Обсяг розподілу природного газу для господарських потреб усього, зокрема для включення до обсягів:</t>
  </si>
  <si>
    <t>Обсяг розподілу природного газу усього, зокрема:</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</si>
  <si>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</si>
  <si>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</si>
  <si>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</si>
  <si>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</si>
  <si>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</si>
  <si>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</si>
  <si>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</si>
  <si>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</si>
  <si>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</si>
  <si>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</si>
  <si>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</si>
  <si>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</si>
  <si>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кВт год</t>
  </si>
  <si>
    <t>Розподіл планованих витрат активної електроенергії на транспортування теплової енергії для включення до тарифів на транспортування теплової енергії з урахуванням витрат на утримання та ремонт ЦТП</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</si>
  <si>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</si>
  <si>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</si>
  <si>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</si>
  <si>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</si>
  <si>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</si>
  <si>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</si>
  <si>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</si>
  <si>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</si>
  <si>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абонвідділ</t>
  </si>
  <si>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</si>
  <si>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</si>
  <si>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</si>
  <si>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</si>
  <si>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</si>
  <si>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</si>
  <si>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</si>
  <si>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</si>
  <si>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</si>
  <si>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</si>
  <si>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</si>
  <si>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</si>
  <si>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</si>
  <si>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</si>
  <si>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</si>
  <si>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</si>
  <si>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</si>
  <si>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</si>
  <si>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</si>
  <si>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грн., без ПДВ</t>
  </si>
  <si>
    <t>Структурній підрозділ</t>
  </si>
  <si>
    <t>Оператор зв’язку</t>
  </si>
  <si>
    <t>Договір</t>
  </si>
  <si>
    <t>од. виміру</t>
  </si>
  <si>
    <t xml:space="preserve">Кількість номерів телефонів   </t>
  </si>
  <si>
    <t xml:space="preserve"> Прямі витрати</t>
  </si>
  <si>
    <t>Загально-виробничі</t>
  </si>
  <si>
    <t>Адмініст-ративні</t>
  </si>
  <si>
    <t>Виробництво</t>
  </si>
  <si>
    <t>Транспор-тування</t>
  </si>
  <si>
    <t>Поста-чання</t>
  </si>
  <si>
    <t>Внески</t>
  </si>
  <si>
    <t>Абонентське обслуговуваня</t>
  </si>
  <si>
    <t>Вироб-ництво</t>
  </si>
  <si>
    <t>Послуги</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</si>
  <si>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</si>
  <si>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</si>
  <si>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</si>
  <si>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</si>
  <si>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</si>
  <si>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</si>
  <si>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</si>
  <si>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</si>
  <si>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</si>
  <si>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</si>
  <si>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</si>
  <si>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</si>
  <si>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</si>
  <si>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</si>
  <si>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</si>
  <si>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</si>
  <si>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</si>
  <si>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</si>
  <si>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</si>
  <si>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</si>
  <si>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</si>
  <si>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</si>
  <si>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</si>
  <si>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</si>
  <si>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</si>
  <si>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</si>
  <si>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ПрАТ "Київстар"</t>
  </si>
  <si>
    <t>Плата за 1 номер</t>
  </si>
  <si>
    <t>Плата всього</t>
  </si>
  <si>
    <t>Всього по договору № 5520345</t>
  </si>
  <si>
    <t>Кількість пристроїв Інтернет</t>
  </si>
  <si>
    <t>ТОВ "Глобал-сіті-нет"</t>
  </si>
  <si>
    <t xml:space="preserve">Всего  по договору №886958 </t>
  </si>
  <si>
    <t>Вик. Калмацуй К. Б.</t>
  </si>
  <si>
    <t>Постачання</t>
  </si>
  <si>
    <t>скорочено</t>
  </si>
  <si>
    <t>Всього по договорам №110800, 110793</t>
  </si>
  <si>
    <t>Абонплата за рік, грн</t>
  </si>
  <si>
    <t>Абонплата за 1 номер в місяць</t>
  </si>
  <si>
    <t>Абонплата за Інтернет в місяць</t>
  </si>
  <si>
    <t>Разом послуги звязку всього,  без ПДВ</t>
  </si>
  <si>
    <t>Заступник директора з економіки</t>
  </si>
  <si>
    <t>Начальник юридичного відділу</t>
  </si>
  <si>
    <t>Відділ збуту</t>
  </si>
  <si>
    <t>Енергонагляд</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</si>
  <si>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</si>
  <si>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</si>
  <si>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</si>
  <si>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</si>
  <si>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</si>
  <si>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</si>
  <si>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</si>
  <si>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</si>
  <si>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</si>
  <si>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</si>
  <si>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</si>
  <si>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</si>
  <si>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</si>
  <si>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</si>
  <si>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</si>
  <si>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</si>
  <si>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</si>
  <si>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</si>
  <si>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</si>
  <si>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</si>
  <si>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</si>
  <si>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</si>
  <si>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</si>
  <si>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</si>
  <si>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</si>
  <si>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</si>
  <si>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</si>
  <si>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</si>
  <si>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</si>
  <si>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</si>
  <si>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</si>
  <si>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</si>
  <si>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</si>
  <si>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</si>
  <si>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</si>
  <si>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</si>
  <si>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</si>
  <si>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</si>
  <si>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Фактичні витрати ПММ за 2019 рік,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</si>
  <si>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</si>
  <si>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</si>
  <si>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</si>
  <si>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</si>
  <si>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</si>
  <si>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</si>
  <si>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</si>
  <si>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</si>
  <si>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</si>
  <si>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</si>
  <si>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</si>
  <si>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</si>
  <si>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</si>
  <si>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</si>
  <si>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</si>
  <si>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</si>
  <si>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</si>
  <si>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</si>
  <si>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</si>
  <si>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 xml:space="preserve">(П.І.Б.)               </t>
  </si>
  <si>
    <t>факт на ІЦВ</t>
  </si>
  <si>
    <t>без ПДВ</t>
  </si>
  <si>
    <t>№ п/п</t>
  </si>
  <si>
    <t>Медогляд</t>
  </si>
  <si>
    <t>Абон. Обслуг.</t>
  </si>
  <si>
    <t>ЗВВ</t>
  </si>
  <si>
    <t>Адміністративні</t>
  </si>
  <si>
    <t>Разом</t>
  </si>
  <si>
    <t>люд.</t>
  </si>
  <si>
    <t>вартість</t>
  </si>
  <si>
    <t>1 раз на 1 рік</t>
  </si>
  <si>
    <t>Психофізіологічна експертиза</t>
  </si>
  <si>
    <t>Медичний оглядів працівників щодо придатності до керування транспортним засобом</t>
  </si>
  <si>
    <t>Наркологичний оглядів працівників</t>
  </si>
  <si>
    <t>Психіатричний оглядів працівників</t>
  </si>
  <si>
    <t>Обов’язковий періодичний медичний огляд працівників</t>
  </si>
  <si>
    <t>2 рази на 1 рік</t>
  </si>
  <si>
    <t>Бактеріологічні та паразитологічні дослідження</t>
  </si>
  <si>
    <t>№№</t>
  </si>
  <si>
    <t>Навчання</t>
  </si>
  <si>
    <t>ціна</t>
  </si>
  <si>
    <t>1 раз на 3 роки</t>
  </si>
  <si>
    <t>члени ПДК</t>
  </si>
  <si>
    <t>Всього сума, грн.</t>
  </si>
  <si>
    <t>Навчання по  «Правилам будови та безпечної експлуатації вантажопідіймальних кранів» та «Правилам будови  та безпечної експлуатації посудин, що працюють під тиском»</t>
  </si>
  <si>
    <t>Навчання з питань цивільного захисту</t>
  </si>
  <si>
    <t>1 раз на  роки</t>
  </si>
  <si>
    <t>Правила безпеки систем газопостачання</t>
  </si>
  <si>
    <t>РАЗОМ сума, грн.</t>
  </si>
  <si>
    <t>Спецодяг</t>
  </si>
  <si>
    <t>сума, грн.</t>
  </si>
  <si>
    <t>куртка утеплена</t>
  </si>
  <si>
    <t>черевики шкіряні</t>
  </si>
  <si>
    <t>чоботи гумові (чол)/гідрокостюм</t>
  </si>
  <si>
    <t>жилет сигнальний</t>
  </si>
  <si>
    <t>рукавички бавов</t>
  </si>
  <si>
    <t>Рукавиці гумові</t>
  </si>
  <si>
    <t xml:space="preserve">плащ влагозахисний(костюм) </t>
  </si>
  <si>
    <t>навушники противошумні</t>
  </si>
  <si>
    <t>Фартух з нагрудником</t>
  </si>
  <si>
    <t>каска захисна</t>
  </si>
  <si>
    <t>шапка утепл.</t>
  </si>
  <si>
    <t>рукавички утепл.</t>
  </si>
  <si>
    <t>пояс предохр</t>
  </si>
  <si>
    <t>костюм зварника</t>
  </si>
  <si>
    <t>окуляри захисні</t>
  </si>
  <si>
    <t>рукавиці диелектричні (чергові)</t>
  </si>
  <si>
    <t>Разом, грн.</t>
  </si>
  <si>
    <t>1 р в 5 роки</t>
  </si>
  <si>
    <t>Атестація робочих місць</t>
  </si>
  <si>
    <t>1 р в 2 роки</t>
  </si>
  <si>
    <t>Атестація зварників</t>
  </si>
  <si>
    <t>Додаток____</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</si>
  <si>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</si>
  <si>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</si>
  <si>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</si>
  <si>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</si>
  <si>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</si>
  <si>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</si>
  <si>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</si>
  <si>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</si>
  <si>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</si>
  <si>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</si>
  <si>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</si>
  <si>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</si>
  <si>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</si>
  <si>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</si>
  <si>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</si>
  <si>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</si>
  <si>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</si>
  <si>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</si>
  <si>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</si>
  <si>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</si>
  <si>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</si>
  <si>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</si>
  <si>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</si>
  <si>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VIІ</t>
  </si>
  <si>
    <t>Загальновиробничий персонал</t>
  </si>
  <si>
    <t>VIІІ</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</si>
  <si>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</si>
  <si>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</si>
  <si>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</si>
  <si>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</si>
  <si>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</si>
  <si>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</si>
  <si>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</si>
  <si>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</si>
  <si>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на плановий період</t>
  </si>
  <si>
    <t>Додаток__</t>
  </si>
  <si>
    <t>Всього амортизація</t>
  </si>
  <si>
    <t>Виробництво ТЕ котельнями</t>
  </si>
  <si>
    <t>Постачання ТЕ</t>
  </si>
  <si>
    <t>Послуги з встановлення, обслуговування та заміни ВКО</t>
  </si>
  <si>
    <t>Активи:</t>
  </si>
  <si>
    <t>Амортизація, грн в т.ч.:</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</si>
  <si>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</si>
  <si>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</si>
  <si>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</si>
  <si>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</si>
  <si>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</si>
  <si>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</si>
  <si>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</si>
  <si>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</si>
  <si>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</si>
  <si>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бюджет</t>
  </si>
  <si>
    <t>прочие</t>
  </si>
  <si>
    <t>7.1.</t>
  </si>
  <si>
    <t>8.1.</t>
  </si>
  <si>
    <t>9.1.</t>
  </si>
  <si>
    <t>9.2.</t>
  </si>
  <si>
    <t>9.3.</t>
  </si>
  <si>
    <t>ВІТАЛІЯ ШУМА 11</t>
  </si>
  <si>
    <t>наявний</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</si>
  <si>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</si>
  <si>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</si>
  <si>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</si>
  <si>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</si>
  <si>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</si>
  <si>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</si>
  <si>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</si>
  <si>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</si>
  <si>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</si>
  <si>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</si>
  <si>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</si>
  <si>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</si>
  <si>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</si>
  <si>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</si>
  <si>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</si>
  <si>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</si>
  <si>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</si>
  <si>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</si>
  <si>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</si>
  <si>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</si>
  <si>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</si>
  <si>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</si>
  <si>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</si>
  <si>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</si>
  <si>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</si>
  <si>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</si>
  <si>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</si>
  <si>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</si>
  <si>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</si>
  <si>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</si>
  <si>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</si>
  <si>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</si>
  <si>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</si>
  <si>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</si>
  <si>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</si>
  <si>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</si>
  <si>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</si>
  <si>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</si>
  <si>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</si>
  <si>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</si>
  <si>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</si>
  <si>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</si>
  <si>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</si>
  <si>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</si>
  <si>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</si>
  <si>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</si>
  <si>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</si>
  <si>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</si>
  <si>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</si>
  <si>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</si>
  <si>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</si>
  <si>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</si>
  <si>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</si>
  <si>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</si>
  <si>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</si>
  <si>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</si>
  <si>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</si>
  <si>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</si>
  <si>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</si>
  <si>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</si>
  <si>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</si>
  <si>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</si>
  <si>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</si>
  <si>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</si>
  <si>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</si>
  <si>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</si>
  <si>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</si>
  <si>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</si>
  <si>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</si>
  <si>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</si>
  <si>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</si>
  <si>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</si>
  <si>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</si>
  <si>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</si>
  <si>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</si>
  <si>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</si>
  <si>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</si>
  <si>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</si>
  <si>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</si>
  <si>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</si>
  <si>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</si>
  <si>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</si>
  <si>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</si>
  <si>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</si>
  <si>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</si>
  <si>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</si>
  <si>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</si>
  <si>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</si>
  <si>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</si>
  <si>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</si>
  <si>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</si>
  <si>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</si>
  <si>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</si>
  <si>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</si>
  <si>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</si>
  <si>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</si>
  <si>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</si>
  <si>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</si>
  <si>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</si>
  <si>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</si>
  <si>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</si>
  <si>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</si>
  <si>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</si>
  <si>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</si>
  <si>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</si>
  <si>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</si>
  <si>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</si>
  <si>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</si>
  <si>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</si>
  <si>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</si>
  <si>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</si>
  <si>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</si>
  <si>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</si>
  <si>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</si>
  <si>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</si>
  <si>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</si>
  <si>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</si>
  <si>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</si>
  <si>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</si>
  <si>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</si>
  <si>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</si>
  <si>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</si>
  <si>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ПЕРШОГО ТРАВНЯ 10</t>
  </si>
  <si>
    <t>ПЕРШОГО ТРАВНЯ 10-Б</t>
  </si>
  <si>
    <t>ПЕРШОГО ТРАВНЯ 11</t>
  </si>
  <si>
    <t>ПЕРШОГО ТРАВНЯ 13</t>
  </si>
  <si>
    <t>ПЕРШОГО ТРАВНЯ 15-А</t>
  </si>
  <si>
    <t>ПЕРШОГО ТРАВНЯ 17</t>
  </si>
  <si>
    <t>ПЕРШОГО ТРАВНЯ 2</t>
  </si>
  <si>
    <t>ПЕРШОГО ТРАВНЯ 2-А</t>
  </si>
  <si>
    <t>ПЕРШОГО ТРАВНЯ 4</t>
  </si>
  <si>
    <t>ПЕРШОГО ТРАВНЯ 4-А</t>
  </si>
  <si>
    <t>ПЕРШОГО ТРАВНЯ 5</t>
  </si>
  <si>
    <t>ПЕРШОГО ТРАВНЯ 6</t>
  </si>
  <si>
    <t>ПЕРШОГО ТРАВНЯ 6-Б</t>
  </si>
  <si>
    <t>ПЕРШОГО ТРАВНЯ 7</t>
  </si>
  <si>
    <t>ПЕРШОГО ТРАВНЯ 7-А</t>
  </si>
  <si>
    <t>ПЕРШОГО ТРАВНЯ 8</t>
  </si>
  <si>
    <t>ПЕРШОГО ТРАВНЯ 8-А</t>
  </si>
  <si>
    <t>ПЕРШОГО ТРАВНЯ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</si>
  <si>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</si>
  <si>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</si>
  <si>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</si>
  <si>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</si>
  <si>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</si>
  <si>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</si>
  <si>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</si>
  <si>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</si>
  <si>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</si>
  <si>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</si>
  <si>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</si>
  <si>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</si>
  <si>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</si>
  <si>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</si>
  <si>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</si>
  <si>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</si>
  <si>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</si>
  <si>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</si>
  <si>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</si>
  <si>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</si>
  <si>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</si>
  <si>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</si>
  <si>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</si>
  <si>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</si>
  <si>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</si>
  <si>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</si>
  <si>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</si>
  <si>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</si>
  <si>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</si>
  <si>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</si>
  <si>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</si>
  <si>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</si>
  <si>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</si>
  <si>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</si>
  <si>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</si>
  <si>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</si>
  <si>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</si>
  <si>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</si>
  <si>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</si>
  <si>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</si>
  <si>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</si>
  <si>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</si>
  <si>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</si>
  <si>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</si>
  <si>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</si>
  <si>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</si>
  <si>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</si>
  <si>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</si>
  <si>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</si>
  <si>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</si>
  <si>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</si>
  <si>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</si>
  <si>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</si>
  <si>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</si>
  <si>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</si>
  <si>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</si>
  <si>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</si>
  <si>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</si>
  <si>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</si>
  <si>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</si>
  <si>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</si>
  <si>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</si>
  <si>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</si>
  <si>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</si>
  <si>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</si>
  <si>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</si>
  <si>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</si>
  <si>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</si>
  <si>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</si>
  <si>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</si>
  <si>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</si>
  <si>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</si>
  <si>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</si>
  <si>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</si>
  <si>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</si>
  <si>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</si>
  <si>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</si>
  <si>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</si>
  <si>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</si>
  <si>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</si>
  <si>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</si>
  <si>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</si>
  <si>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</si>
  <si>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</si>
  <si>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Перенесено в ЗВВ</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</si>
  <si>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</si>
  <si>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</si>
  <si>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</si>
  <si>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</si>
  <si>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</si>
  <si>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</si>
  <si>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</si>
  <si>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</si>
  <si>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</si>
  <si>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</si>
  <si>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</si>
  <si>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</si>
  <si>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</si>
  <si>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</si>
  <si>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</si>
  <si>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</si>
  <si>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</si>
  <si>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</si>
  <si>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</si>
  <si>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</si>
  <si>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</si>
  <si>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</si>
  <si>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</si>
  <si>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</si>
  <si>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</si>
  <si>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</si>
  <si>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</si>
  <si>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</si>
  <si>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</si>
  <si>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</si>
  <si>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</si>
  <si>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</si>
  <si>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</si>
  <si>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</si>
  <si>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</si>
  <si>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</si>
  <si>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</si>
  <si>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</si>
  <si>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</si>
  <si>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</si>
  <si>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</si>
  <si>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</si>
  <si>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</si>
  <si>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</si>
  <si>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</si>
  <si>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</si>
  <si>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</si>
  <si>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</si>
  <si>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</si>
  <si>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</si>
  <si>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</si>
  <si>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</si>
  <si>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</si>
  <si>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</si>
  <si>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</si>
  <si>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</si>
  <si>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</si>
  <si>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</si>
  <si>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</si>
  <si>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</si>
  <si>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</si>
  <si>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</si>
  <si>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</si>
  <si>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</si>
  <si>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</si>
  <si>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</si>
  <si>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</si>
  <si>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</si>
  <si>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</si>
  <si>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</si>
  <si>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</si>
  <si>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</si>
  <si>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</si>
  <si>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</si>
  <si>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</si>
  <si>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</si>
  <si>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</si>
  <si>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</si>
  <si>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</si>
  <si>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</si>
  <si>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</si>
  <si>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</si>
  <si>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</si>
  <si>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</si>
  <si>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</si>
  <si>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</si>
  <si>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</si>
  <si>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</si>
  <si>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</si>
  <si>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</si>
  <si>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</si>
  <si>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</si>
  <si>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</si>
  <si>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</si>
  <si>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</si>
  <si>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</si>
  <si>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</si>
  <si>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</si>
  <si>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</si>
  <si>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</si>
  <si>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</si>
  <si>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</si>
  <si>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</si>
  <si>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</si>
  <si>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</si>
  <si>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</si>
  <si>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</si>
  <si>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</si>
  <si>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</si>
  <si>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</si>
  <si>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</si>
  <si>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</si>
  <si>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</si>
  <si>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</si>
  <si>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</si>
  <si>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</si>
  <si>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</si>
  <si>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</si>
  <si>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</si>
  <si>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</si>
  <si>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</si>
  <si>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</si>
  <si>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</si>
  <si>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</si>
  <si>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</si>
  <si>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</si>
  <si>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</si>
  <si>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</si>
  <si>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</si>
  <si>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</si>
  <si>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</si>
  <si>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</si>
  <si>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</si>
  <si>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</si>
  <si>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</si>
  <si>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</si>
  <si>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</si>
  <si>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</si>
  <si>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</si>
  <si>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</si>
  <si>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</si>
  <si>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</si>
  <si>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</si>
  <si>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</si>
  <si>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</si>
  <si>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</si>
  <si>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</si>
  <si>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</si>
  <si>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</si>
  <si>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</si>
  <si>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</si>
  <si>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</si>
  <si>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</si>
  <si>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</si>
  <si>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</si>
  <si>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</si>
  <si>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</si>
  <si>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</si>
  <si>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</si>
  <si>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</si>
  <si>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</si>
  <si>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</si>
  <si>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</si>
  <si>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Смета ПИР</t>
  </si>
  <si>
    <t>Смета</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</si>
  <si>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</si>
  <si>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</si>
  <si>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</si>
  <si>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</si>
  <si>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</si>
  <si>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</si>
  <si>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</si>
  <si>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</si>
  <si>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</si>
  <si>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</si>
  <si>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</si>
  <si>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</si>
  <si>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</si>
  <si>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</si>
  <si>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</si>
  <si>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</si>
  <si>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</si>
  <si>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факт</t>
  </si>
  <si>
    <t>розрахунок на листі Зв'язок</t>
  </si>
  <si>
    <t>кошторис на ремонт санвузлів</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</si>
  <si>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</si>
  <si>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</si>
  <si>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</si>
  <si>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</si>
  <si>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</si>
  <si>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</si>
  <si>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</si>
  <si>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</si>
  <si>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оцінка обсягів водокористування</t>
  </si>
  <si>
    <t>послуги дератизації</t>
  </si>
  <si>
    <t>вимірювання опору заземлення</t>
  </si>
  <si>
    <t>лабораторні випробування захисних засобів</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</si>
  <si>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</si>
  <si>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</si>
  <si>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</si>
  <si>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</si>
  <si>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</si>
  <si>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</si>
  <si>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</si>
  <si>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</si>
  <si>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</si>
  <si>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</si>
  <si>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</si>
  <si>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</si>
  <si>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</si>
  <si>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</si>
  <si>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</si>
  <si>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</si>
  <si>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</si>
  <si>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</si>
  <si>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</si>
  <si>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</si>
  <si>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</si>
  <si>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</si>
  <si>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</si>
  <si>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</si>
  <si>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</si>
  <si>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</si>
  <si>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</si>
  <si>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</si>
  <si>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</si>
  <si>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</si>
  <si>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</si>
  <si>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</si>
  <si>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</si>
  <si>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</si>
  <si>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</si>
  <si>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</si>
  <si>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</si>
  <si>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</si>
  <si>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</si>
  <si>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</si>
  <si>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</si>
  <si>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</si>
  <si>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</si>
  <si>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</si>
  <si>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</si>
  <si>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</si>
  <si>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</si>
  <si>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</si>
  <si>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</si>
  <si>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</si>
  <si>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</si>
  <si>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</si>
  <si>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</si>
  <si>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</si>
  <si>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</si>
  <si>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</si>
  <si>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</si>
  <si>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</si>
  <si>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</si>
  <si>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</si>
  <si>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</si>
  <si>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</si>
  <si>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</si>
  <si>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</si>
  <si>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</si>
  <si>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</si>
  <si>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</si>
  <si>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</si>
  <si>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</si>
  <si>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</si>
  <si>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без урахування витрат на утримання та ремонт індивідуальних теплових пунктів</t>
  </si>
  <si>
    <t>загальновиробничі потреби, крім ремонтів</t>
  </si>
  <si>
    <t>на ремонти</t>
  </si>
  <si>
    <t>Обсяг споживання реактивної електроенергії (на ремонти)</t>
  </si>
  <si>
    <t>Вартість активної та реактивної електроенергії на ремонти</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</si>
  <si>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</si>
  <si>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</si>
  <si>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</si>
  <si>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</si>
  <si>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</si>
  <si>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</si>
  <si>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державна повірка та юстування</t>
  </si>
  <si>
    <t>обслуговування теплових камер</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</si>
  <si>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</si>
  <si>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</si>
  <si>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</si>
  <si>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</si>
  <si>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</si>
  <si>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</si>
  <si>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</si>
  <si>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</si>
  <si>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</si>
  <si>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</si>
  <si>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</si>
  <si>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</si>
  <si>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Амортизація основних засобів загальногосподарського використання</t>
  </si>
  <si>
    <t>Амортизація інших необоротних матеріальних і нематеріальних активів загальногосподарського використання</t>
  </si>
  <si>
    <t>розрахунок на листі Д9_ЕЕ</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</si>
  <si>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</si>
  <si>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</si>
  <si>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</si>
  <si>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Амортизація основних засобів загальновиробничого призначення</t>
  </si>
  <si>
    <t>Амортизація інших необоротних матеріальних і нематеріальних активів загальновиробничого призначення</t>
  </si>
  <si>
    <t>розрахунок в окремому файлі ВОДА</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</si>
  <si>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</si>
  <si>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</si>
  <si>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</si>
  <si>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</si>
  <si>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</si>
  <si>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</si>
  <si>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</si>
  <si>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</si>
  <si>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витрат на медичні обстеження персоналу</t>
  </si>
  <si>
    <t>Розрахунок витрат на навчання персоналу</t>
  </si>
  <si>
    <t>Розрахунок планованих витрат на засоби індивідуального захисту працівників</t>
  </si>
  <si>
    <t>Розрахунок витрат на проведення атестації</t>
  </si>
  <si>
    <t>Інша діяльнісь</t>
  </si>
  <si>
    <t>розрахунок в окремому файлі АМОРТИЗАЦІЯ, зведена на листі Амортизація</t>
  </si>
  <si>
    <t>для МЗК</t>
  </si>
  <si>
    <t>для всіх інших споживачів</t>
  </si>
  <si>
    <t>"ЗАТВЕРДЖЕНО"</t>
  </si>
  <si>
    <t>"___"______________ 201_р</t>
  </si>
  <si>
    <t>(найменування ліцензіата)</t>
  </si>
  <si>
    <t>Без ПДВ</t>
  </si>
  <si>
    <t>ВІДСОТОК ХВП</t>
  </si>
  <si>
    <t xml:space="preserve">№ </t>
  </si>
  <si>
    <t>одиниця виміру</t>
  </si>
  <si>
    <t>Факт 2019 року</t>
  </si>
  <si>
    <t>ВІДСОТОК ВОДОДВІДВЕДЕННЯ</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</si>
  <si>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</si>
  <si>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</si>
  <si>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</si>
  <si>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</si>
  <si>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</si>
  <si>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Відхилення гр.8 від гр.4, %</t>
  </si>
  <si>
    <t>Відхилення гр.9 від гр.5, %</t>
  </si>
  <si>
    <t>Відхилення гр.8 від гр.6, %</t>
  </si>
  <si>
    <t>Відхилення гр.9 від гр.7, %</t>
  </si>
  <si>
    <t>ПЕРЕВІРКА</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</si>
  <si>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</si>
  <si>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</si>
  <si>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</si>
  <si>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</si>
  <si>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</si>
  <si>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</si>
  <si>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</si>
  <si>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</si>
  <si>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</si>
  <si>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</si>
  <si>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</si>
  <si>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запов+гідр.випроб</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</si>
  <si>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</si>
  <si>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</si>
  <si>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</si>
  <si>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</si>
  <si>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</si>
  <si>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</si>
  <si>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</si>
  <si>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</si>
  <si>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</si>
  <si>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</si>
  <si>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</si>
  <si>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</si>
  <si>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</si>
  <si>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</si>
  <si>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</si>
  <si>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</si>
  <si>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</si>
  <si>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</si>
  <si>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</si>
  <si>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</si>
  <si>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</si>
  <si>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</si>
  <si>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</si>
  <si>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</si>
  <si>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</si>
  <si>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</si>
  <si>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</si>
  <si>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</si>
  <si>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</si>
  <si>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</si>
  <si>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</si>
  <si>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</si>
  <si>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</si>
  <si>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</si>
  <si>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</si>
  <si>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</si>
  <si>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</si>
  <si>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</si>
  <si>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</si>
  <si>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</si>
  <si>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</si>
  <si>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</si>
  <si>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</si>
  <si>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</si>
  <si>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</si>
  <si>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</si>
  <si>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</si>
  <si>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</si>
  <si>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</si>
  <si>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</si>
  <si>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</si>
  <si>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</si>
  <si>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</si>
  <si>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</si>
  <si>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</si>
  <si>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</si>
  <si>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</si>
  <si>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</si>
  <si>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</si>
  <si>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</si>
  <si>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</si>
  <si>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</si>
  <si>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</si>
  <si>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</si>
  <si>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</si>
  <si>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</si>
  <si>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</si>
  <si>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</si>
  <si>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</si>
  <si>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</si>
  <si>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</si>
  <si>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</si>
  <si>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</si>
  <si>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</si>
  <si>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</si>
  <si>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</si>
  <si>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</si>
  <si>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</si>
  <si>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</si>
  <si>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</si>
  <si>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</si>
  <si>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</si>
  <si>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</si>
  <si>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</si>
  <si>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</si>
  <si>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</si>
  <si>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</si>
  <si>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</si>
  <si>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</si>
  <si>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</si>
  <si>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</si>
  <si>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</si>
  <si>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</si>
  <si>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</si>
  <si>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</si>
  <si>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</si>
  <si>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</si>
  <si>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</si>
  <si>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</si>
  <si>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</si>
  <si>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</si>
  <si>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</si>
  <si>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</si>
  <si>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</si>
  <si>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</si>
  <si>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</si>
  <si>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</si>
  <si>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</si>
  <si>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</si>
  <si>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</si>
  <si>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</si>
  <si>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</si>
  <si>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</si>
  <si>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</si>
  <si>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</si>
  <si>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</si>
  <si>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</si>
  <si>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</si>
  <si>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</si>
  <si>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</si>
  <si>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</si>
  <si>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</si>
  <si>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</si>
  <si>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</si>
  <si>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</si>
  <si>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</si>
  <si>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</si>
  <si>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</si>
  <si>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</si>
  <si>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</si>
  <si>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</si>
  <si>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</si>
  <si>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</si>
  <si>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</si>
  <si>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база розподілу загальновиробничих витрат</t>
  </si>
  <si>
    <t>СПЕЦХАРЧУВАННЯ</t>
  </si>
  <si>
    <t xml:space="preserve">Молоко </t>
  </si>
  <si>
    <t>сума</t>
  </si>
  <si>
    <t>Розрахунок витрат на спецхарчування</t>
  </si>
  <si>
    <t>кількість</t>
  </si>
  <si>
    <t>Загальновироничі</t>
  </si>
  <si>
    <t>Ціна на молоко</t>
  </si>
  <si>
    <t>ЦІНА</t>
  </si>
  <si>
    <t>Розрахунок витрат на проведення технічного обслуговування транспортних засобів</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</si>
  <si>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</si>
  <si>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</si>
  <si>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</si>
  <si>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</si>
  <si>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</si>
  <si>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</si>
  <si>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заправка картріджів</t>
  </si>
  <si>
    <t>Екологічний податок</t>
  </si>
  <si>
    <t>Витрати на податки, збори, платежі на</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</si>
  <si>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</si>
  <si>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</si>
  <si>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</si>
  <si>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</si>
  <si>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Обстеження  та перевірка техстану димарних каналів та повітряпроводів</t>
  </si>
  <si>
    <t>Обстеження димоходів</t>
  </si>
  <si>
    <t>Технічне освідоцтво котлів КВГМ-50</t>
  </si>
  <si>
    <t>Технічне освідоцтво котлів ПТВМ-30 (3783)</t>
  </si>
  <si>
    <t>Технічне освідоцтво кран-балки</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</si>
  <si>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</si>
  <si>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</si>
  <si>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</si>
  <si>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</si>
  <si>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освідотсвування, фарбування кисневих балонів</t>
  </si>
  <si>
    <t>Випробування образивних кругів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</si>
  <si>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</si>
  <si>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</si>
  <si>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</si>
  <si>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</si>
  <si>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</si>
  <si>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</si>
  <si>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</si>
  <si>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Період. Повірочний</t>
  </si>
  <si>
    <t>Варт. Пов.</t>
  </si>
  <si>
    <t>Сума за пов.</t>
  </si>
  <si>
    <t>Сума за юстир.</t>
  </si>
  <si>
    <t>ТИП</t>
  </si>
  <si>
    <t>1разнарік</t>
  </si>
  <si>
    <t>1р. на рік</t>
  </si>
  <si>
    <t>Амперметри</t>
  </si>
  <si>
    <t>Вольтметри</t>
  </si>
  <si>
    <t>Манометри до 60 МРА</t>
  </si>
  <si>
    <t>Напороміри, тягонапороміри</t>
  </si>
  <si>
    <t>Прилади вимір. з уніфіц. сигналом</t>
  </si>
  <si>
    <t>1р на рік</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</si>
  <si>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</si>
  <si>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</si>
  <si>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</si>
  <si>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</si>
  <si>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</si>
  <si>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</si>
  <si>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</si>
  <si>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</si>
  <si>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</si>
  <si>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</si>
  <si>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договір</t>
  </si>
  <si>
    <t>Администр</t>
  </si>
  <si>
    <t>Вид діяльності</t>
  </si>
  <si>
    <t>Абонобсл</t>
  </si>
  <si>
    <t>кількість, шт.</t>
  </si>
  <si>
    <t>к-cть</t>
  </si>
  <si>
    <t>Витрати на спецхарчування</t>
  </si>
  <si>
    <t>ціна, грн. за 0,5 л</t>
  </si>
  <si>
    <t>розразунок на листі СПЕЦХАРЧ</t>
  </si>
  <si>
    <t>виготовлення ключів</t>
  </si>
  <si>
    <t>Персонал</t>
  </si>
  <si>
    <t>Сума, грн</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</si>
  <si>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</si>
  <si>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</si>
  <si>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</si>
  <si>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</si>
  <si>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</si>
  <si>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</si>
  <si>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</si>
  <si>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</si>
  <si>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витрати на покриття втрат теплової енергії в телових мережах</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</si>
  <si>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</si>
  <si>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</si>
  <si>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</si>
  <si>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</si>
  <si>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</si>
  <si>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</si>
  <si>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</si>
  <si>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</si>
  <si>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</si>
  <si>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</si>
  <si>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</si>
  <si>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</si>
  <si>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</si>
  <si>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</si>
  <si>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січ</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</si>
  <si>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</si>
  <si>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</si>
  <si>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</si>
  <si>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</si>
  <si>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</si>
  <si>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</si>
  <si>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Вартість юстир.</t>
  </si>
  <si>
    <t>Середньорічна сума</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</si>
  <si>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</si>
  <si>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</si>
  <si>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</si>
  <si>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берез</t>
  </si>
  <si>
    <t>за рік</t>
  </si>
  <si>
    <t xml:space="preserve">Витрати на зв’язок </t>
  </si>
  <si>
    <t>ЗАГАЛЬНА БАЗА РОЗПОДІЛУ АДМІНІСТРАТИВНИХ ВИТРАТ</t>
  </si>
  <si>
    <t xml:space="preserve">(ініціали, прізвище)               </t>
  </si>
  <si>
    <t>ДАНЧЕНКА 6</t>
  </si>
  <si>
    <t>з ЦТП (витрати на ЦТП + частина спільних витрат)</t>
  </si>
  <si>
    <t>без ЦТП (частина спільних витрат)</t>
  </si>
  <si>
    <t>придбання електроенергії на технологічні потреби</t>
  </si>
  <si>
    <t>розподіл</t>
  </si>
  <si>
    <t>у т.ч. лише ЦТП</t>
  </si>
  <si>
    <t>лише ЦТП</t>
  </si>
  <si>
    <t>спільні з ЦТП та без ЦТП</t>
  </si>
  <si>
    <t>обслуговування кондиціонерів та інші витрати</t>
  </si>
  <si>
    <t>в тому числі за групами</t>
  </si>
  <si>
    <t>в т.ч. з ЦТП/без ЦТП</t>
  </si>
  <si>
    <t>1.1.4.1</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</si>
  <si>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</si>
  <si>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</si>
  <si>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</si>
  <si>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проверка</t>
  </si>
  <si>
    <t>прям</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</si>
  <si>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</si>
  <si>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</si>
  <si>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</si>
  <si>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</si>
  <si>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</si>
  <si>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</si>
  <si>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</si>
  <si>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9.4.</t>
  </si>
  <si>
    <t>Д12</t>
  </si>
  <si>
    <t>4.6</t>
  </si>
  <si>
    <t xml:space="preserve"> 4.6.1</t>
  </si>
  <si>
    <t>у т.ч.  для плану</t>
  </si>
  <si>
    <t>з ПДВ</t>
  </si>
  <si>
    <t>Всього буде нараховано</t>
  </si>
  <si>
    <t>Факт буде такий</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</si>
  <si>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</si>
  <si>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</si>
  <si>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</si>
  <si>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</si>
  <si>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</si>
  <si>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</si>
  <si>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Відсоток дивідендів</t>
  </si>
  <si>
    <t>Вихідні дані та техніко-економічні показники</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</si>
  <si>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</si>
  <si>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</si>
  <si>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</si>
  <si>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</si>
  <si>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</si>
  <si>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</si>
  <si>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</si>
  <si>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</si>
  <si>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</si>
  <si>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</si>
  <si>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</si>
  <si>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</si>
  <si>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</si>
  <si>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</si>
  <si>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</si>
  <si>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</si>
  <si>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</si>
  <si>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</si>
  <si>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</si>
  <si>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</si>
  <si>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</si>
  <si>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</si>
  <si>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</si>
  <si>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</si>
  <si>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</si>
  <si>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</si>
  <si>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</si>
  <si>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</si>
  <si>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</si>
  <si>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</si>
  <si>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</si>
  <si>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</si>
  <si>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</si>
  <si>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</si>
  <si>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</si>
  <si>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</si>
  <si>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</si>
  <si>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</si>
  <si>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</si>
  <si>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</si>
  <si>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</si>
  <si>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</si>
  <si>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</si>
  <si>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</si>
  <si>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</si>
  <si>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</si>
  <si>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</si>
  <si>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</si>
  <si>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</si>
  <si>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</si>
  <si>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</si>
  <si>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</si>
  <si>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</si>
  <si>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</si>
  <si>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</si>
  <si>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</si>
  <si>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</si>
  <si>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</si>
  <si>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</si>
  <si>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</si>
  <si>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</si>
  <si>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</si>
  <si>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</si>
  <si>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</si>
  <si>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</si>
  <si>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</si>
  <si>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</si>
  <si>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</si>
  <si>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</si>
  <si>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</si>
  <si>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</si>
  <si>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</si>
  <si>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</si>
  <si>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</si>
  <si>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</si>
  <si>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</si>
  <si>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</si>
  <si>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</si>
  <si>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</si>
  <si>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</si>
  <si>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</si>
  <si>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</si>
  <si>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</si>
  <si>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</si>
  <si>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</si>
  <si>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</si>
  <si>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</si>
  <si>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</si>
  <si>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</si>
  <si>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</si>
  <si>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</si>
  <si>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</si>
  <si>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</si>
  <si>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</si>
  <si>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</si>
  <si>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</si>
  <si>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</si>
  <si>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</si>
  <si>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</si>
  <si>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</si>
  <si>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</si>
  <si>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</si>
  <si>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</si>
  <si>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</si>
  <si>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</si>
  <si>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</si>
  <si>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</si>
  <si>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</si>
  <si>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</si>
  <si>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</si>
  <si>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</si>
  <si>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</si>
  <si>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</si>
  <si>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</si>
  <si>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</si>
  <si>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</si>
  <si>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</si>
  <si>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</si>
  <si>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Сумарні та середньозважені показники </t>
  </si>
  <si>
    <t>Для потреб</t>
  </si>
  <si>
    <t>умовно-змінна частина</t>
  </si>
  <si>
    <t>тис. Гкал</t>
  </si>
  <si>
    <t>20.1</t>
  </si>
  <si>
    <t>20.2</t>
  </si>
  <si>
    <t>помінено місцями</t>
  </si>
  <si>
    <t xml:space="preserve">Кількість споживачів (абонентів), яким надається послуга з постачання гарячої води </t>
  </si>
  <si>
    <t>20.3</t>
  </si>
  <si>
    <t>20.4</t>
  </si>
  <si>
    <t xml:space="preserve">Приєднане теплове навантаження  </t>
  </si>
  <si>
    <t>грн/Гкал </t>
  </si>
  <si>
    <t>грн/ Гкал/год</t>
  </si>
  <si>
    <t>Навантаження всього, у т.ч.:</t>
  </si>
  <si>
    <t>ТАРИФИ</t>
  </si>
  <si>
    <t>відпуск</t>
  </si>
  <si>
    <t>реаліз</t>
  </si>
  <si>
    <t>Договір з водоканалом</t>
  </si>
  <si>
    <t>Д2</t>
  </si>
  <si>
    <t>Д3</t>
  </si>
  <si>
    <t>Д4</t>
  </si>
  <si>
    <t>всього</t>
  </si>
  <si>
    <t>витрати</t>
  </si>
  <si>
    <t>прибуток</t>
  </si>
  <si>
    <t>Відпуск з колекторів/реалізація ТЕ для господарських потреб усього, зокрема для включення до обсягів:</t>
  </si>
  <si>
    <t xml:space="preserve">Структура корисного відпуску </t>
  </si>
  <si>
    <t>17.1</t>
  </si>
  <si>
    <t>17.2</t>
  </si>
  <si>
    <t>база розподілу умовно-постійних витрат (корисний відпуск) для одноставкового тарифу</t>
  </si>
  <si>
    <t>база розподілу витрат (відпуск з колекторів) для одноставкового тарифу</t>
  </si>
  <si>
    <t>база розподілу витрат (корисний відпуск) для одноставкового тарифу</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</si>
  <si>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</si>
  <si>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</si>
  <si>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</si>
  <si>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</si>
  <si>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</si>
  <si>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</si>
  <si>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</si>
  <si>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</si>
  <si>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</si>
  <si>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</si>
  <si>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</si>
  <si>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</si>
  <si>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</si>
  <si>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</si>
  <si>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</si>
  <si>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</si>
  <si>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</si>
  <si>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</si>
  <si>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</si>
  <si>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</si>
  <si>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</si>
  <si>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</si>
  <si>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</si>
  <si>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</si>
  <si>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</si>
  <si>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</si>
  <si>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</si>
  <si>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</si>
  <si>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</si>
  <si>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</si>
  <si>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</si>
  <si>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</si>
  <si>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</si>
  <si>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</si>
  <si>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</si>
  <si>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</si>
  <si>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</si>
  <si>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</si>
  <si>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</si>
  <si>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</si>
  <si>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</si>
  <si>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</si>
  <si>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</si>
  <si>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</si>
  <si>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</si>
  <si>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</si>
  <si>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</si>
  <si>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</si>
  <si>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Тариф :</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</si>
  <si>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</si>
  <si>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</si>
  <si>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</si>
  <si>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</si>
  <si>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</si>
  <si>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</si>
  <si>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</si>
  <si>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</si>
  <si>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</si>
  <si>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</si>
  <si>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</si>
  <si>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</si>
  <si>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</si>
  <si>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</si>
  <si>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</si>
  <si>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</si>
  <si>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</si>
  <si>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</si>
  <si>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</si>
  <si>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</si>
  <si>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</si>
  <si>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Різниця</t>
  </si>
  <si>
    <t>Відхилення</t>
  </si>
  <si>
    <t>чистий прибуток</t>
  </si>
  <si>
    <t>Постанова НКРЕКП від 11.07.2020 № 1343</t>
  </si>
  <si>
    <t>придбання електроенергії на технологічні потреби (розподіл)</t>
  </si>
  <si>
    <t xml:space="preserve">транспортування та постачання для   споживачів категорії населення, </t>
  </si>
  <si>
    <t>Додаток  6</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</si>
  <si>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</si>
  <si>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</si>
  <si>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</si>
  <si>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</si>
  <si>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Примітка: В 2018-2019 рр та у чинному тарифі не вимагалося формування тарифу на транспортування з ЦТП та без ЦТП</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</si>
  <si>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</si>
  <si>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</si>
  <si>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</si>
  <si>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</si>
  <si>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</si>
  <si>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</si>
  <si>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</si>
  <si>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</si>
  <si>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</si>
  <si>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</si>
  <si>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</si>
  <si>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</si>
  <si>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</si>
  <si>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</si>
  <si>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</si>
  <si>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</si>
  <si>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прибуток на 1 Гкал</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</si>
  <si>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</si>
  <si>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</si>
  <si>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</si>
  <si>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</si>
  <si>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</si>
  <si>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</si>
  <si>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</si>
  <si>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</si>
  <si>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</si>
  <si>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</si>
  <si>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</si>
  <si>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</si>
  <si>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</si>
  <si>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</si>
  <si>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</si>
  <si>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</si>
  <si>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</si>
  <si>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</si>
  <si>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</si>
  <si>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</si>
  <si>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</si>
  <si>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</si>
  <si>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</si>
  <si>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</si>
  <si>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</si>
  <si>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</si>
  <si>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</si>
  <si>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</si>
  <si>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</si>
  <si>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</si>
  <si>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Олена ЛАВРОВА</t>
  </si>
  <si>
    <t>Виконавчий комітет Чорноморської міської ради Одеського району Одеської області</t>
  </si>
  <si>
    <t xml:space="preserve">та додані до неї матеріали і розрахунки </t>
  </si>
  <si>
    <t>Прямі витрати</t>
  </si>
  <si>
    <t xml:space="preserve">                                                                         С НДС = ______ грн.</t>
  </si>
  <si>
    <t>Факт 2020</t>
  </si>
  <si>
    <t>21-22</t>
  </si>
  <si>
    <t>Факт 2020 року</t>
  </si>
  <si>
    <t>опалюв</t>
  </si>
  <si>
    <t>міжопалюв</t>
  </si>
  <si>
    <t>дн</t>
  </si>
  <si>
    <t>Витрати на спецхарчування за 2020 рік</t>
  </si>
  <si>
    <t>Фактичні витрати ПММ за 2020 рік, грн</t>
  </si>
  <si>
    <t xml:space="preserve">Структура планованих тарифів на теплову енергію КП "ЧТЕ" на 2021-2022 роки. </t>
  </si>
  <si>
    <t>2-х  ставковий</t>
  </si>
  <si>
    <t>1-но ставковий</t>
  </si>
  <si>
    <t>витрати на покриття втрат теплової енергії в теплових мережах</t>
  </si>
  <si>
    <t>Факт 2019</t>
  </si>
  <si>
    <t>АФ ГОЛВ-АУДИТ, ПП</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</si>
  <si>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</si>
  <si>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</si>
  <si>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</si>
  <si>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</si>
  <si>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</si>
  <si>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</si>
  <si>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</si>
  <si>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онлайн-семінар</t>
  </si>
  <si>
    <t xml:space="preserve">Степанов В. А., ФОП </t>
  </si>
  <si>
    <t>електронні ключі</t>
  </si>
  <si>
    <t>Центр сертифiкацiї ключiв"Україна"</t>
  </si>
  <si>
    <t>організація перевезень, відправлень</t>
  </si>
  <si>
    <t>(по факту 2021 р.)</t>
  </si>
  <si>
    <t>Навчання з "Правил безпеки систем газопостачання"</t>
  </si>
  <si>
    <t>Директор, головний інженер, начальник служби охорони праці в 2021 р</t>
  </si>
  <si>
    <t>Навчання з "Правил ОП під час експлуатації вантажопідіймальних кранів"</t>
  </si>
  <si>
    <t>Андрієнко - первинне на відпов. особу</t>
  </si>
  <si>
    <t xml:space="preserve"> Навчання з Правил технічної експлуатації та з Правил безпечної експлуатації електроустаткування</t>
  </si>
  <si>
    <t xml:space="preserve">Директор, головний інженер, начальник служби ОП, майстер з обслуговування та ремонту електрообладнання та начальник дільниці електроустаткування </t>
  </si>
  <si>
    <t>Навчання нової спеціальності "стропальник"</t>
  </si>
  <si>
    <t>по факту 2021 р.</t>
  </si>
  <si>
    <t xml:space="preserve">Навчання з питань охорони праці ІТП </t>
  </si>
  <si>
    <t xml:space="preserve">Павлюченко - первинне на виконання обов'язків майстра, Мирошниченко - первинне на виконання обов'яків керівника групи </t>
  </si>
  <si>
    <t>куртка бавовняна чол.</t>
  </si>
  <si>
    <t>полукомбінезон бавоняний чол./штани</t>
  </si>
  <si>
    <t>напівкомбінезон утеплений</t>
  </si>
  <si>
    <t>куртка утеплена Капрал</t>
  </si>
  <si>
    <t>куртка утеплена Флис</t>
  </si>
  <si>
    <t>куртка утеплена Оптима</t>
  </si>
  <si>
    <t>куртка утеплена Гетьман</t>
  </si>
  <si>
    <t>сума грн.</t>
  </si>
  <si>
    <t>чоботи гумові (жін)</t>
  </si>
  <si>
    <t>захисна маска для зварювал.</t>
  </si>
  <si>
    <t>куртка робоча (жіноча)</t>
  </si>
  <si>
    <t>штани робочі (жіночі)</t>
  </si>
  <si>
    <t>рукавиці комбін</t>
  </si>
  <si>
    <t>респиратор газозахисний (фільтр)</t>
  </si>
  <si>
    <t>черевики утеплені</t>
  </si>
  <si>
    <t>краги</t>
  </si>
  <si>
    <t>щиток захисний</t>
  </si>
  <si>
    <t>распиратор одноразовий</t>
  </si>
  <si>
    <t>распиратор зі змінним фільтром</t>
  </si>
  <si>
    <t>окуляри захисні газоріз</t>
  </si>
  <si>
    <t>галоші (чергові)</t>
  </si>
  <si>
    <t>Транспортування без ЦТП</t>
  </si>
  <si>
    <t>Транспортування з ЦТП</t>
  </si>
  <si>
    <t>середня ціна</t>
  </si>
  <si>
    <t>Опалювальний сезон 2019 - 2020</t>
  </si>
  <si>
    <t>Опалювальний сезон 2020 - 2021</t>
  </si>
  <si>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</si>
  <si>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</si>
  <si>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</si>
  <si>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</si>
  <si>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</si>
  <si>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</si>
  <si>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вопрос про кол-во месяцев по приборам учета тепла комерческим</t>
  </si>
  <si>
    <t>Постанова НКРЕКП від 16.12.2020 № 2459, з 1.01.2021</t>
  </si>
  <si>
    <t>Захід</t>
  </si>
  <si>
    <t>Сума, грн без ПДВ</t>
  </si>
  <si>
    <t>Загальна сума на ремонти по підприємству, тис. грн. без ПДВ:</t>
  </si>
  <si>
    <t>АДМ</t>
  </si>
  <si>
    <t>е/е на ремонт</t>
  </si>
  <si>
    <t>Котельня 2 (вир)</t>
  </si>
  <si>
    <t>Котельня 1 (звв)</t>
  </si>
  <si>
    <t>квітень оп.</t>
  </si>
  <si>
    <t>квітень моп</t>
  </si>
  <si>
    <t>жовтень моп</t>
  </si>
  <si>
    <t>жовтень оп</t>
  </si>
  <si>
    <t>кот 1</t>
  </si>
  <si>
    <t>кот 2</t>
  </si>
  <si>
    <t xml:space="preserve">постачання </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</si>
  <si>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</si>
  <si>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</si>
  <si>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</si>
  <si>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</si>
  <si>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</si>
  <si>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</si>
  <si>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</si>
  <si>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внаслідок перетікання реактивної електроенергії, кВАр*год</t>
  </si>
  <si>
    <t>Тариф послуги генерації внаслідок перетікання реактивної електроенергії, кВАр*год</t>
  </si>
  <si>
    <t>Тариф на постачання та розподіл електричної енергіїелектричної енергії, за кВт*год</t>
  </si>
  <si>
    <t>Грудень 2020 р.</t>
  </si>
  <si>
    <t>Січень 2021 р.</t>
  </si>
  <si>
    <t>Лютий 2021 р.</t>
  </si>
  <si>
    <t>Березень 2021р.</t>
  </si>
  <si>
    <t>Квітень 2021р.</t>
  </si>
  <si>
    <t xml:space="preserve">Середня </t>
  </si>
  <si>
    <t>Листопад 2020 р.</t>
  </si>
  <si>
    <r>
      <t>Тариф за постачання природного газу, за 1000 м</t>
    </r>
    <r>
      <rPr>
        <b/>
        <sz val="12"/>
        <color theme="1"/>
        <rFont val="Calibri"/>
        <family val="2"/>
        <charset val="204"/>
      </rPr>
      <t>³</t>
    </r>
  </si>
  <si>
    <r>
      <t>Тариф за транспортування природного газу, за 1000 м</t>
    </r>
    <r>
      <rPr>
        <b/>
        <sz val="12"/>
        <color theme="1"/>
        <rFont val="Calibri"/>
        <family val="2"/>
        <charset val="204"/>
      </rPr>
      <t>³</t>
    </r>
  </si>
  <si>
    <r>
      <t>Тариф за розподіл природного газу, за 1000 м</t>
    </r>
    <r>
      <rPr>
        <b/>
        <sz val="12"/>
        <color theme="1"/>
        <rFont val="Calibri"/>
        <family val="2"/>
        <charset val="204"/>
      </rPr>
      <t>³</t>
    </r>
  </si>
  <si>
    <t>Розрахунок ціни природного газу для потреб КП "ЧТЕ" на планований період станом на 01.06.2021 року.</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</si>
  <si>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</si>
  <si>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</si>
  <si>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</si>
  <si>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</si>
  <si>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</si>
  <si>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</si>
  <si>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</si>
  <si>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 xml:space="preserve">Виробничий персонал задіяний у транспортуванні  теплової енергії </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</si>
  <si>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</si>
  <si>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</si>
  <si>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</si>
  <si>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</si>
  <si>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</si>
  <si>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</si>
  <si>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</si>
  <si>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</si>
  <si>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</si>
  <si>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</si>
  <si>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</si>
  <si>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</si>
  <si>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</si>
  <si>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</si>
  <si>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</si>
  <si>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</si>
  <si>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</si>
  <si>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</si>
  <si>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</si>
  <si>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</si>
  <si>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</si>
  <si>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</si>
  <si>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</si>
  <si>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</si>
  <si>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 xml:space="preserve">Прямі витрати </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</si>
  <si>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</si>
  <si>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</si>
  <si>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</si>
  <si>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</si>
  <si>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</si>
  <si>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2314+2315</t>
  </si>
  <si>
    <t>Тариф 2020-2021</t>
  </si>
  <si>
    <t>План 2021-2022</t>
  </si>
  <si>
    <t>на 1 аб</t>
  </si>
  <si>
    <t xml:space="preserve">розрахунок на листі </t>
  </si>
  <si>
    <t>ОП</t>
  </si>
  <si>
    <t>СПЕЦХАРЧ</t>
  </si>
  <si>
    <t>ВОДА</t>
  </si>
  <si>
    <t>Д 9_ЕЕ</t>
  </si>
  <si>
    <t>Примітка: В 2019-2020 рр  тариф на виробництво теплової енергії та собівартість виробництва розраховано на обсяг реалізації теплової енергії, в планованому періоді та в чинному тарифі - на обсяг відпуску теплової енергії</t>
  </si>
  <si>
    <t>витрати на власні потреби</t>
  </si>
  <si>
    <t>Господарські потреби відпуск з колекторі</t>
  </si>
  <si>
    <t>Відпуск те з колекторів з ГП</t>
  </si>
  <si>
    <t>Реалізація споживачам без ГП</t>
  </si>
  <si>
    <t>Господарські потреби реалізація</t>
  </si>
  <si>
    <t>Втрати те при транспортуванні споживачам</t>
  </si>
  <si>
    <t>Виробництво те, в т.ч.</t>
  </si>
  <si>
    <t>втрати те в мережах (+ на ГП)</t>
  </si>
  <si>
    <t>у тому числі  втрати те на ГП</t>
  </si>
  <si>
    <t>транспортування тільки ЦТП</t>
  </si>
  <si>
    <t>Послуги з ремонту і технічного обслуговування вимірювальних, випробувальних і контрольних приладів</t>
  </si>
  <si>
    <t>дог 63 26/02/21 на 9 міс</t>
  </si>
  <si>
    <t>Е-журнал Довідник з ОП</t>
  </si>
  <si>
    <t>Назва</t>
  </si>
  <si>
    <t>дог 52 15/02/21</t>
  </si>
  <si>
    <t>До техніки JCB</t>
  </si>
  <si>
    <t>ремонт дорожньо-транспортних засобів</t>
  </si>
  <si>
    <t>відновлення дорожнього покриття</t>
  </si>
  <si>
    <t>дог 47 15/02/21</t>
  </si>
  <si>
    <t>дог 46 15/02/21</t>
  </si>
  <si>
    <t>дог 60 25/02/21</t>
  </si>
  <si>
    <t>Експлуатація складових газорозподільної системи (с. Малодолинське) /(профобслуговування)</t>
  </si>
  <si>
    <t>дог 41 05/02/21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</si>
  <si>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</si>
  <si>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</si>
  <si>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</si>
  <si>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</si>
  <si>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дог 30 25/01/21</t>
  </si>
  <si>
    <t>Насоси та компресори (робоче колесо до насосу)</t>
  </si>
  <si>
    <t>дог 26 28/01/21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</si>
  <si>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</si>
  <si>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</si>
  <si>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</si>
  <si>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</si>
  <si>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</si>
  <si>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</si>
  <si>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</si>
  <si>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</si>
  <si>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дог  5 18/01/21</t>
  </si>
  <si>
    <t>дог 24 27/01/21</t>
  </si>
  <si>
    <t>Компи</t>
  </si>
  <si>
    <t>ремонт авто</t>
  </si>
  <si>
    <t>розрах</t>
  </si>
  <si>
    <t>Поточний ремонт устаткування, трубопроводів, арматури на ділянці котельних</t>
  </si>
  <si>
    <t>Поточний ремонт устаткування ЦТП</t>
  </si>
  <si>
    <t>Поточний ремонт магістральних т/м по вул. Перемоги/, 1 Травня, Данченка, Спортивній, Олександрійській.</t>
  </si>
  <si>
    <t>поточний ремонт розподільчих т/м</t>
  </si>
  <si>
    <t>поточний ремонт ізоляції т/м</t>
  </si>
  <si>
    <t xml:space="preserve">поточний ремонт ізоляції т/м в техпідпіллях </t>
  </si>
  <si>
    <t>ремонти (Вдовиченко) 21-22 (ППР)</t>
  </si>
  <si>
    <t>Майстер з експлуатації та ремонту машин і механізмів ІІг.</t>
  </si>
  <si>
    <t>Аркана</t>
  </si>
  <si>
    <t>дог 154 10/06/21</t>
  </si>
  <si>
    <t>дог 153 10/06/21</t>
  </si>
  <si>
    <t>механічні запасні частини, крім двигунів і частин двигунів</t>
  </si>
  <si>
    <t>Технічне і сервісне обслуговування 2-х КВО газу Садова 1</t>
  </si>
  <si>
    <t xml:space="preserve">дог 150 08/06/2021 </t>
  </si>
  <si>
    <t>дог 149 08/06/21</t>
  </si>
  <si>
    <t>Технічне обслуговування котельні Малодолинське</t>
  </si>
  <si>
    <t>дог 142 07/06/21</t>
  </si>
  <si>
    <t>Послуги (вебінар)</t>
  </si>
  <si>
    <t>Послуги з ремонту і технічного обслуговування турбинки</t>
  </si>
  <si>
    <t>дог 137 28/05/21</t>
  </si>
  <si>
    <t>Послуги з ремонту і технічного обслуговування газонокосарки</t>
  </si>
  <si>
    <t>дог 136 28/05/21</t>
  </si>
  <si>
    <t>Частини для с/г техніки</t>
  </si>
  <si>
    <t>дог 135 28/05/21</t>
  </si>
  <si>
    <t xml:space="preserve">дог </t>
  </si>
  <si>
    <t>дог №84 08/04/20</t>
  </si>
  <si>
    <t>компоектуючі для Семпал СВТУ</t>
  </si>
  <si>
    <t>дог 125 14/05/21</t>
  </si>
  <si>
    <t>дог 122 11/05/21</t>
  </si>
  <si>
    <t xml:space="preserve">підшипник </t>
  </si>
  <si>
    <t>дог 121 12/05/21</t>
  </si>
  <si>
    <t>електричні акумулятори</t>
  </si>
  <si>
    <t>дог 119 05/05/21</t>
  </si>
  <si>
    <t>дог 113 21/04/21 95000/1,2</t>
  </si>
  <si>
    <t>Технічне обслуговування газорізальної аппаратури</t>
  </si>
  <si>
    <t xml:space="preserve">дог 98 29/03/21 </t>
  </si>
  <si>
    <t>дог 93 23/03/21</t>
  </si>
  <si>
    <t>Моторні оливи</t>
  </si>
  <si>
    <t>Трансмісійні оливи</t>
  </si>
  <si>
    <t>Спеціальні масла</t>
  </si>
  <si>
    <t>Пластичні масла</t>
  </si>
  <si>
    <t>Дератизація і дезинсекція</t>
  </si>
  <si>
    <t>транспортировка - 2 года не делали; виробництво - когда візовут; адм - не біло</t>
  </si>
  <si>
    <t>Агрегат для вентиляції теплових камер</t>
  </si>
  <si>
    <t>рено Аркана</t>
  </si>
  <si>
    <t>дог червень 2021</t>
  </si>
  <si>
    <t>на підпису</t>
  </si>
  <si>
    <t>тех обсл и ремонт+ шини+ техобсл</t>
  </si>
  <si>
    <t>тех обсл и ремонт+ аккумулятор+ шини</t>
  </si>
  <si>
    <t>то</t>
  </si>
  <si>
    <t>то+шини</t>
  </si>
  <si>
    <t>замена тормозних колодок+ аккумулятор</t>
  </si>
  <si>
    <t>то-2000</t>
  </si>
  <si>
    <t>часткове технічне опосвідчення експертом + то</t>
  </si>
  <si>
    <t>Асенізаційна машина
 КО 503 А (ГАЗ 53)</t>
  </si>
  <si>
    <t>Середн. сума</t>
  </si>
  <si>
    <t>Агентство "Консалт"</t>
  </si>
  <si>
    <t>ВИРОБНИЦТВО</t>
  </si>
  <si>
    <t>Розрахунок витрат на періодичні видання по КП "ЧТЕ" на планований період з 01.10.2021 р. по 30.09.2022 р.</t>
  </si>
  <si>
    <t>Вироб-тво</t>
  </si>
  <si>
    <t>Трансп-ння</t>
  </si>
  <si>
    <t>Адмін-вні</t>
  </si>
  <si>
    <t>Всього витрати:</t>
  </si>
  <si>
    <t>Вечірня Одеса</t>
  </si>
  <si>
    <t>Все про бухгалтерський облік</t>
  </si>
  <si>
    <t>Праця і зарплата</t>
  </si>
  <si>
    <t xml:space="preserve">Урядовий кур'єр </t>
  </si>
  <si>
    <t>На пенсії (Одеса)</t>
  </si>
  <si>
    <t>Аргументи та факти</t>
  </si>
  <si>
    <t>Голос України (укр)</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</si>
  <si>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</si>
  <si>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</si>
  <si>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</si>
  <si>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</si>
  <si>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</si>
  <si>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</si>
  <si>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Довідник економіста</t>
  </si>
  <si>
    <t>Бюлетень законодавства і юридичної практики України</t>
  </si>
  <si>
    <t>ТОВ "Науково-виробнича фірма "Інпроект"</t>
  </si>
  <si>
    <t>Екологія підприемств</t>
  </si>
  <si>
    <t>ЗАГАЛЬНОВИРОБНИЧІ</t>
  </si>
  <si>
    <t>електронний</t>
  </si>
  <si>
    <t>паперовий</t>
  </si>
  <si>
    <t>6.3.</t>
  </si>
  <si>
    <t xml:space="preserve">Голос України </t>
  </si>
  <si>
    <t>Одеські відомості</t>
  </si>
  <si>
    <t xml:space="preserve">Послуги у сфері інформатизації (БУХГАЛ)
</t>
  </si>
  <si>
    <t>АХРАМЕЕВ</t>
  </si>
  <si>
    <t>Газоаналізатор НОВА-2000</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</si>
  <si>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</si>
  <si>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</si>
  <si>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Ремонт кровлі виробничих приміщень (ЦТП)</t>
  </si>
  <si>
    <t xml:space="preserve">Ремонт кровлі виробничих приміщень </t>
  </si>
  <si>
    <t>ремонт приміщень слесарні Садова, 1</t>
  </si>
  <si>
    <t>заміна воріт Садова 1</t>
  </si>
  <si>
    <t>ремонт туалету на 3 поверсі</t>
  </si>
  <si>
    <t>Погоджено__________ А.Паншин</t>
  </si>
  <si>
    <t>червень 2021 року</t>
  </si>
  <si>
    <t>дог 2021</t>
  </si>
  <si>
    <t>нет</t>
  </si>
  <si>
    <t>Залишкова вартість о/з станом на 1.10.2021 року за даними податкового обліку, грн</t>
  </si>
  <si>
    <t>Транспортування ТЕ (ЦТП)</t>
  </si>
  <si>
    <t>Транспортування ТЕ (не ЦТП)</t>
  </si>
  <si>
    <t>производство</t>
  </si>
  <si>
    <t>ЯНВАРЬ</t>
  </si>
  <si>
    <t>ФЕВРАЛЬ</t>
  </si>
  <si>
    <t>МАРТ</t>
  </si>
  <si>
    <t>АПРЕЛЬ</t>
  </si>
  <si>
    <t>МАЙ</t>
  </si>
  <si>
    <t>ИЮНЬ</t>
  </si>
  <si>
    <t>ИЮЛЬ</t>
  </si>
  <si>
    <t>АВГУСТ</t>
  </si>
  <si>
    <t>СЕНТЯБРЬ</t>
  </si>
  <si>
    <t>окт</t>
  </si>
  <si>
    <t>остаточная стоимость на начало</t>
  </si>
  <si>
    <t>сумма для амортизации</t>
  </si>
  <si>
    <t>амортизация</t>
  </si>
  <si>
    <t>остаточная стоимость на конец</t>
  </si>
  <si>
    <t>к</t>
  </si>
  <si>
    <t>ноя</t>
  </si>
  <si>
    <t>дек</t>
  </si>
  <si>
    <t>ТРАНСПОРТИРОВКА (НЕ ЦТП)</t>
  </si>
  <si>
    <t>ТРАНСПОРТИРОВКА (ЦТП)</t>
  </si>
  <si>
    <t>ПОСТАВКА</t>
  </si>
  <si>
    <t>Заступник головного бухгалтера</t>
  </si>
  <si>
    <t>Наталя Жданова</t>
  </si>
  <si>
    <t>інше використання прибутку (забезпечення обігових коштів)</t>
  </si>
  <si>
    <t>розрахунок на листі ремонт</t>
  </si>
  <si>
    <t>Сума спільна, грн без ПДВ</t>
  </si>
  <si>
    <t>Сума тільки ЦТП, грн без ПДВ</t>
  </si>
  <si>
    <t>Сума авто, грн без ПДВ</t>
  </si>
  <si>
    <t>розрахунок на листі зв'язок</t>
  </si>
  <si>
    <t>акт №21-14-3621 31.05.2021 р.</t>
  </si>
  <si>
    <t>АКТУАЛЬНАЯ цена!!!!</t>
  </si>
  <si>
    <t>Начальник служби охорони праці                                                                   Жовнір Ю.Є.</t>
  </si>
  <si>
    <t>рах-фактура №0114/0012054 14.05.2021</t>
  </si>
  <si>
    <t>СК БРОКБІЗНЕС, ПрАТ</t>
  </si>
  <si>
    <t>коефіцієнт, який застосовується при замовлені потужності на квартальний період</t>
  </si>
  <si>
    <t>Електроенергія на технологію</t>
  </si>
  <si>
    <t>факт на ІЦП</t>
  </si>
  <si>
    <t>обстеження димвентканалів на виробництві</t>
  </si>
  <si>
    <t>высоцкий сказал нет, будет замена обліку газу 1 черги</t>
  </si>
  <si>
    <t>в то тз</t>
  </si>
  <si>
    <t>біло с ремонтом труб в 020 году</t>
  </si>
  <si>
    <t>амортизація інших необоротних матеріальних активів загальногосподарського призначення</t>
  </si>
  <si>
    <t>дог 50 17.02.2020 по 2020</t>
  </si>
  <si>
    <t>дог 51 17.02.2020 по 2020</t>
  </si>
  <si>
    <t>дог 52 17.02.2020 по 2020</t>
  </si>
  <si>
    <t>нотаріальні послуги</t>
  </si>
  <si>
    <t>Слаєва</t>
  </si>
  <si>
    <t>в прямих</t>
  </si>
  <si>
    <t>Послуги з реєстрації показів лічильників (обстеження комерційного ВОГ Зелена, 2-б)</t>
  </si>
  <si>
    <t>дог 180 30/09/2020</t>
  </si>
  <si>
    <t>Послуги з реєстрації показів лічильників (обстеження комерційного ВОГ Садова, 1)</t>
  </si>
  <si>
    <t>дог 176 15/09/2020</t>
  </si>
  <si>
    <t>Газоаналізатор ЩИТ-2</t>
  </si>
  <si>
    <t>Регистраторы МТМ</t>
  </si>
  <si>
    <t>Газоанализатор ДОЗОР</t>
  </si>
  <si>
    <t>Датчики ВИКА</t>
  </si>
  <si>
    <t xml:space="preserve">18. </t>
  </si>
  <si>
    <t>Теплосчетчик Взлёт</t>
  </si>
  <si>
    <t xml:space="preserve">19. </t>
  </si>
  <si>
    <t xml:space="preserve">Коммерческий узел учёта </t>
  </si>
  <si>
    <t>1р 2р.</t>
  </si>
  <si>
    <t>Счетчик газа КУРС</t>
  </si>
  <si>
    <t>1р.2р.</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</si>
  <si>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</si>
  <si>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</si>
  <si>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</si>
  <si>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</si>
  <si>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</si>
  <si>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</si>
  <si>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</si>
  <si>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</si>
  <si>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</si>
  <si>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</si>
  <si>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</si>
  <si>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</si>
  <si>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</si>
  <si>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</si>
  <si>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</si>
  <si>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</si>
  <si>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</si>
  <si>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</si>
  <si>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</si>
  <si>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</si>
  <si>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</si>
  <si>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</si>
  <si>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</si>
  <si>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</si>
  <si>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</si>
  <si>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</si>
  <si>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</si>
  <si>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</si>
  <si>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</si>
  <si>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</si>
  <si>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</si>
  <si>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</si>
  <si>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</si>
  <si>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</si>
  <si>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</si>
  <si>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</si>
  <si>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</si>
  <si>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</si>
  <si>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31/20 від 17.04.2020р.</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</si>
  <si>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</si>
  <si>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</si>
  <si>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</si>
  <si>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</si>
  <si>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</si>
  <si>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дог 65 25/02/21</t>
  </si>
  <si>
    <t>стандарт метрологія</t>
  </si>
  <si>
    <t>Технічне обслуговування Зліт ТСРВ та витратоміра лічильника ЗлітМР (Зелена, 2-б)</t>
  </si>
  <si>
    <t>913-У/19/ОД від 24.12.2019р.</t>
  </si>
  <si>
    <t>дог 2021+ дог 13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</si>
  <si>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</si>
  <si>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</si>
  <si>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дог №84 08/04/20 (факт 2021)</t>
  </si>
  <si>
    <t>ВКО (94-23)</t>
  </si>
  <si>
    <t>Розрахунок амортизації  інших необоротних матеріальних і нематеріальних активів КП «ЧТЕ»</t>
  </si>
  <si>
    <t>Балансова вартість, грн.</t>
  </si>
  <si>
    <t>Транспортування ТЕ</t>
  </si>
  <si>
    <t>Інша діяльність</t>
  </si>
  <si>
    <t>факт 2021</t>
  </si>
  <si>
    <t>план попереднього періоду</t>
  </si>
  <si>
    <t>Структура планованих витрат на  плату за абонентське обслуговування та обслуговування та заміну ВКО по Комунальному підприємству "Чорноморськтеплоенерго" Чорноморської міської ради Одеського району Одеської області 
станом на 01.07.2021 року.</t>
  </si>
  <si>
    <t xml:space="preserve">Факт 2019 </t>
  </si>
  <si>
    <t>Діючий тариф</t>
  </si>
  <si>
    <t>План на 2021-2022</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</si>
  <si>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</si>
  <si>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</si>
  <si>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</si>
  <si>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</si>
  <si>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</si>
  <si>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</si>
  <si>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</si>
  <si>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</si>
  <si>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</si>
  <si>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</si>
  <si>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</si>
  <si>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банкам</t>
  </si>
  <si>
    <t>решта</t>
  </si>
  <si>
    <t>повірка</t>
  </si>
  <si>
    <t>картриджи</t>
  </si>
  <si>
    <t>аморт</t>
  </si>
  <si>
    <t>Перерахунок витрат</t>
  </si>
  <si>
    <t>Прожитковий мінімум на 2021 рік</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</si>
  <si>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</si>
  <si>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</si>
  <si>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</si>
  <si>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</si>
  <si>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</si>
  <si>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</si>
  <si>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</si>
  <si>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</si>
  <si>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</si>
  <si>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</si>
  <si>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</si>
  <si>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Обсяг реалізації теплової енергії власним споживачам, усього, зокрема:</t>
  </si>
  <si>
    <t>транспортування з цтп</t>
  </si>
  <si>
    <t>релігія</t>
  </si>
  <si>
    <t>Відпуск ТЕ в мережі, усього, зокрема:</t>
  </si>
  <si>
    <t>в т.ч. з цтп</t>
  </si>
  <si>
    <t>в т.ч. без цтп</t>
  </si>
  <si>
    <t>Відпуск ТЕ в мережу +втрати ГП</t>
  </si>
  <si>
    <t>навант + гп</t>
  </si>
  <si>
    <t xml:space="preserve">навант </t>
  </si>
  <si>
    <t>Господарчі потреби</t>
  </si>
  <si>
    <t>безЦТП</t>
  </si>
  <si>
    <t>Втрати з господарчих потреб</t>
  </si>
  <si>
    <t>Навантаження господарчих потреб</t>
  </si>
  <si>
    <t>навантаженя</t>
  </si>
  <si>
    <t>Різн</t>
  </si>
  <si>
    <t>Для 2- ст коеф виробництво</t>
  </si>
  <si>
    <t>без господарчих</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</si>
  <si>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</si>
  <si>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</si>
  <si>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</si>
  <si>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</si>
  <si>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</si>
  <si>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</si>
  <si>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</si>
  <si>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</si>
  <si>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</si>
  <si>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</si>
  <si>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</si>
  <si>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Вартість теплової енергії</t>
  </si>
  <si>
    <t>Перетворювач тиску Метран-100</t>
  </si>
  <si>
    <t>лист ремонт</t>
  </si>
  <si>
    <t>4% від повної с/в</t>
  </si>
  <si>
    <t>Порівняльна таблиця % планованих витрат на виробництво теплової енергії в 2021-2022 роках КП "ЧТЕ" та урахованих в  діючих тарифах в 2020-2021 роках</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</si>
  <si>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</si>
  <si>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</si>
  <si>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загальновиробничих витрат на  теплову енергію  в 2021-2022 роках КП "ЧТЕ" та урахованих в  діючих тарифах в 2020-2021 роках</t>
  </si>
  <si>
    <t>послуги з проведення інструментально-лабораторних вимірів для здійснення контролю забруднюючих речовин в навколішному середовищу</t>
  </si>
  <si>
    <t>2020-2021 рр.</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</si>
  <si>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</si>
  <si>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</si>
  <si>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</si>
  <si>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</si>
  <si>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</si>
  <si>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</si>
  <si>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</si>
  <si>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</si>
  <si>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</si>
  <si>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бюдетні організації</t>
  </si>
  <si>
    <t>грн. за 1 Гкал</t>
  </si>
  <si>
    <t>ціна виробництва теплової енергії</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</si>
  <si>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</si>
  <si>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</si>
  <si>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</si>
  <si>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</si>
  <si>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</si>
  <si>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</si>
  <si>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</si>
  <si>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Гкал на год</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</si>
  <si>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</si>
  <si>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</si>
  <si>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</si>
  <si>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</si>
  <si>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</si>
  <si>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</si>
  <si>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</si>
  <si>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</si>
  <si>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</si>
  <si>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</si>
  <si>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</si>
  <si>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</si>
  <si>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</si>
  <si>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</si>
  <si>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</si>
  <si>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</si>
  <si>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</si>
  <si>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</si>
  <si>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</si>
  <si>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</si>
  <si>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</si>
  <si>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</si>
  <si>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</si>
  <si>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</si>
  <si>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</si>
  <si>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</si>
  <si>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</si>
  <si>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</si>
  <si>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</si>
  <si>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</si>
  <si>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</si>
  <si>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</si>
  <si>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</si>
  <si>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</si>
  <si>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</si>
  <si>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</si>
  <si>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</si>
  <si>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</si>
  <si>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</si>
  <si>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</si>
  <si>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</si>
  <si>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</si>
  <si>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</si>
  <si>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</si>
  <si>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</si>
  <si>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</si>
  <si>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</si>
  <si>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</si>
  <si>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</si>
  <si>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</si>
  <si>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</si>
  <si>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</si>
  <si>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</si>
  <si>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</si>
  <si>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</si>
  <si>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</si>
  <si>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</si>
  <si>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</si>
  <si>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</si>
  <si>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</si>
  <si>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Тарифи на виробництво теплової енергії                                  ((п. 8*п. 9 )/п. 8)</t>
  </si>
  <si>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</si>
  <si>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</si>
  <si>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</si>
  <si>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</si>
  <si>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</si>
  <si>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</si>
  <si>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</si>
  <si>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</si>
  <si>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Структура тарифів на транспортування  теплової енергії з урахуванням витрат на утримання та ремонт центральних теплових пунктів</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</si>
  <si>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</si>
  <si>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</si>
  <si>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</si>
  <si>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</si>
  <si>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</si>
  <si>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</si>
  <si>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</si>
  <si>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</si>
  <si>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</si>
  <si>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</si>
  <si>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</si>
  <si>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</si>
  <si>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</si>
  <si>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</si>
  <si>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</si>
  <si>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</si>
  <si>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</si>
  <si>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</si>
  <si>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</si>
  <si>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</si>
  <si>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</si>
  <si>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</si>
  <si>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</si>
  <si>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</si>
  <si>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</si>
  <si>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</si>
  <si>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</si>
  <si>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</si>
  <si>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</si>
  <si>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Природний газ</t>
  </si>
  <si>
    <t>населення, у тому числі</t>
  </si>
  <si>
    <t>за фіксованим обсягом</t>
  </si>
  <si>
    <t>за нефіксованим обсягом</t>
  </si>
  <si>
    <t>Розрахунок вартості природного газу</t>
  </si>
  <si>
    <t>Вартість природного газу всього</t>
  </si>
  <si>
    <t>Ціна натурального палива, грн/тис. м3</t>
  </si>
  <si>
    <t>Двоставковий тариф</t>
  </si>
  <si>
    <t>умовно-змінна складова</t>
  </si>
  <si>
    <t>умовно-постійна складова</t>
  </si>
  <si>
    <t>Планований тариф</t>
  </si>
  <si>
    <t>грн/Гкал/год</t>
  </si>
  <si>
    <t>Тариф на виробництво теплової енергії,  без ПДВ</t>
  </si>
  <si>
    <t>Для потреб:</t>
  </si>
  <si>
    <t>Діючий тариф 2020-2021 рр.</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</si>
  <si>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</si>
  <si>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</si>
  <si>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</si>
  <si>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</si>
  <si>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</si>
  <si>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</si>
  <si>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</si>
  <si>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</si>
  <si>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</si>
  <si>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</si>
  <si>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</si>
  <si>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</si>
  <si>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</si>
  <si>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</si>
  <si>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</si>
  <si>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отпуск в сети</t>
  </si>
  <si>
    <t>религия</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</si>
  <si>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</si>
  <si>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</si>
  <si>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</si>
  <si>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</si>
  <si>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</si>
  <si>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</si>
  <si>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</si>
  <si>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</si>
  <si>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</si>
  <si>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</si>
  <si>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</si>
  <si>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</si>
  <si>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</si>
  <si>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</si>
  <si>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</si>
  <si>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</si>
  <si>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</si>
  <si>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</si>
  <si>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</si>
  <si>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</si>
  <si>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</si>
  <si>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</si>
  <si>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</si>
  <si>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</si>
  <si>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</si>
  <si>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</si>
  <si>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</si>
  <si>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</si>
  <si>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</si>
  <si>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</si>
  <si>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</si>
  <si>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</si>
  <si>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</si>
  <si>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</si>
  <si>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</si>
  <si>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</si>
  <si>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</si>
  <si>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</si>
  <si>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</si>
  <si>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</si>
  <si>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</si>
  <si>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</si>
  <si>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</si>
  <si>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</si>
  <si>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</si>
  <si>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</si>
  <si>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</si>
  <si>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</si>
  <si>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</si>
  <si>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</si>
  <si>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</si>
  <si>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</si>
  <si>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</si>
  <si>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</si>
  <si>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</si>
  <si>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</si>
  <si>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</si>
  <si>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</si>
  <si>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</si>
  <si>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</si>
  <si>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</si>
  <si>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</si>
  <si>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</si>
  <si>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</si>
  <si>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</si>
  <si>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</si>
  <si>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</si>
  <si>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</si>
  <si>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</si>
  <si>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</si>
  <si>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</si>
  <si>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</si>
  <si>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</si>
  <si>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</si>
  <si>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</si>
  <si>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</si>
  <si>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</si>
  <si>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</si>
  <si>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</si>
  <si>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</si>
  <si>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</si>
  <si>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</si>
  <si>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</si>
  <si>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</si>
  <si>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</si>
  <si>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</si>
  <si>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</si>
  <si>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</si>
  <si>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</si>
  <si>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</si>
  <si>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</si>
  <si>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</si>
  <si>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</si>
  <si>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</si>
  <si>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</si>
  <si>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</si>
  <si>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</si>
  <si>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</si>
  <si>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</si>
  <si>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</si>
  <si>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</si>
  <si>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</si>
  <si>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</si>
  <si>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</si>
  <si>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</si>
  <si>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</si>
  <si>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</si>
  <si>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</si>
  <si>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</si>
  <si>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</si>
  <si>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</si>
  <si>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</si>
  <si>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</si>
  <si>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</si>
  <si>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</si>
  <si>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</si>
  <si>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</si>
  <si>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</si>
  <si>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</si>
  <si>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</si>
  <si>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</si>
  <si>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</si>
  <si>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</si>
  <si>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</si>
  <si>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</si>
  <si>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</si>
  <si>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</si>
  <si>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</si>
  <si>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</si>
  <si>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</si>
  <si>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</si>
  <si>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</si>
  <si>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</si>
  <si>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</si>
  <si>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</si>
  <si>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природний газ  населення</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</si>
  <si>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</si>
  <si>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</si>
  <si>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</si>
  <si>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</si>
  <si>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</si>
  <si>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</si>
  <si>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</si>
  <si>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</si>
  <si>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</si>
  <si>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</si>
  <si>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</si>
  <si>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</si>
  <si>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</si>
  <si>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</si>
  <si>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</si>
  <si>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</si>
  <si>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</si>
  <si>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</si>
  <si>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</si>
  <si>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</si>
  <si>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</si>
  <si>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</si>
  <si>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</si>
  <si>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</si>
  <si>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 xml:space="preserve">Вхідні дані для розрахунку тарифів </t>
  </si>
  <si>
    <t>на 1 Гкал/год</t>
  </si>
  <si>
    <t>Факт 2021 (9 міс)</t>
  </si>
  <si>
    <t>Структура витрат на виробництво теплової енергії</t>
  </si>
  <si>
    <t>Для потреб бюджетних організацій та установ</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</si>
  <si>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</si>
  <si>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</si>
  <si>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</si>
  <si>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</si>
  <si>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</si>
  <si>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</si>
  <si>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</si>
  <si>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</si>
  <si>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</si>
  <si>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</si>
  <si>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</si>
  <si>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</si>
  <si>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</si>
  <si>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</si>
  <si>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</si>
  <si>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</si>
  <si>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</si>
  <si>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</si>
  <si>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</si>
  <si>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</si>
  <si>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</si>
  <si>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</si>
  <si>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</si>
  <si>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</si>
  <si>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</si>
  <si>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</si>
  <si>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</si>
  <si>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</si>
  <si>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</si>
  <si>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</si>
  <si>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</si>
  <si>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</si>
  <si>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</si>
  <si>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Сумарні тарифні витрати, 
тис. грн.
 на рік</t>
  </si>
  <si>
    <t>прийняті в вересні, ще не вступили в дію</t>
  </si>
  <si>
    <t>прийняті в октябре, ще не вступили в дію</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</si>
  <si>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</si>
  <si>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</si>
  <si>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</si>
  <si>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</si>
  <si>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</si>
  <si>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</si>
  <si>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 xml:space="preserve">Розмір обігових коштів урахований в тарифах на послуги з постачання теплової енергії для потреб інших споживачів, що діяли протягом 2021 року з січня по жовтень включно становить </t>
  </si>
  <si>
    <t>Т з цтп</t>
  </si>
  <si>
    <t>Т без цтп</t>
  </si>
  <si>
    <t>поставка</t>
  </si>
  <si>
    <t>на 2,57 року</t>
  </si>
  <si>
    <t>За ціною газу 7420 та 16554 та 24993</t>
  </si>
  <si>
    <t>транс</t>
  </si>
  <si>
    <t>пост</t>
  </si>
  <si>
    <t>Усього на планований  період, у тому числі</t>
  </si>
  <si>
    <t xml:space="preserve">для  потреб </t>
  </si>
  <si>
    <t>x</t>
  </si>
  <si>
    <t>2-ct</t>
  </si>
  <si>
    <t>1-ct</t>
  </si>
  <si>
    <t>ЗВВ та АДМ всі, а потрібно тільки ТЕ</t>
  </si>
  <si>
    <t>Структура витрат на теплову енергію</t>
  </si>
  <si>
    <t>Д1</t>
  </si>
  <si>
    <t>Д5</t>
  </si>
  <si>
    <t>Д6</t>
  </si>
  <si>
    <t>Д8</t>
  </si>
  <si>
    <t>Д9</t>
  </si>
  <si>
    <t>Д10</t>
  </si>
  <si>
    <t>ТЕ б/ЦТП</t>
  </si>
  <si>
    <t>ТЕ з/ЦТП</t>
  </si>
  <si>
    <t>тр з цтп</t>
  </si>
  <si>
    <t>тр б цтп</t>
  </si>
  <si>
    <t>поста</t>
  </si>
  <si>
    <t>2-х з цтп</t>
  </si>
  <si>
    <t>2-х б цтп</t>
  </si>
  <si>
    <t>ппте з цтп</t>
  </si>
  <si>
    <t>ппте б цтп</t>
  </si>
  <si>
    <t>АТ "ДТЕК Одеські електромережі"</t>
  </si>
  <si>
    <t>ТОВ "Енерджі Маркетс Ассістант"</t>
  </si>
  <si>
    <t>Грудень 2021р.</t>
  </si>
  <si>
    <t>Січень 2022р.</t>
  </si>
  <si>
    <t>Лютий 2022р.</t>
  </si>
  <si>
    <t>-</t>
  </si>
  <si>
    <t>станом на 01.06.2022 року</t>
  </si>
  <si>
    <t>ЧФ ДП "АМПУ"</t>
  </si>
  <si>
    <t>2022-2023</t>
  </si>
  <si>
    <t>Опалювальний сезон 2021 - 2022</t>
  </si>
  <si>
    <t>Березень 2022р</t>
  </si>
  <si>
    <t>Квітень 2022р</t>
  </si>
  <si>
    <t>Травень 2022р</t>
  </si>
  <si>
    <t>Години подачі гарячої води, год/міс</t>
  </si>
  <si>
    <t>Приєднане теплове навантаження системи ГВС всього, Гкал/год, у т.ч.:</t>
  </si>
  <si>
    <t>Потреба в ТЕ на ГВС</t>
  </si>
  <si>
    <t>Факт споживання активної електроенергії 2021 р.</t>
  </si>
  <si>
    <t>Факт споживання реактивної електроенергії 2021 р.</t>
  </si>
  <si>
    <t>Факт споживання генерації реактивної електроенергії 2021 р.</t>
  </si>
  <si>
    <t>Плановане співвідношення реактивної та активної електроенергії в 2021 році</t>
  </si>
  <si>
    <t>Планове співвідношення генерації та активної електроенергії в 2021 році</t>
  </si>
  <si>
    <t>Обсяг спожитого умовного палива в 2021 році</t>
  </si>
  <si>
    <t>Обсяг спожитого природного газу в 2021 році</t>
  </si>
  <si>
    <t xml:space="preserve"> ЦТП</t>
  </si>
  <si>
    <t xml:space="preserve"> кВт год</t>
  </si>
  <si>
    <t>бойлерна 1</t>
  </si>
  <si>
    <t>Відпуск теплової енергії з колекторів котельні, у т.ч.:</t>
  </si>
  <si>
    <t xml:space="preserve">у т.ч. котельня </t>
  </si>
  <si>
    <t>Витрати активної електроенергії котельні , що є спільними з ЦТП та без ЦТП (мережеві, підживлювальні, допоміжні), у т.ч.:</t>
  </si>
  <si>
    <t xml:space="preserve">Витрати активної електроенергії котельні , що відносяться тільки до ЦТП </t>
  </si>
  <si>
    <t>факт 5ти років - 2017-2022</t>
  </si>
  <si>
    <t>відсутня інформація</t>
  </si>
  <si>
    <t>только ЦК</t>
  </si>
  <si>
    <t>Співвідношення обсягів централізованого водопостачання та водовідведення для господарсько-питних потреб</t>
  </si>
  <si>
    <t>Заступник начальника з технічних питань та розвитку</t>
  </si>
  <si>
    <t>Заступник начальника з економіки та фінансів</t>
  </si>
  <si>
    <t>Максим ШИРОКОВ</t>
  </si>
  <si>
    <t>Наталія БАРТОШИК</t>
  </si>
  <si>
    <t>Тетяна ЗІМАН</t>
  </si>
  <si>
    <t>Віталій ЛІПСКИЙ</t>
  </si>
  <si>
    <t>Співвідношення обсягів централізованого водопостачання та водовідведення для технологічних потреб</t>
  </si>
  <si>
    <t xml:space="preserve">Транспортування теплової енергії магістральними та  місцевими (розподільчими) тепловими мережами - АЕ № 522293 від 20.11.2014 р. № 368 </t>
  </si>
  <si>
    <t xml:space="preserve">Постачання теплової енергії - АЕ № 287715 від 18.04.2014 р. № 423 </t>
  </si>
  <si>
    <t xml:space="preserve">Виробництво теплової енергії - АЕ № 287714 від 18.04.2014 р. № 423 </t>
  </si>
  <si>
    <t>Начальник ЧФ ДП "АМПУ"</t>
  </si>
  <si>
    <t xml:space="preserve">В.о. головного енергетика </t>
  </si>
  <si>
    <t>обслуговування пожежної сигналізації</t>
  </si>
  <si>
    <t>договір 57-В-ЧФ-22 від 05.05.2022</t>
  </si>
  <si>
    <t>обов᾽язкове обслуговування обєктів та територій Державними аварійно-рятувальними службами</t>
  </si>
  <si>
    <t>дог. № 98-В-ЧФ-20 від 31.07.2020</t>
  </si>
  <si>
    <t>дезинфекція, дератизація</t>
  </si>
  <si>
    <t>дог. № 20-В-ЧФ-22 від 03.02.2022</t>
  </si>
  <si>
    <t>котельня по вул Центральна, 20</t>
  </si>
  <si>
    <t>дог. № 156-В-ЧФ-20 від 06.07.2021</t>
  </si>
  <si>
    <t>Медичне страхування</t>
  </si>
  <si>
    <t>відрахування профспілкам 3% від фонду оплати праці</t>
  </si>
  <si>
    <t>культурно-масові міроприємства та утримання профсоюзів</t>
  </si>
  <si>
    <t>обслуговування систем пожежетушіння</t>
  </si>
  <si>
    <t xml:space="preserve">дог 236 06/12/2021 </t>
  </si>
  <si>
    <t xml:space="preserve">дог. № 99-В-ЧФ-21 від 12.05.2021 </t>
  </si>
  <si>
    <t>договір  90 -В-ЧФ-21 від 23-04-2021</t>
  </si>
  <si>
    <t>ліцензії</t>
  </si>
  <si>
    <t>послуги державного реєстратора</t>
  </si>
  <si>
    <t>послуги автогосподарства</t>
  </si>
  <si>
    <t>послуги відділу охорони СМБ</t>
  </si>
  <si>
    <t>послуги з передачі ел/енергії</t>
  </si>
  <si>
    <t>послуги з передачі води та стоків</t>
  </si>
  <si>
    <t>послуги служби пожежної охорони</t>
  </si>
  <si>
    <t>послуги ТСГ з теплопостачання</t>
  </si>
  <si>
    <t>не планується</t>
  </si>
  <si>
    <t>метрологічні послуги</t>
  </si>
  <si>
    <t>підготовка та перепідготовка кадрів (навчання)</t>
  </si>
  <si>
    <t>культурно-масові міроприємства, утримання профспілок</t>
  </si>
  <si>
    <t>медичне страхування</t>
  </si>
  <si>
    <t>3,5% від ФОП</t>
  </si>
  <si>
    <t>3% від ФОП</t>
  </si>
  <si>
    <t>розрахункові обсяги помножені на вільні тарифи та на ІЦП</t>
  </si>
  <si>
    <t>Порівняльна таблиця % планованих прямих витрат на виробництво теплової енергії  в 2022-2023 роках ЧФ ДП "АМПУ" та урахованих в  діючих тарифах в 2020-2021 роках</t>
  </si>
  <si>
    <t>Порівняльна таблиця % планованих прямих витрат на транспортування теплової енергії  в 2022-2023 роках КП "ЧТЕ" та урахованих в  діючих тарифах в 2020-2021 роках</t>
  </si>
  <si>
    <t>2022-2023 рр.</t>
  </si>
  <si>
    <t>медична страховка</t>
  </si>
  <si>
    <t>виготовлення технічної  документації</t>
  </si>
  <si>
    <t>друкарські витрати</t>
  </si>
  <si>
    <t>Порівняльна таблиця % планованих прямих витрат на постачання теплової енергії  в 2022-2023 роках ЧФ ДП "АМПУ" та урахованих в  діючих тарифах в 2020-2021 роках</t>
  </si>
  <si>
    <t>медогляд та медична страховка</t>
  </si>
  <si>
    <t>поштові та друкарські витрати</t>
  </si>
  <si>
    <t>експертизи, (СЕС, ГАЧЕІ та інше)</t>
  </si>
  <si>
    <t>Відрахування профспілкам 3%</t>
  </si>
  <si>
    <t>Послуги підрозділів філії</t>
  </si>
  <si>
    <t>витрати на користування програмним забезпеченням</t>
  </si>
  <si>
    <t>дослідження (моніторинг) навколишнього природного середовища, складання науково-обгрунтованих висновків</t>
  </si>
  <si>
    <t>Культурно-масові міроприємства, утримання профспілок</t>
  </si>
  <si>
    <t>Порівняльна таблиця % планованих адміністративних витрат на тепловe енергі.  в 2022-2023 роках ЧФ ДП "АМПУ" та урахованих в  діючих тарифах в 2020-2021 роках</t>
  </si>
  <si>
    <t xml:space="preserve">факт на ІЦВ </t>
  </si>
  <si>
    <t>22% від ФОП</t>
  </si>
  <si>
    <t>інші витрати, благоустрій території, периметральна сизналізація, тривожна точка</t>
  </si>
  <si>
    <t>витрати за користування програмним забезпеченням</t>
  </si>
  <si>
    <t>Медична страховка</t>
  </si>
  <si>
    <t>технічна документація</t>
  </si>
  <si>
    <t>послуги підрозділів філії</t>
  </si>
  <si>
    <t>послуги центру радіочастот, МІРТ</t>
  </si>
  <si>
    <t>розрахунок на листі ТО, факт 2021</t>
  </si>
  <si>
    <t>розрахнок в окремому файлі</t>
  </si>
  <si>
    <t>Газ всього, у т.ч. для потреб:</t>
  </si>
  <si>
    <t xml:space="preserve"> без ЦТП</t>
  </si>
  <si>
    <t>план 2022-2023</t>
  </si>
  <si>
    <t>до бюджету   30%</t>
  </si>
  <si>
    <t>Проєкт тарифу 2022-2023 рр.</t>
  </si>
  <si>
    <t>без урахуванням витрат на утримання та ремонт ЦТП</t>
  </si>
  <si>
    <t>природний газ релігія</t>
  </si>
  <si>
    <t>природний газ бюджет, інші споживачі</t>
  </si>
  <si>
    <t xml:space="preserve">Договір від 29.04.2022 від 29-В-АМПУ-22 </t>
  </si>
  <si>
    <t>Одноставковий тариф</t>
  </si>
  <si>
    <t>Станом на 01.06.2022
Тариф на теплову енергію,  з ПДВ</t>
  </si>
  <si>
    <t>одноставковий</t>
  </si>
  <si>
    <t>2019-2022</t>
  </si>
  <si>
    <t>Головний енергетик</t>
  </si>
  <si>
    <t>Олександр ФЕДОРОВИЧ</t>
  </si>
  <si>
    <t>Додаток 7
до рішення виконавчого комітету міської ради від ___.___ 2022 р. №_____</t>
  </si>
  <si>
    <t>витрати на відшкодування втрат</t>
  </si>
  <si>
    <t xml:space="preserve">НА ВИРОБНИЦТВО, ТРАНСПОРТУВАННЯ ТА  ПОСТАЧАННЯ  ТЕПЛОВОЇ  ЕНЕРГІЇ, </t>
  </si>
  <si>
    <t xml:space="preserve">                                ____________</t>
  </si>
  <si>
    <t>Начальник Адміністрації морського порту Чорноморськ</t>
  </si>
  <si>
    <t xml:space="preserve">                                                    РОЗРАХУНОК</t>
  </si>
  <si>
    <t xml:space="preserve">Додаток 4  </t>
  </si>
  <si>
    <t xml:space="preserve">                                                     (найменування суб'єкта господарювання)</t>
  </si>
  <si>
    <t xml:space="preserve"> (ініціали, прізвище)</t>
  </si>
  <si>
    <t xml:space="preserve">                                         РІЧНИЙ ПЛАН </t>
  </si>
  <si>
    <t xml:space="preserve">                            (керівник)</t>
  </si>
  <si>
    <t>__________</t>
  </si>
  <si>
    <r>
      <t xml:space="preserve">Таблиця </t>
    </r>
    <r>
      <rPr>
        <b/>
        <sz val="11"/>
        <color indexed="8"/>
        <rFont val="Times New Roman"/>
        <family val="1"/>
        <charset val="204"/>
      </rPr>
      <t>для розрахунку корисного тепла та втрат теплової енергії в мережах</t>
    </r>
  </si>
  <si>
    <t>____________Максим ШИРОКОВ</t>
  </si>
  <si>
    <t xml:space="preserve"> щодо переліку  об'єктів,</t>
  </si>
  <si>
    <t>Назва об'єкту</t>
  </si>
  <si>
    <t>Адреса об'єкту (вулиця, будинок, корпус)</t>
  </si>
  <si>
    <t>Склад №12</t>
  </si>
  <si>
    <t>вул. Сухолиманська,7</t>
  </si>
  <si>
    <t>у наявності</t>
  </si>
  <si>
    <t>Бокс гусеничної техніки</t>
  </si>
  <si>
    <t>Мийка ВМ-1</t>
  </si>
  <si>
    <t>Приміщення ВМ-1</t>
  </si>
  <si>
    <t>АПК-1 (2-4-ий повер)</t>
  </si>
  <si>
    <t>Їдальня 1-ий поверх АПК-1</t>
  </si>
  <si>
    <t>Тепловий пункт №1</t>
  </si>
  <si>
    <t>вул. Сухолиманська,9</t>
  </si>
  <si>
    <t>Електроцех</t>
  </si>
  <si>
    <t>вул. Сухолиманська,11</t>
  </si>
  <si>
    <t>Інвертарний склад</t>
  </si>
  <si>
    <t>Сховище ЦО-1</t>
  </si>
  <si>
    <t>вул. Центральна,5</t>
  </si>
  <si>
    <t>АПК (ГСМ) ВМТЗ</t>
  </si>
  <si>
    <t>вул. Транспортна,2</t>
  </si>
  <si>
    <t>АЗС-1</t>
  </si>
  <si>
    <t>Метеостанція</t>
  </si>
  <si>
    <t>вул. Центральна,5а</t>
  </si>
  <si>
    <t>Міленіум-2003</t>
  </si>
  <si>
    <t>вул. Центральна,4</t>
  </si>
  <si>
    <t>ФНС №10</t>
  </si>
  <si>
    <t>пров.Хантадзе,7а</t>
  </si>
  <si>
    <t>Побутові приміщення тепл/мереж</t>
  </si>
  <si>
    <t>вул. Центральна,15</t>
  </si>
  <si>
    <t>Токарна ділянка</t>
  </si>
  <si>
    <t>Контейнер склад №45</t>
  </si>
  <si>
    <t>Побутові приміщення водопровідників</t>
  </si>
  <si>
    <t>Слюсарна майстерня</t>
  </si>
  <si>
    <t>Приміщення КВПтаА</t>
  </si>
  <si>
    <t>АПК ТСГ</t>
  </si>
  <si>
    <t>Центральна прохідна (праве крило)</t>
  </si>
  <si>
    <t>вул. Транспортна,2в</t>
  </si>
  <si>
    <t>Центральна прохідна (ліве крило)</t>
  </si>
  <si>
    <t>ВКПО-1</t>
  </si>
  <si>
    <t>вул. Центральна,8</t>
  </si>
  <si>
    <t>Склад №1 ОМТС (магазин №26)</t>
  </si>
  <si>
    <t>вул. Транспортна,4</t>
  </si>
  <si>
    <t>вул. Транспортна,6а</t>
  </si>
  <si>
    <t>Кабельна ділянка (РХУ)</t>
  </si>
  <si>
    <t>Типографія</t>
  </si>
  <si>
    <t>Управління АМПУ + їдальня</t>
  </si>
  <si>
    <t>вул. Праці,6</t>
  </si>
  <si>
    <t>Сховище ЦО-2</t>
  </si>
  <si>
    <t>вул. Центральна,8а</t>
  </si>
  <si>
    <t>АПК БНГ (Нові побутові приміщення), мийка</t>
  </si>
  <si>
    <t>вул. Центральна,10</t>
  </si>
  <si>
    <t>НВ побут. прим. "старі" насосна</t>
  </si>
  <si>
    <t>НВ контора б/н складу</t>
  </si>
  <si>
    <t>НВ інвент. склад, приміщення мех.</t>
  </si>
  <si>
    <t>Насосна</t>
  </si>
  <si>
    <t>Лабораторія</t>
  </si>
  <si>
    <t>Електромережа</t>
  </si>
  <si>
    <t>вул. Сухолиманська,25а</t>
  </si>
  <si>
    <t>Склад №15 (контейн. терм)</t>
  </si>
  <si>
    <t>АПК-2 старі побутові приміщення</t>
  </si>
  <si>
    <t>вул. Сухолиманська,31</t>
  </si>
  <si>
    <t>Нові побутові приміщення</t>
  </si>
  <si>
    <t>Приміщення капітанії</t>
  </si>
  <si>
    <t>Пральня-2</t>
  </si>
  <si>
    <t xml:space="preserve">Електроцех </t>
  </si>
  <si>
    <t>вул. Сухолиманська,35</t>
  </si>
  <si>
    <t>АПК (ЦПМ-2)</t>
  </si>
  <si>
    <t>АПК ВМ-2</t>
  </si>
  <si>
    <t>вул. Сухолиманська,39</t>
  </si>
  <si>
    <t>Табельна ВМ-2</t>
  </si>
  <si>
    <t>Виробнича частина</t>
  </si>
  <si>
    <t>Мийка ВМ-2</t>
  </si>
  <si>
    <t>вул. Сухолиманська,41</t>
  </si>
  <si>
    <t>Битовки ЦВНС</t>
  </si>
  <si>
    <t>вул. Центральна,18</t>
  </si>
  <si>
    <t>вул. Транспортна,30</t>
  </si>
  <si>
    <t>АПК</t>
  </si>
  <si>
    <t>вул. Транспортна,15</t>
  </si>
  <si>
    <t>Склад №60</t>
  </si>
  <si>
    <t>Зварна ділянка армат. Скл.</t>
  </si>
  <si>
    <t>Столярний цех</t>
  </si>
  <si>
    <t>Майстер. (цех)</t>
  </si>
  <si>
    <t>Розчинний вузол</t>
  </si>
  <si>
    <t>Новий Гараж</t>
  </si>
  <si>
    <t>вул. Транспортна,11</t>
  </si>
  <si>
    <t>Диспетчерська</t>
  </si>
  <si>
    <t>Старий гараж</t>
  </si>
  <si>
    <t>Прохідна та побутові приміщення</t>
  </si>
  <si>
    <t>Насосна станція</t>
  </si>
  <si>
    <t>вул. Транспортна,7</t>
  </si>
  <si>
    <t>Бокс ТО-1</t>
  </si>
  <si>
    <t>Мийка</t>
  </si>
  <si>
    <t>Малярна ділянка</t>
  </si>
  <si>
    <t>Бокс легкових машин</t>
  </si>
  <si>
    <t>Мехмайстерні</t>
  </si>
  <si>
    <t>ЦВНС</t>
  </si>
  <si>
    <t>АПК котельні</t>
  </si>
  <si>
    <t>вул. Центральна,20</t>
  </si>
  <si>
    <t>Прохідна №2</t>
  </si>
  <si>
    <t>вул. Транспортна,34</t>
  </si>
  <si>
    <t>Сховище ЦО-3</t>
  </si>
  <si>
    <t>вул. Центральна,33</t>
  </si>
  <si>
    <t>АПК Одеська З/Д</t>
  </si>
  <si>
    <t>вул. Сухолиманська,</t>
  </si>
  <si>
    <t>ЕЦ Одеська З/Д</t>
  </si>
  <si>
    <t>АПК ТОВ "ТРАНСГРЕЙНТЕРМІНАЛ"</t>
  </si>
  <si>
    <t>вул. Сухолиманська,65а</t>
  </si>
  <si>
    <t>Плотницька</t>
  </si>
  <si>
    <t>вул. Сухолиманська,32</t>
  </si>
  <si>
    <t>Електроцех, склад №2</t>
  </si>
  <si>
    <t>Магазин</t>
  </si>
  <si>
    <t>Кафе "Бистро"</t>
  </si>
  <si>
    <t>вул. Транспортна,37</t>
  </si>
  <si>
    <t>Дезкорпус</t>
  </si>
  <si>
    <t>Цех дефект. Конт.</t>
  </si>
  <si>
    <t>вул. Транспортна,39</t>
  </si>
  <si>
    <t>АПК (без їдальні)</t>
  </si>
  <si>
    <t>Їдальня</t>
  </si>
  <si>
    <t>Маляр. Холод. Вентил.</t>
  </si>
  <si>
    <t>Пождепо ВКПО-2 (Автогосп-во)</t>
  </si>
  <si>
    <t>вул. Транспортна,42</t>
  </si>
  <si>
    <t>Опергрупа ВОХР (Автогосп-во)</t>
  </si>
  <si>
    <t>ВМ-3</t>
  </si>
  <si>
    <t>вул. Сухолиманська,46</t>
  </si>
  <si>
    <t>Still Box</t>
  </si>
  <si>
    <t>Табельна</t>
  </si>
  <si>
    <t>Токарно-зварна дільниця</t>
  </si>
  <si>
    <t>Склад №18</t>
  </si>
  <si>
    <t>вул. Транспортна,41</t>
  </si>
  <si>
    <t>Сховище ЦО-4</t>
  </si>
  <si>
    <t>вул. Сухолиманська,71б</t>
  </si>
  <si>
    <t>Електроцех ПКМ-4</t>
  </si>
  <si>
    <t>вул. Сухолиманська,71</t>
  </si>
  <si>
    <t>АПК-4 (2-4 поверх)</t>
  </si>
  <si>
    <t>вул. Сухолиманська,73</t>
  </si>
  <si>
    <t>Їдальня (1 поверх)</t>
  </si>
  <si>
    <t>Медпункт</t>
  </si>
  <si>
    <t>Лабораторія портофлоту</t>
  </si>
  <si>
    <t>вул. Сухолиманська,76а</t>
  </si>
  <si>
    <t>Інвентарний склад</t>
  </si>
  <si>
    <t xml:space="preserve">Портофлот </t>
  </si>
  <si>
    <t>вул. Сухолиманська,78</t>
  </si>
  <si>
    <t>Прох. бюро 4-го р-ну</t>
  </si>
  <si>
    <t>вул. Транспортна,50</t>
  </si>
  <si>
    <t>Виконавець: в.о. заст. головного енергетика Віктор ЮЛИК</t>
  </si>
  <si>
    <t xml:space="preserve">               (ініціали, прізвище)               </t>
  </si>
  <si>
    <t xml:space="preserve">                      (ініціали, прізвище)</t>
  </si>
  <si>
    <t>В.о. головного енергетика</t>
  </si>
  <si>
    <t xml:space="preserve">Одноставковий тариф </t>
  </si>
  <si>
    <t xml:space="preserve">Додаток 7                                        до рішення виконавчого комітету Чорноморської міської ради Одеського району Одеської області                               від ________ № ____ 
</t>
  </si>
  <si>
    <t xml:space="preserve">Додаток 8                                       до рішення виконавчого комітету Чорноморської міської ради Одеського району Одеської області                               від ________ № ____ 
</t>
  </si>
  <si>
    <t>Додаток 9
до рішення виконавчого комітету міської ради від ___.___ 2022 р. №_____</t>
  </si>
  <si>
    <t xml:space="preserve">   (підпис)</t>
  </si>
  <si>
    <t>Додаток 11
до рішення виконавчого комітету міської ради від ___.___ 2022 р. №_____</t>
  </si>
  <si>
    <t>Розрахунок ціни електричної енергії для потреб ЧФ ДП "Адміністрація морських портів України" на планований період 2022-2023 рр</t>
  </si>
  <si>
    <t xml:space="preserve">              (ініціали, прізвище)               </t>
  </si>
  <si>
    <t>Начальник Адміністації морського порту Чорноморськ</t>
  </si>
  <si>
    <t>для розрахунку одноставкових тарифів на теплову енергію, послуги з постачання теплової енергії</t>
  </si>
  <si>
    <t>Провідний економіст служби економіки та фінансів</t>
  </si>
  <si>
    <t>Інна ТКАЧ</t>
  </si>
  <si>
    <t>Додаток 6
до рішення виконавчого комітету міської ради від ___.___ 2022 р. №_____</t>
  </si>
  <si>
    <t xml:space="preserve">Додаток 12
до рішення виконавчого комітету міської ради від ___.___ 2022 р. №_____
</t>
  </si>
  <si>
    <t xml:space="preserve">
Тариф на теплову енергію,  з ПДВ</t>
  </si>
  <si>
    <t>Обсяг реалізації теплової енергії власним споживачам, тис. Гкал</t>
  </si>
  <si>
    <t>Для потреб бюджетних установ та релігійних організацій</t>
  </si>
  <si>
    <t>Тарифи на транспортування з  урахуванням витрат на утримання та ремонт центральних теплових пунктів теплової енергії                                                                 ((п. 4+п. 5+п. 6+п. 7+п. 9 )/п. 10)</t>
  </si>
  <si>
    <t>Тарифи на транспортування без  урахуванням витрат на утримання та ремонт центральних теплових пунктів теплової енергії                                                                ((п. 4+п. 5+п. 6+п. 7+п. 9 )/п. 10)</t>
  </si>
  <si>
    <t>Державне підприємство "Адміністрація морських портів України" (відокремлений підрозділ Чорноморська філія ДП "Адміністрація морських портів України")</t>
  </si>
  <si>
    <t xml:space="preserve">рішення  виконавчого комітету Чорноморської міської ради  від 27.01.2022 року   №20 </t>
  </si>
  <si>
    <t>Підтверджуючий документ (договір  + накладна, рахунок, інші документи)</t>
  </si>
  <si>
    <t>Індекс цін виробників промислової продукції, відсотків</t>
  </si>
  <si>
    <t>Державне підприємство "Адміністрація морських портів України", 01135, м.Київ, проспект Перемоги, 14 (відокремлений підрозділ - Чорноморська філія Державного підприємства "Адміністрація морських портів України",68001, Одеська обл., м.Чорноморськ,  вул. Праці, 6)</t>
  </si>
  <si>
    <t xml:space="preserve">       (керівник)                                                                                                              (підпис)                       (ініціали, прізвище)</t>
  </si>
  <si>
    <t>"__"червня 2022 року</t>
  </si>
  <si>
    <t xml:space="preserve">Постанова КМУ № 869 від 01.06.2011 (зі змінами) </t>
  </si>
  <si>
    <t xml:space="preserve">Рішення виконавчого комітету Чорноморської міської ради Одеського району Одеської області № 381 від 27.12.2018 </t>
  </si>
  <si>
    <t>фактичний коеф 2020 (9813 Власні потреби/12811,085 Вироб)</t>
  </si>
  <si>
    <t>Постанова КМУ від 31 травня 2021 р. № 586</t>
  </si>
  <si>
    <r>
      <t>Начальник</t>
    </r>
    <r>
      <rPr>
        <u/>
        <sz val="12"/>
        <color theme="1"/>
        <rFont val="Times New Roman"/>
        <family val="1"/>
        <charset val="204"/>
      </rPr>
      <t xml:space="preserve"> Адміністрації морського порту Чорноморськ</t>
    </r>
    <r>
      <rPr>
        <sz val="12"/>
        <color theme="1"/>
        <rFont val="Times New Roman"/>
        <family val="1"/>
        <charset val="204"/>
      </rPr>
      <t xml:space="preserve">    _______________   </t>
    </r>
    <r>
      <rPr>
        <u/>
        <sz val="12"/>
        <color theme="1"/>
        <rFont val="Times New Roman"/>
        <family val="1"/>
        <charset val="204"/>
      </rPr>
      <t xml:space="preserve"> Максим ШИРОКОВ</t>
    </r>
  </si>
  <si>
    <t xml:space="preserve">факт 5ти років - 2017-2022 </t>
  </si>
  <si>
    <t>Договір ТОВ "ЮГ-ГАЗ"</t>
  </si>
  <si>
    <t>КП“Чорноморськводо-канал” </t>
  </si>
  <si>
    <t>на 2022 - 2023 рік</t>
  </si>
  <si>
    <t xml:space="preserve"> (керівник)                                          </t>
  </si>
  <si>
    <t>Додаток 8
до рішення виконавчого комітету міської ради від ___.___ 2022 р. №_____</t>
  </si>
  <si>
    <t>(04868)75194</t>
  </si>
  <si>
    <t>Провідний економіст відділу економіки Інна ТКАЧ</t>
  </si>
  <si>
    <t>Виконавець:  Тимофій СКОРОБОГАТОВ</t>
  </si>
  <si>
    <t>Бюро перепусток  4-го р-ну</t>
  </si>
  <si>
    <t>Вбиральня</t>
  </si>
  <si>
    <t>Сушарка</t>
  </si>
  <si>
    <t>Слюсарна ділянка механіків</t>
  </si>
  <si>
    <t>Ділянка зв'язку і прохідна</t>
  </si>
  <si>
    <t>Будівля госп. ділянки (старе ПРМ-2. Госпбригада)</t>
  </si>
  <si>
    <t>СВК-1 (Алді)</t>
  </si>
  <si>
    <t>Рем бокс "Вольво"</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</si>
  <si>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Державного підприємства "Адміністрація морських портів України" (відокремленого підрозділу Чорноморська філія ДП "Адміністрація морських портів України") на території Чорноморської міської ради Одеського району Одеської області</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</si>
  <si>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Державного підприємства "Адміністрація морських портів України" (відокремленого підрозділу Чорноморська філія ДП "Адміністрація морських портів України") на території Чорноморської міської ради Одеського району Одеської області</t>
    </r>
  </si>
  <si>
    <t xml:space="preserve"> Виробнича собівартість виробництва теплової енергії власними котельними, у тому числі:  </t>
  </si>
  <si>
    <t>Вартість виробництва теплової енергії власними котельними</t>
  </si>
  <si>
    <t>Адміністративні витрати всього, розподілені між всіма видами діяльності по прямим витратам на оплату праці</t>
  </si>
  <si>
    <t>В файле тарифів за 2018 год</t>
  </si>
  <si>
    <t>Витрати умовного палива, тон</t>
  </si>
  <si>
    <t>Одиниць виміру</t>
  </si>
  <si>
    <t>розподіл господар навантаження</t>
  </si>
  <si>
    <t>Заступник міського голови</t>
  </si>
  <si>
    <t>змінено, 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</si>
  <si>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</si>
  <si>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</si>
  <si>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змінено, було - мережу, теплотранспортувальних, стало - теплові мережі, теплотранспортуючих, нумерація</t>
  </si>
  <si>
    <t>змінено, було - бюджетних установ та організацій, стало - бюджетних установ, нумерація</t>
  </si>
  <si>
    <t>Сумарні та середньо-зважені показники</t>
  </si>
  <si>
    <t>транспортування теплової енергії іншими суб'єктами господарювання</t>
  </si>
  <si>
    <t xml:space="preserve">Додаток 2
</t>
  </si>
  <si>
    <t xml:space="preserve">Додаток 3
</t>
  </si>
  <si>
    <t xml:space="preserve">Додаток 3.1
</t>
  </si>
  <si>
    <t xml:space="preserve">Додаток 5
</t>
  </si>
  <si>
    <t xml:space="preserve">Додаток 5.1
</t>
  </si>
  <si>
    <t xml:space="preserve">Додаток 10
</t>
  </si>
  <si>
    <r>
      <t>(стор.</t>
    </r>
    <r>
      <rPr>
        <u/>
        <sz val="12"/>
        <color theme="1"/>
        <rFont val="Times New Roman"/>
        <family val="1"/>
        <charset val="204"/>
      </rPr>
      <t xml:space="preserve"> 1 </t>
    </r>
    <r>
      <rPr>
        <sz val="12"/>
        <color theme="1"/>
        <rFont val="Times New Roman"/>
        <family val="1"/>
        <charset val="204"/>
      </rPr>
      <t>-</t>
    </r>
    <r>
      <rPr>
        <u/>
        <sz val="12"/>
        <color theme="1"/>
        <rFont val="Times New Roman"/>
        <family val="1"/>
        <charset val="204"/>
      </rPr>
      <t xml:space="preserve"> 2</t>
    </r>
    <r>
      <rPr>
        <sz val="12"/>
        <color theme="1"/>
        <rFont val="Times New Roman"/>
        <family val="1"/>
        <charset val="204"/>
      </rPr>
      <t>)</t>
    </r>
  </si>
  <si>
    <t>(стор. 3 - 16)</t>
  </si>
  <si>
    <t>(стор. 17 -32)</t>
  </si>
  <si>
    <t>(стор. 33 - 34)</t>
  </si>
  <si>
    <t>(стор. 35 - 38)</t>
  </si>
  <si>
    <t>(стор. 39 - 88)</t>
  </si>
  <si>
    <t>відсутня</t>
  </si>
  <si>
    <t>(стор. 89 - 148)</t>
  </si>
  <si>
    <t>(стор. 149 - 178)</t>
  </si>
  <si>
    <t>(стор. 179 - 388)</t>
  </si>
  <si>
    <t>(стор. 389 -394)</t>
  </si>
  <si>
    <t>(стор.395 - 442)</t>
  </si>
  <si>
    <t>(стор. 443-450)</t>
  </si>
  <si>
    <t>(стор. 451-472)</t>
  </si>
  <si>
    <t>(стор. 473 - 494)</t>
  </si>
  <si>
    <t>(стор. 495 - 970)</t>
  </si>
  <si>
    <t>(стор. 971 - 976)</t>
  </si>
  <si>
    <t>(стор. 977 - 1014)</t>
  </si>
  <si>
    <t>(стор. 1015 - 1030)</t>
  </si>
  <si>
    <t>(стор. 1031 - 1040)</t>
  </si>
  <si>
    <t>(стор. 1041 -1042)</t>
  </si>
  <si>
    <t>(стор. 1043- 1046)</t>
  </si>
  <si>
    <t>(стор. 1081 - 1088)</t>
  </si>
  <si>
    <t>(стор. 1047 -1056)</t>
  </si>
  <si>
    <t>(стор. 1057 -1080)</t>
  </si>
  <si>
    <t>(стор.1083 - 1092)</t>
  </si>
  <si>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 на території Чорноморської міської ради Одеського району Одеської області</t>
    </r>
  </si>
  <si>
    <t>Структура тарифів на виробництво теплової енергії Державного підприємства "Адміністрація морських портів України"  на території Чорноморської міської ради Одеського району Одеської області</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</si>
  <si>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Державного підприємства "Адміністрація морських портів України"  на території Чорноморської міської ради Одеського району Одеської області</t>
    </r>
  </si>
  <si>
    <t>Структура тарифів на постачання теплової енергії Державного підприємства "Адміністрація морських портів України"  на території Чорноморської міської ради Одеського району Одеської області</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</si>
  <si>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для Державного підприємства "Адміністрація морських портів України"  на території Чорноморської міської ради Одеського району Одеської області</t>
    </r>
  </si>
  <si>
    <t>Для потреб інших споживачів з урахуванням витрат на обслуговування та ремонт центральних теплових пунктів</t>
  </si>
  <si>
    <t>Для потреб інших споживачів без урахування витрат  на обслуговування та ремонт центральних теплових пунктів</t>
  </si>
  <si>
    <t>теплопостачання яким здійснює Державне підприємство "Адміністрація морських портів України"  на території Чорноморської міської ради Одеського району Одеської області</t>
  </si>
  <si>
    <t xml:space="preserve">                                                                                     Наталя КУШНІРЕНКО</t>
  </si>
  <si>
    <t>Додаток 1    до рішення виконавчого комітету Чорноморської міської ради                                                                                                                                                                                                                                                                                                                                                   від __________________ № _____________</t>
  </si>
  <si>
    <t>Додаток 2   до рішення виконавчого комітету Чорноморської міської ради                                                                                              від ____________________ № ___________</t>
  </si>
  <si>
    <t>Додаток 3  
 до рішення виконавчого комітету Чорноморської міської ради                                                                          від ___________________ № ____________</t>
  </si>
  <si>
    <t>Додаток 4                                         до рішення виконавчого комітету Чорноморської міської ради Одеського району Одеської області                                            від _______________ № _________</t>
  </si>
  <si>
    <t>Додаток 5   до рішення виконавчого комітету Чорноморської міської ради               від _______________ № __________</t>
  </si>
  <si>
    <t>Додаток 6 
 до рішення виконавчого комітету Чорноморської міської ради                                                                                       від ________ _____________№ __________</t>
  </si>
  <si>
    <t xml:space="preserve">Додаток 7    до рішення виконавчого комітету Чорноморської міської ради                                                                 від _________________ № _______________ 
</t>
  </si>
  <si>
    <t xml:space="preserve">Додаток 8   до рішення виконавчого комітету Чорноморської міської ради                                                                             від _____________________ № ___________ 
</t>
  </si>
  <si>
    <r>
      <t xml:space="preserve">Структура тарифів на теплову енергію  </t>
    </r>
    <r>
      <rPr>
        <b/>
        <u/>
        <sz val="11"/>
        <color theme="1"/>
        <rFont val="Times New Roman"/>
        <family val="1"/>
        <charset val="204"/>
      </rPr>
      <t>без урахування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</si>
  <si>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транспортування теплової енергії </t>
    </r>
    <r>
      <rPr>
        <b/>
        <u/>
        <sz val="11"/>
        <color theme="1"/>
        <rFont val="Times New Roman"/>
        <family val="1"/>
        <charset val="204"/>
      </rPr>
      <t>без урахування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на території Чорноморської міської ради Одеського району Одеської області</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</si>
</sst>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00\ _₽_-;\-* #,##0.00\ _₽_-;_-* &quot;-&quot;??\ _₽_-;_-@_-"/>
    <numFmt numFmtId="165" formatCode="_-* #,##0.00&quot;р.&quot;_-;\-* #,##0.00&quot;р.&quot;_-;_-* &quot;-&quot;??&quot;р.&quot;_-;_-@_-"/>
    <numFmt numFmtId="166" formatCode="_-* #,##0.00_р_._-;\-* #,##0.00_р_._-;_-* &quot;-&quot;??_р_._-;_-@_-"/>
    <numFmt numFmtId="167" formatCode="_-* #,##0.00_₴_-;\-* #,##0.00_₴_-;_-* &quot;-&quot;??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00000%"/>
    <numFmt numFmtId="194" formatCode="0.00000000"/>
    <numFmt numFmtId="195" formatCode="#,##0.0"/>
  </numFmts>
  <fonts count="29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u/>
      <sz val="11"/>
      <color theme="1"/>
      <name val="Calibri"/>
      <family val="2"/>
      <charset val="204"/>
      <scheme val="minor"/>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b/>
      <sz val="10"/>
      <name val="Arial"/>
      <family val="2"/>
      <charset val="204"/>
    </font>
    <font>
      <sz val="11"/>
      <name val="Arial"/>
      <family val="2"/>
      <charset val="204"/>
    </font>
    <font>
      <sz val="11"/>
      <name val="Calibri"/>
      <family val="2"/>
      <charset val="204"/>
      <scheme val="minor"/>
    </font>
    <font>
      <sz val="11"/>
      <color rgb="FFFF0000"/>
      <name val="Arial"/>
      <family val="2"/>
      <charset val="204"/>
    </font>
    <font>
      <sz val="10"/>
      <color rgb="FFFF000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2"/>
      <color theme="0"/>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i/>
      <sz val="11"/>
      <name val="Calibri"/>
      <family val="2"/>
      <charset val="204"/>
      <scheme val="minor"/>
    </font>
    <font>
      <b/>
      <sz val="7"/>
      <name val="Times New Roman"/>
      <family val="1"/>
      <charset val="204"/>
    </font>
    <font>
      <b/>
      <sz val="11"/>
      <name val="Calibri"/>
      <family val="2"/>
      <charset val="204"/>
      <scheme val="minor"/>
    </font>
    <font>
      <u/>
      <sz val="11"/>
      <name val="Times New Roman"/>
      <family val="1"/>
      <charset val="204"/>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b/>
      <u/>
      <sz val="12"/>
      <color theme="1"/>
      <name val="Times New Roman"/>
      <family val="1"/>
      <charset val="204"/>
    </font>
    <font>
      <i/>
      <sz val="10"/>
      <color rgb="FFFF0000"/>
      <name val="Times New Roman"/>
      <family val="1"/>
      <charset val="204"/>
    </font>
    <font>
      <b/>
      <sz val="10"/>
      <color rgb="FFFF0000"/>
      <name val="Times New Roman"/>
      <family val="1"/>
      <charset val="204"/>
    </font>
    <font>
      <b/>
      <sz val="12"/>
      <color theme="1"/>
      <name val="Calibri"/>
      <family val="2"/>
      <charset val="204"/>
    </font>
    <font>
      <i/>
      <sz val="11"/>
      <color rgb="FFFF0000"/>
      <name val="Times New Roman"/>
      <family val="1"/>
      <charset val="204"/>
    </font>
    <font>
      <sz val="11"/>
      <color theme="6" tint="-0.499984740745262"/>
      <name val="Times New Roman"/>
      <family val="1"/>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6"/>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b/>
      <u/>
      <sz val="9"/>
      <color indexed="8"/>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rgb="FF00B050"/>
      <name val="Times New Roman"/>
      <family val="1"/>
      <charset val="204"/>
    </font>
    <font>
      <sz val="11"/>
      <color rgb="FF00B050"/>
      <name val="Calibri"/>
      <family val="2"/>
      <charset val="204"/>
      <scheme val="minor"/>
    </font>
    <font>
      <sz val="11"/>
      <color theme="3" tint="-0.249977111117893"/>
      <name val="Times New Roman"/>
      <family val="1"/>
      <charset val="204"/>
    </font>
    <font>
      <b/>
      <sz val="11"/>
      <color theme="3" tint="-0.249977111117893"/>
      <name val="Times New Roman"/>
      <family val="1"/>
      <charset val="204"/>
    </font>
    <font>
      <b/>
      <sz val="11"/>
      <color theme="3" tint="-0.249977111117893"/>
      <name val="Calibri"/>
      <family val="2"/>
      <charset val="204"/>
      <scheme val="minor"/>
    </font>
    <font>
      <b/>
      <u/>
      <sz val="11"/>
      <color rgb="FFFF0000"/>
      <name val="Calibri"/>
      <family val="2"/>
      <charset val="204"/>
      <scheme val="minor"/>
    </font>
    <font>
      <b/>
      <u/>
      <sz val="9"/>
      <color rgb="FF000000"/>
      <name val="Times New Roman"/>
      <family val="1"/>
      <charset val="204"/>
    </font>
    <font>
      <sz val="11"/>
      <color theme="9" tint="-0.499984740745262"/>
      <name val="Times New Roman"/>
      <family val="1"/>
      <charset val="204"/>
    </font>
    <font>
      <b/>
      <sz val="11"/>
      <color rgb="FFFF0000"/>
      <name val="Calibri"/>
      <family val="2"/>
      <scheme val="minor"/>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i/>
      <sz val="8"/>
      <name val="Times New Roman"/>
      <family val="1"/>
      <charset val="204"/>
    </font>
    <font>
      <i/>
      <sz val="8"/>
      <color rgb="FFFF0000"/>
      <name val="Times New Roman"/>
      <family val="1"/>
      <charset val="204"/>
    </font>
    <font>
      <b/>
      <u/>
      <sz val="11"/>
      <color rgb="FFFF0000"/>
      <name val="Times New Roman"/>
      <family val="1"/>
      <charset val="204"/>
    </font>
    <font>
      <b/>
      <i/>
      <u/>
      <sz val="11"/>
      <color rgb="FFFF0000"/>
      <name val="Times New Roman"/>
      <family val="1"/>
      <charset val="204"/>
    </font>
    <font>
      <sz val="11"/>
      <color rgb="FF333333"/>
      <name val="Times New Roman"/>
      <family val="1"/>
      <charset val="204"/>
    </font>
    <font>
      <sz val="8"/>
      <color rgb="FF333333"/>
      <name val="Times New Roman"/>
      <family val="1"/>
      <charset val="204"/>
    </font>
    <font>
      <sz val="12"/>
      <color rgb="FF0070C0"/>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b/>
      <sz val="11"/>
      <color theme="8" tint="-0.499984740745262"/>
      <name val="Calibri"/>
      <family val="2"/>
      <charset val="204"/>
      <scheme val="minor"/>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sz val="11"/>
      <color rgb="FFFFFF00"/>
      <name val="Times New Roman"/>
      <family val="1"/>
      <charset val="204"/>
    </font>
    <font>
      <sz val="9"/>
      <color indexed="81"/>
      <name val="Tahoma"/>
      <family val="2"/>
      <charset val="204"/>
    </font>
    <font>
      <b/>
      <sz val="9"/>
      <color indexed="81"/>
      <name val="Tahoma"/>
      <family val="2"/>
      <charset val="204"/>
    </font>
    <font>
      <u/>
      <sz val="14"/>
      <color theme="1"/>
      <name val="Times New Roman"/>
      <family val="1"/>
      <charset val="204"/>
    </font>
    <font>
      <u/>
      <sz val="12"/>
      <color rgb="FF0070C0"/>
      <name val="Times New Roman"/>
      <family val="1"/>
      <charset val="204"/>
    </font>
    <font>
      <u/>
      <sz val="14"/>
      <color rgb="FF0070C0"/>
      <name val="Times New Roman"/>
      <family val="1"/>
      <charset val="204"/>
    </font>
    <font>
      <i/>
      <u/>
      <sz val="12"/>
      <name val="Times New Roman"/>
      <family val="1"/>
      <charset val="204"/>
    </font>
    <font>
      <u/>
      <sz val="12"/>
      <color rgb="FFC00000"/>
      <name val="Times New Roman"/>
      <family val="1"/>
      <charset val="204"/>
    </font>
    <font>
      <u/>
      <sz val="10"/>
      <color theme="1"/>
      <name val="Times New Roman"/>
      <family val="1"/>
      <charset val="204"/>
    </font>
    <font>
      <i/>
      <sz val="11"/>
      <color rgb="FF000000"/>
      <name val="Times New Roman"/>
      <family val="1"/>
      <charset val="204"/>
    </font>
    <font>
      <i/>
      <sz val="10"/>
      <color rgb="FF000000"/>
      <name val="Times New Roman"/>
      <family val="1"/>
      <charset val="204"/>
    </font>
    <font>
      <i/>
      <sz val="9"/>
      <color rgb="FF000000"/>
      <name val="Times New Roman"/>
      <family val="1"/>
      <charset val="204"/>
    </font>
    <font>
      <b/>
      <u/>
      <sz val="12"/>
      <color rgb="FFFF0000"/>
      <name val="Times New Roman"/>
      <family val="1"/>
      <charset val="204"/>
    </font>
    <font>
      <b/>
      <sz val="12"/>
      <color theme="8" tint="-0.499984740745262"/>
      <name val="Times New Roman"/>
      <family val="1"/>
      <charset val="204"/>
    </font>
    <font>
      <sz val="10"/>
      <color theme="0"/>
      <name val="Times New Roman"/>
      <family val="1"/>
      <charset val="204"/>
    </font>
    <font>
      <b/>
      <u/>
      <sz val="10"/>
      <color theme="0"/>
      <name val="Times New Roman"/>
      <family val="1"/>
      <charset val="204"/>
    </font>
    <font>
      <b/>
      <u/>
      <sz val="11"/>
      <color theme="0"/>
      <name val="Times New Roman"/>
      <family val="1"/>
      <charset val="204"/>
    </font>
    <font>
      <u/>
      <sz val="12"/>
      <color theme="10"/>
      <name val="Calibri"/>
      <family val="2"/>
      <scheme val="minor"/>
    </font>
    <font>
      <b/>
      <u/>
      <sz val="14"/>
      <name val="Times New Roman"/>
      <family val="1"/>
      <charset val="204"/>
    </font>
    <font>
      <b/>
      <u/>
      <sz val="15"/>
      <name val="Times New Roman"/>
      <family val="1"/>
      <charset val="204"/>
    </font>
    <font>
      <b/>
      <u/>
      <sz val="12"/>
      <name val="Times New Roman"/>
      <family val="1"/>
      <charset val="204"/>
    </font>
    <font>
      <sz val="6"/>
      <color theme="1"/>
      <name val="Times New Roman"/>
      <family val="1"/>
      <charset val="204"/>
    </font>
  </fonts>
  <fills count="8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indexed="43"/>
        <bgColor indexed="64"/>
      </patternFill>
    </fill>
    <fill>
      <patternFill patternType="solid">
        <fgColor rgb="FF00FFFF"/>
        <bgColor indexed="64"/>
      </patternFill>
    </fill>
    <fill>
      <patternFill patternType="solid">
        <fgColor indexed="53"/>
        <bgColor indexed="64"/>
      </patternFill>
    </fill>
    <fill>
      <patternFill patternType="solid">
        <fgColor indexed="22"/>
        <bgColor indexed="64"/>
      </patternFill>
    </fill>
    <fill>
      <patternFill patternType="solid">
        <fgColor rgb="FFFFC000"/>
        <bgColor rgb="FF000000"/>
      </patternFill>
    </fill>
    <fill>
      <patternFill patternType="solid">
        <fgColor rgb="FF92D050"/>
        <bgColor rgb="FF000000"/>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rgb="FF000000"/>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auto="1"/>
      </left>
      <right style="thin">
        <color auto="1"/>
      </right>
      <top style="medium">
        <color indexed="64"/>
      </top>
      <bottom style="hair">
        <color indexed="64"/>
      </bottom>
      <diagonal/>
    </border>
    <border>
      <left style="thin">
        <color auto="1"/>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top/>
      <bottom style="medium">
        <color indexed="64"/>
      </bottom>
      <diagonal/>
    </border>
    <border>
      <left/>
      <right style="thin">
        <color auto="1"/>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auto="1"/>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auto="1"/>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s>
  <cellStyleXfs count="560">
    <xf numFmtId="0" fontId="0" fillId="0" borderId="0"/>
    <xf numFmtId="0" fontId="37" fillId="0" borderId="0"/>
    <xf numFmtId="168" fontId="39" fillId="0" borderId="0" applyFont="0" applyFill="0" applyBorder="0" applyAlignment="0" applyProtection="0"/>
    <xf numFmtId="169" fontId="38" fillId="0" borderId="0" applyFont="0" applyFill="0" applyBorder="0" applyAlignment="0" applyProtection="0"/>
    <xf numFmtId="168" fontId="37" fillId="0" borderId="0" applyFont="0" applyFill="0" applyBorder="0" applyAlignment="0" applyProtection="0"/>
    <xf numFmtId="0" fontId="35" fillId="0" borderId="0"/>
    <xf numFmtId="0" fontId="34" fillId="0" borderId="0"/>
    <xf numFmtId="0" fontId="38" fillId="0" borderId="0"/>
    <xf numFmtId="9" fontId="55" fillId="0" borderId="0" applyFont="0" applyFill="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4" borderId="0" applyNumberFormat="0" applyBorder="0" applyAlignment="0" applyProtection="0"/>
    <xf numFmtId="0" fontId="57" fillId="7" borderId="0" applyNumberFormat="0" applyBorder="0" applyAlignment="0" applyProtection="0"/>
    <xf numFmtId="0" fontId="57" fillId="5"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5" borderId="0" applyNumberFormat="0" applyBorder="0" applyAlignment="0" applyProtection="0"/>
    <xf numFmtId="0" fontId="57" fillId="5" borderId="0" applyNumberFormat="0" applyBorder="0" applyAlignment="0" applyProtection="0"/>
    <xf numFmtId="0" fontId="56" fillId="15"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2" borderId="0" applyNumberFormat="0" applyBorder="0" applyAlignment="0" applyProtection="0"/>
    <xf numFmtId="0" fontId="58" fillId="18" borderId="0" applyNumberFormat="0" applyBorder="0" applyAlignment="0" applyProtection="0"/>
    <xf numFmtId="0" fontId="58" fillId="5" borderId="0" applyNumberFormat="0" applyBorder="0" applyAlignment="0" applyProtection="0"/>
    <xf numFmtId="0" fontId="59" fillId="19"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18" borderId="0" applyNumberFormat="0" applyBorder="0" applyAlignment="0" applyProtection="0"/>
    <xf numFmtId="0" fontId="58" fillId="24" borderId="0" applyNumberFormat="0" applyBorder="0" applyAlignment="0" applyProtection="0"/>
    <xf numFmtId="0" fontId="60" fillId="9" borderId="0" applyNumberFormat="0" applyBorder="0" applyAlignment="0" applyProtection="0"/>
    <xf numFmtId="0" fontId="61" fillId="4" borderId="11" applyNumberFormat="0" applyAlignment="0" applyProtection="0"/>
    <xf numFmtId="0" fontId="62" fillId="25" borderId="12" applyNumberFormat="0" applyAlignment="0" applyProtection="0"/>
    <xf numFmtId="0" fontId="56" fillId="0" borderId="0"/>
    <xf numFmtId="0" fontId="63" fillId="0" borderId="0" applyNumberFormat="0" applyFill="0" applyBorder="0" applyAlignment="0" applyProtection="0"/>
    <xf numFmtId="0" fontId="64" fillId="10" borderId="0" applyNumberFormat="0" applyBorder="0" applyAlignment="0" applyProtection="0"/>
    <xf numFmtId="0" fontId="65" fillId="0" borderId="13" applyNumberFormat="0" applyFill="0" applyAlignment="0" applyProtection="0"/>
    <xf numFmtId="0" fontId="66" fillId="0" borderId="14" applyNumberFormat="0" applyFill="0" applyAlignment="0" applyProtection="0"/>
    <xf numFmtId="0" fontId="67" fillId="0" borderId="15" applyNumberFormat="0" applyFill="0" applyAlignment="0" applyProtection="0"/>
    <xf numFmtId="0" fontId="67" fillId="0" borderId="0" applyNumberFormat="0" applyFill="0" applyBorder="0" applyAlignment="0" applyProtection="0"/>
    <xf numFmtId="0" fontId="68" fillId="5" borderId="11" applyNumberFormat="0" applyAlignment="0" applyProtection="0"/>
    <xf numFmtId="0" fontId="69" fillId="0" borderId="16" applyNumberFormat="0" applyFill="0" applyAlignment="0" applyProtection="0"/>
    <xf numFmtId="0" fontId="70" fillId="14" borderId="0" applyNumberFormat="0" applyBorder="0" applyAlignment="0" applyProtection="0"/>
    <xf numFmtId="0" fontId="39" fillId="6" borderId="17" applyNumberFormat="0" applyFont="0" applyAlignment="0" applyProtection="0"/>
    <xf numFmtId="0" fontId="71" fillId="4" borderId="18" applyNumberFormat="0" applyAlignment="0" applyProtection="0"/>
    <xf numFmtId="0" fontId="72" fillId="0" borderId="0" applyNumberFormat="0" applyFill="0" applyBorder="0" applyAlignment="0" applyProtection="0"/>
    <xf numFmtId="0" fontId="73" fillId="0" borderId="19" applyNumberFormat="0" applyFill="0" applyAlignment="0" applyProtection="0"/>
    <xf numFmtId="0" fontId="74" fillId="0" borderId="0" applyNumberFormat="0" applyFill="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0" borderId="0" applyNumberFormat="0" applyBorder="0" applyAlignment="0" applyProtection="0"/>
    <xf numFmtId="0" fontId="59" fillId="18" borderId="0" applyNumberFormat="0" applyBorder="0" applyAlignment="0" applyProtection="0"/>
    <xf numFmtId="0" fontId="59" fillId="24" borderId="0" applyNumberFormat="0" applyBorder="0" applyAlignment="0" applyProtection="0"/>
    <xf numFmtId="0" fontId="75" fillId="5" borderId="11" applyNumberFormat="0" applyAlignment="0" applyProtection="0"/>
    <xf numFmtId="9" fontId="76" fillId="0" borderId="0" applyFont="0" applyFill="0" applyBorder="0" applyAlignment="0" applyProtection="0"/>
    <xf numFmtId="0" fontId="77" fillId="12" borderId="18" applyNumberFormat="0" applyAlignment="0" applyProtection="0"/>
    <xf numFmtId="0" fontId="78" fillId="12" borderId="11" applyNumberFormat="0" applyAlignment="0" applyProtection="0"/>
    <xf numFmtId="165" fontId="37" fillId="0" borderId="0" applyFont="0" applyFill="0" applyBorder="0" applyAlignment="0" applyProtection="0"/>
    <xf numFmtId="165" fontId="37" fillId="0" borderId="0" applyFont="0" applyFill="0" applyBorder="0" applyAlignment="0" applyProtection="0"/>
    <xf numFmtId="170" fontId="76" fillId="0" borderId="0" applyFill="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14" applyNumberFormat="0" applyFill="0" applyAlignment="0" applyProtection="0"/>
    <xf numFmtId="0" fontId="80" fillId="0" borderId="14"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6" fillId="0" borderId="0"/>
    <xf numFmtId="0" fontId="38" fillId="0" borderId="0"/>
    <xf numFmtId="0" fontId="38" fillId="0" borderId="0"/>
    <xf numFmtId="0" fontId="55" fillId="0" borderId="0"/>
    <xf numFmtId="0" fontId="56" fillId="0" borderId="0"/>
    <xf numFmtId="0" fontId="37" fillId="0" borderId="0"/>
    <xf numFmtId="0" fontId="38" fillId="0" borderId="0"/>
    <xf numFmtId="0" fontId="38" fillId="0" borderId="0"/>
    <xf numFmtId="0" fontId="33" fillId="0" borderId="0"/>
    <xf numFmtId="0" fontId="33" fillId="0" borderId="0"/>
    <xf numFmtId="0" fontId="33" fillId="0" borderId="0"/>
    <xf numFmtId="0" fontId="33" fillId="0" borderId="0"/>
    <xf numFmtId="0" fontId="38" fillId="0" borderId="0"/>
    <xf numFmtId="0" fontId="57" fillId="0" borderId="0"/>
    <xf numFmtId="0" fontId="82" fillId="0" borderId="22" applyNumberFormat="0" applyFill="0" applyAlignment="0" applyProtection="0"/>
    <xf numFmtId="0" fontId="83" fillId="25" borderId="12" applyNumberFormat="0" applyAlignment="0" applyProtection="0"/>
    <xf numFmtId="0" fontId="84" fillId="0" borderId="0" applyNumberFormat="0" applyFill="0" applyBorder="0" applyAlignment="0" applyProtection="0"/>
    <xf numFmtId="0" fontId="85" fillId="14" borderId="0" applyNumberFormat="0" applyBorder="0" applyAlignment="0" applyProtection="0"/>
    <xf numFmtId="0" fontId="56" fillId="0" borderId="0"/>
    <xf numFmtId="0" fontId="86" fillId="0" borderId="0"/>
    <xf numFmtId="0" fontId="86" fillId="0" borderId="0"/>
    <xf numFmtId="0" fontId="86" fillId="0" borderId="0"/>
    <xf numFmtId="0" fontId="86" fillId="0" borderId="0"/>
    <xf numFmtId="0" fontId="51" fillId="0" borderId="0"/>
    <xf numFmtId="0" fontId="51" fillId="0" borderId="0"/>
    <xf numFmtId="0" fontId="51" fillId="0" borderId="0"/>
    <xf numFmtId="0" fontId="37" fillId="0" borderId="0"/>
    <xf numFmtId="0" fontId="55" fillId="0" borderId="0"/>
    <xf numFmtId="0" fontId="33" fillId="0" borderId="0"/>
    <xf numFmtId="0" fontId="33" fillId="0" borderId="0"/>
    <xf numFmtId="0" fontId="33" fillId="0" borderId="0"/>
    <xf numFmtId="0" fontId="33" fillId="0" borderId="0"/>
    <xf numFmtId="0" fontId="33" fillId="0" borderId="0"/>
    <xf numFmtId="0" fontId="37" fillId="0" borderId="0"/>
    <xf numFmtId="0" fontId="38" fillId="0" borderId="0"/>
    <xf numFmtId="0" fontId="37" fillId="0" borderId="0"/>
    <xf numFmtId="0" fontId="38" fillId="0" borderId="0"/>
    <xf numFmtId="0" fontId="3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7" fillId="0" borderId="0"/>
    <xf numFmtId="0" fontId="55" fillId="0" borderId="0"/>
    <xf numFmtId="0" fontId="37" fillId="0" borderId="0"/>
    <xf numFmtId="0" fontId="37" fillId="0" borderId="0"/>
    <xf numFmtId="0" fontId="37" fillId="0" borderId="0"/>
    <xf numFmtId="0" fontId="37" fillId="0" borderId="0"/>
    <xf numFmtId="0" fontId="37" fillId="0" borderId="0"/>
    <xf numFmtId="0" fontId="33" fillId="0" borderId="0"/>
    <xf numFmtId="0" fontId="55" fillId="0" borderId="0"/>
    <xf numFmtId="0" fontId="39" fillId="0" borderId="0"/>
    <xf numFmtId="0" fontId="33" fillId="0" borderId="0"/>
    <xf numFmtId="0" fontId="37" fillId="0" borderId="0"/>
    <xf numFmtId="0" fontId="38" fillId="0" borderId="0"/>
    <xf numFmtId="0" fontId="37" fillId="0" borderId="0"/>
    <xf numFmtId="0" fontId="38" fillId="0" borderId="0"/>
    <xf numFmtId="0" fontId="76" fillId="0" borderId="0"/>
    <xf numFmtId="0" fontId="33" fillId="0" borderId="0"/>
    <xf numFmtId="0" fontId="33" fillId="0" borderId="0"/>
    <xf numFmtId="0" fontId="33" fillId="0" borderId="0"/>
    <xf numFmtId="0" fontId="33" fillId="0" borderId="0"/>
    <xf numFmtId="0" fontId="38" fillId="0" borderId="0"/>
    <xf numFmtId="0" fontId="38" fillId="0" borderId="0"/>
    <xf numFmtId="0" fontId="56" fillId="0" borderId="0"/>
    <xf numFmtId="0" fontId="38" fillId="0" borderId="0"/>
    <xf numFmtId="0" fontId="38" fillId="0" borderId="0"/>
    <xf numFmtId="0" fontId="56" fillId="0" borderId="0"/>
    <xf numFmtId="0" fontId="38" fillId="0" borderId="0"/>
    <xf numFmtId="0" fontId="38" fillId="0" borderId="0"/>
    <xf numFmtId="0" fontId="56" fillId="0" borderId="0"/>
    <xf numFmtId="0" fontId="38" fillId="0" borderId="0"/>
    <xf numFmtId="0" fontId="56" fillId="0" borderId="0"/>
    <xf numFmtId="0" fontId="56" fillId="0" borderId="0"/>
    <xf numFmtId="0" fontId="56" fillId="0" borderId="0"/>
    <xf numFmtId="0" fontId="38" fillId="0" borderId="0"/>
    <xf numFmtId="0" fontId="57" fillId="0" borderId="0"/>
    <xf numFmtId="0" fontId="37" fillId="0" borderId="0"/>
    <xf numFmtId="0" fontId="33" fillId="0" borderId="0"/>
    <xf numFmtId="0" fontId="33" fillId="0" borderId="0"/>
    <xf numFmtId="0" fontId="33" fillId="0" borderId="0"/>
    <xf numFmtId="0" fontId="33" fillId="0" borderId="0"/>
    <xf numFmtId="0" fontId="37" fillId="0" borderId="0"/>
    <xf numFmtId="0" fontId="33" fillId="0" borderId="0"/>
    <xf numFmtId="0" fontId="33" fillId="0" borderId="0"/>
    <xf numFmtId="0" fontId="57" fillId="0" borderId="0"/>
    <xf numFmtId="0" fontId="33" fillId="0" borderId="0"/>
    <xf numFmtId="0" fontId="39" fillId="0" borderId="0"/>
    <xf numFmtId="0" fontId="57" fillId="0" borderId="0"/>
    <xf numFmtId="0" fontId="86" fillId="0" borderId="0"/>
    <xf numFmtId="0" fontId="57" fillId="0" borderId="0"/>
    <xf numFmtId="0" fontId="55" fillId="0" borderId="0"/>
    <xf numFmtId="0" fontId="38" fillId="0" borderId="0"/>
    <xf numFmtId="0" fontId="38" fillId="0" borderId="0"/>
    <xf numFmtId="0" fontId="38" fillId="0" borderId="0"/>
    <xf numFmtId="0" fontId="57" fillId="0" borderId="0"/>
    <xf numFmtId="0" fontId="76" fillId="0" borderId="0"/>
    <xf numFmtId="0" fontId="87" fillId="9" borderId="0" applyNumberFormat="0" applyBorder="0" applyAlignment="0" applyProtection="0"/>
    <xf numFmtId="0" fontId="88" fillId="0" borderId="0" applyNumberFormat="0" applyFill="0" applyBorder="0" applyAlignment="0" applyProtection="0"/>
    <xf numFmtId="0" fontId="56" fillId="6" borderId="17" applyNumberFormat="0" applyFont="0" applyAlignment="0" applyProtection="0"/>
    <xf numFmtId="9" fontId="38" fillId="0" borderId="0" applyFont="0" applyFill="0" applyBorder="0" applyAlignment="0" applyProtection="0"/>
    <xf numFmtId="9" fontId="56" fillId="0" borderId="0" applyFont="0" applyFill="0" applyBorder="0" applyAlignment="0" applyProtection="0"/>
    <xf numFmtId="9" fontId="76" fillId="0" borderId="0" applyFill="0" applyBorder="0" applyAlignment="0" applyProtection="0"/>
    <xf numFmtId="9" fontId="39" fillId="0" borderId="0" applyFont="0" applyFill="0" applyBorder="0" applyAlignment="0" applyProtection="0"/>
    <xf numFmtId="9" fontId="56" fillId="0" borderId="0" applyFill="0" applyBorder="0" applyAlignment="0" applyProtection="0"/>
    <xf numFmtId="9" fontId="37" fillId="0" borderId="0" applyFont="0" applyFill="0" applyBorder="0" applyAlignment="0" applyProtection="0"/>
    <xf numFmtId="9" fontId="57" fillId="0" borderId="0" applyFont="0" applyFill="0" applyBorder="0" applyAlignment="0" applyProtection="0"/>
    <xf numFmtId="0" fontId="89" fillId="0" borderId="16" applyNumberFormat="0" applyFill="0" applyAlignment="0" applyProtection="0"/>
    <xf numFmtId="0" fontId="90" fillId="0" borderId="0" applyNumberFormat="0" applyFill="0" applyBorder="0" applyAlignment="0" applyProtection="0"/>
    <xf numFmtId="171"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56"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2" fontId="38" fillId="0" borderId="0" applyFont="0" applyFill="0" applyBorder="0" applyAlignment="0" applyProtection="0"/>
    <xf numFmtId="172" fontId="38" fillId="0" borderId="0" applyFont="0" applyFill="0" applyBorder="0" applyAlignment="0" applyProtection="0"/>
    <xf numFmtId="172" fontId="38" fillId="0" borderId="0" applyFont="0" applyFill="0" applyBorder="0" applyAlignment="0" applyProtection="0"/>
    <xf numFmtId="166" fontId="37" fillId="0" borderId="0" applyFont="0" applyFill="0" applyBorder="0" applyAlignment="0" applyProtection="0"/>
    <xf numFmtId="166" fontId="57" fillId="0" borderId="0" applyFont="0" applyFill="0" applyBorder="0" applyAlignment="0" applyProtection="0"/>
    <xf numFmtId="0" fontId="91" fillId="10" borderId="0" applyNumberFormat="0" applyBorder="0" applyAlignment="0" applyProtection="0"/>
    <xf numFmtId="0" fontId="57" fillId="0" borderId="0"/>
    <xf numFmtId="0" fontId="61" fillId="4" borderId="11" applyNumberFormat="0" applyAlignment="0" applyProtection="0"/>
    <xf numFmtId="0" fontId="68" fillId="5" borderId="11" applyNumberFormat="0" applyAlignment="0" applyProtection="0"/>
    <xf numFmtId="0" fontId="39" fillId="6" borderId="17" applyNumberFormat="0" applyFont="0" applyAlignment="0" applyProtection="0"/>
    <xf numFmtId="0" fontId="71" fillId="4" borderId="18" applyNumberFormat="0" applyAlignment="0" applyProtection="0"/>
    <xf numFmtId="0" fontId="73" fillId="0" borderId="19" applyNumberFormat="0" applyFill="0" applyAlignment="0" applyProtection="0"/>
    <xf numFmtId="0" fontId="33" fillId="0" borderId="0"/>
    <xf numFmtId="0" fontId="33" fillId="0" borderId="0"/>
    <xf numFmtId="0" fontId="55" fillId="0" borderId="0"/>
    <xf numFmtId="0" fontId="33" fillId="0" borderId="0"/>
    <xf numFmtId="0" fontId="55" fillId="0" borderId="0"/>
    <xf numFmtId="0" fontId="102" fillId="0" borderId="0"/>
    <xf numFmtId="0" fontId="76" fillId="0" borderId="0"/>
    <xf numFmtId="0" fontId="37" fillId="0" borderId="0"/>
    <xf numFmtId="0" fontId="75" fillId="5" borderId="74" applyNumberFormat="0" applyAlignment="0" applyProtection="0"/>
    <xf numFmtId="0" fontId="77" fillId="12" borderId="75" applyNumberFormat="0" applyAlignment="0" applyProtection="0"/>
    <xf numFmtId="0" fontId="78" fillId="12" borderId="74" applyNumberFormat="0" applyAlignment="0" applyProtection="0"/>
    <xf numFmtId="0" fontId="82" fillId="0" borderId="76" applyNumberFormat="0" applyFill="0" applyAlignment="0" applyProtection="0"/>
    <xf numFmtId="0" fontId="37" fillId="0" borderId="0"/>
    <xf numFmtId="0" fontId="56" fillId="0" borderId="0"/>
    <xf numFmtId="0" fontId="56" fillId="0" borderId="0"/>
    <xf numFmtId="0" fontId="37" fillId="6" borderId="17" applyNumberFormat="0" applyFont="0" applyAlignment="0" applyProtection="0"/>
    <xf numFmtId="9" fontId="102" fillId="0" borderId="0"/>
    <xf numFmtId="0" fontId="55" fillId="0" borderId="0"/>
    <xf numFmtId="0" fontId="107" fillId="0" borderId="0"/>
    <xf numFmtId="0" fontId="108" fillId="0" borderId="0" applyNumberFormat="0" applyFill="0" applyBorder="0" applyAlignment="0" applyProtection="0"/>
    <xf numFmtId="0" fontId="28" fillId="0" borderId="0"/>
    <xf numFmtId="0" fontId="27" fillId="0" borderId="0"/>
    <xf numFmtId="0" fontId="56" fillId="36" borderId="0" applyNumberFormat="0" applyBorder="0" applyAlignment="0" applyProtection="0"/>
    <xf numFmtId="0" fontId="56" fillId="8" borderId="0" applyNumberFormat="0" applyBorder="0" applyAlignment="0" applyProtection="0"/>
    <xf numFmtId="0" fontId="56" fillId="15" borderId="0" applyNumberFormat="0" applyBorder="0" applyAlignment="0" applyProtection="0"/>
    <xf numFmtId="0" fontId="56" fillId="37"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38" borderId="0" applyNumberFormat="0" applyBorder="0" applyAlignment="0" applyProtection="0"/>
    <xf numFmtId="0" fontId="56" fillId="10" borderId="0" applyNumberFormat="0" applyBorder="0" applyAlignment="0" applyProtection="0"/>
    <xf numFmtId="0" fontId="56" fillId="6" borderId="0" applyNumberFormat="0" applyBorder="0" applyAlignment="0" applyProtection="0"/>
    <xf numFmtId="0" fontId="56" fillId="39" borderId="0" applyNumberFormat="0" applyBorder="0" applyAlignment="0" applyProtection="0"/>
    <xf numFmtId="0" fontId="56" fillId="11" borderId="0" applyNumberFormat="0" applyBorder="0" applyAlignment="0" applyProtection="0"/>
    <xf numFmtId="0" fontId="56" fillId="5" borderId="0" applyNumberFormat="0" applyBorder="0" applyAlignment="0" applyProtection="0"/>
    <xf numFmtId="0" fontId="56" fillId="40"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41"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4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44"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39" borderId="0" applyNumberFormat="0" applyBorder="0" applyAlignment="0" applyProtection="0"/>
    <xf numFmtId="0" fontId="56" fillId="11" borderId="0" applyNumberFormat="0" applyBorder="0" applyAlignment="0" applyProtection="0"/>
    <xf numFmtId="0" fontId="56" fillId="9" borderId="0" applyNumberFormat="0" applyBorder="0" applyAlignment="0" applyProtection="0"/>
    <xf numFmtId="0" fontId="56" fillId="42"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45" borderId="0" applyNumberFormat="0" applyBorder="0" applyAlignment="0" applyProtection="0"/>
    <xf numFmtId="0" fontId="56" fillId="17" borderId="0" applyNumberFormat="0" applyBorder="0" applyAlignment="0" applyProtection="0"/>
    <xf numFmtId="0" fontId="56" fillId="6"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39" borderId="0" applyNumberFormat="0" applyBorder="0" applyAlignment="0" applyProtection="0"/>
    <xf numFmtId="0" fontId="56" fillId="42" borderId="0" applyNumberFormat="0" applyBorder="0" applyAlignment="0" applyProtection="0"/>
    <xf numFmtId="0" fontId="56" fillId="45" borderId="0" applyNumberFormat="0" applyBorder="0" applyAlignment="0" applyProtection="0"/>
    <xf numFmtId="0" fontId="59" fillId="46" borderId="0" applyNumberFormat="0" applyBorder="0" applyAlignment="0" applyProtection="0"/>
    <xf numFmtId="0" fontId="59" fillId="19" borderId="0" applyNumberFormat="0" applyBorder="0" applyAlignment="0" applyProtection="0"/>
    <xf numFmtId="0" fontId="59" fillId="7" borderId="0" applyNumberFormat="0" applyBorder="0" applyAlignment="0" applyProtection="0"/>
    <xf numFmtId="0" fontId="59" fillId="43" borderId="0" applyNumberFormat="0" applyBorder="0" applyAlignment="0" applyProtection="0"/>
    <xf numFmtId="0" fontId="59" fillId="13" borderId="0" applyNumberFormat="0" applyBorder="0" applyAlignment="0" applyProtection="0"/>
    <xf numFmtId="0" fontId="59" fillId="24" borderId="0" applyNumberFormat="0" applyBorder="0" applyAlignment="0" applyProtection="0"/>
    <xf numFmtId="0" fontId="59" fillId="44"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47" borderId="0" applyNumberFormat="0" applyBorder="0" applyAlignment="0" applyProtection="0"/>
    <xf numFmtId="0" fontId="59" fillId="20" borderId="0" applyNumberFormat="0" applyBorder="0" applyAlignment="0" applyProtection="0"/>
    <xf numFmtId="0" fontId="59" fillId="9" borderId="0" applyNumberFormat="0" applyBorder="0" applyAlignment="0" applyProtection="0"/>
    <xf numFmtId="0" fontId="59" fillId="48" borderId="0" applyNumberFormat="0" applyBorder="0" applyAlignment="0" applyProtection="0"/>
    <xf numFmtId="0" fontId="59" fillId="18" borderId="0" applyNumberFormat="0" applyBorder="0" applyAlignment="0" applyProtection="0"/>
    <xf numFmtId="0" fontId="59" fillId="7" borderId="0" applyNumberFormat="0" applyBorder="0" applyAlignment="0" applyProtection="0"/>
    <xf numFmtId="0" fontId="59" fillId="49" borderId="0" applyNumberFormat="0" applyBorder="0" applyAlignment="0" applyProtection="0"/>
    <xf numFmtId="0" fontId="59" fillId="21" borderId="0" applyNumberFormat="0" applyBorder="0" applyAlignment="0" applyProtection="0"/>
    <xf numFmtId="0" fontId="59" fillId="1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38" fillId="0" borderId="81"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xf>
    <xf numFmtId="0" fontId="38" fillId="0" borderId="83" applyNumberFormat="0" applyFill="0" applyProtection="0">
      <alignment vertical="top" wrapText="1"/>
    </xf>
    <xf numFmtId="0" fontId="38" fillId="0" borderId="82" applyNumberFormat="0" applyFill="0" applyProtection="0">
      <alignment vertical="top"/>
    </xf>
    <xf numFmtId="0" fontId="38" fillId="0" borderId="83"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122" fillId="0" borderId="0" applyNumberFormat="0" applyFill="0" applyBorder="0" applyProtection="0">
      <alignment horizontal="center" vertical="top"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17" fillId="0" borderId="1" applyNumberFormat="0" applyFill="0" applyProtection="0">
      <alignment horizontal="center" vertical="top" wrapText="1"/>
    </xf>
    <xf numFmtId="0" fontId="56" fillId="0" borderId="0"/>
    <xf numFmtId="0" fontId="56" fillId="0" borderId="0"/>
    <xf numFmtId="0" fontId="56" fillId="0" borderId="0"/>
    <xf numFmtId="0" fontId="56" fillId="0" borderId="0"/>
    <xf numFmtId="0" fontId="38" fillId="0" borderId="0"/>
    <xf numFmtId="0" fontId="37" fillId="0" borderId="0"/>
    <xf numFmtId="0" fontId="124" fillId="4" borderId="0">
      <alignment horizontal="center" vertical="center"/>
    </xf>
    <xf numFmtId="0" fontId="125" fillId="4" borderId="0">
      <alignment horizontal="left" vertical="center"/>
    </xf>
    <xf numFmtId="0" fontId="59" fillId="50" borderId="0" applyNumberFormat="0" applyBorder="0" applyAlignment="0" applyProtection="0"/>
    <xf numFmtId="0" fontId="59" fillId="26"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27" borderId="0" applyNumberFormat="0" applyBorder="0" applyAlignment="0" applyProtection="0"/>
    <xf numFmtId="0" fontId="59" fillId="24" borderId="0" applyNumberFormat="0" applyBorder="0" applyAlignment="0" applyProtection="0"/>
    <xf numFmtId="0" fontId="59" fillId="53" borderId="0" applyNumberFormat="0" applyBorder="0" applyAlignment="0" applyProtection="0"/>
    <xf numFmtId="0" fontId="59" fillId="28" borderId="0" applyNumberFormat="0" applyBorder="0" applyAlignment="0" applyProtection="0"/>
    <xf numFmtId="0" fontId="59" fillId="17" borderId="0" applyNumberFormat="0" applyBorder="0" applyAlignment="0" applyProtection="0"/>
    <xf numFmtId="0" fontId="59" fillId="47" borderId="0" applyNumberFormat="0" applyBorder="0" applyAlignment="0" applyProtection="0"/>
    <xf numFmtId="0" fontId="59" fillId="20" borderId="0" applyNumberFormat="0" applyBorder="0" applyAlignment="0" applyProtection="0"/>
    <xf numFmtId="0" fontId="59" fillId="23" borderId="0" applyNumberFormat="0" applyBorder="0" applyAlignment="0" applyProtection="0"/>
    <xf numFmtId="0" fontId="59" fillId="4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54" borderId="0" applyNumberFormat="0" applyBorder="0" applyAlignment="0" applyProtection="0"/>
    <xf numFmtId="0" fontId="59" fillId="24" borderId="0" applyNumberFormat="0" applyBorder="0" applyAlignment="0" applyProtection="0"/>
    <xf numFmtId="0" fontId="59" fillId="27" borderId="0" applyNumberFormat="0" applyBorder="0" applyAlignment="0" applyProtection="0"/>
    <xf numFmtId="0" fontId="59" fillId="50"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54" borderId="0" applyNumberFormat="0" applyBorder="0" applyAlignment="0" applyProtection="0"/>
    <xf numFmtId="0" fontId="75" fillId="41" borderId="74" applyNumberFormat="0" applyAlignment="0" applyProtection="0"/>
    <xf numFmtId="0" fontId="75" fillId="5" borderId="74" applyNumberFormat="0" applyAlignment="0" applyProtection="0"/>
    <xf numFmtId="0" fontId="75" fillId="14" borderId="74" applyNumberFormat="0" applyAlignment="0" applyProtection="0"/>
    <xf numFmtId="0" fontId="77" fillId="12" borderId="75" applyNumberFormat="0" applyAlignment="0" applyProtection="0"/>
    <xf numFmtId="0" fontId="77" fillId="4" borderId="75" applyNumberFormat="0" applyAlignment="0" applyProtection="0"/>
    <xf numFmtId="0" fontId="78" fillId="12" borderId="74" applyNumberFormat="0" applyAlignment="0" applyProtection="0"/>
    <xf numFmtId="0" fontId="126" fillId="4" borderId="74" applyNumberFormat="0" applyAlignment="0" applyProtection="0"/>
    <xf numFmtId="168" fontId="38" fillId="0" borderId="0" applyFont="0" applyFill="0" applyBorder="0" applyAlignment="0" applyProtection="0"/>
    <xf numFmtId="165" fontId="37" fillId="0" borderId="0" applyFont="0" applyFill="0" applyBorder="0" applyAlignment="0" applyProtection="0"/>
    <xf numFmtId="0" fontId="91" fillId="38" borderId="0" applyNumberFormat="0" applyBorder="0" applyAlignment="0" applyProtection="0"/>
    <xf numFmtId="0" fontId="89" fillId="0" borderId="16" applyNumberFormat="0" applyFill="0" applyAlignment="0" applyProtection="0"/>
    <xf numFmtId="0" fontId="82" fillId="0" borderId="84" applyNumberFormat="0" applyFill="0" applyAlignment="0" applyProtection="0"/>
    <xf numFmtId="0" fontId="83" fillId="55" borderId="12" applyNumberFormat="0" applyAlignment="0" applyProtection="0"/>
    <xf numFmtId="0" fontId="83" fillId="55" borderId="12" applyNumberFormat="0" applyAlignment="0" applyProtection="0"/>
    <xf numFmtId="0" fontId="83" fillId="25" borderId="12" applyNumberFormat="0" applyAlignment="0" applyProtection="0"/>
    <xf numFmtId="0" fontId="83" fillId="25" borderId="12" applyNumberFormat="0" applyAlignment="0" applyProtection="0"/>
    <xf numFmtId="0" fontId="84" fillId="0" borderId="0" applyNumberFormat="0" applyFill="0" applyBorder="0" applyAlignment="0" applyProtection="0"/>
    <xf numFmtId="0" fontId="127" fillId="0" borderId="0" applyNumberFormat="0" applyFill="0" applyBorder="0" applyAlignment="0" applyProtection="0"/>
    <xf numFmtId="0" fontId="85" fillId="56" borderId="0" applyNumberFormat="0" applyBorder="0" applyAlignment="0" applyProtection="0"/>
    <xf numFmtId="0" fontId="85" fillId="14" borderId="0" applyNumberFormat="0" applyBorder="0" applyAlignment="0" applyProtection="0"/>
    <xf numFmtId="0" fontId="128" fillId="14" borderId="0" applyNumberFormat="0" applyBorder="0" applyAlignment="0" applyProtection="0"/>
    <xf numFmtId="0" fontId="78" fillId="57" borderId="74" applyNumberFormat="0" applyAlignment="0" applyProtection="0"/>
    <xf numFmtId="0" fontId="56" fillId="0" borderId="0"/>
    <xf numFmtId="0" fontId="56" fillId="0" borderId="0"/>
    <xf numFmtId="0" fontId="56" fillId="0" borderId="0"/>
    <xf numFmtId="0" fontId="57" fillId="0" borderId="0"/>
    <xf numFmtId="0" fontId="57" fillId="0" borderId="0"/>
    <xf numFmtId="0" fontId="55" fillId="0" borderId="0"/>
    <xf numFmtId="0" fontId="56" fillId="0" borderId="0"/>
    <xf numFmtId="0" fontId="82" fillId="0" borderId="76" applyNumberFormat="0" applyFill="0" applyAlignment="0" applyProtection="0"/>
    <xf numFmtId="0" fontId="87" fillId="37" borderId="0" applyNumberFormat="0" applyBorder="0" applyAlignment="0" applyProtection="0"/>
    <xf numFmtId="0" fontId="87" fillId="9" borderId="0" applyNumberFormat="0" applyBorder="0" applyAlignment="0" applyProtection="0"/>
    <xf numFmtId="0" fontId="87" fillId="11" borderId="0" applyNumberFormat="0" applyBorder="0" applyAlignment="0" applyProtection="0"/>
    <xf numFmtId="0" fontId="87" fillId="37" borderId="0" applyNumberFormat="0" applyBorder="0" applyAlignment="0" applyProtection="0"/>
    <xf numFmtId="0" fontId="56" fillId="6" borderId="17" applyNumberFormat="0" applyFont="0" applyAlignment="0" applyProtection="0"/>
    <xf numFmtId="0" fontId="37" fillId="6" borderId="17" applyNumberFormat="0" applyFont="0" applyAlignment="0" applyProtection="0"/>
    <xf numFmtId="0" fontId="57" fillId="58" borderId="17" applyNumberFormat="0" applyAlignment="0" applyProtection="0"/>
    <xf numFmtId="9" fontId="56" fillId="0" borderId="0" applyFont="0" applyFill="0" applyBorder="0" applyAlignment="0" applyProtection="0"/>
    <xf numFmtId="0" fontId="77" fillId="57" borderId="75" applyNumberFormat="0" applyAlignment="0" applyProtection="0"/>
    <xf numFmtId="0" fontId="90" fillId="0" borderId="85" applyNumberFormat="0" applyFill="0" applyAlignment="0" applyProtection="0"/>
    <xf numFmtId="0" fontId="85" fillId="56" borderId="0" applyNumberFormat="0" applyBorder="0" applyAlignment="0" applyProtection="0"/>
    <xf numFmtId="0" fontId="129" fillId="0" borderId="1"/>
    <xf numFmtId="0" fontId="90" fillId="0" borderId="0" applyNumberFormat="0" applyFill="0" applyBorder="0" applyAlignment="0" applyProtection="0"/>
    <xf numFmtId="0" fontId="88" fillId="0" borderId="0" applyNumberFormat="0" applyFill="0" applyBorder="0" applyAlignment="0" applyProtection="0"/>
    <xf numFmtId="173" fontId="39" fillId="0" borderId="0" applyFont="0" applyFill="0" applyBorder="0" applyAlignment="0" applyProtection="0"/>
    <xf numFmtId="174" fontId="39" fillId="0" borderId="0" applyFont="0" applyFill="0" applyBorder="0" applyAlignment="0" applyProtection="0"/>
    <xf numFmtId="166" fontId="56" fillId="0" borderId="0" applyFont="0" applyFill="0" applyBorder="0" applyAlignment="0" applyProtection="0"/>
    <xf numFmtId="0" fontId="91" fillId="38" borderId="0" applyNumberFormat="0" applyBorder="0" applyAlignment="0" applyProtection="0"/>
    <xf numFmtId="0" fontId="91" fillId="10" borderId="0" applyNumberFormat="0" applyBorder="0" applyAlignment="0" applyProtection="0"/>
    <xf numFmtId="0" fontId="91" fillId="7" borderId="0" applyNumberFormat="0" applyBorder="0" applyAlignment="0" applyProtection="0"/>
    <xf numFmtId="0" fontId="26" fillId="0" borderId="0"/>
    <xf numFmtId="0" fontId="38" fillId="0" borderId="0"/>
    <xf numFmtId="0" fontId="37" fillId="0" borderId="0"/>
    <xf numFmtId="0" fontId="56" fillId="8"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02" fillId="0" borderId="0"/>
    <xf numFmtId="0" fontId="139" fillId="0" borderId="0">
      <alignment horizontal="center"/>
    </xf>
    <xf numFmtId="0" fontId="139" fillId="0" borderId="0">
      <alignment horizontal="center" textRotation="90"/>
    </xf>
    <xf numFmtId="184" fontId="140" fillId="0" borderId="0">
      <alignment horizontal="center" textRotation="90"/>
    </xf>
    <xf numFmtId="0" fontId="141" fillId="0" borderId="0"/>
    <xf numFmtId="184" fontId="142" fillId="0" borderId="0"/>
    <xf numFmtId="185" fontId="141" fillId="0" borderId="0"/>
    <xf numFmtId="185" fontId="142" fillId="0" borderId="0"/>
    <xf numFmtId="0" fontId="143" fillId="0" borderId="0">
      <alignment horizontal="centerContinuous"/>
    </xf>
    <xf numFmtId="0" fontId="75" fillId="5" borderId="74"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7" fillId="12" borderId="75" applyNumberFormat="0" applyAlignment="0" applyProtection="0"/>
    <xf numFmtId="0" fontId="78" fillId="12" borderId="74" applyNumberFormat="0" applyAlignment="0" applyProtection="0"/>
    <xf numFmtId="0" fontId="108" fillId="0" borderId="0" applyNumberFormat="0" applyFill="0" applyBorder="0" applyAlignment="0" applyProtection="0"/>
    <xf numFmtId="0" fontId="81" fillId="0" borderId="21" applyNumberFormat="0" applyFill="0" applyAlignment="0" applyProtection="0"/>
    <xf numFmtId="184" fontId="144" fillId="0" borderId="0" applyFont="0" applyBorder="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2" fillId="0" borderId="76" applyNumberFormat="0" applyFill="0" applyAlignment="0" applyProtection="0"/>
    <xf numFmtId="0" fontId="82" fillId="0" borderId="76" applyNumberFormat="0" applyFill="0" applyAlignment="0" applyProtection="0"/>
    <xf numFmtId="0" fontId="82" fillId="0" borderId="7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26" fillId="0" borderId="0"/>
    <xf numFmtId="0" fontId="26" fillId="0" borderId="0"/>
    <xf numFmtId="0" fontId="26" fillId="0" borderId="0"/>
    <xf numFmtId="0" fontId="56" fillId="0" borderId="0"/>
    <xf numFmtId="0" fontId="26" fillId="0" borderId="0"/>
    <xf numFmtId="0" fontId="56" fillId="0" borderId="0"/>
    <xf numFmtId="0" fontId="37" fillId="6" borderId="17"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0" fontId="25" fillId="0" borderId="0"/>
    <xf numFmtId="0" fontId="24" fillId="0" borderId="0"/>
    <xf numFmtId="0" fontId="23" fillId="0" borderId="0"/>
    <xf numFmtId="9" fontId="169" fillId="0" borderId="0" applyFont="0" applyFill="0" applyBorder="0" applyAlignment="0" applyProtection="0"/>
    <xf numFmtId="0" fontId="171" fillId="0" borderId="0"/>
    <xf numFmtId="0" fontId="174" fillId="0" borderId="0"/>
    <xf numFmtId="0" fontId="22" fillId="0" borderId="0"/>
    <xf numFmtId="0" fontId="21" fillId="0" borderId="0"/>
    <xf numFmtId="0" fontId="20" fillId="0" borderId="0"/>
    <xf numFmtId="0" fontId="19" fillId="0" borderId="0"/>
    <xf numFmtId="0" fontId="18" fillId="0" borderId="0"/>
    <xf numFmtId="0" fontId="14" fillId="0" borderId="0"/>
    <xf numFmtId="0" fontId="14" fillId="0" borderId="0"/>
    <xf numFmtId="9" fontId="55" fillId="0" borderId="0" applyFont="0" applyFill="0" applyBorder="0" applyAlignment="0" applyProtection="0"/>
    <xf numFmtId="164" fontId="55" fillId="0" borderId="0" applyFont="0" applyFill="0" applyBorder="0" applyAlignment="0" applyProtection="0"/>
  </cellStyleXfs>
  <cellXfs count="4586">
    <xf numFmtId="0" fontId="0" fillId="0" borderId="0" xfId="0"/>
    <xf numFmtId="49" fontId="35" fillId="0" borderId="0" xfId="5" applyNumberFormat="1"/>
    <xf numFmtId="0" fontId="35" fillId="0" borderId="0" xfId="5"/>
    <xf numFmtId="0" fontId="34" fillId="0" borderId="0" xfId="6" applyAlignment="1">
      <alignment horizontal="center" vertical="center" wrapText="1"/>
    </xf>
    <xf numFmtId="0" fontId="42" fillId="0" borderId="0" xfId="6" applyFont="1" applyAlignment="1">
      <alignment horizontal="justify" vertical="center" wrapText="1"/>
    </xf>
    <xf numFmtId="0" fontId="34" fillId="0" borderId="0" xfId="6"/>
    <xf numFmtId="49" fontId="34" fillId="0" borderId="0" xfId="6" applyNumberFormat="1"/>
    <xf numFmtId="0" fontId="36" fillId="0" borderId="0" xfId="6" applyFont="1"/>
    <xf numFmtId="0" fontId="32" fillId="0" borderId="0" xfId="6" applyFont="1" applyAlignment="1">
      <alignment horizontal="center" vertical="center" wrapText="1"/>
    </xf>
    <xf numFmtId="0" fontId="42" fillId="0" borderId="0" xfId="5" applyFont="1" applyAlignment="1">
      <alignment horizontal="center" vertical="top" wrapText="1"/>
    </xf>
    <xf numFmtId="0" fontId="43" fillId="0" borderId="1" xfId="5" applyFont="1" applyBorder="1" applyAlignment="1">
      <alignment horizontal="center" vertical="center" wrapText="1"/>
    </xf>
    <xf numFmtId="0" fontId="40" fillId="0" borderId="0" xfId="0" applyFont="1"/>
    <xf numFmtId="0" fontId="40" fillId="0" borderId="1" xfId="0" applyFont="1" applyBorder="1" applyAlignment="1">
      <alignment vertical="center" wrapText="1"/>
    </xf>
    <xf numFmtId="0" fontId="41" fillId="0" borderId="1" xfId="0" applyFont="1" applyBorder="1" applyAlignment="1">
      <alignment vertical="center" wrapText="1"/>
    </xf>
    <xf numFmtId="0" fontId="41"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3" fillId="0" borderId="1" xfId="0" applyFont="1" applyBorder="1" applyAlignment="1">
      <alignment horizontal="center" vertical="center" wrapText="1"/>
    </xf>
    <xf numFmtId="0" fontId="43" fillId="0" borderId="0" xfId="0" applyFont="1"/>
    <xf numFmtId="0" fontId="43" fillId="0" borderId="1" xfId="0" applyFont="1" applyBorder="1" applyAlignment="1">
      <alignment vertical="center" wrapText="1"/>
    </xf>
    <xf numFmtId="0" fontId="43" fillId="0" borderId="1" xfId="0" applyFont="1" applyBorder="1"/>
    <xf numFmtId="0" fontId="93" fillId="0" borderId="0" xfId="0" applyFont="1" applyAlignment="1">
      <alignment horizontal="left" vertical="center"/>
    </xf>
    <xf numFmtId="0" fontId="93" fillId="0" borderId="0" xfId="0" applyFont="1" applyAlignment="1">
      <alignment vertical="center"/>
    </xf>
    <xf numFmtId="0" fontId="52" fillId="0" borderId="0" xfId="0" applyFont="1"/>
    <xf numFmtId="0" fontId="43" fillId="0" borderId="0" xfId="6" applyFont="1" applyAlignment="1">
      <alignment horizontal="center" vertical="center" wrapText="1"/>
    </xf>
    <xf numFmtId="0" fontId="43" fillId="0" borderId="0" xfId="6" applyFont="1" applyAlignment="1">
      <alignment vertical="top" wrapText="1"/>
    </xf>
    <xf numFmtId="0" fontId="43" fillId="0" borderId="0" xfId="6" applyFont="1"/>
    <xf numFmtId="0" fontId="43" fillId="0" borderId="5" xfId="0" applyFont="1" applyBorder="1"/>
    <xf numFmtId="49" fontId="0" fillId="0" borderId="0" xfId="0" applyNumberFormat="1"/>
    <xf numFmtId="49" fontId="43" fillId="0" borderId="0" xfId="0" applyNumberFormat="1" applyFont="1"/>
    <xf numFmtId="0" fontId="43" fillId="0" borderId="0" xfId="0" applyFont="1" applyAlignment="1">
      <alignment vertical="center" wrapText="1"/>
    </xf>
    <xf numFmtId="0" fontId="43" fillId="0" borderId="0" xfId="0" applyFont="1" applyAlignment="1">
      <alignment horizontal="center" vertical="center" wrapText="1"/>
    </xf>
    <xf numFmtId="49" fontId="44" fillId="0" borderId="1" xfId="0" applyNumberFormat="1" applyFont="1" applyBorder="1" applyAlignment="1">
      <alignment horizontal="center" vertical="center" wrapText="1"/>
    </xf>
    <xf numFmtId="49" fontId="0" fillId="0" borderId="1" xfId="0" applyNumberFormat="1" applyBorder="1"/>
    <xf numFmtId="0" fontId="43" fillId="0" borderId="1" xfId="0" applyFont="1" applyBorder="1" applyAlignment="1">
      <alignment wrapText="1"/>
    </xf>
    <xf numFmtId="0" fontId="0" fillId="0" borderId="1" xfId="0" applyBorder="1"/>
    <xf numFmtId="0" fontId="31" fillId="0" borderId="1" xfId="0" applyFont="1" applyBorder="1" applyAlignment="1">
      <alignment vertical="top" wrapText="1"/>
    </xf>
    <xf numFmtId="0" fontId="52" fillId="0" borderId="0" xfId="6" applyFont="1"/>
    <xf numFmtId="0" fontId="99" fillId="0" borderId="1" xfId="0" applyFont="1" applyBorder="1" applyAlignment="1">
      <alignment horizontal="center" vertical="center" wrapText="1"/>
    </xf>
    <xf numFmtId="0" fontId="99" fillId="0" borderId="1" xfId="0" applyFont="1" applyBorder="1" applyAlignment="1">
      <alignment vertical="center" wrapText="1"/>
    </xf>
    <xf numFmtId="0" fontId="99" fillId="0" borderId="0" xfId="0" applyFont="1" applyAlignment="1">
      <alignment vertical="center" wrapText="1"/>
    </xf>
    <xf numFmtId="0" fontId="99" fillId="0" borderId="0" xfId="0" applyFont="1" applyAlignment="1">
      <alignment vertical="top" wrapText="1"/>
    </xf>
    <xf numFmtId="0" fontId="52" fillId="0" borderId="0" xfId="0" applyFont="1" applyAlignment="1">
      <alignment horizontal="center"/>
    </xf>
    <xf numFmtId="0" fontId="44" fillId="29" borderId="1" xfId="0" applyFont="1" applyFill="1" applyBorder="1" applyAlignment="1">
      <alignment horizontal="center" vertical="center" wrapText="1"/>
    </xf>
    <xf numFmtId="0" fontId="44" fillId="29" borderId="1" xfId="0" applyFont="1" applyFill="1" applyBorder="1" applyAlignment="1">
      <alignment vertical="center" wrapText="1"/>
    </xf>
    <xf numFmtId="0" fontId="44" fillId="29" borderId="1" xfId="0" applyFont="1" applyFill="1" applyBorder="1" applyAlignment="1">
      <alignment horizontal="justify" vertical="center" wrapText="1"/>
    </xf>
    <xf numFmtId="0" fontId="0" fillId="0" borderId="0" xfId="0" applyAlignment="1">
      <alignment vertical="top"/>
    </xf>
    <xf numFmtId="0" fontId="44" fillId="29" borderId="1" xfId="0" applyFont="1" applyFill="1" applyBorder="1" applyAlignment="1">
      <alignment horizontal="center" vertical="top" wrapText="1"/>
    </xf>
    <xf numFmtId="49" fontId="99" fillId="0" borderId="1" xfId="0" applyNumberFormat="1" applyFont="1" applyBorder="1" applyAlignment="1">
      <alignment horizontal="center" vertical="top" wrapText="1"/>
    </xf>
    <xf numFmtId="49" fontId="43" fillId="0" borderId="1" xfId="0" applyNumberFormat="1" applyFont="1" applyBorder="1" applyAlignment="1">
      <alignment horizontal="center" vertical="top" wrapText="1"/>
    </xf>
    <xf numFmtId="0" fontId="43" fillId="0" borderId="0" xfId="0" applyFont="1" applyAlignment="1">
      <alignment vertical="top"/>
    </xf>
    <xf numFmtId="0" fontId="46" fillId="0" borderId="1" xfId="0" applyFont="1" applyBorder="1" applyAlignment="1">
      <alignment vertical="center" wrapText="1"/>
    </xf>
    <xf numFmtId="0" fontId="42" fillId="0" borderId="0" xfId="0" applyFont="1" applyAlignment="1">
      <alignment vertical="center"/>
    </xf>
    <xf numFmtId="0" fontId="44" fillId="0" borderId="0" xfId="0" applyFont="1" applyAlignment="1">
      <alignment horizontal="center" vertical="center"/>
    </xf>
    <xf numFmtId="0" fontId="95" fillId="0" borderId="0" xfId="0" applyFont="1" applyAlignment="1">
      <alignment vertical="center"/>
    </xf>
    <xf numFmtId="0" fontId="42" fillId="0" borderId="0" xfId="0" applyFont="1" applyAlignment="1">
      <alignment horizontal="center" vertical="center"/>
    </xf>
    <xf numFmtId="0" fontId="96" fillId="0" borderId="0" xfId="0" applyFont="1" applyAlignment="1">
      <alignment horizontal="justify" vertical="center"/>
    </xf>
    <xf numFmtId="0" fontId="93" fillId="0" borderId="0" xfId="0" applyFont="1"/>
    <xf numFmtId="0" fontId="44" fillId="0" borderId="0" xfId="0" applyFont="1"/>
    <xf numFmtId="0" fontId="93" fillId="0" borderId="30" xfId="0" applyFont="1" applyBorder="1"/>
    <xf numFmtId="0" fontId="44" fillId="0" borderId="33" xfId="0" applyFont="1" applyBorder="1"/>
    <xf numFmtId="0" fontId="93" fillId="0" borderId="6" xfId="0" applyFont="1" applyBorder="1" applyAlignment="1">
      <alignment horizontal="center" wrapText="1"/>
    </xf>
    <xf numFmtId="0" fontId="93" fillId="0" borderId="31" xfId="0" applyFont="1" applyBorder="1" applyAlignment="1">
      <alignment horizontal="center" wrapText="1"/>
    </xf>
    <xf numFmtId="0" fontId="93" fillId="0" borderId="6" xfId="0" applyFont="1" applyBorder="1" applyAlignment="1">
      <alignment wrapText="1"/>
    </xf>
    <xf numFmtId="0" fontId="44" fillId="0" borderId="32" xfId="0" applyFont="1" applyBorder="1" applyAlignment="1">
      <alignment horizontal="center"/>
    </xf>
    <xf numFmtId="0" fontId="44" fillId="0" borderId="32" xfId="0" applyFont="1" applyBorder="1"/>
    <xf numFmtId="0" fontId="44" fillId="0" borderId="0" xfId="0" applyFont="1" applyAlignment="1">
      <alignment horizontal="center" vertical="center" wrapText="1"/>
    </xf>
    <xf numFmtId="0" fontId="44" fillId="0" borderId="0" xfId="0" applyFont="1" applyAlignment="1">
      <alignment vertical="center" wrapText="1"/>
    </xf>
    <xf numFmtId="0" fontId="44" fillId="0" borderId="28" xfId="0" applyFont="1" applyBorder="1"/>
    <xf numFmtId="0" fontId="93" fillId="0" borderId="28" xfId="0" applyFont="1" applyBorder="1" applyAlignment="1">
      <alignment horizontal="left" wrapText="1"/>
    </xf>
    <xf numFmtId="0" fontId="45" fillId="0" borderId="5" xfId="0" applyFont="1" applyBorder="1" applyAlignment="1">
      <alignment vertical="center" wrapText="1"/>
    </xf>
    <xf numFmtId="0" fontId="43" fillId="32" borderId="0" xfId="0" applyFont="1" applyFill="1" applyAlignment="1">
      <alignment horizontal="left" vertical="top" wrapText="1"/>
    </xf>
    <xf numFmtId="0" fontId="43" fillId="30" borderId="0" xfId="0" applyFont="1" applyFill="1"/>
    <xf numFmtId="0" fontId="34" fillId="30" borderId="0" xfId="6" applyFill="1"/>
    <xf numFmtId="0" fontId="44" fillId="0" borderId="28" xfId="0" applyFont="1" applyBorder="1" applyAlignment="1">
      <alignment horizontal="left" indent="1"/>
    </xf>
    <xf numFmtId="0" fontId="44" fillId="0" borderId="24" xfId="0" applyFont="1" applyBorder="1" applyAlignment="1">
      <alignment horizontal="center"/>
    </xf>
    <xf numFmtId="0" fontId="44" fillId="0" borderId="24" xfId="0" applyFont="1" applyBorder="1"/>
    <xf numFmtId="0" fontId="101" fillId="0" borderId="31" xfId="0" applyFont="1" applyBorder="1" applyAlignment="1">
      <alignment horizontal="center" wrapText="1"/>
    </xf>
    <xf numFmtId="0" fontId="44" fillId="0" borderId="27" xfId="0" applyFont="1" applyBorder="1" applyAlignment="1">
      <alignment horizontal="center"/>
    </xf>
    <xf numFmtId="0" fontId="43" fillId="31" borderId="0" xfId="0" applyFont="1" applyFill="1"/>
    <xf numFmtId="0" fontId="105" fillId="0" borderId="33" xfId="0" applyFont="1" applyBorder="1" applyAlignment="1">
      <alignment horizontal="center"/>
    </xf>
    <xf numFmtId="0" fontId="40" fillId="31" borderId="1" xfId="0" applyFont="1" applyFill="1" applyBorder="1" applyAlignment="1">
      <alignment vertical="center" wrapText="1"/>
    </xf>
    <xf numFmtId="0" fontId="93" fillId="0" borderId="33" xfId="0" applyFont="1" applyBorder="1"/>
    <xf numFmtId="0" fontId="44" fillId="0" borderId="32" xfId="0" applyFont="1" applyBorder="1" applyAlignment="1">
      <alignment wrapText="1"/>
    </xf>
    <xf numFmtId="0" fontId="44" fillId="0" borderId="32" xfId="0" applyFont="1" applyBorder="1" applyAlignment="1">
      <alignment horizontal="left" wrapText="1" indent="1"/>
    </xf>
    <xf numFmtId="0" fontId="44" fillId="0" borderId="32" xfId="0" applyFont="1" applyBorder="1" applyAlignment="1">
      <alignment horizontal="left" wrapText="1"/>
    </xf>
    <xf numFmtId="0" fontId="29" fillId="0" borderId="0" xfId="5" applyFont="1"/>
    <xf numFmtId="2" fontId="0" fillId="0" borderId="0" xfId="0" applyNumberFormat="1"/>
    <xf numFmtId="2" fontId="43" fillId="0" borderId="1" xfId="0" applyNumberFormat="1" applyFont="1" applyBorder="1" applyAlignment="1">
      <alignment horizontal="center"/>
    </xf>
    <xf numFmtId="0" fontId="43" fillId="0" borderId="40" xfId="0" applyFont="1" applyBorder="1" applyAlignment="1">
      <alignment horizontal="center"/>
    </xf>
    <xf numFmtId="0" fontId="43" fillId="0" borderId="67" xfId="0" applyFont="1" applyBorder="1"/>
    <xf numFmtId="0" fontId="52" fillId="0" borderId="6" xfId="0" applyFont="1" applyBorder="1" applyAlignment="1">
      <alignment wrapText="1"/>
    </xf>
    <xf numFmtId="0" fontId="93" fillId="0" borderId="32" xfId="0" applyFont="1" applyBorder="1"/>
    <xf numFmtId="0" fontId="44" fillId="0" borderId="32" xfId="0" applyFont="1" applyBorder="1" applyAlignment="1">
      <alignment horizontal="center" wrapText="1"/>
    </xf>
    <xf numFmtId="0" fontId="44" fillId="0" borderId="32" xfId="0" applyFont="1" applyBorder="1" applyAlignment="1">
      <alignment horizontal="left" indent="1"/>
    </xf>
    <xf numFmtId="0" fontId="103" fillId="31" borderId="0" xfId="0" applyFont="1" applyFill="1" applyAlignment="1">
      <alignment horizontal="center"/>
    </xf>
    <xf numFmtId="0" fontId="93" fillId="0" borderId="32" xfId="0" applyFont="1" applyBorder="1" applyAlignment="1">
      <alignment wrapText="1"/>
    </xf>
    <xf numFmtId="2" fontId="93" fillId="0" borderId="32" xfId="0" applyNumberFormat="1" applyFont="1" applyBorder="1" applyAlignment="1">
      <alignment horizontal="center"/>
    </xf>
    <xf numFmtId="2" fontId="44" fillId="0" borderId="32" xfId="0" applyNumberFormat="1" applyFont="1" applyBorder="1" applyAlignment="1">
      <alignment horizontal="center"/>
    </xf>
    <xf numFmtId="0" fontId="99" fillId="0" borderId="78" xfId="0" applyFont="1" applyBorder="1" applyAlignment="1">
      <alignment vertical="center" wrapText="1"/>
    </xf>
    <xf numFmtId="0" fontId="0" fillId="0" borderId="77" xfId="0" applyBorder="1"/>
    <xf numFmtId="0" fontId="44" fillId="0" borderId="1" xfId="0" applyFont="1" applyBorder="1" applyAlignment="1">
      <alignment horizontal="justify" vertical="center" wrapText="1"/>
    </xf>
    <xf numFmtId="0" fontId="52" fillId="30" borderId="0" xfId="0" applyFont="1" applyFill="1"/>
    <xf numFmtId="0" fontId="52" fillId="0" borderId="33" xfId="0" applyFont="1" applyBorder="1" applyAlignment="1">
      <alignment vertical="center" wrapText="1"/>
    </xf>
    <xf numFmtId="0" fontId="103" fillId="31" borderId="0" xfId="0" applyFont="1" applyFill="1" applyAlignment="1">
      <alignment horizontal="left" vertical="center" wrapText="1"/>
    </xf>
    <xf numFmtId="0" fontId="43" fillId="31" borderId="1" xfId="0" applyFont="1" applyFill="1" applyBorder="1" applyAlignment="1">
      <alignment vertical="center" wrapText="1"/>
    </xf>
    <xf numFmtId="0" fontId="44" fillId="0" borderId="24" xfId="0" applyFont="1" applyBorder="1" applyAlignment="1">
      <alignment horizontal="center" wrapText="1"/>
    </xf>
    <xf numFmtId="0" fontId="42" fillId="0" borderId="1" xfId="6" applyFont="1" applyBorder="1" applyAlignment="1">
      <alignment horizontal="center" vertical="center" wrapText="1"/>
    </xf>
    <xf numFmtId="0" fontId="43" fillId="0" borderId="0" xfId="0" applyFont="1" applyAlignment="1">
      <alignment wrapText="1"/>
    </xf>
    <xf numFmtId="0" fontId="103" fillId="3" borderId="0" xfId="5" applyFont="1" applyFill="1" applyAlignment="1">
      <alignment horizontal="center" vertical="top" wrapText="1"/>
    </xf>
    <xf numFmtId="49" fontId="43" fillId="0" borderId="0" xfId="240" applyNumberFormat="1" applyFont="1"/>
    <xf numFmtId="0" fontId="43" fillId="0" borderId="0" xfId="240" applyFont="1" applyAlignment="1">
      <alignment horizontal="center" vertical="center" wrapText="1"/>
    </xf>
    <xf numFmtId="0" fontId="43" fillId="0" borderId="0" xfId="240" applyFont="1"/>
    <xf numFmtId="0" fontId="52" fillId="0" borderId="0" xfId="240" applyFont="1" applyAlignment="1">
      <alignment horizontal="center"/>
    </xf>
    <xf numFmtId="49" fontId="43" fillId="0" borderId="0" xfId="240" applyNumberFormat="1" applyFont="1" applyAlignment="1">
      <alignment horizontal="right"/>
    </xf>
    <xf numFmtId="0" fontId="43" fillId="0" borderId="0" xfId="240" applyFont="1" applyAlignment="1">
      <alignment horizontal="right"/>
    </xf>
    <xf numFmtId="0" fontId="28" fillId="0" borderId="0" xfId="240"/>
    <xf numFmtId="49" fontId="41" fillId="0" borderId="8" xfId="240" applyNumberFormat="1" applyFont="1" applyBorder="1" applyAlignment="1">
      <alignment vertical="center" wrapText="1"/>
    </xf>
    <xf numFmtId="49" fontId="41" fillId="0" borderId="8" xfId="240" applyNumberFormat="1" applyFont="1" applyBorder="1" applyAlignment="1">
      <alignment horizontal="center" vertical="center" wrapText="1"/>
    </xf>
    <xf numFmtId="49" fontId="45" fillId="0" borderId="8" xfId="240" applyNumberFormat="1" applyFont="1" applyBorder="1" applyAlignment="1">
      <alignment horizontal="right" vertical="center" wrapText="1"/>
    </xf>
    <xf numFmtId="49" fontId="45" fillId="0" borderId="52" xfId="240" applyNumberFormat="1" applyFont="1" applyBorder="1" applyAlignment="1">
      <alignment horizontal="right" vertical="center" wrapText="1"/>
    </xf>
    <xf numFmtId="0" fontId="36" fillId="0" borderId="0" xfId="240" applyFont="1"/>
    <xf numFmtId="49" fontId="41" fillId="0" borderId="8" xfId="240" applyNumberFormat="1" applyFont="1" applyBorder="1" applyAlignment="1">
      <alignment horizontal="right" vertical="center" wrapText="1"/>
    </xf>
    <xf numFmtId="49" fontId="41" fillId="0" borderId="52" xfId="240" applyNumberFormat="1" applyFont="1" applyBorder="1" applyAlignment="1">
      <alignment horizontal="right" vertical="center" wrapText="1"/>
    </xf>
    <xf numFmtId="0" fontId="41" fillId="0" borderId="1" xfId="240" applyFont="1" applyBorder="1" applyAlignment="1">
      <alignment vertical="center" wrapText="1"/>
    </xf>
    <xf numFmtId="0" fontId="41" fillId="0" borderId="1" xfId="240" applyFont="1" applyBorder="1" applyAlignment="1">
      <alignment horizontal="center" vertical="center" wrapText="1"/>
    </xf>
    <xf numFmtId="0" fontId="45" fillId="0" borderId="1" xfId="240" applyFont="1" applyBorder="1" applyAlignment="1">
      <alignment vertical="center" wrapText="1"/>
    </xf>
    <xf numFmtId="0" fontId="45" fillId="0" borderId="1" xfId="240" applyFont="1" applyBorder="1" applyAlignment="1">
      <alignment horizontal="center" vertical="center" wrapText="1"/>
    </xf>
    <xf numFmtId="0" fontId="41" fillId="0" borderId="8" xfId="240" applyFont="1" applyBorder="1" applyAlignment="1">
      <alignment horizontal="center" vertical="center" wrapText="1"/>
    </xf>
    <xf numFmtId="49" fontId="45" fillId="0" borderId="53" xfId="240" applyNumberFormat="1" applyFont="1" applyBorder="1" applyAlignment="1">
      <alignment horizontal="right" vertical="center" wrapText="1"/>
    </xf>
    <xf numFmtId="49" fontId="45" fillId="0" borderId="0" xfId="240" applyNumberFormat="1" applyFont="1" applyAlignment="1">
      <alignment horizontal="right" vertical="center" wrapText="1"/>
    </xf>
    <xf numFmtId="0" fontId="45" fillId="0" borderId="0" xfId="240" applyFont="1" applyAlignment="1">
      <alignment horizontal="center" vertical="center" wrapText="1"/>
    </xf>
    <xf numFmtId="49" fontId="41" fillId="0" borderId="0" xfId="240" applyNumberFormat="1" applyFont="1" applyAlignment="1">
      <alignment horizontal="right" vertical="center" wrapText="1"/>
    </xf>
    <xf numFmtId="49" fontId="28" fillId="0" borderId="0" xfId="240" applyNumberFormat="1"/>
    <xf numFmtId="49" fontId="44" fillId="0" borderId="0" xfId="240" applyNumberFormat="1" applyFont="1"/>
    <xf numFmtId="0" fontId="44" fillId="0" borderId="0" xfId="240" applyFont="1"/>
    <xf numFmtId="0" fontId="28" fillId="0" borderId="0" xfId="240" applyProtection="1">
      <protection locked="0"/>
    </xf>
    <xf numFmtId="4" fontId="45" fillId="0" borderId="1" xfId="240" applyNumberFormat="1" applyFont="1" applyBorder="1" applyAlignment="1">
      <alignment horizontal="center" vertical="center" wrapText="1"/>
    </xf>
    <xf numFmtId="0" fontId="36" fillId="0" borderId="0" xfId="240" applyFont="1" applyProtection="1">
      <protection locked="0"/>
    </xf>
    <xf numFmtId="4" fontId="41" fillId="0" borderId="1" xfId="240" applyNumberFormat="1" applyFont="1" applyBorder="1" applyAlignment="1">
      <alignment horizontal="center" vertical="center" wrapText="1"/>
    </xf>
    <xf numFmtId="4" fontId="41" fillId="0" borderId="1" xfId="240" applyNumberFormat="1" applyFont="1" applyBorder="1" applyAlignment="1" applyProtection="1">
      <alignment horizontal="center" vertical="center" wrapText="1"/>
      <protection locked="0"/>
    </xf>
    <xf numFmtId="4" fontId="45" fillId="0" borderId="1" xfId="240" applyNumberFormat="1" applyFont="1" applyBorder="1" applyAlignment="1" applyProtection="1">
      <alignment horizontal="center" vertical="center" wrapText="1"/>
      <protection locked="0"/>
    </xf>
    <xf numFmtId="0" fontId="41" fillId="0" borderId="1" xfId="240" applyFont="1" applyBorder="1" applyAlignment="1" applyProtection="1">
      <alignment horizontal="center" vertical="center" wrapText="1"/>
      <protection locked="0"/>
    </xf>
    <xf numFmtId="0" fontId="40" fillId="0" borderId="0" xfId="240" applyFont="1"/>
    <xf numFmtId="0" fontId="43" fillId="0" borderId="0" xfId="240" applyFont="1" applyProtection="1">
      <protection locked="0"/>
    </xf>
    <xf numFmtId="49" fontId="28" fillId="0" borderId="0" xfId="240" applyNumberFormat="1" applyProtection="1">
      <protection locked="0"/>
    </xf>
    <xf numFmtId="0" fontId="42" fillId="0" borderId="1" xfId="240" applyFont="1" applyBorder="1" applyAlignment="1">
      <alignment horizontal="center" vertical="center" wrapText="1"/>
    </xf>
    <xf numFmtId="0" fontId="45" fillId="0" borderId="1" xfId="240" applyFont="1" applyBorder="1" applyAlignment="1" applyProtection="1">
      <alignment horizontal="center" vertical="center" wrapText="1"/>
      <protection locked="0"/>
    </xf>
    <xf numFmtId="3" fontId="45" fillId="0" borderId="1" xfId="240" applyNumberFormat="1" applyFont="1" applyBorder="1" applyAlignment="1">
      <alignment horizontal="center" vertical="center" wrapText="1"/>
    </xf>
    <xf numFmtId="0" fontId="41" fillId="0" borderId="0" xfId="240" applyFont="1" applyAlignment="1" applyProtection="1">
      <alignment horizontal="center" vertical="center" wrapText="1"/>
      <protection locked="0"/>
    </xf>
    <xf numFmtId="0" fontId="42" fillId="0" borderId="1" xfId="240" applyFont="1" applyBorder="1" applyAlignment="1">
      <alignment vertical="center" wrapText="1"/>
    </xf>
    <xf numFmtId="0" fontId="28" fillId="0" borderId="0" xfId="240" applyAlignment="1">
      <alignment horizontal="center" vertical="center"/>
    </xf>
    <xf numFmtId="0" fontId="104" fillId="3" borderId="0" xfId="240" applyFont="1" applyFill="1" applyAlignment="1" applyProtection="1">
      <alignment horizontal="center" vertical="center"/>
      <protection locked="0"/>
    </xf>
    <xf numFmtId="0" fontId="114" fillId="0" borderId="0" xfId="240" applyFont="1"/>
    <xf numFmtId="0" fontId="114" fillId="0" borderId="0" xfId="240" applyFont="1" applyProtection="1">
      <protection locked="0"/>
    </xf>
    <xf numFmtId="0" fontId="115" fillId="0" borderId="0" xfId="0" applyFont="1"/>
    <xf numFmtId="0" fontId="38" fillId="0" borderId="0" xfId="124"/>
    <xf numFmtId="0" fontId="118" fillId="0" borderId="0" xfId="124" applyFont="1"/>
    <xf numFmtId="0" fontId="118" fillId="34" borderId="0" xfId="124" applyFont="1" applyFill="1"/>
    <xf numFmtId="177" fontId="118" fillId="0" borderId="0" xfId="124" applyNumberFormat="1" applyFont="1"/>
    <xf numFmtId="10" fontId="118" fillId="0" borderId="0" xfId="192" applyNumberFormat="1" applyFont="1"/>
    <xf numFmtId="175" fontId="118" fillId="0" borderId="0" xfId="124" applyNumberFormat="1" applyFont="1"/>
    <xf numFmtId="0" fontId="120" fillId="0" borderId="0" xfId="124" applyFont="1"/>
    <xf numFmtId="2" fontId="120" fillId="0" borderId="0" xfId="124" applyNumberFormat="1" applyFont="1"/>
    <xf numFmtId="2" fontId="121" fillId="0" borderId="0" xfId="124" applyNumberFormat="1" applyFont="1"/>
    <xf numFmtId="0" fontId="44" fillId="0" borderId="31" xfId="0" applyFont="1" applyBorder="1" applyAlignment="1">
      <alignment horizontal="center" wrapText="1"/>
    </xf>
    <xf numFmtId="0" fontId="114" fillId="0" borderId="0" xfId="0" applyFont="1"/>
    <xf numFmtId="0" fontId="133" fillId="0" borderId="0" xfId="0" applyFont="1"/>
    <xf numFmtId="0" fontId="134" fillId="0" borderId="0" xfId="0" applyFont="1"/>
    <xf numFmtId="0" fontId="92" fillId="0" borderId="0" xfId="0" applyFont="1"/>
    <xf numFmtId="2" fontId="92" fillId="0" borderId="0" xfId="0" applyNumberFormat="1" applyFont="1"/>
    <xf numFmtId="177" fontId="0" fillId="0" borderId="0" xfId="0" applyNumberFormat="1"/>
    <xf numFmtId="179" fontId="0" fillId="0" borderId="0" xfId="0" applyNumberFormat="1"/>
    <xf numFmtId="178" fontId="0" fillId="0" borderId="0" xfId="0" applyNumberFormat="1"/>
    <xf numFmtId="0" fontId="52" fillId="0" borderId="67" xfId="0" applyFont="1" applyBorder="1"/>
    <xf numFmtId="2" fontId="92" fillId="30" borderId="0" xfId="0" applyNumberFormat="1" applyFont="1" applyFill="1"/>
    <xf numFmtId="181" fontId="0" fillId="0" borderId="0" xfId="0" applyNumberFormat="1"/>
    <xf numFmtId="2" fontId="52" fillId="0" borderId="67" xfId="0" applyNumberFormat="1" applyFont="1" applyBorder="1" applyAlignment="1">
      <alignment horizontal="center"/>
    </xf>
    <xf numFmtId="175" fontId="0" fillId="0" borderId="0" xfId="0" applyNumberFormat="1"/>
    <xf numFmtId="0" fontId="42" fillId="0" borderId="57" xfId="6" applyFont="1" applyBorder="1" applyAlignment="1">
      <alignment vertical="center" wrapText="1"/>
    </xf>
    <xf numFmtId="0" fontId="42" fillId="0" borderId="39" xfId="6" applyFont="1" applyBorder="1" applyAlignment="1">
      <alignment vertical="center" wrapText="1"/>
    </xf>
    <xf numFmtId="0" fontId="42" fillId="0" borderId="44" xfId="6" applyFont="1" applyBorder="1" applyAlignment="1">
      <alignment vertical="center" wrapText="1"/>
    </xf>
    <xf numFmtId="0" fontId="51" fillId="0" borderId="45" xfId="124" applyFont="1" applyBorder="1" applyAlignment="1">
      <alignment horizontal="center" vertical="center" wrapText="1"/>
    </xf>
    <xf numFmtId="0" fontId="51" fillId="0" borderId="46" xfId="124" applyFont="1" applyBorder="1" applyAlignment="1">
      <alignment horizontal="center" vertical="center" wrapText="1"/>
    </xf>
    <xf numFmtId="2" fontId="42" fillId="0" borderId="58" xfId="6" applyNumberFormat="1" applyFont="1" applyBorder="1" applyAlignment="1">
      <alignment horizontal="center"/>
    </xf>
    <xf numFmtId="2" fontId="42" fillId="0" borderId="1" xfId="6" applyNumberFormat="1" applyFont="1" applyBorder="1" applyAlignment="1">
      <alignment horizontal="center"/>
    </xf>
    <xf numFmtId="2" fontId="42" fillId="0" borderId="1" xfId="6" applyNumberFormat="1" applyFont="1" applyBorder="1"/>
    <xf numFmtId="0" fontId="42" fillId="0" borderId="45" xfId="6" applyFont="1" applyBorder="1"/>
    <xf numFmtId="2" fontId="42" fillId="0" borderId="1" xfId="6" applyNumberFormat="1" applyFont="1" applyBorder="1" applyAlignment="1">
      <alignment horizontal="center" vertical="center"/>
    </xf>
    <xf numFmtId="0" fontId="42" fillId="0" borderId="6" xfId="6" applyFont="1" applyBorder="1"/>
    <xf numFmtId="0" fontId="42" fillId="0" borderId="67" xfId="6" applyFont="1" applyBorder="1" applyAlignment="1">
      <alignment horizontal="left" indent="1"/>
    </xf>
    <xf numFmtId="0" fontId="42" fillId="0" borderId="61" xfId="6" applyFont="1" applyBorder="1" applyAlignment="1">
      <alignment horizontal="center" vertical="center" wrapText="1"/>
    </xf>
    <xf numFmtId="0" fontId="42" fillId="0" borderId="62" xfId="6" applyFont="1" applyBorder="1" applyAlignment="1">
      <alignment horizontal="center" vertical="center" wrapText="1"/>
    </xf>
    <xf numFmtId="0" fontId="47" fillId="0" borderId="67" xfId="6" applyFont="1" applyBorder="1" applyAlignment="1">
      <alignment horizontal="left" indent="1"/>
    </xf>
    <xf numFmtId="2" fontId="47" fillId="0" borderId="1" xfId="6" applyNumberFormat="1" applyFont="1" applyBorder="1"/>
    <xf numFmtId="2" fontId="47" fillId="0" borderId="40" xfId="6" applyNumberFormat="1" applyFont="1" applyBorder="1"/>
    <xf numFmtId="0" fontId="47" fillId="0" borderId="23" xfId="6" applyFont="1" applyBorder="1" applyAlignment="1">
      <alignment horizontal="left" wrapText="1" indent="1"/>
    </xf>
    <xf numFmtId="2" fontId="47" fillId="0" borderId="45" xfId="6" applyNumberFormat="1" applyFont="1" applyBorder="1"/>
    <xf numFmtId="2" fontId="34" fillId="0" borderId="0" xfId="6" applyNumberFormat="1"/>
    <xf numFmtId="0" fontId="42" fillId="0" borderId="30" xfId="6" applyFont="1" applyBorder="1" applyAlignment="1">
      <alignment horizontal="center" wrapText="1"/>
    </xf>
    <xf numFmtId="0" fontId="42" fillId="0" borderId="63" xfId="6" applyFont="1" applyBorder="1" applyAlignment="1">
      <alignment horizontal="center" vertical="center" wrapText="1"/>
    </xf>
    <xf numFmtId="2" fontId="42" fillId="0" borderId="7" xfId="6" applyNumberFormat="1" applyFont="1" applyBorder="1"/>
    <xf numFmtId="2" fontId="47" fillId="0" borderId="7" xfId="6" applyNumberFormat="1" applyFont="1" applyBorder="1"/>
    <xf numFmtId="2" fontId="47" fillId="0" borderId="54" xfId="6" applyNumberFormat="1" applyFont="1" applyBorder="1"/>
    <xf numFmtId="0" fontId="42" fillId="0" borderId="6" xfId="6" applyFont="1" applyBorder="1" applyAlignment="1">
      <alignment horizontal="center" wrapText="1"/>
    </xf>
    <xf numFmtId="2" fontId="47" fillId="0" borderId="68" xfId="6" applyNumberFormat="1" applyFont="1" applyBorder="1"/>
    <xf numFmtId="2" fontId="47" fillId="0" borderId="46" xfId="6" applyNumberFormat="1" applyFont="1" applyBorder="1"/>
    <xf numFmtId="2" fontId="42" fillId="0" borderId="7" xfId="6" applyNumberFormat="1" applyFont="1" applyBorder="1" applyAlignment="1">
      <alignment horizontal="center"/>
    </xf>
    <xf numFmtId="0" fontId="42" fillId="0" borderId="66" xfId="6" applyFont="1" applyBorder="1" applyAlignment="1">
      <alignment horizontal="center"/>
    </xf>
    <xf numFmtId="0" fontId="42" fillId="0" borderId="67" xfId="6" applyFont="1" applyBorder="1" applyAlignment="1">
      <alignment horizontal="center"/>
    </xf>
    <xf numFmtId="0" fontId="42" fillId="0" borderId="68" xfId="6" applyFont="1" applyBorder="1" applyAlignment="1">
      <alignment horizontal="center"/>
    </xf>
    <xf numFmtId="2" fontId="42" fillId="0" borderId="65" xfId="6" applyNumberFormat="1" applyFont="1" applyBorder="1" applyAlignment="1">
      <alignment horizontal="center"/>
    </xf>
    <xf numFmtId="2" fontId="42" fillId="0" borderId="59" xfId="6" applyNumberFormat="1" applyFont="1" applyBorder="1" applyAlignment="1">
      <alignment horizontal="center"/>
    </xf>
    <xf numFmtId="2" fontId="42" fillId="0" borderId="40" xfId="6" applyNumberFormat="1" applyFont="1" applyBorder="1" applyAlignment="1">
      <alignment horizontal="center"/>
    </xf>
    <xf numFmtId="10" fontId="42" fillId="0" borderId="7" xfId="6" applyNumberFormat="1" applyFont="1" applyBorder="1" applyAlignment="1">
      <alignment horizontal="center"/>
    </xf>
    <xf numFmtId="10" fontId="42" fillId="0" borderId="1" xfId="6" applyNumberFormat="1" applyFont="1" applyBorder="1" applyAlignment="1">
      <alignment horizontal="center"/>
    </xf>
    <xf numFmtId="10" fontId="42" fillId="0" borderId="40" xfId="6" applyNumberFormat="1" applyFont="1" applyBorder="1" applyAlignment="1">
      <alignment horizontal="center"/>
    </xf>
    <xf numFmtId="2" fontId="42" fillId="0" borderId="79" xfId="6" applyNumberFormat="1" applyFont="1" applyBorder="1" applyAlignment="1">
      <alignment horizontal="center"/>
    </xf>
    <xf numFmtId="2" fontId="42" fillId="0" borderId="47" xfId="6" applyNumberFormat="1" applyFont="1" applyBorder="1" applyAlignment="1">
      <alignment horizontal="center"/>
    </xf>
    <xf numFmtId="0" fontId="42" fillId="0" borderId="88" xfId="6" applyFont="1" applyBorder="1" applyAlignment="1">
      <alignment horizontal="left" wrapText="1" indent="1"/>
    </xf>
    <xf numFmtId="0" fontId="42" fillId="0" borderId="52" xfId="6" applyFont="1" applyBorder="1" applyAlignment="1">
      <alignment horizontal="left" indent="2"/>
    </xf>
    <xf numFmtId="0" fontId="42" fillId="0" borderId="52" xfId="6" applyFont="1" applyBorder="1" applyAlignment="1">
      <alignment horizontal="left" wrapText="1" indent="1"/>
    </xf>
    <xf numFmtId="0" fontId="42" fillId="0" borderId="92" xfId="6" applyFont="1" applyBorder="1" applyAlignment="1">
      <alignment horizontal="left" wrapText="1" indent="1"/>
    </xf>
    <xf numFmtId="0" fontId="42" fillId="0" borderId="53" xfId="6" applyFont="1" applyBorder="1" applyAlignment="1">
      <alignment horizontal="left" wrapText="1" indent="1"/>
    </xf>
    <xf numFmtId="2" fontId="42" fillId="0" borderId="78" xfId="6" applyNumberFormat="1" applyFont="1" applyBorder="1" applyAlignment="1">
      <alignment horizontal="center"/>
    </xf>
    <xf numFmtId="2" fontId="47" fillId="0" borderId="78" xfId="6" applyNumberFormat="1" applyFont="1" applyBorder="1" applyAlignment="1">
      <alignment horizontal="center"/>
    </xf>
    <xf numFmtId="2" fontId="47" fillId="0" borderId="79" xfId="6" applyNumberFormat="1" applyFont="1" applyBorder="1" applyAlignment="1">
      <alignment horizontal="center"/>
    </xf>
    <xf numFmtId="179" fontId="92" fillId="0" borderId="0" xfId="0" applyNumberFormat="1" applyFont="1"/>
    <xf numFmtId="0" fontId="0" fillId="0" borderId="0" xfId="0" applyAlignment="1">
      <alignment horizontal="right" indent="2"/>
    </xf>
    <xf numFmtId="0" fontId="92" fillId="0" borderId="0" xfId="0" applyFont="1" applyAlignment="1">
      <alignment horizontal="right"/>
    </xf>
    <xf numFmtId="0" fontId="26" fillId="0" borderId="0" xfId="6" applyFont="1" applyAlignment="1">
      <alignment horizontal="center" vertical="center" wrapText="1"/>
    </xf>
    <xf numFmtId="0" fontId="43" fillId="0" borderId="0" xfId="0" applyFont="1" applyAlignment="1">
      <alignment horizontal="left" vertical="top" wrapText="1"/>
    </xf>
    <xf numFmtId="2" fontId="54" fillId="0" borderId="1" xfId="6" applyNumberFormat="1" applyFont="1" applyBorder="1" applyAlignment="1">
      <alignment horizontal="center" vertical="center" wrapText="1"/>
    </xf>
    <xf numFmtId="0" fontId="43" fillId="0" borderId="0" xfId="6" applyFont="1" applyAlignment="1">
      <alignment vertical="center" wrapText="1"/>
    </xf>
    <xf numFmtId="0" fontId="43" fillId="0" borderId="26" xfId="6" applyFont="1" applyBorder="1" applyAlignment="1">
      <alignment horizontal="center" vertical="center" wrapText="1"/>
    </xf>
    <xf numFmtId="0" fontId="43" fillId="0" borderId="28" xfId="6" applyFont="1" applyBorder="1" applyAlignment="1">
      <alignment horizontal="center" vertical="center" wrapText="1"/>
    </xf>
    <xf numFmtId="0" fontId="43" fillId="0" borderId="29" xfId="6" applyFont="1" applyBorder="1" applyAlignment="1">
      <alignment horizontal="center" vertical="center" wrapText="1"/>
    </xf>
    <xf numFmtId="0" fontId="43" fillId="0" borderId="30" xfId="6" applyFont="1" applyBorder="1" applyAlignment="1">
      <alignment horizontal="center" vertical="center" wrapText="1"/>
    </xf>
    <xf numFmtId="0" fontId="43" fillId="0" borderId="6" xfId="6" applyFont="1" applyBorder="1" applyAlignment="1">
      <alignment horizontal="center" vertical="center" wrapText="1"/>
    </xf>
    <xf numFmtId="0" fontId="43" fillId="0" borderId="32" xfId="6" applyFont="1" applyBorder="1" applyAlignment="1">
      <alignment horizontal="center" vertical="center" wrapText="1"/>
    </xf>
    <xf numFmtId="0" fontId="43" fillId="0" borderId="23" xfId="6" applyFont="1" applyBorder="1" applyAlignment="1">
      <alignment horizontal="center" vertical="center" wrapText="1"/>
    </xf>
    <xf numFmtId="2" fontId="43" fillId="0" borderId="32" xfId="6" applyNumberFormat="1" applyFont="1" applyBorder="1" applyAlignment="1">
      <alignment horizontal="center" vertical="center" wrapText="1"/>
    </xf>
    <xf numFmtId="0" fontId="52" fillId="0" borderId="6" xfId="6" applyFont="1" applyBorder="1" applyAlignment="1">
      <alignment horizontal="center" vertical="center" wrapText="1"/>
    </xf>
    <xf numFmtId="2" fontId="43" fillId="0" borderId="0" xfId="6" applyNumberFormat="1" applyFont="1" applyAlignment="1">
      <alignment horizontal="center" vertical="center" wrapText="1"/>
    </xf>
    <xf numFmtId="183" fontId="43" fillId="0" borderId="32" xfId="6" applyNumberFormat="1" applyFont="1" applyBorder="1" applyAlignment="1">
      <alignment horizontal="center" vertical="center" wrapText="1"/>
    </xf>
    <xf numFmtId="0" fontId="43" fillId="0" borderId="28" xfId="6" applyFont="1" applyBorder="1" applyAlignment="1">
      <alignment horizontal="left" vertical="center" wrapText="1" indent="1"/>
    </xf>
    <xf numFmtId="0" fontId="43" fillId="3" borderId="32" xfId="6" applyFont="1" applyFill="1" applyBorder="1" applyAlignment="1">
      <alignment horizontal="center" vertical="center" wrapText="1"/>
    </xf>
    <xf numFmtId="0" fontId="43" fillId="3" borderId="0" xfId="6" applyFont="1" applyFill="1" applyAlignment="1">
      <alignment horizontal="center" vertical="center" wrapText="1"/>
    </xf>
    <xf numFmtId="2" fontId="34" fillId="0" borderId="0" xfId="6" applyNumberFormat="1" applyAlignment="1">
      <alignment horizontal="center" vertical="center" wrapText="1"/>
    </xf>
    <xf numFmtId="2" fontId="54" fillId="0" borderId="59" xfId="6" applyNumberFormat="1" applyFont="1" applyBorder="1" applyAlignment="1">
      <alignment horizontal="center" vertical="center" wrapText="1"/>
    </xf>
    <xf numFmtId="2" fontId="54" fillId="0" borderId="40" xfId="6" applyNumberFormat="1" applyFont="1" applyBorder="1" applyAlignment="1">
      <alignment horizontal="center" vertical="center" wrapText="1"/>
    </xf>
    <xf numFmtId="2" fontId="54" fillId="0" borderId="46" xfId="6" applyNumberFormat="1" applyFont="1" applyBorder="1" applyAlignment="1">
      <alignment horizontal="center" vertical="center" wrapText="1"/>
    </xf>
    <xf numFmtId="0" fontId="43" fillId="0" borderId="26" xfId="6" applyFont="1" applyBorder="1" applyAlignment="1">
      <alignment vertical="center" wrapText="1"/>
    </xf>
    <xf numFmtId="0" fontId="43" fillId="0" borderId="28" xfId="6" applyFont="1" applyBorder="1" applyAlignment="1">
      <alignment vertical="center" wrapText="1"/>
    </xf>
    <xf numFmtId="0" fontId="52" fillId="0" borderId="29" xfId="6" applyFont="1" applyBorder="1" applyAlignment="1">
      <alignment horizontal="left" vertical="center" wrapText="1"/>
    </xf>
    <xf numFmtId="181" fontId="43" fillId="0" borderId="32" xfId="6" applyNumberFormat="1" applyFont="1" applyBorder="1" applyAlignment="1">
      <alignment horizontal="center" vertical="center" wrapText="1"/>
    </xf>
    <xf numFmtId="179" fontId="34" fillId="0" borderId="0" xfId="6" applyNumberFormat="1" applyAlignment="1">
      <alignment horizontal="center" vertical="center" wrapText="1"/>
    </xf>
    <xf numFmtId="170" fontId="43" fillId="0" borderId="23" xfId="6" applyNumberFormat="1" applyFont="1" applyBorder="1" applyAlignment="1">
      <alignment horizontal="center" vertical="center" wrapText="1"/>
    </xf>
    <xf numFmtId="0" fontId="114" fillId="0" borderId="0" xfId="6" applyFont="1" applyAlignment="1">
      <alignment horizontal="center" vertical="center" wrapText="1"/>
    </xf>
    <xf numFmtId="0" fontId="43" fillId="0" borderId="28" xfId="6" applyFont="1" applyBorder="1" applyAlignment="1">
      <alignment horizontal="left" vertical="center" wrapText="1" indent="2"/>
    </xf>
    <xf numFmtId="0" fontId="43" fillId="0" borderId="29" xfId="6" applyFont="1" applyBorder="1" applyAlignment="1">
      <alignment horizontal="left" vertical="center" wrapText="1" indent="1"/>
    </xf>
    <xf numFmtId="0" fontId="43" fillId="0" borderId="0" xfId="6" applyFont="1" applyAlignment="1">
      <alignment horizontal="left" vertical="center" wrapText="1" indent="1"/>
    </xf>
    <xf numFmtId="0" fontId="34" fillId="0" borderId="33" xfId="6" applyBorder="1" applyAlignment="1">
      <alignment horizontal="center" vertical="center" wrapText="1"/>
    </xf>
    <xf numFmtId="0" fontId="34" fillId="0" borderId="32" xfId="6" applyBorder="1" applyAlignment="1">
      <alignment horizontal="center" vertical="center" wrapText="1"/>
    </xf>
    <xf numFmtId="0" fontId="52" fillId="0" borderId="26" xfId="6" applyFont="1" applyBorder="1" applyAlignment="1">
      <alignment horizontal="left" vertical="center" wrapText="1"/>
    </xf>
    <xf numFmtId="2" fontId="52" fillId="0" borderId="33" xfId="6" applyNumberFormat="1" applyFont="1" applyBorder="1" applyAlignment="1">
      <alignment horizontal="center" vertical="center" wrapText="1"/>
    </xf>
    <xf numFmtId="0" fontId="43" fillId="3" borderId="33" xfId="6" applyFont="1" applyFill="1" applyBorder="1" applyAlignment="1">
      <alignment horizontal="center" vertical="center" wrapText="1"/>
    </xf>
    <xf numFmtId="2" fontId="115" fillId="0" borderId="0" xfId="0" applyNumberFormat="1" applyFont="1"/>
    <xf numFmtId="175" fontId="115" fillId="0" borderId="0" xfId="0" applyNumberFormat="1" applyFont="1"/>
    <xf numFmtId="0" fontId="43" fillId="30" borderId="0" xfId="6" applyFont="1" applyFill="1" applyAlignment="1">
      <alignment horizontal="center" vertical="center" wrapText="1"/>
    </xf>
    <xf numFmtId="0" fontId="26" fillId="0" borderId="0" xfId="6" applyFont="1"/>
    <xf numFmtId="0" fontId="42" fillId="0" borderId="37" xfId="6" applyFont="1" applyBorder="1" applyAlignment="1">
      <alignment horizontal="center"/>
    </xf>
    <xf numFmtId="0" fontId="42" fillId="0" borderId="89" xfId="6" applyFont="1" applyBorder="1" applyAlignment="1">
      <alignment horizontal="center"/>
    </xf>
    <xf numFmtId="2" fontId="42" fillId="3" borderId="1" xfId="6" applyNumberFormat="1" applyFont="1" applyFill="1" applyBorder="1" applyAlignment="1">
      <alignment horizontal="center" vertical="center"/>
    </xf>
    <xf numFmtId="0" fontId="44" fillId="0" borderId="0" xfId="6" applyFont="1"/>
    <xf numFmtId="0" fontId="44" fillId="3" borderId="0" xfId="6" applyFont="1" applyFill="1" applyAlignment="1">
      <alignment horizontal="center"/>
    </xf>
    <xf numFmtId="0" fontId="42" fillId="0" borderId="39" xfId="6" applyFont="1" applyBorder="1" applyAlignment="1">
      <alignment horizontal="left" vertical="center" wrapText="1" indent="1"/>
    </xf>
    <xf numFmtId="0" fontId="42" fillId="0" borderId="39" xfId="6" applyFont="1" applyBorder="1" applyAlignment="1">
      <alignment horizontal="left" vertical="center" wrapText="1"/>
    </xf>
    <xf numFmtId="0" fontId="42" fillId="0" borderId="1" xfId="0" applyFont="1" applyBorder="1" applyAlignment="1">
      <alignment vertical="center" wrapText="1"/>
    </xf>
    <xf numFmtId="0" fontId="115" fillId="0" borderId="0" xfId="6" applyFont="1" applyAlignment="1">
      <alignment horizontal="center"/>
    </xf>
    <xf numFmtId="0" fontId="130" fillId="0" borderId="0" xfId="6" applyFont="1" applyAlignment="1">
      <alignment horizontal="center"/>
    </xf>
    <xf numFmtId="0" fontId="115" fillId="30" borderId="0" xfId="6" applyFont="1" applyFill="1" applyAlignment="1">
      <alignment horizontal="center"/>
    </xf>
    <xf numFmtId="2" fontId="115" fillId="0" borderId="0" xfId="6" applyNumberFormat="1" applyFont="1" applyAlignment="1">
      <alignment horizontal="center"/>
    </xf>
    <xf numFmtId="0" fontId="110" fillId="3" borderId="0" xfId="0" applyFont="1" applyFill="1" applyAlignment="1">
      <alignment horizontal="justify" wrapText="1"/>
    </xf>
    <xf numFmtId="0" fontId="51" fillId="34" borderId="0" xfId="448" applyFont="1" applyFill="1"/>
    <xf numFmtId="0" fontId="51" fillId="31" borderId="0" xfId="448" applyFont="1" applyFill="1"/>
    <xf numFmtId="0" fontId="51" fillId="0" borderId="0" xfId="448" applyFont="1"/>
    <xf numFmtId="0" fontId="101" fillId="34" borderId="0" xfId="448" applyFont="1" applyFill="1" applyAlignment="1">
      <alignment vertical="center"/>
    </xf>
    <xf numFmtId="0" fontId="101" fillId="31" borderId="5" xfId="448" applyFont="1" applyFill="1" applyBorder="1" applyAlignment="1">
      <alignment vertical="center"/>
    </xf>
    <xf numFmtId="0" fontId="51" fillId="31" borderId="7" xfId="448" applyFont="1" applyFill="1" applyBorder="1" applyAlignment="1">
      <alignment horizontal="center"/>
    </xf>
    <xf numFmtId="0" fontId="51" fillId="31" borderId="1" xfId="448" applyFont="1" applyFill="1" applyBorder="1" applyAlignment="1">
      <alignment horizontal="center"/>
    </xf>
    <xf numFmtId="0" fontId="51" fillId="31" borderId="1" xfId="448" applyFont="1" applyFill="1" applyBorder="1" applyAlignment="1">
      <alignment horizontal="center" vertical="center"/>
    </xf>
    <xf numFmtId="3" fontId="137" fillId="31" borderId="7" xfId="449" applyNumberFormat="1" applyFont="1" applyFill="1" applyBorder="1" applyAlignment="1">
      <alignment horizontal="center" vertical="center" wrapText="1"/>
    </xf>
    <xf numFmtId="3" fontId="137" fillId="31" borderId="1" xfId="449" applyNumberFormat="1" applyFont="1" applyFill="1" applyBorder="1" applyAlignment="1">
      <alignment horizontal="center" vertical="center" wrapText="1"/>
    </xf>
    <xf numFmtId="2" fontId="51" fillId="31" borderId="7" xfId="448" applyNumberFormat="1" applyFont="1" applyFill="1" applyBorder="1" applyAlignment="1">
      <alignment horizontal="center" vertical="center" wrapText="1"/>
    </xf>
    <xf numFmtId="2" fontId="51" fillId="31" borderId="1" xfId="448" applyNumberFormat="1" applyFont="1" applyFill="1" applyBorder="1" applyAlignment="1">
      <alignment horizontal="center" vertical="center" wrapText="1"/>
    </xf>
    <xf numFmtId="4" fontId="137" fillId="31" borderId="7" xfId="449" applyNumberFormat="1" applyFont="1" applyFill="1" applyBorder="1" applyAlignment="1">
      <alignment horizontal="center" vertical="center" wrapText="1"/>
    </xf>
    <xf numFmtId="4" fontId="137" fillId="31" borderId="1" xfId="449" applyNumberFormat="1" applyFont="1" applyFill="1" applyBorder="1" applyAlignment="1">
      <alignment horizontal="center" vertical="center" wrapText="1"/>
    </xf>
    <xf numFmtId="4" fontId="51" fillId="0" borderId="0" xfId="448" applyNumberFormat="1" applyFont="1"/>
    <xf numFmtId="0" fontId="137" fillId="31" borderId="7" xfId="448" applyFont="1" applyFill="1" applyBorder="1" applyAlignment="1">
      <alignment horizontal="center"/>
    </xf>
    <xf numFmtId="0" fontId="137" fillId="31" borderId="1" xfId="448" applyFont="1" applyFill="1" applyBorder="1" applyAlignment="1">
      <alignment horizontal="center"/>
    </xf>
    <xf numFmtId="0" fontId="137" fillId="0" borderId="0" xfId="448" applyFont="1"/>
    <xf numFmtId="2" fontId="51" fillId="31" borderId="7" xfId="448" applyNumberFormat="1" applyFont="1" applyFill="1" applyBorder="1" applyAlignment="1">
      <alignment horizontal="center"/>
    </xf>
    <xf numFmtId="2" fontId="51" fillId="31" borderId="1" xfId="448" applyNumberFormat="1" applyFont="1" applyFill="1" applyBorder="1" applyAlignment="1">
      <alignment horizontal="center"/>
    </xf>
    <xf numFmtId="2" fontId="51" fillId="0" borderId="1" xfId="448" applyNumberFormat="1" applyFont="1" applyBorder="1" applyAlignment="1">
      <alignment horizontal="center"/>
    </xf>
    <xf numFmtId="2" fontId="51" fillId="0" borderId="7" xfId="448" applyNumberFormat="1" applyFont="1" applyBorder="1" applyAlignment="1">
      <alignment horizontal="center"/>
    </xf>
    <xf numFmtId="2" fontId="137" fillId="31" borderId="7" xfId="448" applyNumberFormat="1" applyFont="1" applyFill="1" applyBorder="1" applyAlignment="1">
      <alignment horizontal="center"/>
    </xf>
    <xf numFmtId="2" fontId="137" fillId="31" borderId="1" xfId="448" applyNumberFormat="1" applyFont="1" applyFill="1" applyBorder="1" applyAlignment="1">
      <alignment horizontal="center"/>
    </xf>
    <xf numFmtId="1" fontId="51" fillId="31" borderId="1" xfId="448" applyNumberFormat="1" applyFont="1" applyFill="1" applyBorder="1" applyAlignment="1">
      <alignment horizontal="center"/>
    </xf>
    <xf numFmtId="2" fontId="137" fillId="31" borderId="0" xfId="448" applyNumberFormat="1" applyFont="1" applyFill="1" applyAlignment="1">
      <alignment horizontal="center"/>
    </xf>
    <xf numFmtId="0" fontId="51" fillId="34" borderId="28" xfId="448" applyFont="1" applyFill="1" applyBorder="1"/>
    <xf numFmtId="4" fontId="137" fillId="31" borderId="7" xfId="448" applyNumberFormat="1" applyFont="1" applyFill="1" applyBorder="1"/>
    <xf numFmtId="4" fontId="137" fillId="31" borderId="1" xfId="448" applyNumberFormat="1" applyFont="1" applyFill="1" applyBorder="1"/>
    <xf numFmtId="0" fontId="137" fillId="0" borderId="0" xfId="448" applyFont="1" applyAlignment="1">
      <alignment horizontal="center" vertical="center" wrapText="1"/>
    </xf>
    <xf numFmtId="4" fontId="137" fillId="0" borderId="0" xfId="448" applyNumberFormat="1" applyFont="1" applyAlignment="1">
      <alignment horizontal="center"/>
    </xf>
    <xf numFmtId="4" fontId="137" fillId="0" borderId="0" xfId="448" applyNumberFormat="1" applyFont="1"/>
    <xf numFmtId="0" fontId="137" fillId="0" borderId="0" xfId="448" applyFont="1" applyAlignment="1">
      <alignment horizontal="center"/>
    </xf>
    <xf numFmtId="176" fontId="137" fillId="0" borderId="0" xfId="448" applyNumberFormat="1" applyFont="1" applyAlignment="1">
      <alignment horizontal="center"/>
    </xf>
    <xf numFmtId="2" fontId="137" fillId="0" borderId="0" xfId="448" applyNumberFormat="1" applyFont="1" applyAlignment="1">
      <alignment horizontal="center"/>
    </xf>
    <xf numFmtId="0" fontId="101" fillId="0" borderId="0" xfId="448" applyFont="1"/>
    <xf numFmtId="0" fontId="51" fillId="34" borderId="32" xfId="448" applyFont="1" applyFill="1" applyBorder="1"/>
    <xf numFmtId="0" fontId="51" fillId="34" borderId="33" xfId="448" applyFont="1" applyFill="1" applyBorder="1"/>
    <xf numFmtId="0" fontId="136" fillId="34" borderId="0" xfId="448" applyFont="1" applyFill="1"/>
    <xf numFmtId="0" fontId="136" fillId="3" borderId="0" xfId="448" applyFont="1" applyFill="1"/>
    <xf numFmtId="0" fontId="101" fillId="0" borderId="27" xfId="0" applyFont="1" applyBorder="1" applyAlignment="1">
      <alignment horizontal="center" wrapText="1"/>
    </xf>
    <xf numFmtId="0" fontId="101" fillId="3" borderId="0" xfId="448" applyFont="1" applyFill="1"/>
    <xf numFmtId="0" fontId="51" fillId="34" borderId="99" xfId="448" applyFont="1" applyFill="1" applyBorder="1"/>
    <xf numFmtId="0" fontId="51" fillId="34" borderId="100" xfId="448" applyFont="1" applyFill="1" applyBorder="1" applyAlignment="1">
      <alignment horizontal="center"/>
    </xf>
    <xf numFmtId="3" fontId="51" fillId="34" borderId="100" xfId="449" applyNumberFormat="1" applyFont="1" applyFill="1" applyBorder="1" applyAlignment="1">
      <alignment horizontal="center" vertical="center" wrapText="1"/>
    </xf>
    <xf numFmtId="0" fontId="51" fillId="34" borderId="101" xfId="448" applyFont="1" applyFill="1" applyBorder="1" applyAlignment="1">
      <alignment horizontal="center"/>
    </xf>
    <xf numFmtId="0" fontId="51" fillId="34" borderId="102" xfId="448" applyFont="1" applyFill="1" applyBorder="1" applyAlignment="1">
      <alignment horizontal="center"/>
    </xf>
    <xf numFmtId="0" fontId="51" fillId="34" borderId="103" xfId="448" applyFont="1" applyFill="1" applyBorder="1"/>
    <xf numFmtId="0" fontId="51" fillId="34" borderId="104" xfId="448" applyFont="1" applyFill="1" applyBorder="1" applyAlignment="1">
      <alignment horizontal="center"/>
    </xf>
    <xf numFmtId="0" fontId="51" fillId="34" borderId="105" xfId="448" applyFont="1" applyFill="1" applyBorder="1" applyAlignment="1">
      <alignment horizontal="center"/>
    </xf>
    <xf numFmtId="0" fontId="51" fillId="34" borderId="106" xfId="448" applyFont="1" applyFill="1" applyBorder="1" applyAlignment="1">
      <alignment horizontal="center"/>
    </xf>
    <xf numFmtId="2" fontId="51" fillId="34" borderId="104" xfId="448" applyNumberFormat="1" applyFont="1" applyFill="1" applyBorder="1" applyAlignment="1">
      <alignment horizontal="center" vertical="center" wrapText="1"/>
    </xf>
    <xf numFmtId="2" fontId="51" fillId="34" borderId="106" xfId="448" applyNumberFormat="1" applyFont="1" applyFill="1" applyBorder="1" applyAlignment="1">
      <alignment horizontal="center" vertical="center" wrapText="1"/>
    </xf>
    <xf numFmtId="0" fontId="51" fillId="34" borderId="112" xfId="448" applyFont="1" applyFill="1" applyBorder="1" applyAlignment="1">
      <alignment horizontal="center"/>
    </xf>
    <xf numFmtId="0" fontId="51" fillId="34" borderId="113" xfId="448" applyFont="1" applyFill="1" applyBorder="1" applyAlignment="1">
      <alignment horizontal="center"/>
    </xf>
    <xf numFmtId="0" fontId="137" fillId="31" borderId="30" xfId="448" applyFont="1" applyFill="1" applyBorder="1" applyAlignment="1">
      <alignment vertical="center"/>
    </xf>
    <xf numFmtId="4" fontId="137" fillId="31" borderId="61" xfId="449" applyNumberFormat="1" applyFont="1" applyFill="1" applyBorder="1" applyAlignment="1">
      <alignment horizontal="center" vertical="center" wrapText="1"/>
    </xf>
    <xf numFmtId="4" fontId="137" fillId="31" borderId="98" xfId="449" applyNumberFormat="1" applyFont="1" applyFill="1" applyBorder="1" applyAlignment="1">
      <alignment horizontal="center" vertical="center" wrapText="1"/>
    </xf>
    <xf numFmtId="4" fontId="137" fillId="31" borderId="6" xfId="449" applyNumberFormat="1" applyFont="1" applyFill="1" applyBorder="1" applyAlignment="1">
      <alignment horizontal="center" vertical="center" wrapText="1"/>
    </xf>
    <xf numFmtId="0" fontId="51" fillId="34" borderId="0" xfId="448" applyFont="1" applyFill="1" applyAlignment="1">
      <alignment horizontal="center"/>
    </xf>
    <xf numFmtId="0" fontId="136" fillId="34" borderId="0" xfId="448" applyFont="1" applyFill="1" applyAlignment="1">
      <alignment horizontal="center"/>
    </xf>
    <xf numFmtId="0" fontId="101" fillId="34" borderId="0" xfId="448" applyFont="1" applyFill="1" applyAlignment="1">
      <alignment horizontal="center" vertical="center"/>
    </xf>
    <xf numFmtId="0" fontId="137" fillId="34" borderId="100" xfId="448" applyFont="1" applyFill="1" applyBorder="1" applyAlignment="1">
      <alignment horizontal="center"/>
    </xf>
    <xf numFmtId="0" fontId="137" fillId="34" borderId="104" xfId="448" applyFont="1" applyFill="1" applyBorder="1" applyAlignment="1">
      <alignment horizontal="center"/>
    </xf>
    <xf numFmtId="0" fontId="137" fillId="34" borderId="112" xfId="448" applyFont="1" applyFill="1" applyBorder="1" applyAlignment="1">
      <alignment horizontal="center"/>
    </xf>
    <xf numFmtId="0" fontId="137" fillId="31" borderId="61" xfId="448" applyFont="1" applyFill="1" applyBorder="1" applyAlignment="1">
      <alignment horizontal="center"/>
    </xf>
    <xf numFmtId="0" fontId="51" fillId="0" borderId="0" xfId="448" applyFont="1" applyAlignment="1">
      <alignment horizontal="center"/>
    </xf>
    <xf numFmtId="0" fontId="101" fillId="0" borderId="0" xfId="448" applyFont="1" applyAlignment="1">
      <alignment horizontal="center"/>
    </xf>
    <xf numFmtId="0" fontId="51" fillId="31" borderId="61" xfId="448" applyFont="1" applyFill="1" applyBorder="1" applyAlignment="1">
      <alignment horizontal="center"/>
    </xf>
    <xf numFmtId="2" fontId="137" fillId="31" borderId="61" xfId="448" applyNumberFormat="1" applyFont="1" applyFill="1" applyBorder="1" applyAlignment="1">
      <alignment horizontal="center"/>
    </xf>
    <xf numFmtId="2" fontId="137" fillId="31" borderId="98" xfId="448" applyNumberFormat="1" applyFont="1" applyFill="1" applyBorder="1" applyAlignment="1">
      <alignment horizontal="center"/>
    </xf>
    <xf numFmtId="2" fontId="137" fillId="31" borderId="6" xfId="448" applyNumberFormat="1" applyFont="1" applyFill="1" applyBorder="1" applyAlignment="1">
      <alignment horizontal="center"/>
    </xf>
    <xf numFmtId="0" fontId="137" fillId="31" borderId="6" xfId="448" applyFont="1" applyFill="1" applyBorder="1" applyAlignment="1">
      <alignment horizontal="center"/>
    </xf>
    <xf numFmtId="2" fontId="51" fillId="34" borderId="4" xfId="448" applyNumberFormat="1" applyFont="1" applyFill="1" applyBorder="1" applyAlignment="1">
      <alignment horizontal="center"/>
    </xf>
    <xf numFmtId="2" fontId="51" fillId="34" borderId="25" xfId="448" applyNumberFormat="1" applyFont="1" applyFill="1" applyBorder="1" applyAlignment="1">
      <alignment horizontal="center"/>
    </xf>
    <xf numFmtId="2" fontId="51" fillId="34" borderId="32" xfId="448" applyNumberFormat="1" applyFont="1" applyFill="1" applyBorder="1" applyAlignment="1">
      <alignment horizontal="center"/>
    </xf>
    <xf numFmtId="0" fontId="51" fillId="34" borderId="115" xfId="448" applyFont="1" applyFill="1" applyBorder="1"/>
    <xf numFmtId="0" fontId="51" fillId="0" borderId="100" xfId="448" applyFont="1" applyBorder="1" applyAlignment="1">
      <alignment horizontal="center"/>
    </xf>
    <xf numFmtId="0" fontId="51" fillId="34" borderId="107" xfId="448" applyFont="1" applyFill="1" applyBorder="1"/>
    <xf numFmtId="0" fontId="51" fillId="34" borderId="109" xfId="448" applyFont="1" applyFill="1" applyBorder="1" applyAlignment="1">
      <alignment horizontal="center"/>
    </xf>
    <xf numFmtId="0" fontId="51" fillId="0" borderId="106" xfId="448" applyFont="1" applyBorder="1" applyAlignment="1">
      <alignment horizontal="center"/>
    </xf>
    <xf numFmtId="2" fontId="51" fillId="34" borderId="104" xfId="448" applyNumberFormat="1" applyFont="1" applyFill="1" applyBorder="1" applyAlignment="1">
      <alignment horizontal="center"/>
    </xf>
    <xf numFmtId="2" fontId="51" fillId="34" borderId="105" xfId="448" applyNumberFormat="1" applyFont="1" applyFill="1" applyBorder="1" applyAlignment="1">
      <alignment horizontal="center"/>
    </xf>
    <xf numFmtId="2" fontId="51" fillId="34" borderId="106" xfId="448" applyNumberFormat="1" applyFont="1" applyFill="1" applyBorder="1" applyAlignment="1">
      <alignment horizontal="center"/>
    </xf>
    <xf numFmtId="1" fontId="51" fillId="34" borderId="106" xfId="448" applyNumberFormat="1" applyFont="1" applyFill="1" applyBorder="1" applyAlignment="1">
      <alignment horizontal="center"/>
    </xf>
    <xf numFmtId="2" fontId="51" fillId="0" borderId="104" xfId="448" applyNumberFormat="1" applyFont="1" applyBorder="1" applyAlignment="1">
      <alignment horizontal="center"/>
    </xf>
    <xf numFmtId="2" fontId="51" fillId="0" borderId="105" xfId="448" applyNumberFormat="1" applyFont="1" applyBorder="1" applyAlignment="1">
      <alignment horizontal="center"/>
    </xf>
    <xf numFmtId="2" fontId="51" fillId="0" borderId="106" xfId="448" applyNumberFormat="1" applyFont="1" applyBorder="1" applyAlignment="1">
      <alignment horizontal="center"/>
    </xf>
    <xf numFmtId="0" fontId="51" fillId="34" borderId="107" xfId="448" applyFont="1" applyFill="1" applyBorder="1" applyAlignment="1">
      <alignment vertical="center"/>
    </xf>
    <xf numFmtId="0" fontId="51" fillId="34" borderId="104" xfId="448" applyFont="1" applyFill="1" applyBorder="1" applyAlignment="1">
      <alignment horizontal="center" vertical="center" wrapText="1"/>
    </xf>
    <xf numFmtId="0" fontId="51" fillId="34" borderId="4" xfId="448" applyFont="1" applyFill="1" applyBorder="1" applyAlignment="1">
      <alignment horizontal="center"/>
    </xf>
    <xf numFmtId="0" fontId="51" fillId="34" borderId="110" xfId="448" applyFont="1" applyFill="1" applyBorder="1" applyAlignment="1">
      <alignment horizontal="center"/>
    </xf>
    <xf numFmtId="2" fontId="137" fillId="31" borderId="31" xfId="448" applyNumberFormat="1" applyFont="1" applyFill="1" applyBorder="1" applyAlignment="1">
      <alignment horizontal="center"/>
    </xf>
    <xf numFmtId="2" fontId="137" fillId="31" borderId="63" xfId="448" applyNumberFormat="1" applyFont="1" applyFill="1" applyBorder="1" applyAlignment="1">
      <alignment horizontal="center"/>
    </xf>
    <xf numFmtId="0" fontId="137" fillId="31" borderId="60" xfId="448" applyFont="1" applyFill="1" applyBorder="1" applyAlignment="1">
      <alignment vertical="center"/>
    </xf>
    <xf numFmtId="0" fontId="51" fillId="34" borderId="105" xfId="448" applyFont="1" applyFill="1" applyBorder="1" applyAlignment="1">
      <alignment horizontal="center" vertical="center" wrapText="1"/>
    </xf>
    <xf numFmtId="0" fontId="51" fillId="34" borderId="101" xfId="448" applyFont="1" applyFill="1" applyBorder="1" applyAlignment="1">
      <alignment horizontal="center" vertical="center" wrapText="1"/>
    </xf>
    <xf numFmtId="0" fontId="51" fillId="34" borderId="25" xfId="448" applyFont="1" applyFill="1" applyBorder="1" applyAlignment="1">
      <alignment horizontal="center"/>
    </xf>
    <xf numFmtId="0" fontId="51" fillId="31" borderId="98" xfId="448" applyFont="1" applyFill="1" applyBorder="1" applyAlignment="1">
      <alignment horizontal="center"/>
    </xf>
    <xf numFmtId="0" fontId="137" fillId="31" borderId="98" xfId="448" applyFont="1" applyFill="1" applyBorder="1" applyAlignment="1">
      <alignment horizontal="center" vertical="center" wrapText="1"/>
    </xf>
    <xf numFmtId="0" fontId="51" fillId="34" borderId="117" xfId="448" applyFont="1" applyFill="1" applyBorder="1" applyAlignment="1">
      <alignment horizontal="center"/>
    </xf>
    <xf numFmtId="0" fontId="51" fillId="34" borderId="118" xfId="448" applyFont="1" applyFill="1" applyBorder="1" applyAlignment="1">
      <alignment horizontal="center"/>
    </xf>
    <xf numFmtId="2" fontId="51" fillId="34" borderId="118" xfId="448" applyNumberFormat="1" applyFont="1" applyFill="1" applyBorder="1" applyAlignment="1">
      <alignment horizontal="center" vertical="center" wrapText="1"/>
    </xf>
    <xf numFmtId="4" fontId="137" fillId="31" borderId="63" xfId="449" applyNumberFormat="1" applyFont="1" applyFill="1" applyBorder="1" applyAlignment="1">
      <alignment horizontal="center" vertical="center" wrapText="1"/>
    </xf>
    <xf numFmtId="2" fontId="51" fillId="34" borderId="87" xfId="448" applyNumberFormat="1" applyFont="1" applyFill="1" applyBorder="1" applyAlignment="1">
      <alignment horizontal="center"/>
    </xf>
    <xf numFmtId="0" fontId="137" fillId="31" borderId="63" xfId="448" applyFont="1" applyFill="1" applyBorder="1" applyAlignment="1">
      <alignment horizontal="center"/>
    </xf>
    <xf numFmtId="2" fontId="51" fillId="0" borderId="118" xfId="448" applyNumberFormat="1" applyFont="1" applyBorder="1" applyAlignment="1">
      <alignment horizontal="center"/>
    </xf>
    <xf numFmtId="2" fontId="51" fillId="34" borderId="118" xfId="448" applyNumberFormat="1" applyFont="1" applyFill="1" applyBorder="1" applyAlignment="1">
      <alignment horizontal="center"/>
    </xf>
    <xf numFmtId="3" fontId="51" fillId="34" borderId="102" xfId="449" applyNumberFormat="1" applyFont="1" applyFill="1" applyBorder="1" applyAlignment="1">
      <alignment horizontal="center" vertical="center" wrapText="1"/>
    </xf>
    <xf numFmtId="0" fontId="51" fillId="0" borderId="102" xfId="448" applyFont="1" applyBorder="1" applyAlignment="1">
      <alignment horizontal="center"/>
    </xf>
    <xf numFmtId="1" fontId="51" fillId="0" borderId="106" xfId="448" applyNumberFormat="1" applyFont="1" applyBorder="1" applyAlignment="1">
      <alignment horizontal="center"/>
    </xf>
    <xf numFmtId="1" fontId="51" fillId="34" borderId="102" xfId="448" applyNumberFormat="1" applyFont="1" applyFill="1" applyBorder="1" applyAlignment="1">
      <alignment horizontal="center"/>
    </xf>
    <xf numFmtId="2" fontId="51" fillId="34" borderId="117" xfId="448" applyNumberFormat="1" applyFont="1" applyFill="1" applyBorder="1" applyAlignment="1">
      <alignment horizontal="center"/>
    </xf>
    <xf numFmtId="2" fontId="51" fillId="34" borderId="100" xfId="448" applyNumberFormat="1" applyFont="1" applyFill="1" applyBorder="1" applyAlignment="1">
      <alignment horizontal="center"/>
    </xf>
    <xf numFmtId="2" fontId="51" fillId="34" borderId="101" xfId="448" applyNumberFormat="1" applyFont="1" applyFill="1" applyBorder="1" applyAlignment="1">
      <alignment horizontal="center"/>
    </xf>
    <xf numFmtId="2" fontId="51" fillId="34" borderId="102" xfId="448" applyNumberFormat="1" applyFont="1" applyFill="1" applyBorder="1" applyAlignment="1">
      <alignment horizontal="center"/>
    </xf>
    <xf numFmtId="1" fontId="51" fillId="34" borderId="118" xfId="448" applyNumberFormat="1" applyFont="1" applyFill="1" applyBorder="1" applyAlignment="1">
      <alignment horizontal="center"/>
    </xf>
    <xf numFmtId="0" fontId="51" fillId="34" borderId="121" xfId="448" applyFont="1" applyFill="1" applyBorder="1" applyAlignment="1">
      <alignment vertical="center"/>
    </xf>
    <xf numFmtId="0" fontId="51" fillId="34" borderId="110" xfId="448" applyFont="1" applyFill="1" applyBorder="1" applyAlignment="1">
      <alignment horizontal="center" vertical="center" wrapText="1"/>
    </xf>
    <xf numFmtId="2" fontId="51" fillId="34" borderId="111" xfId="448" applyNumberFormat="1" applyFont="1" applyFill="1" applyBorder="1" applyAlignment="1">
      <alignment horizontal="center"/>
    </xf>
    <xf numFmtId="2" fontId="51" fillId="34" borderId="120" xfId="448" applyNumberFormat="1" applyFont="1" applyFill="1" applyBorder="1" applyAlignment="1">
      <alignment horizontal="center"/>
    </xf>
    <xf numFmtId="2" fontId="51" fillId="34" borderId="109" xfId="448" applyNumberFormat="1" applyFont="1" applyFill="1" applyBorder="1" applyAlignment="1">
      <alignment horizontal="center"/>
    </xf>
    <xf numFmtId="2" fontId="51" fillId="34" borderId="110" xfId="448" applyNumberFormat="1" applyFont="1" applyFill="1" applyBorder="1" applyAlignment="1">
      <alignment horizontal="center"/>
    </xf>
    <xf numFmtId="0" fontId="137" fillId="34" borderId="51" xfId="448" applyFont="1" applyFill="1" applyBorder="1" applyAlignment="1">
      <alignment vertical="center"/>
    </xf>
    <xf numFmtId="0" fontId="137" fillId="34" borderId="25" xfId="448" applyFont="1" applyFill="1" applyBorder="1" applyAlignment="1">
      <alignment horizontal="center" vertical="center" wrapText="1"/>
    </xf>
    <xf numFmtId="0" fontId="137" fillId="34" borderId="115" xfId="448" applyFont="1" applyFill="1" applyBorder="1" applyAlignment="1">
      <alignment vertical="center"/>
    </xf>
    <xf numFmtId="1" fontId="51" fillId="34" borderId="117" xfId="448" applyNumberFormat="1" applyFont="1" applyFill="1" applyBorder="1" applyAlignment="1">
      <alignment horizontal="center"/>
    </xf>
    <xf numFmtId="0" fontId="137" fillId="31" borderId="60" xfId="448" applyFont="1" applyFill="1" applyBorder="1"/>
    <xf numFmtId="0" fontId="51" fillId="31" borderId="61" xfId="448" applyFont="1" applyFill="1" applyBorder="1"/>
    <xf numFmtId="4" fontId="137" fillId="31" borderId="6" xfId="448" applyNumberFormat="1" applyFont="1" applyFill="1" applyBorder="1" applyAlignment="1">
      <alignment horizontal="center"/>
    </xf>
    <xf numFmtId="4" fontId="137" fillId="31" borderId="63" xfId="448" applyNumberFormat="1" applyFont="1" applyFill="1" applyBorder="1" applyAlignment="1">
      <alignment horizontal="center"/>
    </xf>
    <xf numFmtId="4" fontId="137" fillId="31" borderId="61" xfId="448" applyNumberFormat="1" applyFont="1" applyFill="1" applyBorder="1" applyAlignment="1">
      <alignment horizontal="center"/>
    </xf>
    <xf numFmtId="4" fontId="137" fillId="31" borderId="98" xfId="448" applyNumberFormat="1" applyFont="1" applyFill="1" applyBorder="1" applyAlignment="1">
      <alignment horizontal="center"/>
    </xf>
    <xf numFmtId="0" fontId="51" fillId="31" borderId="103" xfId="448" applyFont="1" applyFill="1" applyBorder="1"/>
    <xf numFmtId="0" fontId="51" fillId="34" borderId="122" xfId="448" applyFont="1" applyFill="1" applyBorder="1"/>
    <xf numFmtId="0" fontId="51" fillId="34" borderId="114" xfId="448" applyFont="1" applyFill="1" applyBorder="1" applyAlignment="1">
      <alignment horizontal="center"/>
    </xf>
    <xf numFmtId="0" fontId="51" fillId="34" borderId="119" xfId="448" applyFont="1" applyFill="1" applyBorder="1" applyAlignment="1">
      <alignment horizontal="center"/>
    </xf>
    <xf numFmtId="3" fontId="51" fillId="34" borderId="114" xfId="449" applyNumberFormat="1" applyFont="1" applyFill="1" applyBorder="1" applyAlignment="1">
      <alignment horizontal="center" vertical="center" wrapText="1"/>
    </xf>
    <xf numFmtId="0" fontId="51" fillId="34" borderId="114" xfId="448" applyFont="1" applyFill="1" applyBorder="1" applyAlignment="1">
      <alignment horizontal="center" vertical="center"/>
    </xf>
    <xf numFmtId="3" fontId="51" fillId="34" borderId="117" xfId="449" applyNumberFormat="1" applyFont="1" applyFill="1" applyBorder="1" applyAlignment="1">
      <alignment horizontal="center" vertical="center" wrapText="1"/>
    </xf>
    <xf numFmtId="0" fontId="51" fillId="34" borderId="109" xfId="448" applyFont="1" applyFill="1" applyBorder="1" applyAlignment="1">
      <alignment horizontal="center" vertical="center" wrapText="1"/>
    </xf>
    <xf numFmtId="4" fontId="51" fillId="34" borderId="111" xfId="449" applyNumberFormat="1" applyFont="1" applyFill="1" applyBorder="1" applyAlignment="1">
      <alignment horizontal="center" vertical="center" wrapText="1"/>
    </xf>
    <xf numFmtId="2" fontId="51" fillId="34" borderId="120" xfId="448" applyNumberFormat="1" applyFont="1" applyFill="1" applyBorder="1" applyAlignment="1">
      <alignment horizontal="center" vertical="center" wrapText="1"/>
    </xf>
    <xf numFmtId="2" fontId="51" fillId="34" borderId="109" xfId="448" applyNumberFormat="1" applyFont="1" applyFill="1" applyBorder="1" applyAlignment="1">
      <alignment horizontal="center" vertical="center" wrapText="1"/>
    </xf>
    <xf numFmtId="2" fontId="51" fillId="34" borderId="111" xfId="448" applyNumberFormat="1" applyFont="1" applyFill="1" applyBorder="1" applyAlignment="1">
      <alignment horizontal="center" vertical="center" wrapText="1"/>
    </xf>
    <xf numFmtId="0" fontId="51" fillId="0" borderId="102" xfId="448" applyFont="1" applyBorder="1" applyAlignment="1">
      <alignment horizontal="center" vertical="center"/>
    </xf>
    <xf numFmtId="0" fontId="51" fillId="0" borderId="114" xfId="448" applyFont="1" applyBorder="1" applyAlignment="1">
      <alignment horizontal="center"/>
    </xf>
    <xf numFmtId="2" fontId="51" fillId="34" borderId="123" xfId="448" applyNumberFormat="1" applyFont="1" applyFill="1" applyBorder="1" applyAlignment="1">
      <alignment horizontal="center"/>
    </xf>
    <xf numFmtId="2" fontId="137" fillId="31" borderId="30" xfId="448" applyNumberFormat="1" applyFont="1" applyFill="1" applyBorder="1" applyAlignment="1">
      <alignment horizontal="center"/>
    </xf>
    <xf numFmtId="0" fontId="145" fillId="31" borderId="6" xfId="448" applyFont="1" applyFill="1" applyBorder="1" applyAlignment="1">
      <alignment horizontal="center" vertical="center" wrapText="1"/>
    </xf>
    <xf numFmtId="0" fontId="145" fillId="31" borderId="31" xfId="448" applyFont="1" applyFill="1" applyBorder="1" applyAlignment="1">
      <alignment horizontal="center" vertical="center" wrapText="1"/>
    </xf>
    <xf numFmtId="0" fontId="43" fillId="0" borderId="0" xfId="506" applyFont="1" applyAlignment="1">
      <alignment horizontal="center" vertical="center" wrapText="1"/>
    </xf>
    <xf numFmtId="0" fontId="146" fillId="0" borderId="1" xfId="506" applyFont="1" applyBorder="1" applyAlignment="1">
      <alignment horizontal="center" vertical="center" wrapText="1"/>
    </xf>
    <xf numFmtId="0" fontId="146" fillId="32" borderId="1" xfId="506" applyFont="1" applyFill="1" applyBorder="1" applyAlignment="1">
      <alignment horizontal="center" vertical="center" wrapText="1"/>
    </xf>
    <xf numFmtId="0" fontId="146" fillId="0" borderId="0" xfId="506" applyFont="1" applyAlignment="1">
      <alignment horizontal="center" vertical="center" wrapText="1"/>
    </xf>
    <xf numFmtId="0" fontId="148" fillId="0" borderId="1" xfId="506" applyFont="1" applyBorder="1" applyAlignment="1">
      <alignment horizontal="center" vertical="center" wrapText="1"/>
    </xf>
    <xf numFmtId="2" fontId="151" fillId="0" borderId="0" xfId="506" applyNumberFormat="1" applyFont="1" applyAlignment="1" applyProtection="1">
      <alignment horizontal="center" vertical="center" wrapText="1"/>
      <protection hidden="1"/>
    </xf>
    <xf numFmtId="0" fontId="152" fillId="0" borderId="0" xfId="506" applyFont="1" applyAlignment="1">
      <alignment horizontal="center" vertical="center"/>
    </xf>
    <xf numFmtId="0" fontId="149" fillId="0" borderId="0" xfId="506" applyFont="1" applyAlignment="1">
      <alignment horizontal="left" vertical="top"/>
    </xf>
    <xf numFmtId="0" fontId="151" fillId="0" borderId="0" xfId="506" applyFont="1" applyAlignment="1" applyProtection="1">
      <alignment horizontal="center" vertical="center" wrapText="1"/>
      <protection hidden="1"/>
    </xf>
    <xf numFmtId="0" fontId="149" fillId="0" borderId="0" xfId="506" applyFont="1" applyAlignment="1">
      <alignment horizontal="center" vertical="top"/>
    </xf>
    <xf numFmtId="0" fontId="149" fillId="0" borderId="0" xfId="506" applyFont="1" applyAlignment="1">
      <alignment horizontal="right" vertical="top"/>
    </xf>
    <xf numFmtId="0" fontId="152" fillId="0" borderId="0" xfId="506" applyFont="1" applyAlignment="1" applyProtection="1">
      <alignment horizontal="left" vertical="top" wrapText="1"/>
      <protection hidden="1"/>
    </xf>
    <xf numFmtId="0" fontId="152" fillId="0" borderId="0" xfId="506" applyFont="1" applyAlignment="1">
      <alignment horizontal="left" vertical="center"/>
    </xf>
    <xf numFmtId="0" fontId="152" fillId="0" borderId="0" xfId="506" applyFont="1" applyAlignment="1" applyProtection="1">
      <alignment horizontal="center" vertical="center" wrapText="1"/>
      <protection hidden="1"/>
    </xf>
    <xf numFmtId="2" fontId="152" fillId="0" borderId="0" xfId="506" applyNumberFormat="1" applyFont="1" applyAlignment="1" applyProtection="1">
      <alignment horizontal="center" vertical="center" wrapText="1"/>
      <protection hidden="1"/>
    </xf>
    <xf numFmtId="0" fontId="150" fillId="0" borderId="0" xfId="506" applyFont="1" applyAlignment="1">
      <alignment horizontal="right"/>
    </xf>
    <xf numFmtId="0" fontId="146" fillId="31" borderId="1" xfId="506" applyFont="1" applyFill="1" applyBorder="1" applyAlignment="1">
      <alignment horizontal="center" vertical="center" wrapText="1"/>
    </xf>
    <xf numFmtId="0" fontId="44" fillId="0" borderId="0" xfId="506" applyFont="1" applyAlignment="1">
      <alignment horizontal="center" vertical="center" wrapText="1"/>
    </xf>
    <xf numFmtId="0" fontId="44" fillId="0" borderId="0" xfId="506" applyFont="1" applyAlignment="1">
      <alignment horizontal="center" vertical="center"/>
    </xf>
    <xf numFmtId="0" fontId="44" fillId="0" borderId="0" xfId="506" applyFont="1" applyAlignment="1">
      <alignment vertical="top" wrapText="1"/>
    </xf>
    <xf numFmtId="0" fontId="44" fillId="0" borderId="0" xfId="506" applyFont="1"/>
    <xf numFmtId="0" fontId="93" fillId="0" borderId="46" xfId="506" applyFont="1" applyBorder="1" applyAlignment="1">
      <alignment horizontal="center" vertical="center"/>
    </xf>
    <xf numFmtId="0" fontId="93" fillId="32" borderId="44" xfId="506" applyFont="1" applyFill="1" applyBorder="1" applyAlignment="1">
      <alignment horizontal="center" vertical="center"/>
    </xf>
    <xf numFmtId="0" fontId="93" fillId="32" borderId="46" xfId="506" applyFont="1" applyFill="1" applyBorder="1" applyAlignment="1">
      <alignment horizontal="center" vertical="center"/>
    </xf>
    <xf numFmtId="0" fontId="154" fillId="0" borderId="0" xfId="506" applyFont="1" applyAlignment="1">
      <alignment horizontal="center" vertical="center" wrapText="1"/>
    </xf>
    <xf numFmtId="0" fontId="44" fillId="0" borderId="60" xfId="506" applyFont="1" applyBorder="1" applyAlignment="1">
      <alignment horizontal="center" vertical="center"/>
    </xf>
    <xf numFmtId="0" fontId="44" fillId="0" borderId="98" xfId="506" applyFont="1" applyBorder="1" applyAlignment="1">
      <alignment horizontal="left" vertical="center" wrapText="1"/>
    </xf>
    <xf numFmtId="0" fontId="44" fillId="0" borderId="63" xfId="506" applyFont="1" applyBorder="1" applyAlignment="1">
      <alignment horizontal="center" vertical="center"/>
    </xf>
    <xf numFmtId="0" fontId="93" fillId="32" borderId="60" xfId="506" applyFont="1" applyFill="1" applyBorder="1" applyAlignment="1">
      <alignment horizontal="center" vertical="center"/>
    </xf>
    <xf numFmtId="0" fontId="101" fillId="0" borderId="0" xfId="506" applyFont="1" applyAlignment="1">
      <alignment horizontal="center" vertical="center" wrapText="1"/>
    </xf>
    <xf numFmtId="0" fontId="44" fillId="0" borderId="36" xfId="506" applyFont="1" applyBorder="1" applyAlignment="1">
      <alignment horizontal="left" vertical="center" wrapText="1"/>
    </xf>
    <xf numFmtId="0" fontId="44" fillId="0" borderId="61" xfId="506" applyFont="1" applyBorder="1" applyAlignment="1">
      <alignment vertical="top" wrapText="1"/>
    </xf>
    <xf numFmtId="0" fontId="93" fillId="0" borderId="0" xfId="506" applyFont="1" applyAlignment="1">
      <alignment horizontal="left" vertical="center" wrapText="1"/>
    </xf>
    <xf numFmtId="0" fontId="93" fillId="0" borderId="0" xfId="506" applyFont="1"/>
    <xf numFmtId="0" fontId="44" fillId="0" borderId="8" xfId="506" applyFont="1" applyBorder="1" applyAlignment="1">
      <alignment horizontal="center" vertical="center"/>
    </xf>
    <xf numFmtId="0" fontId="44" fillId="0" borderId="1" xfId="506" applyFont="1" applyBorder="1" applyAlignment="1">
      <alignment horizontal="right" vertical="center"/>
    </xf>
    <xf numFmtId="0" fontId="110" fillId="0" borderId="0" xfId="506" applyFont="1" applyAlignment="1">
      <alignment horizontal="center" vertical="center" wrapText="1"/>
    </xf>
    <xf numFmtId="0" fontId="44" fillId="0" borderId="7" xfId="506" applyFont="1" applyBorder="1" applyAlignment="1">
      <alignment horizontal="right" vertical="center"/>
    </xf>
    <xf numFmtId="2" fontId="44" fillId="0" borderId="1" xfId="506" applyNumberFormat="1" applyFont="1" applyBorder="1" applyAlignment="1">
      <alignment horizontal="right" vertical="center"/>
    </xf>
    <xf numFmtId="4" fontId="44" fillId="0" borderId="0" xfId="506" applyNumberFormat="1" applyFont="1" applyAlignment="1">
      <alignment horizontal="left" vertical="center" wrapText="1"/>
    </xf>
    <xf numFmtId="0" fontId="44" fillId="0" borderId="3" xfId="506" applyFont="1" applyBorder="1" applyAlignment="1">
      <alignment horizontal="right" vertical="center"/>
    </xf>
    <xf numFmtId="0" fontId="44" fillId="0" borderId="69" xfId="506" applyFont="1" applyBorder="1" applyAlignment="1">
      <alignment horizontal="right" vertical="center"/>
    </xf>
    <xf numFmtId="0" fontId="44" fillId="0" borderId="10" xfId="506" applyFont="1" applyBorder="1" applyAlignment="1">
      <alignment horizontal="right" vertical="center"/>
    </xf>
    <xf numFmtId="0" fontId="44" fillId="0" borderId="1" xfId="506" applyFont="1" applyBorder="1"/>
    <xf numFmtId="0" fontId="150" fillId="0" borderId="0" xfId="506" applyFont="1" applyAlignment="1">
      <alignment horizontal="left" vertical="center"/>
    </xf>
    <xf numFmtId="0" fontId="43" fillId="0" borderId="0" xfId="506" applyFont="1" applyAlignment="1" applyProtection="1">
      <alignment horizontal="center" vertical="center" wrapText="1"/>
      <protection hidden="1"/>
    </xf>
    <xf numFmtId="0" fontId="157" fillId="0" borderId="0" xfId="506" applyFont="1" applyAlignment="1" applyProtection="1">
      <alignment vertical="center" wrapText="1"/>
      <protection locked="0"/>
    </xf>
    <xf numFmtId="0" fontId="157" fillId="0" borderId="5" xfId="506" applyFont="1" applyBorder="1" applyAlignment="1" applyProtection="1">
      <alignment horizontal="center" vertical="center" wrapText="1"/>
      <protection locked="0"/>
    </xf>
    <xf numFmtId="0" fontId="157" fillId="0" borderId="5" xfId="506" applyFont="1" applyBorder="1" applyAlignment="1" applyProtection="1">
      <alignment vertical="center" wrapText="1"/>
      <protection locked="0"/>
    </xf>
    <xf numFmtId="0" fontId="146" fillId="0" borderId="0" xfId="506" applyFont="1" applyAlignment="1" applyProtection="1">
      <alignment horizontal="center" vertical="center" wrapText="1"/>
      <protection hidden="1"/>
    </xf>
    <xf numFmtId="0" fontId="158" fillId="0" borderId="0" xfId="506" applyFont="1" applyAlignment="1" applyProtection="1">
      <alignment horizontal="center" vertical="center" wrapText="1"/>
      <protection hidden="1"/>
    </xf>
    <xf numFmtId="0" fontId="151" fillId="0" borderId="0" xfId="506" applyFont="1" applyAlignment="1" applyProtection="1">
      <alignment horizontal="left" vertical="top" wrapText="1"/>
      <protection hidden="1"/>
    </xf>
    <xf numFmtId="2" fontId="153" fillId="0" borderId="0" xfId="506" applyNumberFormat="1" applyFont="1" applyAlignment="1" applyProtection="1">
      <alignment horizontal="center" vertical="center" wrapText="1"/>
      <protection hidden="1"/>
    </xf>
    <xf numFmtId="0" fontId="43" fillId="0" borderId="5" xfId="506" applyFont="1" applyBorder="1" applyAlignment="1" applyProtection="1">
      <alignment vertical="center" wrapText="1"/>
      <protection locked="0"/>
    </xf>
    <xf numFmtId="0" fontId="52" fillId="0" borderId="0" xfId="506" applyFont="1" applyAlignment="1" applyProtection="1">
      <alignment vertical="center" wrapText="1"/>
      <protection locked="0"/>
    </xf>
    <xf numFmtId="0" fontId="101" fillId="0" borderId="0" xfId="116" applyFont="1"/>
    <xf numFmtId="0" fontId="51" fillId="34" borderId="0" xfId="116" applyFont="1" applyFill="1"/>
    <xf numFmtId="0" fontId="51" fillId="0" borderId="0" xfId="116" applyFont="1"/>
    <xf numFmtId="0" fontId="159" fillId="0" borderId="0" xfId="116" applyFont="1"/>
    <xf numFmtId="0" fontId="133" fillId="0" borderId="0" xfId="116" applyFont="1"/>
    <xf numFmtId="0" fontId="159" fillId="0" borderId="0" xfId="116" applyFont="1" applyAlignment="1">
      <alignment horizontal="left"/>
    </xf>
    <xf numFmtId="4" fontId="159" fillId="0" borderId="0" xfId="116" applyNumberFormat="1" applyFont="1" applyAlignment="1">
      <alignment horizontal="left"/>
    </xf>
    <xf numFmtId="0" fontId="159" fillId="0" borderId="31" xfId="116" applyFont="1" applyBorder="1" applyAlignment="1">
      <alignment vertical="center" wrapText="1"/>
    </xf>
    <xf numFmtId="0" fontId="159" fillId="0" borderId="31" xfId="116" applyFont="1" applyBorder="1" applyAlignment="1">
      <alignment horizontal="center" vertical="center" wrapText="1"/>
    </xf>
    <xf numFmtId="2" fontId="51" fillId="0" borderId="0" xfId="116" applyNumberFormat="1" applyFont="1"/>
    <xf numFmtId="0" fontId="159" fillId="0" borderId="102" xfId="116" applyFont="1" applyBorder="1" applyAlignment="1">
      <alignment vertical="justify" wrapText="1"/>
    </xf>
    <xf numFmtId="2" fontId="159" fillId="0" borderId="102" xfId="116" applyNumberFormat="1" applyFont="1" applyBorder="1"/>
    <xf numFmtId="2" fontId="159" fillId="34" borderId="102" xfId="116" applyNumberFormat="1" applyFont="1" applyFill="1" applyBorder="1"/>
    <xf numFmtId="4" fontId="133" fillId="0" borderId="0" xfId="116" applyNumberFormat="1" applyFont="1" applyAlignment="1">
      <alignment horizontal="right"/>
    </xf>
    <xf numFmtId="0" fontId="159" fillId="0" borderId="106" xfId="116" applyFont="1" applyBorder="1" applyAlignment="1">
      <alignment horizontal="left" vertical="justify" wrapText="1"/>
    </xf>
    <xf numFmtId="2" fontId="159" fillId="0" borderId="106" xfId="116" applyNumberFormat="1" applyFont="1" applyBorder="1" applyAlignment="1">
      <alignment horizontal="right"/>
    </xf>
    <xf numFmtId="0" fontId="155" fillId="0" borderId="106" xfId="116" applyFont="1" applyBorder="1" applyAlignment="1">
      <alignment horizontal="left" wrapText="1" indent="1"/>
    </xf>
    <xf numFmtId="2" fontId="155" fillId="0" borderId="106" xfId="116" applyNumberFormat="1" applyFont="1" applyBorder="1"/>
    <xf numFmtId="2" fontId="155" fillId="34" borderId="106" xfId="116" applyNumberFormat="1" applyFont="1" applyFill="1" applyBorder="1" applyAlignment="1">
      <alignment horizontal="right"/>
    </xf>
    <xf numFmtId="2" fontId="155" fillId="0" borderId="106" xfId="116" applyNumberFormat="1" applyFont="1" applyBorder="1" applyAlignment="1">
      <alignment horizontal="right"/>
    </xf>
    <xf numFmtId="0" fontId="159" fillId="0" borderId="106" xfId="116" applyFont="1" applyBorder="1" applyAlignment="1">
      <alignment horizontal="left" wrapText="1"/>
    </xf>
    <xf numFmtId="0" fontId="137" fillId="0" borderId="0" xfId="116" applyFont="1"/>
    <xf numFmtId="0" fontId="155" fillId="0" borderId="106" xfId="116" applyFont="1" applyBorder="1" applyAlignment="1">
      <alignment horizontal="left" vertical="justify" wrapText="1" indent="2"/>
    </xf>
    <xf numFmtId="2" fontId="159" fillId="0" borderId="106" xfId="116" applyNumberFormat="1" applyFont="1" applyBorder="1"/>
    <xf numFmtId="4" fontId="137" fillId="0" borderId="0" xfId="116" applyNumberFormat="1" applyFont="1"/>
    <xf numFmtId="0" fontId="155" fillId="0" borderId="106" xfId="116" applyFont="1" applyBorder="1" applyAlignment="1">
      <alignment horizontal="left" vertical="center" wrapText="1" indent="1"/>
    </xf>
    <xf numFmtId="0" fontId="155" fillId="0" borderId="106" xfId="116" applyFont="1" applyBorder="1" applyAlignment="1">
      <alignment horizontal="left" vertical="justify" indent="1"/>
    </xf>
    <xf numFmtId="2" fontId="155" fillId="0" borderId="111" xfId="116" applyNumberFormat="1" applyFont="1" applyBorder="1" applyAlignment="1">
      <alignment horizontal="right"/>
    </xf>
    <xf numFmtId="176" fontId="51" fillId="0" borderId="0" xfId="116" applyNumberFormat="1" applyFont="1"/>
    <xf numFmtId="0" fontId="155" fillId="0" borderId="0" xfId="116" applyFont="1"/>
    <xf numFmtId="0" fontId="43" fillId="0" borderId="0" xfId="506" applyFont="1"/>
    <xf numFmtId="4" fontId="43" fillId="0" borderId="0" xfId="506" applyNumberFormat="1" applyFont="1" applyAlignment="1">
      <alignment horizontal="center" vertical="center" wrapText="1"/>
    </xf>
    <xf numFmtId="2" fontId="137" fillId="0" borderId="0" xfId="116" applyNumberFormat="1" applyFont="1"/>
    <xf numFmtId="0" fontId="44" fillId="0" borderId="58" xfId="0" applyFont="1" applyBorder="1" applyAlignment="1">
      <alignment horizontal="right" vertical="center"/>
    </xf>
    <xf numFmtId="0" fontId="44" fillId="0" borderId="59" xfId="0" applyFont="1" applyBorder="1" applyAlignment="1">
      <alignment horizontal="right" vertical="center"/>
    </xf>
    <xf numFmtId="0" fontId="44" fillId="0" borderId="3" xfId="0" applyFont="1" applyBorder="1" applyAlignment="1">
      <alignment horizontal="right" vertical="center"/>
    </xf>
    <xf numFmtId="0" fontId="44" fillId="0" borderId="43" xfId="0" applyFont="1" applyBorder="1" applyAlignment="1">
      <alignment horizontal="right" vertical="center"/>
    </xf>
    <xf numFmtId="0" fontId="44" fillId="0" borderId="1" xfId="0" applyFont="1" applyBorder="1" applyAlignment="1">
      <alignment horizontal="right" vertical="center"/>
    </xf>
    <xf numFmtId="0" fontId="93" fillId="0" borderId="3" xfId="0" applyFont="1" applyBorder="1" applyAlignment="1">
      <alignment horizontal="right" vertical="center"/>
    </xf>
    <xf numFmtId="0" fontId="93" fillId="0" borderId="60" xfId="0" applyFont="1" applyBorder="1" applyAlignment="1">
      <alignment horizontal="center" vertical="center"/>
    </xf>
    <xf numFmtId="182" fontId="159" fillId="0" borderId="0" xfId="116" applyNumberFormat="1" applyFont="1" applyAlignment="1">
      <alignment horizontal="left"/>
    </xf>
    <xf numFmtId="186" fontId="159" fillId="0" borderId="0" xfId="116" applyNumberFormat="1" applyFont="1" applyAlignment="1">
      <alignment horizontal="left"/>
    </xf>
    <xf numFmtId="0" fontId="0" fillId="30" borderId="0" xfId="0" applyFill="1"/>
    <xf numFmtId="0" fontId="165" fillId="0" borderId="0" xfId="0" applyFont="1"/>
    <xf numFmtId="4" fontId="133" fillId="0" borderId="0" xfId="116" applyNumberFormat="1" applyFont="1" applyAlignment="1">
      <alignment horizontal="left"/>
    </xf>
    <xf numFmtId="2" fontId="51" fillId="0" borderId="0" xfId="116" applyNumberFormat="1" applyFont="1" applyAlignment="1">
      <alignment horizontal="left"/>
    </xf>
    <xf numFmtId="0" fontId="51" fillId="0" borderId="0" xfId="116" applyFont="1" applyAlignment="1">
      <alignment horizontal="left"/>
    </xf>
    <xf numFmtId="2" fontId="137" fillId="0" borderId="0" xfId="116" applyNumberFormat="1" applyFont="1" applyAlignment="1">
      <alignment horizontal="left"/>
    </xf>
    <xf numFmtId="4" fontId="133" fillId="0" borderId="0" xfId="116" applyNumberFormat="1" applyFont="1"/>
    <xf numFmtId="2" fontId="44" fillId="0" borderId="98" xfId="506" applyNumberFormat="1" applyFont="1" applyBorder="1" applyAlignment="1">
      <alignment horizontal="center" vertical="center"/>
    </xf>
    <xf numFmtId="2" fontId="44" fillId="0" borderId="62" xfId="506" applyNumberFormat="1" applyFont="1" applyBorder="1" applyAlignment="1">
      <alignment horizontal="center" vertical="center"/>
    </xf>
    <xf numFmtId="2" fontId="93" fillId="32" borderId="6" xfId="506" applyNumberFormat="1" applyFont="1" applyFill="1" applyBorder="1" applyAlignment="1">
      <alignment horizontal="center" vertical="center"/>
    </xf>
    <xf numFmtId="0" fontId="44" fillId="0" borderId="0" xfId="546" applyFont="1"/>
    <xf numFmtId="0" fontId="44" fillId="0" borderId="0" xfId="546" applyFont="1" applyAlignment="1">
      <alignment horizontal="center" vertical="center"/>
    </xf>
    <xf numFmtId="0" fontId="44" fillId="0" borderId="1" xfId="546" applyFont="1" applyBorder="1"/>
    <xf numFmtId="0" fontId="44" fillId="0" borderId="3" xfId="546" applyFont="1" applyBorder="1"/>
    <xf numFmtId="0" fontId="93" fillId="0" borderId="61" xfId="546" applyFont="1" applyBorder="1" applyAlignment="1">
      <alignment horizontal="center" vertical="center" wrapText="1"/>
    </xf>
    <xf numFmtId="0" fontId="93" fillId="0" borderId="30" xfId="546" applyFont="1" applyBorder="1" applyAlignment="1">
      <alignment horizontal="center" vertical="center" wrapText="1"/>
    </xf>
    <xf numFmtId="0" fontId="44" fillId="0" borderId="37" xfId="546" applyFont="1" applyBorder="1"/>
    <xf numFmtId="0" fontId="44" fillId="0" borderId="52" xfId="546" applyFont="1" applyBorder="1"/>
    <xf numFmtId="0" fontId="93" fillId="0" borderId="63" xfId="546" applyFont="1" applyBorder="1" applyAlignment="1">
      <alignment horizontal="center" vertical="center" wrapText="1"/>
    </xf>
    <xf numFmtId="0" fontId="44" fillId="0" borderId="69" xfId="546" applyFont="1" applyBorder="1"/>
    <xf numFmtId="0" fontId="44" fillId="0" borderId="7" xfId="546" applyFont="1" applyBorder="1"/>
    <xf numFmtId="0" fontId="44" fillId="0" borderId="7" xfId="546" applyFont="1" applyBorder="1" applyAlignment="1">
      <alignment horizontal="right"/>
    </xf>
    <xf numFmtId="0" fontId="93" fillId="0" borderId="6" xfId="546" applyFont="1" applyBorder="1" applyAlignment="1">
      <alignment horizontal="center" vertical="center" wrapText="1"/>
    </xf>
    <xf numFmtId="0" fontId="44" fillId="0" borderId="89" xfId="546" applyFont="1" applyBorder="1"/>
    <xf numFmtId="0" fontId="44" fillId="0" borderId="67" xfId="546" applyFont="1" applyBorder="1"/>
    <xf numFmtId="0" fontId="44" fillId="0" borderId="68" xfId="546" applyFont="1" applyBorder="1"/>
    <xf numFmtId="0" fontId="44" fillId="0" borderId="8" xfId="546" applyFont="1" applyBorder="1"/>
    <xf numFmtId="0" fontId="93" fillId="0" borderId="6" xfId="546" applyFont="1" applyBorder="1" applyAlignment="1">
      <alignment horizontal="center" vertical="center"/>
    </xf>
    <xf numFmtId="2" fontId="44" fillId="0" borderId="68" xfId="546" applyNumberFormat="1" applyFont="1" applyBorder="1" applyAlignment="1">
      <alignment horizontal="center"/>
    </xf>
    <xf numFmtId="0" fontId="24" fillId="0" borderId="0" xfId="546"/>
    <xf numFmtId="0" fontId="24" fillId="33" borderId="0" xfId="546" applyFill="1"/>
    <xf numFmtId="0" fontId="24" fillId="61" borderId="0" xfId="546" applyFill="1"/>
    <xf numFmtId="0" fontId="52" fillId="31" borderId="57" xfId="546" applyFont="1" applyFill="1" applyBorder="1"/>
    <xf numFmtId="0" fontId="52" fillId="31" borderId="58" xfId="546" applyFont="1" applyFill="1" applyBorder="1"/>
    <xf numFmtId="0" fontId="52" fillId="31" borderId="59" xfId="546" applyFont="1" applyFill="1" applyBorder="1"/>
    <xf numFmtId="0" fontId="44" fillId="0" borderId="1" xfId="546" applyFont="1" applyBorder="1" applyAlignment="1">
      <alignment horizontal="left" vertical="top"/>
    </xf>
    <xf numFmtId="4" fontId="44" fillId="0" borderId="1" xfId="546" applyNumberFormat="1" applyFont="1" applyBorder="1" applyAlignment="1">
      <alignment horizontal="right" vertical="top"/>
    </xf>
    <xf numFmtId="0" fontId="44" fillId="0" borderId="1" xfId="546" applyFont="1" applyBorder="1" applyAlignment="1">
      <alignment horizontal="left" vertical="top" wrapText="1"/>
    </xf>
    <xf numFmtId="2" fontId="155" fillId="0" borderId="106" xfId="116" applyNumberFormat="1" applyFont="1" applyBorder="1" applyAlignment="1">
      <alignment horizontal="right" wrapText="1"/>
    </xf>
    <xf numFmtId="2" fontId="155" fillId="0" borderId="106" xfId="116" applyNumberFormat="1" applyFont="1" applyBorder="1" applyAlignment="1">
      <alignment wrapText="1"/>
    </xf>
    <xf numFmtId="0" fontId="155" fillId="0" borderId="106" xfId="116" applyFont="1" applyBorder="1" applyAlignment="1">
      <alignment horizontal="left" wrapText="1" indent="2"/>
    </xf>
    <xf numFmtId="0" fontId="155" fillId="0" borderId="106" xfId="116" applyFont="1" applyBorder="1" applyAlignment="1">
      <alignment horizontal="left" vertical="justify" wrapText="1" indent="1"/>
    </xf>
    <xf numFmtId="0" fontId="155" fillId="0" borderId="111" xfId="116" applyFont="1" applyBorder="1" applyAlignment="1">
      <alignment horizontal="left" wrapText="1" indent="1"/>
    </xf>
    <xf numFmtId="2" fontId="155" fillId="0" borderId="111" xfId="116" applyNumberFormat="1" applyFont="1" applyBorder="1"/>
    <xf numFmtId="0" fontId="51" fillId="0" borderId="104" xfId="448" applyFont="1" applyBorder="1" applyAlignment="1">
      <alignment horizontal="center"/>
    </xf>
    <xf numFmtId="0" fontId="51" fillId="0" borderId="109" xfId="448" applyFont="1" applyBorder="1" applyAlignment="1">
      <alignment horizontal="center"/>
    </xf>
    <xf numFmtId="0" fontId="51" fillId="0" borderId="4" xfId="448" applyFont="1" applyBorder="1" applyAlignment="1">
      <alignment horizontal="center"/>
    </xf>
    <xf numFmtId="0" fontId="51" fillId="0" borderId="61" xfId="448" applyFont="1" applyBorder="1" applyAlignment="1">
      <alignment horizontal="center"/>
    </xf>
    <xf numFmtId="0" fontId="137" fillId="0" borderId="100" xfId="448" applyFont="1" applyBorder="1" applyAlignment="1">
      <alignment horizontal="center"/>
    </xf>
    <xf numFmtId="0" fontId="0" fillId="0" borderId="0" xfId="0" applyAlignment="1">
      <alignment horizontal="center"/>
    </xf>
    <xf numFmtId="0" fontId="137" fillId="0" borderId="104" xfId="448" applyFont="1" applyBorder="1" applyAlignment="1">
      <alignment horizontal="center"/>
    </xf>
    <xf numFmtId="4" fontId="133" fillId="0" borderId="28" xfId="116" applyNumberFormat="1" applyFont="1" applyBorder="1" applyAlignment="1">
      <alignment horizontal="left"/>
    </xf>
    <xf numFmtId="0" fontId="44" fillId="0" borderId="0" xfId="547" applyFont="1"/>
    <xf numFmtId="0" fontId="44" fillId="0" borderId="1" xfId="547" applyFont="1" applyBorder="1"/>
    <xf numFmtId="0" fontId="42" fillId="0" borderId="1" xfId="547" applyFont="1" applyBorder="1" applyAlignment="1">
      <alignment horizontal="center" vertical="center" wrapText="1"/>
    </xf>
    <xf numFmtId="0" fontId="42" fillId="0" borderId="1" xfId="547" applyFont="1" applyBorder="1" applyAlignment="1">
      <alignment vertical="top" wrapText="1"/>
    </xf>
    <xf numFmtId="0" fontId="149" fillId="0" borderId="1" xfId="547" applyFont="1" applyBorder="1" applyAlignment="1">
      <alignment horizontal="center" vertical="center" wrapText="1"/>
    </xf>
    <xf numFmtId="0" fontId="149" fillId="0" borderId="8" xfId="547" applyFont="1" applyBorder="1" applyAlignment="1">
      <alignment horizontal="center" vertical="center" wrapText="1"/>
    </xf>
    <xf numFmtId="0" fontId="42" fillId="0" borderId="1" xfId="547" applyFont="1" applyBorder="1"/>
    <xf numFmtId="0" fontId="51" fillId="0" borderId="1" xfId="547" applyFont="1" applyBorder="1" applyAlignment="1">
      <alignment vertical="top" wrapText="1"/>
    </xf>
    <xf numFmtId="1" fontId="149" fillId="0" borderId="1" xfId="547" applyNumberFormat="1" applyFont="1" applyBorder="1" applyAlignment="1">
      <alignment horizontal="center" vertical="center" wrapText="1"/>
    </xf>
    <xf numFmtId="0" fontId="149" fillId="64" borderId="8" xfId="547" applyFont="1" applyFill="1" applyBorder="1" applyAlignment="1">
      <alignment horizontal="center" vertical="center" wrapText="1"/>
    </xf>
    <xf numFmtId="0" fontId="42" fillId="0" borderId="3" xfId="547" applyFont="1" applyBorder="1" applyAlignment="1">
      <alignment horizontal="center" vertical="center" wrapText="1"/>
    </xf>
    <xf numFmtId="0" fontId="42" fillId="0" borderId="3" xfId="547" applyFont="1" applyBorder="1" applyAlignment="1">
      <alignment vertical="top" wrapText="1"/>
    </xf>
    <xf numFmtId="0" fontId="149" fillId="0" borderId="3" xfId="547" applyFont="1" applyBorder="1" applyAlignment="1">
      <alignment horizontal="center" vertical="center" wrapText="1"/>
    </xf>
    <xf numFmtId="0" fontId="149" fillId="0" borderId="10" xfId="547" applyFont="1" applyBorder="1" applyAlignment="1">
      <alignment horizontal="center" vertical="center" wrapText="1"/>
    </xf>
    <xf numFmtId="0" fontId="42" fillId="0" borderId="0" xfId="547" applyFont="1"/>
    <xf numFmtId="0" fontId="44" fillId="0" borderId="0" xfId="547" applyFont="1" applyAlignment="1">
      <alignment horizontal="left" vertical="center"/>
    </xf>
    <xf numFmtId="187" fontId="155" fillId="0" borderId="0" xfId="116" applyNumberFormat="1" applyFont="1" applyAlignment="1">
      <alignment horizontal="right"/>
    </xf>
    <xf numFmtId="0" fontId="155" fillId="0" borderId="0" xfId="116" applyFont="1" applyAlignment="1">
      <alignment horizontal="center"/>
    </xf>
    <xf numFmtId="177" fontId="155" fillId="0" borderId="106" xfId="116" applyNumberFormat="1" applyFont="1" applyBorder="1"/>
    <xf numFmtId="2" fontId="155" fillId="0" borderId="114" xfId="116" applyNumberFormat="1" applyFont="1" applyBorder="1"/>
    <xf numFmtId="2" fontId="155" fillId="0" borderId="114" xfId="116" applyNumberFormat="1" applyFont="1" applyBorder="1" applyAlignment="1">
      <alignment horizontal="right" wrapText="1"/>
    </xf>
    <xf numFmtId="2" fontId="155" fillId="34" borderId="111" xfId="116" applyNumberFormat="1" applyFont="1" applyFill="1" applyBorder="1" applyAlignment="1">
      <alignment horizontal="right"/>
    </xf>
    <xf numFmtId="2" fontId="159" fillId="0" borderId="0" xfId="116" applyNumberFormat="1" applyFont="1"/>
    <xf numFmtId="2" fontId="159" fillId="0" borderId="0" xfId="116" applyNumberFormat="1" applyFont="1" applyAlignment="1">
      <alignment horizontal="right"/>
    </xf>
    <xf numFmtId="2" fontId="155" fillId="0" borderId="0" xfId="116" applyNumberFormat="1" applyFont="1" applyAlignment="1">
      <alignment horizontal="right"/>
    </xf>
    <xf numFmtId="2" fontId="43" fillId="0" borderId="1" xfId="5" applyNumberFormat="1" applyFont="1" applyBorder="1"/>
    <xf numFmtId="0" fontId="159" fillId="0" borderId="0" xfId="116" applyFont="1" applyAlignment="1">
      <alignment horizontal="center" vertical="center" wrapText="1"/>
    </xf>
    <xf numFmtId="0" fontId="161" fillId="0" borderId="0" xfId="116" applyFont="1" applyAlignment="1">
      <alignment horizontal="center" vertical="center" wrapText="1"/>
    </xf>
    <xf numFmtId="0" fontId="136" fillId="0" borderId="0" xfId="116" applyFont="1" applyAlignment="1">
      <alignment horizontal="left"/>
    </xf>
    <xf numFmtId="187" fontId="101" fillId="0" borderId="0" xfId="116" applyNumberFormat="1" applyFont="1" applyAlignment="1">
      <alignment horizontal="right"/>
    </xf>
    <xf numFmtId="0" fontId="136" fillId="0" borderId="0" xfId="116" applyFont="1" applyAlignment="1">
      <alignment horizontal="center" vertical="center" wrapText="1"/>
    </xf>
    <xf numFmtId="2" fontId="136" fillId="0" borderId="0" xfId="116" applyNumberFormat="1" applyFont="1"/>
    <xf numFmtId="2" fontId="136" fillId="0" borderId="0" xfId="116" applyNumberFormat="1" applyFont="1" applyAlignment="1">
      <alignment horizontal="right"/>
    </xf>
    <xf numFmtId="2" fontId="101" fillId="0" borderId="0" xfId="116" applyNumberFormat="1" applyFont="1" applyAlignment="1">
      <alignment horizontal="right"/>
    </xf>
    <xf numFmtId="176" fontId="101" fillId="0" borderId="0" xfId="116" applyNumberFormat="1" applyFont="1"/>
    <xf numFmtId="2" fontId="51" fillId="66" borderId="0" xfId="116" applyNumberFormat="1" applyFont="1" applyFill="1"/>
    <xf numFmtId="2" fontId="51" fillId="31" borderId="0" xfId="116" applyNumberFormat="1" applyFont="1" applyFill="1"/>
    <xf numFmtId="4" fontId="133" fillId="31" borderId="0" xfId="116" applyNumberFormat="1" applyFont="1" applyFill="1" applyAlignment="1">
      <alignment horizontal="left"/>
    </xf>
    <xf numFmtId="0" fontId="159" fillId="32" borderId="6" xfId="116" applyFont="1" applyFill="1" applyBorder="1" applyAlignment="1">
      <alignment horizontal="center" vertical="center" wrapText="1"/>
    </xf>
    <xf numFmtId="0" fontId="159" fillId="32" borderId="33" xfId="116" applyFont="1" applyFill="1" applyBorder="1" applyAlignment="1">
      <alignment horizontal="center" vertical="center" wrapText="1"/>
    </xf>
    <xf numFmtId="0" fontId="160" fillId="32" borderId="33" xfId="116" applyFont="1" applyFill="1" applyBorder="1" applyAlignment="1">
      <alignment horizontal="center" vertical="center" wrapText="1"/>
    </xf>
    <xf numFmtId="0" fontId="161" fillId="32" borderId="6" xfId="116" applyFont="1" applyFill="1" applyBorder="1" applyAlignment="1">
      <alignment horizontal="center" vertical="center" wrapText="1"/>
    </xf>
    <xf numFmtId="0" fontId="159" fillId="32" borderId="31" xfId="116" applyFont="1" applyFill="1" applyBorder="1" applyAlignment="1">
      <alignment vertical="center" wrapText="1"/>
    </xf>
    <xf numFmtId="4" fontId="133" fillId="31" borderId="0" xfId="116" applyNumberFormat="1" applyFont="1" applyFill="1"/>
    <xf numFmtId="4" fontId="133" fillId="0" borderId="28" xfId="116" applyNumberFormat="1" applyFont="1" applyBorder="1"/>
    <xf numFmtId="0" fontId="44" fillId="0" borderId="1" xfId="506" applyFont="1" applyBorder="1" applyAlignment="1">
      <alignment horizontal="center" vertical="center"/>
    </xf>
    <xf numFmtId="0" fontId="44" fillId="0" borderId="0" xfId="546" applyFont="1" applyAlignment="1">
      <alignment horizontal="center" vertical="center" wrapText="1"/>
    </xf>
    <xf numFmtId="0" fontId="44" fillId="0" borderId="0" xfId="547" applyFont="1" applyAlignment="1">
      <alignment horizontal="center" wrapText="1"/>
    </xf>
    <xf numFmtId="0" fontId="160" fillId="32" borderId="6" xfId="116" applyFont="1" applyFill="1" applyBorder="1" applyAlignment="1">
      <alignment horizontal="center" vertical="center" wrapText="1"/>
    </xf>
    <xf numFmtId="0" fontId="146" fillId="66" borderId="1" xfId="506" applyFont="1" applyFill="1" applyBorder="1" applyAlignment="1">
      <alignment horizontal="center" vertical="center" wrapText="1"/>
    </xf>
    <xf numFmtId="0" fontId="147" fillId="66" borderId="1" xfId="506" applyFont="1" applyFill="1" applyBorder="1" applyAlignment="1">
      <alignment horizontal="center" vertical="center" wrapText="1"/>
    </xf>
    <xf numFmtId="2" fontId="146" fillId="66" borderId="1" xfId="506" applyNumberFormat="1" applyFont="1" applyFill="1" applyBorder="1" applyAlignment="1" applyProtection="1">
      <alignment horizontal="center" vertical="center" wrapText="1"/>
      <protection locked="0"/>
    </xf>
    <xf numFmtId="4" fontId="151" fillId="0" borderId="1" xfId="506" applyNumberFormat="1" applyFont="1" applyBorder="1" applyAlignment="1">
      <alignment horizontal="center" vertical="center" wrapText="1"/>
    </xf>
    <xf numFmtId="4" fontId="158" fillId="0" borderId="1" xfId="506" applyNumberFormat="1" applyFont="1" applyBorder="1" applyAlignment="1">
      <alignment horizontal="center" vertical="center" wrapText="1"/>
    </xf>
    <xf numFmtId="4" fontId="158" fillId="32" borderId="1" xfId="506" applyNumberFormat="1" applyFont="1" applyFill="1" applyBorder="1" applyAlignment="1">
      <alignment horizontal="center" vertical="center" wrapText="1"/>
    </xf>
    <xf numFmtId="4" fontId="151" fillId="0" borderId="1" xfId="506" applyNumberFormat="1" applyFont="1" applyBorder="1" applyAlignment="1" applyProtection="1">
      <alignment horizontal="center" vertical="center" wrapText="1"/>
      <protection locked="0"/>
    </xf>
    <xf numFmtId="4" fontId="158" fillId="31" borderId="1" xfId="506" applyNumberFormat="1" applyFont="1" applyFill="1" applyBorder="1" applyAlignment="1">
      <alignment horizontal="center" vertical="center" wrapText="1"/>
    </xf>
    <xf numFmtId="4" fontId="158" fillId="31" borderId="1" xfId="506" applyNumberFormat="1" applyFont="1" applyFill="1" applyBorder="1" applyAlignment="1" applyProtection="1">
      <alignment horizontal="center" vertical="center" wrapText="1"/>
      <protection locked="0"/>
    </xf>
    <xf numFmtId="0" fontId="93" fillId="0" borderId="0" xfId="506" applyFont="1" applyAlignment="1">
      <alignment vertical="center"/>
    </xf>
    <xf numFmtId="0" fontId="44" fillId="0" borderId="40" xfId="506" applyFont="1" applyBorder="1" applyAlignment="1">
      <alignment horizontal="center" vertical="center"/>
    </xf>
    <xf numFmtId="0" fontId="44" fillId="0" borderId="40" xfId="506" applyFont="1" applyBorder="1" applyAlignment="1">
      <alignment horizontal="right" vertical="center"/>
    </xf>
    <xf numFmtId="0" fontId="44" fillId="0" borderId="42" xfId="506" applyFont="1" applyBorder="1" applyAlignment="1">
      <alignment horizontal="center" vertical="center"/>
    </xf>
    <xf numFmtId="0" fontId="44" fillId="0" borderId="28" xfId="506" applyFont="1" applyBorder="1" applyAlignment="1">
      <alignment horizontal="center" vertical="center"/>
    </xf>
    <xf numFmtId="0" fontId="44" fillId="0" borderId="43" xfId="506" applyFont="1" applyBorder="1" applyAlignment="1">
      <alignment horizontal="right" vertical="center"/>
    </xf>
    <xf numFmtId="0" fontId="44" fillId="0" borderId="45" xfId="506" applyFont="1" applyBorder="1" applyAlignment="1">
      <alignment horizontal="center" vertical="center"/>
    </xf>
    <xf numFmtId="0" fontId="44" fillId="0" borderId="55" xfId="506" applyFont="1" applyBorder="1" applyAlignment="1">
      <alignment horizontal="center" vertical="center"/>
    </xf>
    <xf numFmtId="0" fontId="44" fillId="0" borderId="46" xfId="506" applyFont="1" applyBorder="1" applyAlignment="1">
      <alignment horizontal="center" vertical="center"/>
    </xf>
    <xf numFmtId="0" fontId="44" fillId="0" borderId="54" xfId="506" applyFont="1" applyBorder="1" applyAlignment="1">
      <alignment horizontal="center" vertical="center"/>
    </xf>
    <xf numFmtId="0" fontId="44" fillId="0" borderId="38" xfId="506" applyFont="1" applyBorder="1" applyAlignment="1">
      <alignment horizontal="right" vertical="top" wrapText="1"/>
    </xf>
    <xf numFmtId="0" fontId="44" fillId="0" borderId="40" xfId="506" applyFont="1" applyBorder="1" applyAlignment="1">
      <alignment vertical="top" wrapText="1"/>
    </xf>
    <xf numFmtId="0" fontId="44" fillId="0" borderId="43" xfId="506" applyFont="1" applyBorder="1" applyAlignment="1">
      <alignment horizontal="right" vertical="top" wrapText="1"/>
    </xf>
    <xf numFmtId="0" fontId="44" fillId="0" borderId="40" xfId="506" applyFont="1" applyBorder="1" applyAlignment="1">
      <alignment horizontal="left" vertical="top" wrapText="1"/>
    </xf>
    <xf numFmtId="0" fontId="44" fillId="0" borderId="43" xfId="506" applyFont="1" applyBorder="1" applyAlignment="1">
      <alignment vertical="top" wrapText="1"/>
    </xf>
    <xf numFmtId="0" fontId="93" fillId="0" borderId="46" xfId="506" applyFont="1" applyBorder="1" applyAlignment="1">
      <alignment vertical="top" wrapText="1"/>
    </xf>
    <xf numFmtId="0" fontId="101" fillId="0" borderId="51" xfId="506" applyFont="1" applyBorder="1" applyAlignment="1">
      <alignment horizontal="center" vertical="center"/>
    </xf>
    <xf numFmtId="0" fontId="44" fillId="0" borderId="70" xfId="506" applyFont="1" applyBorder="1" applyAlignment="1">
      <alignment horizontal="right" vertical="top" wrapText="1"/>
    </xf>
    <xf numFmtId="0" fontId="93" fillId="0" borderId="60" xfId="506" applyFont="1" applyBorder="1" applyAlignment="1">
      <alignment horizontal="center" vertical="center"/>
    </xf>
    <xf numFmtId="0" fontId="93" fillId="0" borderId="62" xfId="506" applyFont="1" applyBorder="1" applyAlignment="1">
      <alignment vertical="top" wrapText="1"/>
    </xf>
    <xf numFmtId="0" fontId="44" fillId="0" borderId="65" xfId="0" applyFont="1" applyBorder="1" applyAlignment="1">
      <alignment horizontal="right" vertical="center"/>
    </xf>
    <xf numFmtId="0" fontId="44" fillId="0" borderId="69" xfId="0" applyFont="1" applyBorder="1" applyAlignment="1">
      <alignment horizontal="right" vertical="center"/>
    </xf>
    <xf numFmtId="0" fontId="44" fillId="0" borderId="7" xfId="0" applyFont="1" applyBorder="1" applyAlignment="1">
      <alignment horizontal="right" vertical="center"/>
    </xf>
    <xf numFmtId="0" fontId="133" fillId="0" borderId="46" xfId="124" applyFont="1" applyBorder="1" applyAlignment="1">
      <alignment vertical="center" wrapText="1"/>
    </xf>
    <xf numFmtId="0" fontId="133" fillId="0" borderId="59" xfId="124" applyFont="1" applyBorder="1" applyAlignment="1">
      <alignment vertical="center" wrapText="1"/>
    </xf>
    <xf numFmtId="0" fontId="133" fillId="0" borderId="47" xfId="124" applyFont="1" applyBorder="1" applyAlignment="1">
      <alignment vertical="center" wrapText="1"/>
    </xf>
    <xf numFmtId="0" fontId="145" fillId="0" borderId="59" xfId="124" applyFont="1" applyBorder="1" applyAlignment="1">
      <alignment vertical="center" wrapText="1"/>
    </xf>
    <xf numFmtId="0" fontId="145" fillId="0" borderId="40" xfId="124" applyFont="1" applyBorder="1" applyAlignment="1">
      <alignment vertical="center" wrapText="1"/>
    </xf>
    <xf numFmtId="0" fontId="93" fillId="0" borderId="62" xfId="0" applyFont="1" applyBorder="1" applyAlignment="1">
      <alignment vertical="top" wrapText="1"/>
    </xf>
    <xf numFmtId="0" fontId="93" fillId="0" borderId="0" xfId="506" applyFont="1" applyAlignment="1">
      <alignment vertical="center" wrapText="1"/>
    </xf>
    <xf numFmtId="0" fontId="44" fillId="0" borderId="40" xfId="506" applyFont="1" applyBorder="1"/>
    <xf numFmtId="0" fontId="44" fillId="0" borderId="7" xfId="506" applyFont="1" applyBorder="1" applyAlignment="1">
      <alignment horizontal="center" vertical="center"/>
    </xf>
    <xf numFmtId="0" fontId="44" fillId="0" borderId="47" xfId="506" applyFont="1" applyBorder="1" applyAlignment="1">
      <alignment vertical="top" wrapText="1"/>
    </xf>
    <xf numFmtId="0" fontId="44" fillId="0" borderId="24" xfId="506" applyFont="1" applyBorder="1" applyAlignment="1">
      <alignment horizontal="left" vertical="top" wrapText="1"/>
    </xf>
    <xf numFmtId="0" fontId="44" fillId="0" borderId="70" xfId="506" applyFont="1" applyBorder="1" applyAlignment="1">
      <alignment horizontal="left" vertical="top" wrapText="1"/>
    </xf>
    <xf numFmtId="0" fontId="44" fillId="0" borderId="70" xfId="506" applyFont="1" applyBorder="1" applyAlignment="1">
      <alignment vertical="top" wrapText="1"/>
    </xf>
    <xf numFmtId="0" fontId="44" fillId="0" borderId="3" xfId="506" applyFont="1" applyBorder="1"/>
    <xf numFmtId="0" fontId="44" fillId="0" borderId="43" xfId="506" applyFont="1" applyBorder="1"/>
    <xf numFmtId="0" fontId="44" fillId="0" borderId="125" xfId="506" applyFont="1" applyBorder="1" applyAlignment="1">
      <alignment horizontal="right" vertical="top" wrapText="1"/>
    </xf>
    <xf numFmtId="0" fontId="44" fillId="0" borderId="124" xfId="506" applyFont="1" applyBorder="1" applyAlignment="1">
      <alignment horizontal="left" vertical="top" wrapText="1"/>
    </xf>
    <xf numFmtId="0" fontId="44" fillId="0" borderId="65" xfId="506" applyFont="1" applyBorder="1" applyAlignment="1">
      <alignment horizontal="right" vertical="center"/>
    </xf>
    <xf numFmtId="0" fontId="44" fillId="0" borderId="58" xfId="506" applyFont="1" applyBorder="1" applyAlignment="1">
      <alignment horizontal="right" vertical="center"/>
    </xf>
    <xf numFmtId="0" fontId="44" fillId="0" borderId="58" xfId="506" applyFont="1" applyBorder="1"/>
    <xf numFmtId="0" fontId="44" fillId="0" borderId="59" xfId="506" applyFont="1" applyBorder="1"/>
    <xf numFmtId="0" fontId="137" fillId="0" borderId="0" xfId="506" applyFont="1"/>
    <xf numFmtId="4" fontId="43" fillId="0" borderId="0" xfId="506" applyNumberFormat="1" applyFont="1"/>
    <xf numFmtId="0" fontId="162" fillId="0" borderId="1" xfId="134" applyFont="1" applyBorder="1" applyAlignment="1">
      <alignment horizontal="center" wrapText="1"/>
    </xf>
    <xf numFmtId="4" fontId="162" fillId="34" borderId="1" xfId="134" applyNumberFormat="1" applyFont="1" applyFill="1" applyBorder="1" applyAlignment="1">
      <alignment horizontal="right" vertical="center"/>
    </xf>
    <xf numFmtId="4" fontId="162" fillId="34" borderId="1" xfId="134" applyNumberFormat="1" applyFont="1" applyFill="1" applyBorder="1" applyAlignment="1">
      <alignment horizontal="center" vertical="center"/>
    </xf>
    <xf numFmtId="0" fontId="162" fillId="0" borderId="1" xfId="134" applyFont="1" applyBorder="1" applyAlignment="1">
      <alignment horizontal="left" wrapText="1"/>
    </xf>
    <xf numFmtId="0" fontId="162" fillId="64" borderId="1" xfId="134" applyFont="1" applyFill="1" applyBorder="1" applyAlignment="1">
      <alignment wrapText="1"/>
    </xf>
    <xf numFmtId="0" fontId="162" fillId="64" borderId="58" xfId="134" applyFont="1" applyFill="1" applyBorder="1" applyAlignment="1">
      <alignment wrapText="1"/>
    </xf>
    <xf numFmtId="0" fontId="170" fillId="64" borderId="64" xfId="134" applyFont="1" applyFill="1" applyBorder="1" applyAlignment="1">
      <alignment horizontal="center" vertical="center" wrapText="1"/>
    </xf>
    <xf numFmtId="0" fontId="170" fillId="64" borderId="8" xfId="134" applyFont="1" applyFill="1" applyBorder="1" applyAlignment="1">
      <alignment horizontal="center" vertical="center" wrapText="1"/>
    </xf>
    <xf numFmtId="0" fontId="162" fillId="64" borderId="45" xfId="134" applyFont="1" applyFill="1" applyBorder="1" applyAlignment="1">
      <alignment wrapText="1"/>
    </xf>
    <xf numFmtId="0" fontId="170" fillId="64" borderId="55" xfId="134" applyFont="1" applyFill="1" applyBorder="1" applyAlignment="1">
      <alignment horizontal="center" vertical="center" wrapText="1"/>
    </xf>
    <xf numFmtId="4" fontId="162" fillId="34" borderId="40" xfId="134" applyNumberFormat="1" applyFont="1" applyFill="1" applyBorder="1" applyAlignment="1">
      <alignment horizontal="right" vertical="center"/>
    </xf>
    <xf numFmtId="0" fontId="93" fillId="0" borderId="98" xfId="546" applyFont="1" applyBorder="1" applyAlignment="1">
      <alignment horizontal="center" vertical="center" wrapText="1"/>
    </xf>
    <xf numFmtId="0" fontId="44" fillId="0" borderId="10" xfId="546" applyFont="1" applyBorder="1" applyAlignment="1">
      <alignment horizontal="right"/>
    </xf>
    <xf numFmtId="0" fontId="44" fillId="0" borderId="8" xfId="546" applyFont="1" applyBorder="1" applyAlignment="1">
      <alignment horizontal="right"/>
    </xf>
    <xf numFmtId="0" fontId="93" fillId="0" borderId="31" xfId="546" applyFont="1" applyBorder="1" applyAlignment="1">
      <alignment horizontal="center" vertical="center"/>
    </xf>
    <xf numFmtId="0" fontId="110" fillId="0" borderId="73" xfId="546" applyFont="1" applyBorder="1"/>
    <xf numFmtId="0" fontId="44" fillId="0" borderId="73" xfId="546" applyFont="1" applyBorder="1"/>
    <xf numFmtId="0" fontId="110" fillId="0" borderId="67" xfId="546" applyFont="1" applyBorder="1"/>
    <xf numFmtId="0" fontId="44" fillId="0" borderId="71" xfId="546" applyFont="1" applyBorder="1"/>
    <xf numFmtId="0" fontId="110" fillId="0" borderId="126" xfId="546" applyFont="1" applyBorder="1"/>
    <xf numFmtId="0" fontId="93" fillId="0" borderId="6" xfId="546" applyFont="1" applyBorder="1"/>
    <xf numFmtId="0" fontId="44" fillId="0" borderId="53" xfId="546" applyFont="1" applyBorder="1"/>
    <xf numFmtId="0" fontId="44" fillId="0" borderId="54" xfId="546" applyFont="1" applyBorder="1"/>
    <xf numFmtId="0" fontId="44" fillId="0" borderId="45" xfId="546" applyFont="1" applyBorder="1"/>
    <xf numFmtId="0" fontId="44" fillId="0" borderId="55" xfId="546" applyFont="1" applyBorder="1"/>
    <xf numFmtId="2" fontId="93" fillId="0" borderId="31" xfId="546" applyNumberFormat="1" applyFont="1" applyBorder="1"/>
    <xf numFmtId="2" fontId="44" fillId="0" borderId="38" xfId="546" applyNumberFormat="1" applyFont="1" applyBorder="1"/>
    <xf numFmtId="2" fontId="44" fillId="0" borderId="73" xfId="546" applyNumberFormat="1" applyFont="1" applyBorder="1"/>
    <xf numFmtId="2" fontId="44" fillId="0" borderId="3" xfId="546" applyNumberFormat="1" applyFont="1" applyBorder="1"/>
    <xf numFmtId="2" fontId="44" fillId="0" borderId="1" xfId="546" applyNumberFormat="1" applyFont="1" applyBorder="1"/>
    <xf numFmtId="0" fontId="24" fillId="0" borderId="39" xfId="546" applyBorder="1"/>
    <xf numFmtId="0" fontId="24" fillId="0" borderId="1" xfId="546" applyBorder="1"/>
    <xf numFmtId="0" fontId="24" fillId="0" borderId="1" xfId="546" applyBorder="1" applyAlignment="1">
      <alignment horizontal="right"/>
    </xf>
    <xf numFmtId="49" fontId="24" fillId="0" borderId="1" xfId="546" applyNumberFormat="1" applyBorder="1" applyAlignment="1">
      <alignment horizontal="right"/>
    </xf>
    <xf numFmtId="0" fontId="24" fillId="0" borderId="40" xfId="546" applyBorder="1"/>
    <xf numFmtId="0" fontId="24" fillId="31" borderId="39" xfId="546" applyFill="1" applyBorder="1"/>
    <xf numFmtId="0" fontId="24" fillId="31" borderId="1" xfId="546" applyFill="1" applyBorder="1"/>
    <xf numFmtId="0" fontId="24" fillId="31" borderId="1" xfId="546" applyFill="1" applyBorder="1" applyAlignment="1">
      <alignment horizontal="right"/>
    </xf>
    <xf numFmtId="0" fontId="119" fillId="31" borderId="1" xfId="546" applyFont="1" applyFill="1" applyBorder="1" applyAlignment="1">
      <alignment horizontal="right"/>
    </xf>
    <xf numFmtId="49" fontId="24" fillId="31" borderId="1" xfId="546" applyNumberFormat="1" applyFill="1" applyBorder="1" applyAlignment="1">
      <alignment horizontal="right"/>
    </xf>
    <xf numFmtId="0" fontId="24" fillId="31" borderId="40" xfId="546" applyFill="1" applyBorder="1"/>
    <xf numFmtId="0" fontId="24" fillId="2" borderId="1" xfId="546" applyFill="1" applyBorder="1"/>
    <xf numFmtId="49" fontId="119" fillId="31" borderId="1" xfId="546" applyNumberFormat="1" applyFont="1" applyFill="1" applyBorder="1" applyAlignment="1">
      <alignment horizontal="right"/>
    </xf>
    <xf numFmtId="0" fontId="24" fillId="0" borderId="44" xfId="546" applyBorder="1"/>
    <xf numFmtId="0" fontId="24" fillId="0" borderId="45" xfId="546" applyBorder="1"/>
    <xf numFmtId="0" fontId="36" fillId="0" borderId="45" xfId="546" applyFont="1" applyBorder="1"/>
    <xf numFmtId="0" fontId="24" fillId="0" borderId="46" xfId="546" applyBorder="1"/>
    <xf numFmtId="0" fontId="36" fillId="0" borderId="0" xfId="546" applyFont="1"/>
    <xf numFmtId="0" fontId="52" fillId="0" borderId="30" xfId="546" applyFont="1" applyBorder="1" applyAlignment="1">
      <alignment horizontal="center"/>
    </xf>
    <xf numFmtId="0" fontId="52" fillId="0" borderId="6" xfId="546" applyFont="1" applyBorder="1" applyAlignment="1">
      <alignment horizontal="center"/>
    </xf>
    <xf numFmtId="0" fontId="52" fillId="0" borderId="6" xfId="546" applyFont="1" applyBorder="1" applyAlignment="1">
      <alignment horizontal="center" wrapText="1"/>
    </xf>
    <xf numFmtId="0" fontId="43" fillId="0" borderId="0" xfId="546" applyFont="1"/>
    <xf numFmtId="0" fontId="43" fillId="0" borderId="99" xfId="546" applyFont="1" applyBorder="1"/>
    <xf numFmtId="0" fontId="43" fillId="0" borderId="102" xfId="546" applyFont="1" applyBorder="1"/>
    <xf numFmtId="0" fontId="52" fillId="0" borderId="102" xfId="546" applyFont="1" applyBorder="1"/>
    <xf numFmtId="0" fontId="43" fillId="0" borderId="103" xfId="546" applyFont="1" applyBorder="1"/>
    <xf numFmtId="2" fontId="43" fillId="0" borderId="106" xfId="546" applyNumberFormat="1" applyFont="1" applyBorder="1" applyAlignment="1">
      <alignment horizontal="center"/>
    </xf>
    <xf numFmtId="0" fontId="43" fillId="0" borderId="108" xfId="546" applyFont="1" applyBorder="1"/>
    <xf numFmtId="0" fontId="43" fillId="0" borderId="106" xfId="546" applyFont="1" applyBorder="1" applyAlignment="1">
      <alignment horizontal="center"/>
    </xf>
    <xf numFmtId="0" fontId="43" fillId="0" borderId="111" xfId="546" applyFont="1" applyBorder="1" applyAlignment="1">
      <alignment horizontal="center"/>
    </xf>
    <xf numFmtId="0" fontId="52" fillId="31" borderId="29" xfId="546" applyFont="1" applyFill="1" applyBorder="1"/>
    <xf numFmtId="0" fontId="52" fillId="31" borderId="23" xfId="546" applyFont="1" applyFill="1" applyBorder="1" applyAlignment="1">
      <alignment horizontal="center"/>
    </xf>
    <xf numFmtId="0" fontId="23" fillId="33" borderId="0" xfId="546" applyFont="1" applyFill="1"/>
    <xf numFmtId="0" fontId="101" fillId="0" borderId="99" xfId="116" applyFont="1" applyBorder="1"/>
    <xf numFmtId="0" fontId="101" fillId="0" borderId="103" xfId="116" applyFont="1" applyBorder="1"/>
    <xf numFmtId="2" fontId="175" fillId="0" borderId="106" xfId="0" applyNumberFormat="1" applyFont="1" applyBorder="1" applyAlignment="1">
      <alignment horizontal="right" wrapText="1"/>
    </xf>
    <xf numFmtId="0" fontId="101" fillId="0" borderId="122" xfId="116" applyFont="1" applyBorder="1"/>
    <xf numFmtId="0" fontId="101" fillId="0" borderId="108" xfId="116" applyFont="1" applyBorder="1"/>
    <xf numFmtId="0" fontId="101" fillId="0" borderId="127" xfId="116" applyFont="1" applyBorder="1"/>
    <xf numFmtId="0" fontId="101" fillId="0" borderId="102" xfId="116" applyFont="1" applyBorder="1"/>
    <xf numFmtId="0" fontId="101" fillId="0" borderId="103" xfId="116" applyFont="1" applyBorder="1" applyAlignment="1">
      <alignment horizontal="left" indent="1"/>
    </xf>
    <xf numFmtId="2" fontId="101" fillId="0" borderId="106" xfId="116" applyNumberFormat="1" applyFont="1" applyBorder="1"/>
    <xf numFmtId="0" fontId="101" fillId="0" borderId="108" xfId="116" applyFont="1" applyBorder="1" applyAlignment="1">
      <alignment horizontal="left" indent="1"/>
    </xf>
    <xf numFmtId="2" fontId="101" fillId="0" borderId="111" xfId="116" applyNumberFormat="1" applyFont="1" applyBorder="1"/>
    <xf numFmtId="0" fontId="136" fillId="0" borderId="108" xfId="116" applyFont="1" applyBorder="1"/>
    <xf numFmtId="2" fontId="136" fillId="0" borderId="111" xfId="116" applyNumberFormat="1" applyFont="1" applyBorder="1"/>
    <xf numFmtId="0" fontId="44" fillId="0" borderId="0" xfId="546" applyFont="1" applyAlignment="1">
      <alignment vertical="center" wrapText="1"/>
    </xf>
    <xf numFmtId="0" fontId="44" fillId="0" borderId="93" xfId="546" applyFont="1" applyBorder="1" applyAlignment="1">
      <alignment horizontal="center" vertical="center"/>
    </xf>
    <xf numFmtId="0" fontId="44" fillId="0" borderId="90" xfId="546" applyFont="1" applyBorder="1" applyAlignment="1">
      <alignment horizontal="center" vertical="center"/>
    </xf>
    <xf numFmtId="0" fontId="44" fillId="0" borderId="39" xfId="546" applyFont="1" applyBorder="1" applyAlignment="1">
      <alignment horizontal="center" vertical="top"/>
    </xf>
    <xf numFmtId="4" fontId="44" fillId="0" borderId="0" xfId="546" applyNumberFormat="1" applyFont="1" applyAlignment="1">
      <alignment horizontal="right" vertical="top"/>
    </xf>
    <xf numFmtId="0" fontId="93" fillId="0" borderId="44" xfId="546" applyFont="1" applyBorder="1" applyAlignment="1">
      <alignment horizontal="left" vertical="top"/>
    </xf>
    <xf numFmtId="0" fontId="93" fillId="0" borderId="45" xfId="546" applyFont="1" applyBorder="1" applyAlignment="1">
      <alignment horizontal="left" vertical="top"/>
    </xf>
    <xf numFmtId="4" fontId="93" fillId="0" borderId="45" xfId="546" applyNumberFormat="1" applyFont="1" applyBorder="1" applyAlignment="1">
      <alignment horizontal="right" vertical="top"/>
    </xf>
    <xf numFmtId="0" fontId="44" fillId="0" borderId="42" xfId="546" applyFont="1" applyBorder="1" applyAlignment="1">
      <alignment horizontal="center" vertical="top"/>
    </xf>
    <xf numFmtId="0" fontId="44" fillId="0" borderId="3" xfId="546" applyFont="1" applyBorder="1" applyAlignment="1">
      <alignment horizontal="left" vertical="top"/>
    </xf>
    <xf numFmtId="4" fontId="44" fillId="0" borderId="3" xfId="546" applyNumberFormat="1" applyFont="1" applyBorder="1" applyAlignment="1">
      <alignment horizontal="right" vertical="top"/>
    </xf>
    <xf numFmtId="4" fontId="44" fillId="0" borderId="43" xfId="546" applyNumberFormat="1" applyFont="1" applyBorder="1" applyAlignment="1">
      <alignment horizontal="right" vertical="top"/>
    </xf>
    <xf numFmtId="0" fontId="44" fillId="0" borderId="45" xfId="546" applyFont="1" applyBorder="1" applyAlignment="1">
      <alignment horizontal="center" vertical="center" wrapText="1"/>
    </xf>
    <xf numFmtId="0" fontId="44" fillId="0" borderId="46" xfId="546" applyFont="1" applyBorder="1" applyAlignment="1">
      <alignment horizontal="center" vertical="center"/>
    </xf>
    <xf numFmtId="0" fontId="101" fillId="0" borderId="0" xfId="116" applyFont="1" applyAlignment="1">
      <alignment wrapText="1"/>
    </xf>
    <xf numFmtId="0" fontId="101" fillId="0" borderId="0" xfId="116" applyFont="1" applyAlignment="1">
      <alignment horizontal="center" wrapText="1"/>
    </xf>
    <xf numFmtId="177" fontId="44" fillId="0" borderId="32" xfId="0" applyNumberFormat="1" applyFont="1" applyBorder="1" applyAlignment="1">
      <alignment horizontal="center"/>
    </xf>
    <xf numFmtId="0" fontId="43" fillId="0" borderId="32" xfId="0" applyFont="1" applyBorder="1" applyAlignment="1">
      <alignment horizontal="center" wrapText="1"/>
    </xf>
    <xf numFmtId="0" fontId="133" fillId="0" borderId="32" xfId="0" applyFont="1" applyBorder="1" applyAlignment="1">
      <alignment horizontal="left" wrapText="1"/>
    </xf>
    <xf numFmtId="0" fontId="43" fillId="0" borderId="8" xfId="0" applyFont="1" applyBorder="1" applyAlignment="1">
      <alignment horizontal="center"/>
    </xf>
    <xf numFmtId="0" fontId="43" fillId="0" borderId="7" xfId="0" applyFont="1" applyBorder="1" applyAlignment="1">
      <alignment horizontal="center"/>
    </xf>
    <xf numFmtId="0" fontId="52" fillId="31" borderId="6" xfId="0" applyFont="1" applyFill="1" applyBorder="1"/>
    <xf numFmtId="0" fontId="43" fillId="0" borderId="67" xfId="0" applyFont="1" applyBorder="1" applyAlignment="1">
      <alignment horizontal="left"/>
    </xf>
    <xf numFmtId="0" fontId="43" fillId="0" borderId="89" xfId="0" applyFont="1" applyBorder="1" applyAlignment="1">
      <alignment horizontal="left"/>
    </xf>
    <xf numFmtId="0" fontId="43" fillId="0" borderId="43" xfId="0" applyFont="1" applyBorder="1" applyAlignment="1">
      <alignment horizontal="center"/>
    </xf>
    <xf numFmtId="0" fontId="52" fillId="0" borderId="6" xfId="0" applyFont="1" applyBorder="1"/>
    <xf numFmtId="2" fontId="43" fillId="0" borderId="42" xfId="0" applyNumberFormat="1" applyFont="1" applyBorder="1" applyAlignment="1">
      <alignment horizontal="center"/>
    </xf>
    <xf numFmtId="0" fontId="52" fillId="31" borderId="67" xfId="0" applyFont="1" applyFill="1" applyBorder="1"/>
    <xf numFmtId="0" fontId="52" fillId="31" borderId="7" xfId="0" applyFont="1" applyFill="1" applyBorder="1" applyAlignment="1">
      <alignment horizontal="center"/>
    </xf>
    <xf numFmtId="0" fontId="52" fillId="31" borderId="8" xfId="0" applyFont="1" applyFill="1" applyBorder="1" applyAlignment="1">
      <alignment horizontal="center"/>
    </xf>
    <xf numFmtId="0" fontId="52" fillId="31" borderId="39" xfId="0" applyFont="1" applyFill="1" applyBorder="1" applyAlignment="1">
      <alignment horizontal="center"/>
    </xf>
    <xf numFmtId="0" fontId="52" fillId="31" borderId="40" xfId="0" applyFont="1" applyFill="1" applyBorder="1" applyAlignment="1">
      <alignment horizontal="center"/>
    </xf>
    <xf numFmtId="0" fontId="155" fillId="0" borderId="106" xfId="116" applyFont="1" applyBorder="1" applyAlignment="1">
      <alignment horizontal="left" vertical="center" wrapText="1" indent="2"/>
    </xf>
    <xf numFmtId="0" fontId="43" fillId="0" borderId="39" xfId="547" applyFont="1" applyBorder="1" applyAlignment="1">
      <alignment horizontal="center" vertical="center" wrapText="1"/>
    </xf>
    <xf numFmtId="0" fontId="44" fillId="0" borderId="39" xfId="547" applyFont="1" applyBorder="1"/>
    <xf numFmtId="0" fontId="44" fillId="0" borderId="44" xfId="547" applyFont="1" applyBorder="1"/>
    <xf numFmtId="0" fontId="42" fillId="0" borderId="45" xfId="547" applyFont="1" applyBorder="1"/>
    <xf numFmtId="0" fontId="44" fillId="0" borderId="45" xfId="547" applyFont="1" applyBorder="1"/>
    <xf numFmtId="0" fontId="146" fillId="0" borderId="42" xfId="547" applyFont="1" applyBorder="1" applyAlignment="1">
      <alignment horizontal="center" vertical="center" wrapText="1"/>
    </xf>
    <xf numFmtId="0" fontId="146" fillId="0" borderId="3" xfId="547" applyFont="1" applyBorder="1" applyAlignment="1">
      <alignment horizontal="center" vertical="center" wrapText="1"/>
    </xf>
    <xf numFmtId="0" fontId="43" fillId="0" borderId="42" xfId="547" applyFont="1" applyBorder="1" applyAlignment="1">
      <alignment horizontal="center" vertical="center" wrapText="1"/>
    </xf>
    <xf numFmtId="0" fontId="146" fillId="0" borderId="60" xfId="547" applyFont="1" applyBorder="1" applyAlignment="1">
      <alignment horizontal="center" vertical="center" wrapText="1"/>
    </xf>
    <xf numFmtId="2" fontId="43" fillId="0" borderId="3" xfId="547" applyNumberFormat="1" applyFont="1" applyBorder="1" applyAlignment="1">
      <alignment horizontal="center"/>
    </xf>
    <xf numFmtId="2" fontId="43" fillId="0" borderId="1" xfId="547" applyNumberFormat="1" applyFont="1" applyBorder="1" applyAlignment="1">
      <alignment horizontal="center"/>
    </xf>
    <xf numFmtId="2" fontId="43" fillId="0" borderId="45" xfId="547" applyNumberFormat="1" applyFont="1" applyBorder="1" applyAlignment="1">
      <alignment horizontal="center"/>
    </xf>
    <xf numFmtId="0" fontId="44" fillId="0" borderId="3" xfId="551" applyFont="1" applyBorder="1" applyAlignment="1">
      <alignment horizontal="center" vertical="center"/>
    </xf>
    <xf numFmtId="0" fontId="44" fillId="0" borderId="10" xfId="551" applyFont="1" applyBorder="1" applyAlignment="1">
      <alignment horizontal="center" vertical="center"/>
    </xf>
    <xf numFmtId="0" fontId="44" fillId="0" borderId="3" xfId="551" applyFont="1" applyBorder="1" applyAlignment="1">
      <alignment vertical="top" wrapText="1"/>
    </xf>
    <xf numFmtId="0" fontId="44" fillId="32" borderId="1" xfId="551" applyFont="1" applyFill="1" applyBorder="1"/>
    <xf numFmtId="0" fontId="44" fillId="0" borderId="1" xfId="551" applyFont="1" applyBorder="1"/>
    <xf numFmtId="0" fontId="95" fillId="0" borderId="0" xfId="551" applyFont="1"/>
    <xf numFmtId="0" fontId="99" fillId="62" borderId="1" xfId="551" applyFont="1" applyFill="1" applyBorder="1" applyAlignment="1">
      <alignment horizontal="left" vertical="top" wrapText="1"/>
    </xf>
    <xf numFmtId="2" fontId="175" fillId="0" borderId="102" xfId="0" applyNumberFormat="1" applyFont="1" applyBorder="1" applyAlignment="1">
      <alignment horizontal="right" wrapText="1"/>
    </xf>
    <xf numFmtId="2" fontId="175" fillId="0" borderId="114" xfId="0" applyNumberFormat="1" applyFont="1" applyBorder="1" applyAlignment="1">
      <alignment horizontal="right" wrapText="1"/>
    </xf>
    <xf numFmtId="2" fontId="175" fillId="0" borderId="111" xfId="0" applyNumberFormat="1" applyFont="1" applyBorder="1" applyAlignment="1">
      <alignment horizontal="right" wrapText="1"/>
    </xf>
    <xf numFmtId="2" fontId="175" fillId="0" borderId="128" xfId="0" applyNumberFormat="1" applyFont="1" applyBorder="1" applyAlignment="1">
      <alignment horizontal="right" wrapText="1"/>
    </xf>
    <xf numFmtId="0" fontId="101" fillId="0" borderId="0" xfId="116" applyFont="1" applyAlignment="1">
      <alignment horizontal="center"/>
    </xf>
    <xf numFmtId="0" fontId="43" fillId="0" borderId="0" xfId="0" applyFont="1" applyAlignment="1">
      <alignment horizontal="center"/>
    </xf>
    <xf numFmtId="0" fontId="159" fillId="32" borderId="31" xfId="116" applyFont="1" applyFill="1" applyBorder="1" applyAlignment="1">
      <alignment horizontal="center" vertical="center" wrapText="1"/>
    </xf>
    <xf numFmtId="0" fontId="133" fillId="34" borderId="0" xfId="448" applyFont="1" applyFill="1" applyAlignment="1">
      <alignment horizontal="center"/>
    </xf>
    <xf numFmtId="0" fontId="136" fillId="3" borderId="0" xfId="448" applyFont="1" applyFill="1" applyAlignment="1">
      <alignment horizontal="center"/>
    </xf>
    <xf numFmtId="0" fontId="145" fillId="31" borderId="30" xfId="448" applyFont="1" applyFill="1" applyBorder="1" applyAlignment="1">
      <alignment horizontal="center" vertical="center" wrapText="1"/>
    </xf>
    <xf numFmtId="0" fontId="133" fillId="0" borderId="99" xfId="448" applyFont="1" applyBorder="1" applyAlignment="1">
      <alignment wrapText="1"/>
    </xf>
    <xf numFmtId="2" fontId="133" fillId="0" borderId="129" xfId="448" applyNumberFormat="1" applyFont="1" applyBorder="1" applyAlignment="1">
      <alignment horizontal="center"/>
    </xf>
    <xf numFmtId="0" fontId="133" fillId="0" borderId="103" xfId="448" applyFont="1" applyBorder="1" applyAlignment="1">
      <alignment wrapText="1"/>
    </xf>
    <xf numFmtId="2" fontId="133" fillId="0" borderId="106" xfId="448" applyNumberFormat="1" applyFont="1" applyBorder="1" applyAlignment="1">
      <alignment horizontal="center"/>
    </xf>
    <xf numFmtId="0" fontId="145" fillId="31" borderId="108" xfId="448" applyFont="1" applyFill="1" applyBorder="1"/>
    <xf numFmtId="2" fontId="145" fillId="31" borderId="111" xfId="448" applyNumberFormat="1" applyFont="1" applyFill="1" applyBorder="1" applyAlignment="1">
      <alignment horizontal="center"/>
    </xf>
    <xf numFmtId="2" fontId="145" fillId="31" borderId="131" xfId="448" applyNumberFormat="1" applyFont="1" applyFill="1" applyBorder="1" applyAlignment="1">
      <alignment horizontal="center"/>
    </xf>
    <xf numFmtId="0" fontId="146" fillId="0" borderId="61" xfId="547" applyFont="1" applyBorder="1" applyAlignment="1">
      <alignment horizontal="center" vertical="center" wrapText="1"/>
    </xf>
    <xf numFmtId="0" fontId="149" fillId="64" borderId="1" xfId="547" applyFont="1" applyFill="1" applyBorder="1" applyAlignment="1">
      <alignment horizontal="center" vertical="center" wrapText="1"/>
    </xf>
    <xf numFmtId="0" fontId="44" fillId="0" borderId="0" xfId="552" applyFont="1" applyAlignment="1">
      <alignment horizontal="center" vertical="center"/>
    </xf>
    <xf numFmtId="0" fontId="44" fillId="0" borderId="0" xfId="552" applyFont="1"/>
    <xf numFmtId="0" fontId="43" fillId="0" borderId="0" xfId="552" applyFont="1"/>
    <xf numFmtId="0" fontId="43" fillId="0" borderId="1" xfId="552" applyFont="1" applyBorder="1" applyAlignment="1">
      <alignment vertical="center"/>
    </xf>
    <xf numFmtId="4" fontId="43" fillId="0" borderId="1" xfId="552" applyNumberFormat="1" applyFont="1" applyBorder="1" applyAlignment="1">
      <alignment vertical="center"/>
    </xf>
    <xf numFmtId="2" fontId="43" fillId="0" borderId="1" xfId="552" applyNumberFormat="1" applyFont="1" applyBorder="1" applyAlignment="1">
      <alignment vertical="center"/>
    </xf>
    <xf numFmtId="0" fontId="43" fillId="0" borderId="1" xfId="552" applyFont="1" applyBorder="1"/>
    <xf numFmtId="0" fontId="44" fillId="0" borderId="1" xfId="0" applyFont="1" applyBorder="1" applyAlignment="1">
      <alignment wrapText="1"/>
    </xf>
    <xf numFmtId="0" fontId="110" fillId="62" borderId="1" xfId="0" applyFont="1" applyFill="1" applyBorder="1" applyAlignment="1">
      <alignment wrapText="1"/>
    </xf>
    <xf numFmtId="0" fontId="110" fillId="62" borderId="3" xfId="0" applyFont="1" applyFill="1" applyBorder="1" applyAlignment="1">
      <alignment wrapText="1"/>
    </xf>
    <xf numFmtId="2" fontId="43" fillId="0" borderId="1" xfId="552" applyNumberFormat="1" applyFont="1" applyBorder="1"/>
    <xf numFmtId="0" fontId="43" fillId="0" borderId="4" xfId="552" applyFont="1" applyBorder="1"/>
    <xf numFmtId="0" fontId="43" fillId="63" borderId="0" xfId="552" applyFont="1" applyFill="1"/>
    <xf numFmtId="0" fontId="52" fillId="0" borderId="1" xfId="552" applyFont="1" applyBorder="1"/>
    <xf numFmtId="0" fontId="52" fillId="0" borderId="0" xfId="552" applyFont="1"/>
    <xf numFmtId="0" fontId="52" fillId="0" borderId="1" xfId="552" applyFont="1" applyBorder="1" applyAlignment="1">
      <alignment horizontal="center"/>
    </xf>
    <xf numFmtId="0" fontId="52" fillId="0" borderId="36" xfId="552" applyFont="1" applyBorder="1"/>
    <xf numFmtId="0" fontId="52" fillId="0" borderId="63" xfId="552" applyFont="1" applyBorder="1"/>
    <xf numFmtId="0" fontId="52" fillId="0" borderId="98" xfId="552" applyFont="1" applyBorder="1"/>
    <xf numFmtId="0" fontId="43" fillId="0" borderId="89" xfId="552" applyFont="1" applyBorder="1" applyAlignment="1">
      <alignment horizontal="left" indent="1"/>
    </xf>
    <xf numFmtId="0" fontId="155" fillId="0" borderId="114" xfId="116" applyFont="1" applyBorder="1" applyAlignment="1">
      <alignment horizontal="left" wrapText="1" indent="1"/>
    </xf>
    <xf numFmtId="0" fontId="101" fillId="0" borderId="26" xfId="116" applyFont="1" applyBorder="1" applyAlignment="1">
      <alignment horizontal="center"/>
    </xf>
    <xf numFmtId="0" fontId="101" fillId="0" borderId="6" xfId="116" applyFont="1" applyBorder="1" applyAlignment="1">
      <alignment horizontal="center"/>
    </xf>
    <xf numFmtId="0" fontId="133" fillId="0" borderId="0" xfId="116" applyFont="1" applyAlignment="1">
      <alignment horizontal="left"/>
    </xf>
    <xf numFmtId="0" fontId="51" fillId="31" borderId="0" xfId="116" applyFont="1" applyFill="1" applyAlignment="1">
      <alignment horizontal="left"/>
    </xf>
    <xf numFmtId="0" fontId="43" fillId="0" borderId="32" xfId="0" applyFont="1" applyBorder="1" applyAlignment="1">
      <alignment wrapText="1"/>
    </xf>
    <xf numFmtId="10" fontId="43" fillId="0" borderId="32" xfId="0" applyNumberFormat="1" applyFont="1" applyBorder="1" applyAlignment="1">
      <alignment horizontal="center"/>
    </xf>
    <xf numFmtId="4" fontId="43" fillId="0" borderId="0" xfId="0" applyNumberFormat="1" applyFont="1"/>
    <xf numFmtId="2" fontId="43" fillId="0" borderId="0" xfId="0" applyNumberFormat="1" applyFont="1"/>
    <xf numFmtId="0" fontId="43" fillId="0" borderId="102" xfId="0" applyFont="1" applyBorder="1"/>
    <xf numFmtId="0" fontId="43" fillId="0" borderId="132" xfId="0" applyFont="1" applyBorder="1" applyAlignment="1">
      <alignment horizontal="center"/>
    </xf>
    <xf numFmtId="0" fontId="43" fillId="0" borderId="106" xfId="0" applyFont="1" applyBorder="1"/>
    <xf numFmtId="0" fontId="43" fillId="0" borderId="123" xfId="0" applyFont="1" applyBorder="1" applyAlignment="1">
      <alignment horizontal="center"/>
    </xf>
    <xf numFmtId="2" fontId="43" fillId="0" borderId="106" xfId="0" applyNumberFormat="1" applyFont="1" applyBorder="1" applyAlignment="1">
      <alignment horizontal="center"/>
    </xf>
    <xf numFmtId="10" fontId="43" fillId="0" borderId="106" xfId="0" applyNumberFormat="1" applyFont="1" applyBorder="1" applyAlignment="1">
      <alignment horizontal="center"/>
    </xf>
    <xf numFmtId="10" fontId="43" fillId="31" borderId="106" xfId="0" applyNumberFormat="1" applyFont="1" applyFill="1" applyBorder="1" applyAlignment="1">
      <alignment horizontal="center"/>
    </xf>
    <xf numFmtId="0" fontId="43" fillId="0" borderId="106" xfId="0" applyFont="1" applyBorder="1" applyAlignment="1">
      <alignment wrapText="1"/>
    </xf>
    <xf numFmtId="2" fontId="43" fillId="31" borderId="106" xfId="0" applyNumberFormat="1" applyFont="1" applyFill="1" applyBorder="1" applyAlignment="1">
      <alignment horizontal="center"/>
    </xf>
    <xf numFmtId="0" fontId="43" fillId="0" borderId="111" xfId="0" applyFont="1" applyBorder="1" applyAlignment="1">
      <alignment wrapText="1"/>
    </xf>
    <xf numFmtId="0" fontId="43" fillId="0" borderId="133" xfId="0" applyFont="1" applyBorder="1" applyAlignment="1">
      <alignment horizontal="center"/>
    </xf>
    <xf numFmtId="10" fontId="43" fillId="0" borderId="111" xfId="0" applyNumberFormat="1" applyFont="1" applyBorder="1" applyAlignment="1">
      <alignment horizontal="center"/>
    </xf>
    <xf numFmtId="2" fontId="43" fillId="31" borderId="111" xfId="0" applyNumberFormat="1" applyFont="1" applyFill="1" applyBorder="1" applyAlignment="1">
      <alignment horizontal="center"/>
    </xf>
    <xf numFmtId="0" fontId="43" fillId="0" borderId="102" xfId="0" applyFont="1" applyBorder="1" applyAlignment="1">
      <alignment wrapText="1"/>
    </xf>
    <xf numFmtId="2" fontId="43" fillId="0" borderId="102" xfId="0" applyNumberFormat="1" applyFont="1" applyBorder="1" applyAlignment="1">
      <alignment horizontal="center"/>
    </xf>
    <xf numFmtId="10" fontId="43" fillId="31" borderId="102" xfId="0" applyNumberFormat="1" applyFont="1" applyFill="1" applyBorder="1" applyAlignment="1">
      <alignment horizontal="center"/>
    </xf>
    <xf numFmtId="0" fontId="43" fillId="0" borderId="128" xfId="0" applyFont="1" applyBorder="1" applyAlignment="1">
      <alignment wrapText="1"/>
    </xf>
    <xf numFmtId="2" fontId="43" fillId="31" borderId="102" xfId="0" applyNumberFormat="1" applyFont="1" applyFill="1" applyBorder="1" applyAlignment="1">
      <alignment horizontal="center"/>
    </xf>
    <xf numFmtId="10" fontId="155" fillId="0" borderId="0" xfId="116" applyNumberFormat="1" applyFont="1" applyAlignment="1">
      <alignment horizontal="right"/>
    </xf>
    <xf numFmtId="175" fontId="45" fillId="0" borderId="1" xfId="240" applyNumberFormat="1" applyFont="1" applyBorder="1" applyAlignment="1" applyProtection="1">
      <alignment horizontal="center" vertical="center" wrapText="1"/>
      <protection locked="0"/>
    </xf>
    <xf numFmtId="175" fontId="45" fillId="0" borderId="1" xfId="240" applyNumberFormat="1" applyFont="1" applyBorder="1" applyAlignment="1">
      <alignment horizontal="center" vertical="center" wrapText="1"/>
    </xf>
    <xf numFmtId="175" fontId="41" fillId="0" borderId="1" xfId="240" applyNumberFormat="1" applyFont="1" applyBorder="1" applyAlignment="1">
      <alignment horizontal="center" vertical="center" wrapText="1"/>
    </xf>
    <xf numFmtId="175" fontId="41" fillId="0" borderId="1" xfId="240" applyNumberFormat="1" applyFont="1" applyBorder="1" applyAlignment="1" applyProtection="1">
      <alignment horizontal="center" vertical="center" wrapText="1"/>
      <protection locked="0"/>
    </xf>
    <xf numFmtId="2" fontId="28" fillId="0" borderId="0" xfId="240" applyNumberFormat="1"/>
    <xf numFmtId="2" fontId="28" fillId="0" borderId="0" xfId="240" applyNumberFormat="1" applyAlignment="1">
      <alignment horizontal="center"/>
    </xf>
    <xf numFmtId="0" fontId="44" fillId="0" borderId="3" xfId="551" applyFont="1" applyBorder="1"/>
    <xf numFmtId="0" fontId="43" fillId="0" borderId="0" xfId="551" applyFont="1"/>
    <xf numFmtId="0" fontId="133" fillId="0" borderId="0" xfId="551" applyFont="1"/>
    <xf numFmtId="0" fontId="43" fillId="0" borderId="0" xfId="551" applyFont="1" applyAlignment="1">
      <alignment wrapText="1"/>
    </xf>
    <xf numFmtId="4" fontId="43" fillId="0" borderId="0" xfId="551" applyNumberFormat="1" applyFont="1"/>
    <xf numFmtId="0" fontId="155" fillId="0" borderId="0" xfId="551" applyFont="1"/>
    <xf numFmtId="0" fontId="115" fillId="0" borderId="0" xfId="240" applyFont="1"/>
    <xf numFmtId="0" fontId="177" fillId="0" borderId="0" xfId="240" applyFont="1"/>
    <xf numFmtId="0" fontId="176" fillId="0" borderId="0" xfId="240" applyFont="1"/>
    <xf numFmtId="0" fontId="178" fillId="0" borderId="0" xfId="0" applyFont="1"/>
    <xf numFmtId="175" fontId="177" fillId="0" borderId="0" xfId="240" applyNumberFormat="1" applyFont="1"/>
    <xf numFmtId="175" fontId="114" fillId="0" borderId="0" xfId="240" applyNumberFormat="1" applyFont="1"/>
    <xf numFmtId="176" fontId="177" fillId="0" borderId="0" xfId="240" applyNumberFormat="1" applyFont="1"/>
    <xf numFmtId="0" fontId="179" fillId="0" borderId="0" xfId="240" applyFont="1"/>
    <xf numFmtId="0" fontId="114" fillId="0" borderId="0" xfId="5" applyFont="1"/>
    <xf numFmtId="0" fontId="41" fillId="31" borderId="1" xfId="0" applyFont="1" applyFill="1" applyBorder="1" applyAlignment="1">
      <alignment vertical="center" wrapText="1"/>
    </xf>
    <xf numFmtId="49" fontId="41" fillId="31" borderId="1" xfId="240" applyNumberFormat="1" applyFont="1" applyFill="1" applyBorder="1" applyAlignment="1">
      <alignment horizontal="center" vertical="center" wrapText="1"/>
    </xf>
    <xf numFmtId="0" fontId="41" fillId="31" borderId="1" xfId="240" applyFont="1" applyFill="1" applyBorder="1" applyAlignment="1">
      <alignment vertical="center" wrapText="1"/>
    </xf>
    <xf numFmtId="0" fontId="21" fillId="0" borderId="0" xfId="5" applyFont="1"/>
    <xf numFmtId="0" fontId="45" fillId="0" borderId="1" xfId="5" applyFont="1" applyBorder="1" applyAlignment="1">
      <alignment vertical="center" wrapText="1"/>
    </xf>
    <xf numFmtId="0" fontId="45" fillId="31" borderId="1" xfId="0" applyFont="1" applyFill="1" applyBorder="1" applyAlignment="1">
      <alignment vertical="center" wrapText="1"/>
    </xf>
    <xf numFmtId="0" fontId="45" fillId="0" borderId="8" xfId="240" applyFont="1" applyBorder="1" applyAlignment="1">
      <alignment horizontal="center" vertical="center" wrapText="1"/>
    </xf>
    <xf numFmtId="0" fontId="93" fillId="0" borderId="0" xfId="546" applyFont="1" applyAlignment="1">
      <alignment horizontal="center" vertical="center" wrapText="1"/>
    </xf>
    <xf numFmtId="0" fontId="164" fillId="0" borderId="0" xfId="552" applyFont="1" applyAlignment="1">
      <alignment horizontal="center"/>
    </xf>
    <xf numFmtId="179" fontId="51" fillId="0" borderId="0" xfId="116" applyNumberFormat="1" applyFont="1"/>
    <xf numFmtId="179" fontId="155" fillId="0" borderId="0" xfId="116" applyNumberFormat="1" applyFont="1" applyAlignment="1">
      <alignment horizontal="right"/>
    </xf>
    <xf numFmtId="179" fontId="159" fillId="32" borderId="6" xfId="116" applyNumberFormat="1" applyFont="1" applyFill="1" applyBorder="1" applyAlignment="1">
      <alignment horizontal="center" vertical="center" wrapText="1"/>
    </xf>
    <xf numFmtId="179" fontId="51" fillId="34" borderId="0" xfId="116" applyNumberFormat="1" applyFont="1" applyFill="1"/>
    <xf numFmtId="2" fontId="177" fillId="0" borderId="0" xfId="240" applyNumberFormat="1" applyFont="1"/>
    <xf numFmtId="4" fontId="36" fillId="0" borderId="0" xfId="240" applyNumberFormat="1" applyFont="1"/>
    <xf numFmtId="2" fontId="36" fillId="0" borderId="0" xfId="240" applyNumberFormat="1" applyFont="1"/>
    <xf numFmtId="2" fontId="40" fillId="0" borderId="0" xfId="5" applyNumberFormat="1" applyFont="1" applyAlignment="1" applyProtection="1">
      <alignment horizontal="center" vertical="center"/>
      <protection locked="0"/>
    </xf>
    <xf numFmtId="0" fontId="44" fillId="0" borderId="1" xfId="0" applyFont="1" applyBorder="1"/>
    <xf numFmtId="0" fontId="180" fillId="3" borderId="0" xfId="0" applyFont="1" applyFill="1"/>
    <xf numFmtId="0" fontId="43" fillId="0" borderId="1" xfId="0" applyFont="1" applyBorder="1" applyAlignment="1">
      <alignment horizontal="right" vertical="center"/>
    </xf>
    <xf numFmtId="4" fontId="43" fillId="0" borderId="1" xfId="0" applyNumberFormat="1" applyFont="1" applyBorder="1" applyAlignment="1">
      <alignment horizontal="right" vertical="center"/>
    </xf>
    <xf numFmtId="1" fontId="43" fillId="0" borderId="1" xfId="0" applyNumberFormat="1" applyFont="1" applyBorder="1" applyAlignment="1">
      <alignment horizontal="right" vertical="center"/>
    </xf>
    <xf numFmtId="4" fontId="43" fillId="0" borderId="1" xfId="0" applyNumberFormat="1" applyFont="1" applyBorder="1"/>
    <xf numFmtId="4" fontId="43" fillId="0" borderId="1" xfId="0" applyNumberFormat="1" applyFont="1" applyBorder="1" applyAlignment="1">
      <alignment vertical="center"/>
    </xf>
    <xf numFmtId="4" fontId="43" fillId="0" borderId="8" xfId="0" applyNumberFormat="1" applyFont="1" applyBorder="1" applyAlignment="1">
      <alignment horizontal="right" vertical="center"/>
    </xf>
    <xf numFmtId="0" fontId="164" fillId="0" borderId="0" xfId="552" applyFont="1"/>
    <xf numFmtId="0" fontId="93" fillId="0" borderId="0" xfId="552" applyFont="1"/>
    <xf numFmtId="0" fontId="182" fillId="62" borderId="0" xfId="552" applyFont="1" applyFill="1" applyAlignment="1">
      <alignment wrapText="1"/>
    </xf>
    <xf numFmtId="0" fontId="163" fillId="62" borderId="0" xfId="552" applyFont="1" applyFill="1" applyAlignment="1">
      <alignment wrapText="1"/>
    </xf>
    <xf numFmtId="0" fontId="152" fillId="0" borderId="0" xfId="552" applyFont="1"/>
    <xf numFmtId="0" fontId="110" fillId="62" borderId="39" xfId="0" applyFont="1" applyFill="1" applyBorder="1" applyAlignment="1">
      <alignment horizontal="center" vertical="center"/>
    </xf>
    <xf numFmtId="0" fontId="43" fillId="0" borderId="3" xfId="552" applyFont="1" applyBorder="1" applyAlignment="1">
      <alignment horizontal="right" vertical="center"/>
    </xf>
    <xf numFmtId="4" fontId="43" fillId="0" borderId="3" xfId="552" applyNumberFormat="1" applyFont="1" applyBorder="1" applyAlignment="1">
      <alignment horizontal="right" vertical="center"/>
    </xf>
    <xf numFmtId="0" fontId="43" fillId="0" borderId="3" xfId="552" applyFont="1" applyBorder="1" applyAlignment="1">
      <alignment vertical="center"/>
    </xf>
    <xf numFmtId="0" fontId="43" fillId="0" borderId="45" xfId="552" applyFont="1" applyBorder="1" applyAlignment="1">
      <alignment horizontal="center" vertical="center"/>
    </xf>
    <xf numFmtId="0" fontId="110" fillId="62" borderId="42" xfId="0" applyFont="1" applyFill="1" applyBorder="1" applyAlignment="1">
      <alignment horizontal="center" vertical="center"/>
    </xf>
    <xf numFmtId="0" fontId="43" fillId="0" borderId="3" xfId="0" applyFont="1" applyBorder="1" applyAlignment="1">
      <alignment horizontal="right" vertical="center"/>
    </xf>
    <xf numFmtId="0" fontId="44" fillId="0" borderId="45" xfId="0" applyFont="1" applyBorder="1" applyAlignment="1">
      <alignment horizontal="center" vertical="center"/>
    </xf>
    <xf numFmtId="0" fontId="44" fillId="0" borderId="55" xfId="0" applyFont="1" applyBorder="1" applyAlignment="1">
      <alignment horizontal="center" vertical="center"/>
    </xf>
    <xf numFmtId="0" fontId="136" fillId="0" borderId="66" xfId="0" applyFont="1" applyBorder="1" applyAlignment="1">
      <alignment horizontal="center" vertical="center"/>
    </xf>
    <xf numFmtId="0" fontId="101" fillId="0" borderId="68" xfId="0" applyFont="1" applyBorder="1" applyAlignment="1">
      <alignment horizontal="center" vertical="center"/>
    </xf>
    <xf numFmtId="4" fontId="43" fillId="0" borderId="89" xfId="0" applyNumberFormat="1" applyFont="1" applyBorder="1" applyAlignment="1">
      <alignment horizontal="right" vertical="center"/>
    </xf>
    <xf numFmtId="0" fontId="43" fillId="0" borderId="55" xfId="552" applyFont="1" applyBorder="1" applyAlignment="1">
      <alignment horizontal="center" vertical="center"/>
    </xf>
    <xf numFmtId="0" fontId="43" fillId="0" borderId="10" xfId="552" applyFont="1" applyBorder="1" applyAlignment="1">
      <alignment vertical="center"/>
    </xf>
    <xf numFmtId="0" fontId="43" fillId="0" borderId="8" xfId="552" applyFont="1" applyBorder="1" applyAlignment="1">
      <alignment vertical="center"/>
    </xf>
    <xf numFmtId="0" fontId="133" fillId="0" borderId="66" xfId="552" applyFont="1" applyBorder="1" applyAlignment="1">
      <alignment horizontal="center" vertical="center"/>
    </xf>
    <xf numFmtId="0" fontId="133" fillId="0" borderId="68" xfId="552" applyFont="1" applyBorder="1" applyAlignment="1">
      <alignment horizontal="center" vertical="center"/>
    </xf>
    <xf numFmtId="4" fontId="43" fillId="0" borderId="89" xfId="552" applyNumberFormat="1" applyFont="1" applyBorder="1" applyAlignment="1">
      <alignment vertical="center"/>
    </xf>
    <xf numFmtId="4" fontId="43" fillId="0" borderId="67" xfId="552" applyNumberFormat="1" applyFont="1" applyBorder="1" applyAlignment="1">
      <alignment vertical="center"/>
    </xf>
    <xf numFmtId="0" fontId="163" fillId="62" borderId="30" xfId="0" applyFont="1" applyFill="1" applyBorder="1" applyAlignment="1">
      <alignment horizontal="center" vertical="center"/>
    </xf>
    <xf numFmtId="0" fontId="163" fillId="62" borderId="61" xfId="0" applyFont="1" applyFill="1" applyBorder="1" applyAlignment="1">
      <alignment wrapText="1"/>
    </xf>
    <xf numFmtId="4" fontId="52" fillId="0" borderId="98" xfId="0" applyNumberFormat="1" applyFont="1" applyBorder="1" applyAlignment="1">
      <alignment horizontal="right" vertical="center"/>
    </xf>
    <xf numFmtId="4" fontId="52" fillId="0" borderId="63" xfId="0" applyNumberFormat="1" applyFont="1" applyBorder="1" applyAlignment="1">
      <alignment horizontal="right" vertical="center"/>
    </xf>
    <xf numFmtId="4" fontId="52" fillId="0" borderId="6" xfId="0" applyNumberFormat="1" applyFont="1" applyBorder="1" applyAlignment="1">
      <alignment horizontal="right" vertical="center"/>
    </xf>
    <xf numFmtId="0" fontId="52" fillId="0" borderId="61" xfId="552" applyFont="1" applyBorder="1"/>
    <xf numFmtId="4" fontId="52" fillId="0" borderId="61" xfId="552" applyNumberFormat="1" applyFont="1" applyBorder="1" applyAlignment="1">
      <alignment vertical="center"/>
    </xf>
    <xf numFmtId="4" fontId="52" fillId="0" borderId="6" xfId="552" applyNumberFormat="1" applyFont="1" applyBorder="1" applyAlignment="1">
      <alignment vertical="center"/>
    </xf>
    <xf numFmtId="0" fontId="146" fillId="0" borderId="10" xfId="547" applyFont="1" applyBorder="1" applyAlignment="1">
      <alignment horizontal="center" vertical="center" wrapText="1"/>
    </xf>
    <xf numFmtId="2" fontId="44" fillId="0" borderId="8" xfId="547" applyNumberFormat="1" applyFont="1" applyBorder="1" applyAlignment="1">
      <alignment horizontal="center"/>
    </xf>
    <xf numFmtId="2" fontId="44" fillId="0" borderId="55" xfId="547" applyNumberFormat="1" applyFont="1" applyBorder="1" applyAlignment="1">
      <alignment horizontal="center"/>
    </xf>
    <xf numFmtId="0" fontId="146" fillId="0" borderId="89" xfId="547" applyFont="1" applyBorder="1" applyAlignment="1">
      <alignment horizontal="center" vertical="center" wrapText="1"/>
    </xf>
    <xf numFmtId="2" fontId="42" fillId="0" borderId="67" xfId="547" applyNumberFormat="1" applyFont="1" applyBorder="1" applyAlignment="1">
      <alignment horizontal="center"/>
    </xf>
    <xf numFmtId="2" fontId="42" fillId="0" borderId="68" xfId="547" applyNumberFormat="1" applyFont="1" applyBorder="1" applyAlignment="1">
      <alignment horizontal="center"/>
    </xf>
    <xf numFmtId="0" fontId="42" fillId="0" borderId="79" xfId="547" applyFont="1" applyBorder="1" applyAlignment="1">
      <alignment horizontal="center" vertical="center" wrapText="1"/>
    </xf>
    <xf numFmtId="0" fontId="42" fillId="0" borderId="79" xfId="547" applyFont="1" applyBorder="1" applyAlignment="1">
      <alignment vertical="top" wrapText="1"/>
    </xf>
    <xf numFmtId="0" fontId="149" fillId="0" borderId="79" xfId="547" applyFont="1" applyBorder="1" applyAlignment="1">
      <alignment horizontal="center" vertical="center" wrapText="1"/>
    </xf>
    <xf numFmtId="0" fontId="44" fillId="0" borderId="42" xfId="547" applyFont="1" applyBorder="1"/>
    <xf numFmtId="0" fontId="42" fillId="0" borderId="3" xfId="547" applyFont="1" applyBorder="1"/>
    <xf numFmtId="0" fontId="44" fillId="0" borderId="3" xfId="547" applyFont="1" applyBorder="1"/>
    <xf numFmtId="2" fontId="44" fillId="0" borderId="10" xfId="547" applyNumberFormat="1" applyFont="1" applyBorder="1" applyAlignment="1">
      <alignment horizontal="center"/>
    </xf>
    <xf numFmtId="2" fontId="42" fillId="0" borderId="89" xfId="547" applyNumberFormat="1" applyFont="1" applyBorder="1" applyAlignment="1">
      <alignment horizontal="center"/>
    </xf>
    <xf numFmtId="0" fontId="43" fillId="0" borderId="60" xfId="547" applyFont="1" applyBorder="1" applyAlignment="1">
      <alignment horizontal="center" vertical="center" wrapText="1"/>
    </xf>
    <xf numFmtId="0" fontId="42" fillId="0" borderId="61" xfId="547" applyFont="1" applyBorder="1" applyAlignment="1">
      <alignment horizontal="center" vertical="center" wrapText="1"/>
    </xf>
    <xf numFmtId="0" fontId="47" fillId="0" borderId="61" xfId="547" applyFont="1" applyBorder="1" applyAlignment="1">
      <alignment horizontal="center" vertical="center" wrapText="1"/>
    </xf>
    <xf numFmtId="0" fontId="147" fillId="0" borderId="61" xfId="547" applyFont="1" applyBorder="1" applyAlignment="1">
      <alignment horizontal="center" vertical="center" wrapText="1"/>
    </xf>
    <xf numFmtId="0" fontId="147" fillId="64" borderId="98" xfId="547" applyFont="1" applyFill="1" applyBorder="1" applyAlignment="1">
      <alignment horizontal="center" vertical="center" wrapText="1"/>
    </xf>
    <xf numFmtId="2" fontId="44" fillId="0" borderId="98" xfId="547" applyNumberFormat="1" applyFont="1" applyBorder="1" applyAlignment="1">
      <alignment horizontal="center"/>
    </xf>
    <xf numFmtId="2" fontId="47" fillId="0" borderId="6" xfId="547" applyNumberFormat="1" applyFont="1" applyBorder="1" applyAlignment="1">
      <alignment horizontal="center"/>
    </xf>
    <xf numFmtId="0" fontId="93" fillId="63" borderId="44" xfId="551" applyFont="1" applyFill="1" applyBorder="1" applyAlignment="1">
      <alignment horizontal="center" vertical="center"/>
    </xf>
    <xf numFmtId="0" fontId="93" fillId="63" borderId="45" xfId="551" applyFont="1" applyFill="1" applyBorder="1" applyAlignment="1">
      <alignment vertical="top" wrapText="1"/>
    </xf>
    <xf numFmtId="0" fontId="44" fillId="0" borderId="45" xfId="551" applyFont="1" applyBorder="1" applyAlignment="1">
      <alignment horizontal="center" vertical="center"/>
    </xf>
    <xf numFmtId="0" fontId="44" fillId="0" borderId="55" xfId="551" applyFont="1" applyBorder="1" applyAlignment="1">
      <alignment horizontal="center" vertical="center"/>
    </xf>
    <xf numFmtId="0" fontId="44" fillId="32" borderId="8" xfId="551" applyFont="1" applyFill="1" applyBorder="1"/>
    <xf numFmtId="0" fontId="101" fillId="0" borderId="89" xfId="551" applyFont="1" applyBorder="1" applyAlignment="1">
      <alignment horizontal="center" vertical="center"/>
    </xf>
    <xf numFmtId="0" fontId="101" fillId="0" borderId="67" xfId="551" applyFont="1" applyBorder="1" applyAlignment="1">
      <alignment horizontal="center" vertical="center"/>
    </xf>
    <xf numFmtId="4" fontId="101" fillId="0" borderId="67" xfId="551" applyNumberFormat="1" applyFont="1" applyBorder="1" applyAlignment="1">
      <alignment horizontal="right" vertical="center"/>
    </xf>
    <xf numFmtId="4" fontId="136" fillId="63" borderId="68" xfId="551" applyNumberFormat="1" applyFont="1" applyFill="1" applyBorder="1" applyAlignment="1">
      <alignment horizontal="right" vertical="center"/>
    </xf>
    <xf numFmtId="0" fontId="44" fillId="0" borderId="10" xfId="551" applyFont="1" applyBorder="1"/>
    <xf numFmtId="0" fontId="101" fillId="0" borderId="0" xfId="551" applyFont="1"/>
    <xf numFmtId="4" fontId="44" fillId="0" borderId="10" xfId="546" applyNumberFormat="1" applyFont="1" applyBorder="1" applyAlignment="1">
      <alignment horizontal="right" vertical="top"/>
    </xf>
    <xf numFmtId="4" fontId="44" fillId="0" borderId="8" xfId="546" applyNumberFormat="1" applyFont="1" applyBorder="1" applyAlignment="1">
      <alignment horizontal="right" vertical="top"/>
    </xf>
    <xf numFmtId="0" fontId="44" fillId="0" borderId="88" xfId="546" applyFont="1" applyBorder="1" applyAlignment="1">
      <alignment horizontal="center" vertical="center"/>
    </xf>
    <xf numFmtId="0" fontId="44" fillId="0" borderId="44" xfId="546" applyFont="1" applyBorder="1" applyAlignment="1">
      <alignment horizontal="center" vertical="center" wrapText="1"/>
    </xf>
    <xf numFmtId="4" fontId="44" fillId="0" borderId="42" xfId="546" applyNumberFormat="1" applyFont="1" applyBorder="1" applyAlignment="1">
      <alignment horizontal="right" vertical="top"/>
    </xf>
    <xf numFmtId="4" fontId="44" fillId="0" borderId="39" xfId="546" applyNumberFormat="1" applyFont="1" applyBorder="1" applyAlignment="1">
      <alignment horizontal="right" vertical="top"/>
    </xf>
    <xf numFmtId="0" fontId="52" fillId="0" borderId="0" xfId="546" applyFont="1"/>
    <xf numFmtId="0" fontId="44" fillId="0" borderId="92" xfId="546" applyFont="1" applyBorder="1"/>
    <xf numFmtId="0" fontId="44" fillId="0" borderId="78" xfId="546" applyFont="1" applyBorder="1"/>
    <xf numFmtId="0" fontId="44" fillId="0" borderId="79" xfId="546" applyFont="1" applyBorder="1"/>
    <xf numFmtId="2" fontId="44" fillId="0" borderId="79" xfId="546" applyNumberFormat="1" applyFont="1" applyBorder="1"/>
    <xf numFmtId="0" fontId="44" fillId="0" borderId="97" xfId="546" applyFont="1" applyBorder="1" applyAlignment="1">
      <alignment horizontal="right"/>
    </xf>
    <xf numFmtId="0" fontId="44" fillId="0" borderId="30" xfId="546" applyFont="1" applyBorder="1"/>
    <xf numFmtId="0" fontId="44" fillId="0" borderId="6" xfId="546" applyFont="1" applyBorder="1"/>
    <xf numFmtId="0" fontId="44" fillId="0" borderId="63" xfId="546" applyFont="1" applyBorder="1" applyAlignment="1">
      <alignment horizontal="right"/>
    </xf>
    <xf numFmtId="0" fontId="44" fillId="0" borderId="61" xfId="546" applyFont="1" applyBorder="1"/>
    <xf numFmtId="0" fontId="44" fillId="0" borderId="98" xfId="546" applyFont="1" applyBorder="1" applyAlignment="1">
      <alignment horizontal="right"/>
    </xf>
    <xf numFmtId="0" fontId="110" fillId="0" borderId="68" xfId="546" applyFont="1" applyBorder="1"/>
    <xf numFmtId="2" fontId="44" fillId="0" borderId="72" xfId="546" applyNumberFormat="1" applyFont="1" applyBorder="1"/>
    <xf numFmtId="2" fontId="93" fillId="0" borderId="68" xfId="546" applyNumberFormat="1" applyFont="1" applyBorder="1" applyAlignment="1">
      <alignment horizontal="center"/>
    </xf>
    <xf numFmtId="2" fontId="44" fillId="0" borderId="89" xfId="546" applyNumberFormat="1" applyFont="1" applyBorder="1" applyAlignment="1">
      <alignment horizontal="center"/>
    </xf>
    <xf numFmtId="2" fontId="93" fillId="0" borderId="89" xfId="546" applyNumberFormat="1" applyFont="1" applyBorder="1" applyAlignment="1">
      <alignment horizontal="center"/>
    </xf>
    <xf numFmtId="0" fontId="44" fillId="0" borderId="6" xfId="546" applyFont="1" applyBorder="1" applyAlignment="1">
      <alignment horizontal="center" wrapText="1"/>
    </xf>
    <xf numFmtId="0" fontId="110" fillId="0" borderId="6" xfId="546" applyFont="1" applyBorder="1" applyAlignment="1">
      <alignment horizontal="center"/>
    </xf>
    <xf numFmtId="0" fontId="93" fillId="0" borderId="6" xfId="546" applyFont="1" applyBorder="1" applyAlignment="1">
      <alignment horizontal="center" wrapText="1"/>
    </xf>
    <xf numFmtId="0" fontId="44" fillId="0" borderId="6" xfId="546" applyFont="1" applyBorder="1" applyAlignment="1">
      <alignment horizontal="center"/>
    </xf>
    <xf numFmtId="0" fontId="44" fillId="0" borderId="68" xfId="546" applyFont="1" applyBorder="1" applyAlignment="1">
      <alignment horizontal="center"/>
    </xf>
    <xf numFmtId="0" fontId="164" fillId="3" borderId="0" xfId="552" applyFont="1" applyFill="1"/>
    <xf numFmtId="0" fontId="93" fillId="3" borderId="0" xfId="552" applyFont="1" applyFill="1"/>
    <xf numFmtId="0" fontId="163" fillId="72" borderId="0" xfId="552" applyFont="1" applyFill="1" applyAlignment="1">
      <alignment wrapText="1"/>
    </xf>
    <xf numFmtId="0" fontId="152" fillId="3" borderId="0" xfId="552" applyFont="1" applyFill="1"/>
    <xf numFmtId="0" fontId="44" fillId="3" borderId="0" xfId="552" applyFont="1" applyFill="1"/>
    <xf numFmtId="0" fontId="44" fillId="3" borderId="0" xfId="547" applyFont="1" applyFill="1" applyAlignment="1">
      <alignment horizontal="center" wrapText="1"/>
    </xf>
    <xf numFmtId="0" fontId="149" fillId="64" borderId="79" xfId="547" applyFont="1" applyFill="1" applyBorder="1" applyAlignment="1">
      <alignment horizontal="center" vertical="center" wrapText="1"/>
    </xf>
    <xf numFmtId="2" fontId="43" fillId="0" borderId="79" xfId="547" applyNumberFormat="1" applyFont="1" applyBorder="1" applyAlignment="1">
      <alignment horizontal="center"/>
    </xf>
    <xf numFmtId="0" fontId="52" fillId="0" borderId="60" xfId="547" applyFont="1" applyBorder="1" applyAlignment="1">
      <alignment horizontal="center" vertical="center" wrapText="1"/>
    </xf>
    <xf numFmtId="0" fontId="147" fillId="64" borderId="61" xfId="547" applyFont="1" applyFill="1" applyBorder="1" applyAlignment="1">
      <alignment horizontal="center" vertical="center" wrapText="1"/>
    </xf>
    <xf numFmtId="2" fontId="52" fillId="0" borderId="61" xfId="547" applyNumberFormat="1" applyFont="1" applyBorder="1" applyAlignment="1">
      <alignment horizontal="center"/>
    </xf>
    <xf numFmtId="0" fontId="95" fillId="3" borderId="0" xfId="551" applyFont="1" applyFill="1"/>
    <xf numFmtId="0" fontId="44" fillId="0" borderId="0" xfId="546" applyFont="1" applyAlignment="1">
      <alignment horizontal="right" vertical="center" wrapText="1"/>
    </xf>
    <xf numFmtId="0" fontId="44" fillId="3" borderId="0" xfId="546" applyFont="1" applyFill="1" applyAlignment="1">
      <alignment horizontal="center" vertical="center" wrapText="1"/>
    </xf>
    <xf numFmtId="0" fontId="52" fillId="3" borderId="0" xfId="546" applyFont="1" applyFill="1" applyAlignment="1">
      <alignment horizontal="left"/>
    </xf>
    <xf numFmtId="0" fontId="43" fillId="3" borderId="0" xfId="546" applyFont="1" applyFill="1" applyAlignment="1">
      <alignment horizontal="left"/>
    </xf>
    <xf numFmtId="0" fontId="52" fillId="3" borderId="0" xfId="546" applyFont="1" applyFill="1"/>
    <xf numFmtId="0" fontId="93" fillId="3" borderId="0" xfId="546" applyFont="1" applyFill="1" applyAlignment="1">
      <alignment horizontal="center" vertical="center" wrapText="1"/>
    </xf>
    <xf numFmtId="14" fontId="44" fillId="0" borderId="1" xfId="506" applyNumberFormat="1" applyFont="1" applyBorder="1" applyAlignment="1" applyProtection="1">
      <alignment horizontal="center" vertical="center" textRotation="90" wrapText="1"/>
      <protection hidden="1"/>
    </xf>
    <xf numFmtId="0" fontId="164" fillId="0" borderId="1" xfId="506" applyFont="1" applyBorder="1" applyAlignment="1" applyProtection="1">
      <alignment horizontal="center" vertical="center" wrapText="1"/>
      <protection hidden="1"/>
    </xf>
    <xf numFmtId="0" fontId="152" fillId="0" borderId="1" xfId="506" applyFont="1" applyBorder="1" applyAlignment="1" applyProtection="1">
      <alignment horizontal="left" vertical="center" wrapText="1"/>
      <protection hidden="1"/>
    </xf>
    <xf numFmtId="0" fontId="164" fillId="31" borderId="1" xfId="506" applyFont="1" applyFill="1" applyBorder="1" applyAlignment="1" applyProtection="1">
      <alignment horizontal="center" vertical="center" wrapText="1"/>
      <protection hidden="1"/>
    </xf>
    <xf numFmtId="0" fontId="164" fillId="3" borderId="0" xfId="506" applyFont="1" applyFill="1" applyAlignment="1" applyProtection="1">
      <alignment vertical="center" wrapText="1"/>
      <protection locked="0"/>
    </xf>
    <xf numFmtId="0" fontId="164" fillId="0" borderId="0" xfId="506" applyFont="1" applyAlignment="1" applyProtection="1">
      <alignment vertical="center" wrapText="1"/>
      <protection locked="0"/>
    </xf>
    <xf numFmtId="2" fontId="152" fillId="0" borderId="0" xfId="506" applyNumberFormat="1" applyFont="1" applyAlignment="1" applyProtection="1">
      <alignment horizontal="left" vertical="center" wrapText="1"/>
      <protection hidden="1"/>
    </xf>
    <xf numFmtId="0" fontId="43" fillId="0" borderId="71" xfId="552" applyFont="1" applyBorder="1" applyAlignment="1">
      <alignment horizontal="left" indent="1"/>
    </xf>
    <xf numFmtId="0" fontId="52" fillId="0" borderId="6" xfId="552" applyFont="1" applyBorder="1" applyAlignment="1">
      <alignment horizontal="left" indent="1"/>
    </xf>
    <xf numFmtId="0" fontId="52" fillId="0" borderId="6" xfId="552" applyFont="1" applyBorder="1"/>
    <xf numFmtId="0" fontId="43" fillId="0" borderId="1" xfId="552" applyFont="1" applyBorder="1" applyAlignment="1">
      <alignment wrapText="1"/>
    </xf>
    <xf numFmtId="0" fontId="43" fillId="0" borderId="5" xfId="552" applyFont="1" applyBorder="1"/>
    <xf numFmtId="0" fontId="43" fillId="0" borderId="69" xfId="552" applyFont="1" applyBorder="1"/>
    <xf numFmtId="0" fontId="43" fillId="0" borderId="38" xfId="552" applyFont="1" applyBorder="1"/>
    <xf numFmtId="2" fontId="43" fillId="0" borderId="77" xfId="552" applyNumberFormat="1" applyFont="1" applyBorder="1"/>
    <xf numFmtId="2" fontId="43" fillId="0" borderId="78" xfId="552" applyNumberFormat="1" applyFont="1" applyBorder="1"/>
    <xf numFmtId="2" fontId="43" fillId="0" borderId="97" xfId="552" applyNumberFormat="1" applyFont="1" applyBorder="1"/>
    <xf numFmtId="2" fontId="43" fillId="0" borderId="92" xfId="552" applyNumberFormat="1" applyFont="1" applyBorder="1"/>
    <xf numFmtId="2" fontId="43" fillId="0" borderId="126" xfId="552" applyNumberFormat="1" applyFont="1" applyBorder="1"/>
    <xf numFmtId="0" fontId="43" fillId="3" borderId="0" xfId="552" applyFont="1" applyFill="1"/>
    <xf numFmtId="0" fontId="93" fillId="3" borderId="0" xfId="506" applyFont="1" applyFill="1" applyAlignment="1">
      <alignment vertical="center"/>
    </xf>
    <xf numFmtId="0" fontId="93" fillId="3" borderId="0" xfId="506" applyFont="1" applyFill="1" applyAlignment="1">
      <alignment horizontal="center" vertical="center"/>
    </xf>
    <xf numFmtId="0" fontId="44" fillId="3" borderId="0" xfId="506" applyFont="1" applyFill="1"/>
    <xf numFmtId="175" fontId="44" fillId="0" borderId="5" xfId="506" applyNumberFormat="1" applyFont="1" applyBorder="1" applyAlignment="1">
      <alignment horizontal="center"/>
    </xf>
    <xf numFmtId="175" fontId="44" fillId="0" borderId="9" xfId="506" applyNumberFormat="1" applyFont="1" applyBorder="1" applyAlignment="1">
      <alignment horizontal="center"/>
    </xf>
    <xf numFmtId="175" fontId="44" fillId="31" borderId="9" xfId="506" applyNumberFormat="1" applyFont="1" applyFill="1" applyBorder="1" applyAlignment="1">
      <alignment horizontal="center"/>
    </xf>
    <xf numFmtId="0" fontId="52" fillId="0" borderId="63" xfId="0" applyFont="1" applyBorder="1" applyAlignment="1">
      <alignment horizontal="center"/>
    </xf>
    <xf numFmtId="0" fontId="52" fillId="0" borderId="98" xfId="0" applyFont="1" applyBorder="1" applyAlignment="1">
      <alignment horizontal="center"/>
    </xf>
    <xf numFmtId="0" fontId="52" fillId="0" borderId="60" xfId="0" applyFont="1" applyBorder="1" applyAlignment="1">
      <alignment horizontal="center"/>
    </xf>
    <xf numFmtId="0" fontId="93" fillId="0" borderId="36" xfId="506" applyFont="1" applyBorder="1" applyAlignment="1">
      <alignment horizontal="center"/>
    </xf>
    <xf numFmtId="0" fontId="52" fillId="0" borderId="68" xfId="0" applyFont="1" applyBorder="1"/>
    <xf numFmtId="0" fontId="52" fillId="0" borderId="54" xfId="0" applyFont="1" applyBorder="1" applyAlignment="1">
      <alignment horizontal="center"/>
    </xf>
    <xf numFmtId="2" fontId="52" fillId="0" borderId="55" xfId="0" applyNumberFormat="1" applyFont="1" applyBorder="1" applyAlignment="1">
      <alignment horizontal="center"/>
    </xf>
    <xf numFmtId="0" fontId="52" fillId="0" borderId="44" xfId="0" applyFont="1" applyBorder="1" applyAlignment="1">
      <alignment horizontal="center"/>
    </xf>
    <xf numFmtId="0" fontId="44" fillId="0" borderId="35" xfId="506" applyFont="1" applyBorder="1"/>
    <xf numFmtId="0" fontId="52" fillId="0" borderId="62" xfId="0" applyFont="1" applyBorder="1" applyAlignment="1">
      <alignment horizontal="center"/>
    </xf>
    <xf numFmtId="0" fontId="52" fillId="3" borderId="0" xfId="506" applyFont="1" applyFill="1" applyAlignment="1" applyProtection="1">
      <alignment vertical="center" wrapText="1"/>
      <protection locked="0"/>
    </xf>
    <xf numFmtId="0" fontId="101" fillId="34" borderId="0" xfId="448" applyFont="1" applyFill="1"/>
    <xf numFmtId="0" fontId="101" fillId="34" borderId="0" xfId="448" applyFont="1" applyFill="1" applyAlignment="1">
      <alignment horizontal="center"/>
    </xf>
    <xf numFmtId="2" fontId="153" fillId="3" borderId="5" xfId="506" applyNumberFormat="1" applyFont="1" applyFill="1" applyBorder="1" applyAlignment="1" applyProtection="1">
      <alignment vertical="center" wrapText="1"/>
      <protection hidden="1"/>
    </xf>
    <xf numFmtId="0" fontId="149" fillId="0" borderId="0" xfId="506" applyFont="1" applyAlignment="1">
      <alignment vertical="top"/>
    </xf>
    <xf numFmtId="179" fontId="155" fillId="0" borderId="0" xfId="116" applyNumberFormat="1" applyFont="1"/>
    <xf numFmtId="0" fontId="52" fillId="0" borderId="31" xfId="552" applyFont="1" applyBorder="1"/>
    <xf numFmtId="0" fontId="43" fillId="0" borderId="56" xfId="552" applyFont="1" applyBorder="1"/>
    <xf numFmtId="0" fontId="43" fillId="0" borderId="90" xfId="552" applyFont="1" applyBorder="1"/>
    <xf numFmtId="2" fontId="43" fillId="0" borderId="29" xfId="552" applyNumberFormat="1" applyFont="1" applyBorder="1"/>
    <xf numFmtId="2" fontId="35" fillId="0" borderId="0" xfId="5" applyNumberFormat="1"/>
    <xf numFmtId="0" fontId="51" fillId="31" borderId="30" xfId="448" applyFont="1" applyFill="1" applyBorder="1" applyAlignment="1">
      <alignment horizontal="center"/>
    </xf>
    <xf numFmtId="0" fontId="51" fillId="31" borderId="6" xfId="448" applyFont="1" applyFill="1" applyBorder="1" applyAlignment="1">
      <alignment horizontal="center" wrapText="1"/>
    </xf>
    <xf numFmtId="0" fontId="133" fillId="0" borderId="99" xfId="448" applyFont="1" applyBorder="1"/>
    <xf numFmtId="0" fontId="133" fillId="0" borderId="102" xfId="448" applyFont="1" applyBorder="1"/>
    <xf numFmtId="0" fontId="133" fillId="0" borderId="103" xfId="448" applyFont="1" applyBorder="1"/>
    <xf numFmtId="0" fontId="133" fillId="0" borderId="106" xfId="448" applyFont="1" applyBorder="1"/>
    <xf numFmtId="177" fontId="145" fillId="31" borderId="108" xfId="448" applyNumberFormat="1" applyFont="1" applyFill="1" applyBorder="1" applyAlignment="1">
      <alignment horizontal="center"/>
    </xf>
    <xf numFmtId="177" fontId="145" fillId="31" borderId="111" xfId="448" applyNumberFormat="1" applyFont="1" applyFill="1" applyBorder="1" applyAlignment="1">
      <alignment horizontal="center"/>
    </xf>
    <xf numFmtId="0" fontId="51" fillId="34" borderId="134" xfId="448" applyFont="1" applyFill="1" applyBorder="1" applyAlignment="1">
      <alignment vertical="center"/>
    </xf>
    <xf numFmtId="0" fontId="51" fillId="34" borderId="135" xfId="448" applyFont="1" applyFill="1" applyBorder="1" applyAlignment="1">
      <alignment horizontal="center"/>
    </xf>
    <xf numFmtId="0" fontId="51" fillId="34" borderId="136" xfId="448" applyFont="1" applyFill="1" applyBorder="1" applyAlignment="1">
      <alignment horizontal="center" vertical="center" wrapText="1"/>
    </xf>
    <xf numFmtId="2" fontId="51" fillId="0" borderId="128" xfId="448" applyNumberFormat="1" applyFont="1" applyBorder="1" applyAlignment="1">
      <alignment horizontal="center"/>
    </xf>
    <xf numFmtId="2" fontId="51" fillId="0" borderId="137" xfId="448" applyNumberFormat="1" applyFont="1" applyBorder="1" applyAlignment="1">
      <alignment horizontal="center"/>
    </xf>
    <xf numFmtId="191" fontId="36" fillId="0" borderId="0" xfId="240" applyNumberFormat="1" applyFont="1"/>
    <xf numFmtId="0" fontId="42" fillId="0" borderId="0" xfId="240" applyFont="1" applyProtection="1">
      <protection locked="0"/>
    </xf>
    <xf numFmtId="0" fontId="47" fillId="0" borderId="0" xfId="240" applyFont="1" applyProtection="1">
      <protection locked="0"/>
    </xf>
    <xf numFmtId="0" fontId="187" fillId="0" borderId="0" xfId="240" applyFont="1" applyProtection="1">
      <protection locked="0"/>
    </xf>
    <xf numFmtId="0" fontId="187" fillId="0" borderId="0" xfId="240" applyFont="1"/>
    <xf numFmtId="2" fontId="47" fillId="0" borderId="0" xfId="240" applyNumberFormat="1" applyFont="1" applyProtection="1">
      <protection locked="0"/>
    </xf>
    <xf numFmtId="4" fontId="47" fillId="0" borderId="0" xfId="240" applyNumberFormat="1" applyFont="1" applyProtection="1">
      <protection locked="0"/>
    </xf>
    <xf numFmtId="2" fontId="28" fillId="0" borderId="0" xfId="240" applyNumberFormat="1" applyProtection="1">
      <protection locked="0"/>
    </xf>
    <xf numFmtId="4" fontId="28" fillId="0" borderId="0" xfId="240" applyNumberFormat="1" applyProtection="1">
      <protection locked="0"/>
    </xf>
    <xf numFmtId="0" fontId="0" fillId="0" borderId="28" xfId="0" applyBorder="1" applyAlignment="1">
      <alignment horizontal="left" indent="8"/>
    </xf>
    <xf numFmtId="0" fontId="0" fillId="0" borderId="29" xfId="0" applyBorder="1" applyAlignment="1">
      <alignment horizontal="left" indent="8"/>
    </xf>
    <xf numFmtId="0" fontId="43" fillId="0" borderId="4" xfId="552" applyFont="1" applyBorder="1" applyAlignment="1">
      <alignment vertical="center"/>
    </xf>
    <xf numFmtId="4" fontId="43" fillId="0" borderId="4" xfId="552" applyNumberFormat="1" applyFont="1" applyBorder="1" applyAlignment="1">
      <alignment vertical="center"/>
    </xf>
    <xf numFmtId="0" fontId="99" fillId="62" borderId="69" xfId="552" applyFont="1" applyFill="1" applyBorder="1" applyAlignment="1">
      <alignment wrapText="1"/>
    </xf>
    <xf numFmtId="0" fontId="99" fillId="62" borderId="7" xfId="552" applyFont="1" applyFill="1" applyBorder="1" applyAlignment="1">
      <alignment wrapText="1"/>
    </xf>
    <xf numFmtId="0" fontId="181" fillId="62" borderId="86" xfId="552" applyFont="1" applyFill="1" applyBorder="1" applyAlignment="1">
      <alignment wrapText="1"/>
    </xf>
    <xf numFmtId="0" fontId="99" fillId="62" borderId="89" xfId="552" applyFont="1" applyFill="1" applyBorder="1" applyAlignment="1">
      <alignment horizontal="center" vertical="center"/>
    </xf>
    <xf numFmtId="0" fontId="99" fillId="62" borderId="67" xfId="552" applyFont="1" applyFill="1" applyBorder="1" applyAlignment="1">
      <alignment horizontal="center" vertical="center"/>
    </xf>
    <xf numFmtId="0" fontId="181" fillId="62" borderId="68" xfId="552" applyFont="1" applyFill="1" applyBorder="1" applyAlignment="1">
      <alignment horizontal="center" vertical="center"/>
    </xf>
    <xf numFmtId="0" fontId="19" fillId="0" borderId="0" xfId="240" applyFont="1"/>
    <xf numFmtId="4" fontId="28" fillId="0" borderId="0" xfId="240" applyNumberFormat="1"/>
    <xf numFmtId="10" fontId="28" fillId="0" borderId="0" xfId="240" applyNumberFormat="1"/>
    <xf numFmtId="2" fontId="42" fillId="0" borderId="0" xfId="240" applyNumberFormat="1" applyFont="1" applyProtection="1">
      <protection locked="0"/>
    </xf>
    <xf numFmtId="0" fontId="43" fillId="30" borderId="1" xfId="0" applyFont="1" applyFill="1" applyBorder="1" applyAlignment="1">
      <alignment horizontal="right" vertical="center"/>
    </xf>
    <xf numFmtId="0" fontId="18" fillId="0" borderId="0" xfId="6" applyFont="1"/>
    <xf numFmtId="0" fontId="119" fillId="0" borderId="0" xfId="6" applyFont="1"/>
    <xf numFmtId="0" fontId="17" fillId="0" borderId="0" xfId="6" applyFont="1"/>
    <xf numFmtId="0" fontId="30" fillId="0" borderId="0" xfId="6" applyFont="1"/>
    <xf numFmtId="179" fontId="44" fillId="0" borderId="0" xfId="0" applyNumberFormat="1" applyFont="1"/>
    <xf numFmtId="177" fontId="44" fillId="0" borderId="0" xfId="0" applyNumberFormat="1" applyFont="1"/>
    <xf numFmtId="2" fontId="44" fillId="0" borderId="1" xfId="0" applyNumberFormat="1" applyFont="1" applyBorder="1" applyAlignment="1">
      <alignment horizontal="right" vertical="center"/>
    </xf>
    <xf numFmtId="2" fontId="51" fillId="2" borderId="0" xfId="116" applyNumberFormat="1" applyFont="1" applyFill="1"/>
    <xf numFmtId="0" fontId="51" fillId="2" borderId="0" xfId="116" applyFont="1" applyFill="1"/>
    <xf numFmtId="2" fontId="133" fillId="2" borderId="0" xfId="116" applyNumberFormat="1" applyFont="1" applyFill="1"/>
    <xf numFmtId="2" fontId="51" fillId="2" borderId="0" xfId="116" applyNumberFormat="1" applyFont="1" applyFill="1" applyAlignment="1">
      <alignment horizontal="left"/>
    </xf>
    <xf numFmtId="2" fontId="133" fillId="2" borderId="0" xfId="116" applyNumberFormat="1" applyFont="1" applyFill="1" applyAlignment="1">
      <alignment horizontal="left"/>
    </xf>
    <xf numFmtId="0" fontId="16" fillId="0" borderId="0" xfId="240" applyFont="1"/>
    <xf numFmtId="2" fontId="15" fillId="0" borderId="0" xfId="6" applyNumberFormat="1" applyFont="1" applyAlignment="1">
      <alignment horizontal="center" vertical="center" wrapText="1"/>
    </xf>
    <xf numFmtId="49" fontId="101" fillId="0" borderId="0" xfId="556" applyNumberFormat="1" applyFont="1" applyAlignment="1">
      <alignment horizontal="center" vertical="center"/>
    </xf>
    <xf numFmtId="0" fontId="119" fillId="0" borderId="0" xfId="556" applyFont="1"/>
    <xf numFmtId="0" fontId="43" fillId="0" borderId="0" xfId="557" applyFont="1" applyAlignment="1">
      <alignment vertical="top" wrapText="1"/>
    </xf>
    <xf numFmtId="0" fontId="14" fillId="0" borderId="0" xfId="556"/>
    <xf numFmtId="0" fontId="119" fillId="34" borderId="0" xfId="556" applyFont="1" applyFill="1"/>
    <xf numFmtId="0" fontId="51" fillId="0" borderId="1" xfId="556" applyFont="1" applyBorder="1" applyAlignment="1">
      <alignment horizontal="center" vertical="center" wrapText="1"/>
    </xf>
    <xf numFmtId="0" fontId="51" fillId="34" borderId="1" xfId="556" applyFont="1" applyFill="1" applyBorder="1" applyAlignment="1">
      <alignment horizontal="center" vertical="center" wrapText="1"/>
    </xf>
    <xf numFmtId="49" fontId="136" fillId="0" borderId="1" xfId="556" applyNumberFormat="1" applyFont="1" applyBorder="1" applyAlignment="1">
      <alignment horizontal="center" vertical="center"/>
    </xf>
    <xf numFmtId="0" fontId="136" fillId="0" borderId="1" xfId="556" applyFont="1" applyBorder="1" applyAlignment="1">
      <alignment vertical="center" wrapText="1"/>
    </xf>
    <xf numFmtId="0" fontId="101" fillId="0" borderId="1" xfId="556" applyFont="1" applyBorder="1" applyAlignment="1">
      <alignment horizontal="center" vertical="center" wrapText="1"/>
    </xf>
    <xf numFmtId="0" fontId="101" fillId="0" borderId="1" xfId="556" applyFont="1" applyBorder="1" applyAlignment="1">
      <alignment horizontal="left" vertical="center" wrapText="1"/>
    </xf>
    <xf numFmtId="2" fontId="101" fillId="34" borderId="1" xfId="556" applyNumberFormat="1" applyFont="1" applyFill="1" applyBorder="1" applyAlignment="1">
      <alignment horizontal="center" vertical="center" wrapText="1"/>
    </xf>
    <xf numFmtId="0" fontId="44" fillId="0" borderId="0" xfId="556" applyFont="1" applyAlignment="1">
      <alignment vertical="center" wrapText="1"/>
    </xf>
    <xf numFmtId="0" fontId="44" fillId="0" borderId="0" xfId="556" applyFont="1" applyAlignment="1">
      <alignment horizontal="center" vertical="center" wrapText="1"/>
    </xf>
    <xf numFmtId="0" fontId="101" fillId="34" borderId="1" xfId="556" applyFont="1" applyFill="1" applyBorder="1" applyAlignment="1">
      <alignment horizontal="center" vertical="center" wrapText="1"/>
    </xf>
    <xf numFmtId="0" fontId="136" fillId="34" borderId="1" xfId="556" applyFont="1" applyFill="1" applyBorder="1" applyAlignment="1">
      <alignment vertical="center" wrapText="1"/>
    </xf>
    <xf numFmtId="0" fontId="101" fillId="34" borderId="1" xfId="556" applyFont="1" applyFill="1" applyBorder="1" applyAlignment="1">
      <alignment vertical="center" wrapText="1"/>
    </xf>
    <xf numFmtId="0" fontId="101" fillId="0" borderId="1" xfId="556" applyFont="1" applyBorder="1" applyAlignment="1">
      <alignment vertical="center" wrapText="1"/>
    </xf>
    <xf numFmtId="0" fontId="136" fillId="0" borderId="79" xfId="556" applyFont="1" applyBorder="1" applyAlignment="1">
      <alignment vertical="center" wrapText="1"/>
    </xf>
    <xf numFmtId="0" fontId="14" fillId="34" borderId="0" xfId="556" applyFill="1"/>
    <xf numFmtId="0" fontId="136" fillId="0" borderId="1" xfId="556" applyFont="1" applyBorder="1" applyAlignment="1">
      <alignment horizontal="left" vertical="center" wrapText="1"/>
    </xf>
    <xf numFmtId="0" fontId="101" fillId="0" borderId="0" xfId="556" applyFont="1" applyAlignment="1">
      <alignment vertical="center" wrapText="1"/>
    </xf>
    <xf numFmtId="0" fontId="101" fillId="0" borderId="0" xfId="556" applyFont="1" applyAlignment="1">
      <alignment horizontal="center" vertical="center" wrapText="1"/>
    </xf>
    <xf numFmtId="0" fontId="101" fillId="34" borderId="0" xfId="556" applyFont="1" applyFill="1" applyAlignment="1">
      <alignment horizontal="center" vertical="center" wrapText="1"/>
    </xf>
    <xf numFmtId="0" fontId="101" fillId="34" borderId="0" xfId="556" applyFont="1" applyFill="1" applyAlignment="1">
      <alignment vertical="center"/>
    </xf>
    <xf numFmtId="0" fontId="51" fillId="0" borderId="0" xfId="556" applyFont="1" applyAlignment="1">
      <alignment vertical="center"/>
    </xf>
    <xf numFmtId="0" fontId="54" fillId="0" borderId="0" xfId="556" applyFont="1" applyAlignment="1">
      <alignment vertical="center"/>
    </xf>
    <xf numFmtId="0" fontId="101" fillId="0" borderId="0" xfId="556" applyFont="1" applyAlignment="1">
      <alignment vertical="center"/>
    </xf>
    <xf numFmtId="0" fontId="137" fillId="34" borderId="0" xfId="556" applyFont="1" applyFill="1" applyAlignment="1">
      <alignment vertical="center"/>
    </xf>
    <xf numFmtId="0" fontId="136" fillId="34" borderId="0" xfId="556" applyFont="1" applyFill="1" applyAlignment="1">
      <alignment vertical="center"/>
    </xf>
    <xf numFmtId="0" fontId="101" fillId="0" borderId="0" xfId="556" applyFont="1" applyAlignment="1">
      <alignment horizontal="left" vertical="center"/>
    </xf>
    <xf numFmtId="0" fontId="101" fillId="34" borderId="0" xfId="556" applyFont="1" applyFill="1" applyAlignment="1">
      <alignment horizontal="left" vertical="center"/>
    </xf>
    <xf numFmtId="0" fontId="193" fillId="0" borderId="0" xfId="556" applyFont="1" applyAlignment="1">
      <alignment vertical="center"/>
    </xf>
    <xf numFmtId="0" fontId="136" fillId="0" borderId="0" xfId="556" applyFont="1" applyAlignment="1">
      <alignment vertical="center"/>
    </xf>
    <xf numFmtId="49" fontId="44" fillId="0" borderId="0" xfId="556" applyNumberFormat="1" applyFont="1" applyAlignment="1">
      <alignment horizontal="center" vertical="center"/>
    </xf>
    <xf numFmtId="2" fontId="14" fillId="0" borderId="0" xfId="556" applyNumberFormat="1"/>
    <xf numFmtId="1" fontId="101" fillId="0" borderId="1" xfId="556" applyNumberFormat="1" applyFont="1" applyBorder="1" applyAlignment="1">
      <alignment horizontal="center" vertical="center" wrapText="1"/>
    </xf>
    <xf numFmtId="0" fontId="101" fillId="30" borderId="1" xfId="556" applyFont="1" applyFill="1" applyBorder="1" applyAlignment="1">
      <alignment horizontal="center" vertical="center" wrapText="1"/>
    </xf>
    <xf numFmtId="1" fontId="101" fillId="34" borderId="1" xfId="556" applyNumberFormat="1" applyFont="1" applyFill="1" applyBorder="1" applyAlignment="1">
      <alignment horizontal="center" vertical="center" wrapText="1"/>
    </xf>
    <xf numFmtId="0" fontId="101" fillId="0" borderId="45" xfId="556" applyFont="1" applyBorder="1" applyAlignment="1">
      <alignment horizontal="center" vertical="center" wrapText="1"/>
    </xf>
    <xf numFmtId="177" fontId="101" fillId="0" borderId="1" xfId="556" applyNumberFormat="1" applyFont="1" applyBorder="1" applyAlignment="1">
      <alignment horizontal="center" vertical="center" wrapText="1"/>
    </xf>
    <xf numFmtId="177" fontId="101" fillId="34" borderId="1" xfId="556" applyNumberFormat="1" applyFont="1" applyFill="1" applyBorder="1" applyAlignment="1">
      <alignment horizontal="center" vertical="center" wrapText="1"/>
    </xf>
    <xf numFmtId="0" fontId="101" fillId="0" borderId="3" xfId="556" applyFont="1" applyBorder="1" applyAlignment="1">
      <alignment horizontal="center" vertical="center" wrapText="1"/>
    </xf>
    <xf numFmtId="177" fontId="101" fillId="0" borderId="40" xfId="556" applyNumberFormat="1" applyFont="1" applyBorder="1" applyAlignment="1">
      <alignment horizontal="center" vertical="center" wrapText="1"/>
    </xf>
    <xf numFmtId="2" fontId="101" fillId="0" borderId="40" xfId="556" applyNumberFormat="1" applyFont="1" applyBorder="1" applyAlignment="1">
      <alignment horizontal="center" vertical="center" wrapText="1"/>
    </xf>
    <xf numFmtId="187" fontId="43" fillId="0" borderId="1" xfId="5" applyNumberFormat="1" applyFont="1" applyBorder="1"/>
    <xf numFmtId="2" fontId="101" fillId="0" borderId="1" xfId="556" applyNumberFormat="1" applyFont="1" applyBorder="1" applyAlignment="1">
      <alignment horizontal="center" vertical="center" wrapText="1"/>
    </xf>
    <xf numFmtId="192" fontId="133" fillId="0" borderId="0" xfId="116" applyNumberFormat="1" applyFont="1" applyAlignment="1">
      <alignment horizontal="left"/>
    </xf>
    <xf numFmtId="0" fontId="101" fillId="34" borderId="40" xfId="556" applyFont="1" applyFill="1" applyBorder="1" applyAlignment="1">
      <alignment horizontal="center" vertical="center" wrapText="1"/>
    </xf>
    <xf numFmtId="0" fontId="101" fillId="34" borderId="46" xfId="556" applyFont="1" applyFill="1" applyBorder="1" applyAlignment="1">
      <alignment horizontal="center" vertical="center" wrapText="1"/>
    </xf>
    <xf numFmtId="2" fontId="114" fillId="0" borderId="0" xfId="240" applyNumberFormat="1" applyFont="1"/>
    <xf numFmtId="4" fontId="177" fillId="0" borderId="0" xfId="240" applyNumberFormat="1" applyFont="1"/>
    <xf numFmtId="177" fontId="14" fillId="0" borderId="0" xfId="556" applyNumberFormat="1"/>
    <xf numFmtId="0" fontId="44" fillId="0" borderId="36" xfId="0" applyFont="1" applyBorder="1"/>
    <xf numFmtId="0" fontId="101" fillId="0" borderId="6" xfId="0" applyFont="1" applyBorder="1" applyAlignment="1">
      <alignment horizontal="center" wrapText="1"/>
    </xf>
    <xf numFmtId="0" fontId="93" fillId="0" borderId="26" xfId="0" applyFont="1" applyBorder="1"/>
    <xf numFmtId="0" fontId="44" fillId="0" borderId="34" xfId="0" applyFont="1" applyBorder="1"/>
    <xf numFmtId="0" fontId="44" fillId="0" borderId="26" xfId="0" applyFont="1" applyBorder="1"/>
    <xf numFmtId="0" fontId="44" fillId="0" borderId="33" xfId="0" applyFont="1" applyBorder="1" applyAlignment="1">
      <alignment horizontal="center"/>
    </xf>
    <xf numFmtId="0" fontId="44" fillId="0" borderId="28" xfId="0" applyFont="1" applyBorder="1" applyAlignment="1">
      <alignment wrapText="1"/>
    </xf>
    <xf numFmtId="0" fontId="44" fillId="0" borderId="30" xfId="0" applyFont="1" applyBorder="1" applyAlignment="1">
      <alignment wrapText="1"/>
    </xf>
    <xf numFmtId="0" fontId="44" fillId="0" borderId="6" xfId="0" applyFont="1" applyBorder="1" applyAlignment="1">
      <alignment horizontal="center" wrapText="1"/>
    </xf>
    <xf numFmtId="0" fontId="44" fillId="0" borderId="26" xfId="0" applyFont="1" applyBorder="1" applyAlignment="1">
      <alignment wrapText="1"/>
    </xf>
    <xf numFmtId="0" fontId="44" fillId="0" borderId="34" xfId="0" applyFont="1" applyBorder="1" applyAlignment="1">
      <alignment horizontal="center" wrapText="1"/>
    </xf>
    <xf numFmtId="0" fontId="44" fillId="0" borderId="33" xfId="0" applyFont="1" applyBorder="1" applyAlignment="1">
      <alignment horizontal="center" wrapText="1"/>
    </xf>
    <xf numFmtId="0" fontId="43" fillId="0" borderId="32" xfId="0" applyFont="1" applyBorder="1"/>
    <xf numFmtId="0" fontId="42" fillId="0" borderId="32" xfId="0" applyFont="1" applyBorder="1" applyAlignment="1">
      <alignment horizontal="center" wrapText="1"/>
    </xf>
    <xf numFmtId="10" fontId="44" fillId="0" borderId="32" xfId="0" applyNumberFormat="1" applyFont="1" applyBorder="1" applyAlignment="1">
      <alignment horizontal="center"/>
    </xf>
    <xf numFmtId="0" fontId="44" fillId="0" borderId="23" xfId="0" applyFont="1" applyBorder="1" applyAlignment="1">
      <alignment horizontal="left" indent="1"/>
    </xf>
    <xf numFmtId="9" fontId="44" fillId="0" borderId="23" xfId="0" applyNumberFormat="1" applyFont="1" applyBorder="1" applyAlignment="1">
      <alignment horizontal="center"/>
    </xf>
    <xf numFmtId="0" fontId="44" fillId="0" borderId="23" xfId="0" applyFont="1" applyBorder="1"/>
    <xf numFmtId="170" fontId="44" fillId="0" borderId="32" xfId="0" applyNumberFormat="1" applyFont="1" applyBorder="1" applyAlignment="1">
      <alignment horizontal="center" wrapText="1"/>
    </xf>
    <xf numFmtId="10" fontId="44" fillId="0" borderId="6" xfId="0" applyNumberFormat="1" applyFont="1" applyBorder="1" applyAlignment="1">
      <alignment horizontal="center"/>
    </xf>
    <xf numFmtId="0" fontId="44" fillId="0" borderId="6" xfId="0" applyFont="1" applyBorder="1"/>
    <xf numFmtId="4" fontId="42" fillId="0" borderId="0" xfId="240" applyNumberFormat="1" applyFont="1" applyProtection="1">
      <protection locked="0"/>
    </xf>
    <xf numFmtId="0" fontId="136" fillId="0" borderId="1" xfId="556" applyFont="1" applyBorder="1" applyAlignment="1">
      <alignment horizontal="center" vertical="center" wrapText="1"/>
    </xf>
    <xf numFmtId="0" fontId="101" fillId="0" borderId="40" xfId="556" applyFont="1" applyBorder="1" applyAlignment="1">
      <alignment horizontal="center" vertical="center" wrapText="1"/>
    </xf>
    <xf numFmtId="4" fontId="42" fillId="30" borderId="0" xfId="240" applyNumberFormat="1" applyFont="1" applyFill="1" applyProtection="1">
      <protection locked="0"/>
    </xf>
    <xf numFmtId="0" fontId="42" fillId="30" borderId="0" xfId="240" applyFont="1" applyFill="1" applyProtection="1">
      <protection locked="0"/>
    </xf>
    <xf numFmtId="2" fontId="52" fillId="0" borderId="1" xfId="5" applyNumberFormat="1" applyFont="1" applyBorder="1"/>
    <xf numFmtId="187" fontId="52" fillId="0" borderId="1" xfId="5" applyNumberFormat="1" applyFont="1" applyBorder="1"/>
    <xf numFmtId="0" fontId="52" fillId="0" borderId="28" xfId="6" applyFont="1" applyBorder="1" applyAlignment="1">
      <alignment horizontal="left" vertical="center" wrapText="1"/>
    </xf>
    <xf numFmtId="0" fontId="136" fillId="0" borderId="44" xfId="556" applyFont="1" applyBorder="1" applyAlignment="1">
      <alignment horizontal="left" vertical="center" wrapText="1"/>
    </xf>
    <xf numFmtId="0" fontId="42" fillId="0" borderId="39" xfId="0" applyFont="1" applyBorder="1" applyAlignment="1">
      <alignment vertical="center" wrapText="1"/>
    </xf>
    <xf numFmtId="0" fontId="42" fillId="0" borderId="7" xfId="240" applyFont="1" applyBorder="1" applyAlignment="1">
      <alignment vertical="center" wrapText="1"/>
    </xf>
    <xf numFmtId="0" fontId="13" fillId="0" borderId="0" xfId="556" applyFont="1"/>
    <xf numFmtId="4" fontId="101" fillId="34" borderId="1" xfId="556" applyNumberFormat="1" applyFont="1" applyFill="1" applyBorder="1" applyAlignment="1">
      <alignment horizontal="center" vertical="center" wrapText="1"/>
    </xf>
    <xf numFmtId="49" fontId="136" fillId="0" borderId="3" xfId="556" applyNumberFormat="1" applyFont="1" applyBorder="1" applyAlignment="1">
      <alignment horizontal="center" vertical="center"/>
    </xf>
    <xf numFmtId="0" fontId="136" fillId="0" borderId="3" xfId="556" applyFont="1" applyBorder="1" applyAlignment="1">
      <alignment vertical="center" wrapText="1"/>
    </xf>
    <xf numFmtId="0" fontId="101" fillId="34" borderId="3" xfId="556" applyFont="1" applyFill="1" applyBorder="1" applyAlignment="1">
      <alignment horizontal="center" vertical="center" wrapText="1"/>
    </xf>
    <xf numFmtId="0" fontId="136" fillId="0" borderId="40" xfId="556" applyFont="1" applyBorder="1" applyAlignment="1">
      <alignment horizontal="center" vertical="center" wrapText="1"/>
    </xf>
    <xf numFmtId="49" fontId="101" fillId="0" borderId="39" xfId="556" applyNumberFormat="1" applyFont="1" applyBorder="1" applyAlignment="1">
      <alignment horizontal="center" vertical="center" wrapText="1"/>
    </xf>
    <xf numFmtId="0" fontId="51" fillId="0" borderId="40" xfId="556" applyFont="1" applyBorder="1" applyAlignment="1">
      <alignment horizontal="center" vertical="center" wrapText="1"/>
    </xf>
    <xf numFmtId="49" fontId="136" fillId="0" borderId="39" xfId="556" applyNumberFormat="1" applyFont="1" applyBorder="1" applyAlignment="1">
      <alignment horizontal="center" vertical="center"/>
    </xf>
    <xf numFmtId="49" fontId="101" fillId="0" borderId="39" xfId="556" applyNumberFormat="1" applyFont="1" applyBorder="1" applyAlignment="1">
      <alignment horizontal="center" vertical="center"/>
    </xf>
    <xf numFmtId="2" fontId="101" fillId="34" borderId="40" xfId="556" applyNumberFormat="1" applyFont="1" applyFill="1" applyBorder="1" applyAlignment="1">
      <alignment horizontal="center" vertical="center" wrapText="1"/>
    </xf>
    <xf numFmtId="49" fontId="136" fillId="34" borderId="39" xfId="556" applyNumberFormat="1" applyFont="1" applyFill="1" applyBorder="1" applyAlignment="1">
      <alignment horizontal="center" vertical="center"/>
    </xf>
    <xf numFmtId="1" fontId="101" fillId="0" borderId="40" xfId="556" applyNumberFormat="1" applyFont="1" applyBorder="1" applyAlignment="1">
      <alignment horizontal="center" vertical="center" wrapText="1"/>
    </xf>
    <xf numFmtId="1" fontId="101" fillId="34" borderId="40" xfId="556" applyNumberFormat="1" applyFont="1" applyFill="1" applyBorder="1" applyAlignment="1">
      <alignment horizontal="center" vertical="center" wrapText="1"/>
    </xf>
    <xf numFmtId="49" fontId="136" fillId="0" borderId="44" xfId="556" applyNumberFormat="1" applyFont="1" applyBorder="1" applyAlignment="1">
      <alignment horizontal="center" vertical="center"/>
    </xf>
    <xf numFmtId="0" fontId="136" fillId="0" borderId="45" xfId="556" applyFont="1" applyBorder="1" applyAlignment="1">
      <alignment horizontal="left" vertical="center" wrapText="1"/>
    </xf>
    <xf numFmtId="2" fontId="101" fillId="34" borderId="45" xfId="556" applyNumberFormat="1" applyFont="1" applyFill="1" applyBorder="1" applyAlignment="1">
      <alignment horizontal="center" vertical="center" wrapText="1"/>
    </xf>
    <xf numFmtId="0" fontId="101" fillId="34" borderId="45" xfId="556" applyFont="1" applyFill="1" applyBorder="1" applyAlignment="1">
      <alignment horizontal="center" vertical="center" wrapText="1"/>
    </xf>
    <xf numFmtId="0" fontId="42" fillId="0" borderId="0" xfId="0" applyFont="1" applyAlignment="1">
      <alignment horizontal="center" vertical="center" wrapText="1"/>
    </xf>
    <xf numFmtId="0" fontId="42" fillId="0" borderId="0" xfId="0" applyFont="1"/>
    <xf numFmtId="0" fontId="119" fillId="0" borderId="0" xfId="240" applyFont="1"/>
    <xf numFmtId="0" fontId="194" fillId="0" borderId="0" xfId="240" applyFont="1"/>
    <xf numFmtId="0" fontId="194" fillId="0" borderId="0" xfId="240" applyFont="1" applyAlignment="1">
      <alignment wrapText="1"/>
    </xf>
    <xf numFmtId="0" fontId="92" fillId="0" borderId="0" xfId="0" applyFont="1" applyAlignment="1">
      <alignment horizontal="center"/>
    </xf>
    <xf numFmtId="0" fontId="42" fillId="0" borderId="60" xfId="6" applyFont="1" applyBorder="1" applyAlignment="1">
      <alignment horizontal="center" vertical="center" wrapText="1"/>
    </xf>
    <xf numFmtId="0" fontId="42" fillId="0" borderId="57" xfId="6" applyFont="1" applyBorder="1" applyAlignment="1">
      <alignment horizontal="left" vertical="center" wrapText="1"/>
    </xf>
    <xf numFmtId="0" fontId="42" fillId="0" borderId="44" xfId="6" applyFont="1" applyBorder="1" applyAlignment="1">
      <alignment horizontal="left" vertical="center" wrapText="1"/>
    </xf>
    <xf numFmtId="0" fontId="42" fillId="0" borderId="42" xfId="6" applyFont="1" applyBorder="1" applyAlignment="1">
      <alignment horizontal="left" vertical="center" wrapText="1"/>
    </xf>
    <xf numFmtId="0" fontId="42" fillId="0" borderId="41" xfId="6" applyFont="1" applyBorder="1" applyAlignment="1">
      <alignment horizontal="left" vertical="center" wrapText="1"/>
    </xf>
    <xf numFmtId="0" fontId="47" fillId="0" borderId="57" xfId="6" applyFont="1" applyBorder="1" applyAlignment="1">
      <alignment horizontal="left" vertical="center" wrapText="1"/>
    </xf>
    <xf numFmtId="0" fontId="198" fillId="0" borderId="0" xfId="0" applyFont="1"/>
    <xf numFmtId="0" fontId="198" fillId="0" borderId="0" xfId="0" applyFont="1" applyAlignment="1">
      <alignment wrapText="1"/>
    </xf>
    <xf numFmtId="49" fontId="101" fillId="0" borderId="0" xfId="0" applyNumberFormat="1" applyFont="1"/>
    <xf numFmtId="0" fontId="101" fillId="0" borderId="0" xfId="0" applyFont="1"/>
    <xf numFmtId="2" fontId="101" fillId="0" borderId="0" xfId="0" applyNumberFormat="1" applyFont="1"/>
    <xf numFmtId="0" fontId="136" fillId="0" borderId="45" xfId="0" applyFont="1" applyBorder="1" applyAlignment="1">
      <alignment horizontal="center" vertical="center" wrapText="1"/>
    </xf>
    <xf numFmtId="1" fontId="101" fillId="0" borderId="57" xfId="0" applyNumberFormat="1" applyFont="1" applyBorder="1" applyAlignment="1">
      <alignment horizontal="center" vertical="top" wrapText="1"/>
    </xf>
    <xf numFmtId="1" fontId="101" fillId="0" borderId="58" xfId="0" applyNumberFormat="1" applyFont="1" applyBorder="1" applyAlignment="1">
      <alignment horizontal="center" vertical="top" wrapText="1"/>
    </xf>
    <xf numFmtId="49" fontId="136" fillId="0" borderId="39" xfId="0" applyNumberFormat="1" applyFont="1" applyBorder="1" applyAlignment="1">
      <alignment horizontal="center" vertical="top" wrapText="1"/>
    </xf>
    <xf numFmtId="0" fontId="136" fillId="0" borderId="1" xfId="0" applyFont="1" applyBorder="1" applyAlignment="1">
      <alignment horizontal="left" vertical="top" wrapText="1" indent="1"/>
    </xf>
    <xf numFmtId="0" fontId="136" fillId="0" borderId="1" xfId="0" applyFont="1" applyBorder="1" applyAlignment="1">
      <alignment horizontal="center" vertical="top" wrapText="1"/>
    </xf>
    <xf numFmtId="2" fontId="136" fillId="0" borderId="1" xfId="0" applyNumberFormat="1" applyFont="1" applyBorder="1" applyAlignment="1">
      <alignment horizontal="center" vertical="top" wrapText="1"/>
    </xf>
    <xf numFmtId="49" fontId="101" fillId="0" borderId="39" xfId="0" applyNumberFormat="1" applyFont="1" applyBorder="1" applyAlignment="1">
      <alignment horizontal="center" vertical="top" wrapText="1"/>
    </xf>
    <xf numFmtId="0" fontId="101" fillId="0" borderId="1" xfId="0" applyFont="1" applyBorder="1" applyAlignment="1">
      <alignment horizontal="left" vertical="top" wrapText="1" indent="1"/>
    </xf>
    <xf numFmtId="0" fontId="101" fillId="0" borderId="1" xfId="0" applyFont="1" applyBorder="1" applyAlignment="1">
      <alignment horizontal="center" vertical="top" wrapText="1"/>
    </xf>
    <xf numFmtId="2" fontId="101" fillId="0" borderId="1" xfId="0" applyNumberFormat="1" applyFont="1" applyBorder="1" applyAlignment="1">
      <alignment horizontal="center" vertical="top" wrapText="1"/>
    </xf>
    <xf numFmtId="0" fontId="101" fillId="0" borderId="79" xfId="0" applyFont="1" applyBorder="1" applyAlignment="1">
      <alignment horizontal="left" vertical="top" wrapText="1" indent="1"/>
    </xf>
    <xf numFmtId="10" fontId="101" fillId="0" borderId="1" xfId="0" applyNumberFormat="1" applyFont="1" applyBorder="1" applyAlignment="1">
      <alignment horizontal="center" vertical="top" wrapText="1"/>
    </xf>
    <xf numFmtId="49" fontId="101" fillId="0" borderId="41" xfId="0" applyNumberFormat="1" applyFont="1" applyBorder="1" applyAlignment="1">
      <alignment horizontal="center" vertical="top" wrapText="1"/>
    </xf>
    <xf numFmtId="2" fontId="101" fillId="0" borderId="79" xfId="0" applyNumberFormat="1" applyFont="1" applyBorder="1" applyAlignment="1">
      <alignment horizontal="center" vertical="top" wrapText="1"/>
    </xf>
    <xf numFmtId="0" fontId="101" fillId="0" borderId="58" xfId="0" applyFont="1" applyBorder="1" applyAlignment="1">
      <alignment horizontal="center" vertical="top" wrapText="1"/>
    </xf>
    <xf numFmtId="2" fontId="101" fillId="0" borderId="58" xfId="0" applyNumberFormat="1" applyFont="1" applyBorder="1" applyAlignment="1">
      <alignment horizontal="center" vertical="top" wrapText="1"/>
    </xf>
    <xf numFmtId="0" fontId="101" fillId="0" borderId="45" xfId="0" applyFont="1" applyBorder="1" applyAlignment="1">
      <alignment horizontal="center" vertical="top" wrapText="1"/>
    </xf>
    <xf numFmtId="2" fontId="101" fillId="0" borderId="45" xfId="0" applyNumberFormat="1" applyFont="1" applyBorder="1" applyAlignment="1">
      <alignment horizontal="center" vertical="top" wrapText="1"/>
    </xf>
    <xf numFmtId="0" fontId="101" fillId="0" borderId="3" xfId="0" applyFont="1" applyBorder="1" applyAlignment="1">
      <alignment horizontal="center" vertical="top" wrapText="1"/>
    </xf>
    <xf numFmtId="2" fontId="101" fillId="0" borderId="3" xfId="0" applyNumberFormat="1" applyFont="1" applyBorder="1" applyAlignment="1">
      <alignment horizontal="center" vertical="top" wrapText="1"/>
    </xf>
    <xf numFmtId="0" fontId="101" fillId="0" borderId="79" xfId="0" applyFont="1" applyBorder="1" applyAlignment="1">
      <alignment horizontal="center" vertical="top" wrapText="1"/>
    </xf>
    <xf numFmtId="2" fontId="101" fillId="0" borderId="1" xfId="0" applyNumberFormat="1" applyFont="1" applyBorder="1"/>
    <xf numFmtId="0" fontId="101" fillId="0" borderId="0" xfId="0" applyFont="1" applyAlignment="1">
      <alignment horizontal="center" vertical="top" wrapText="1"/>
    </xf>
    <xf numFmtId="0" fontId="101" fillId="0" borderId="5" xfId="0" applyFont="1" applyBorder="1" applyAlignment="1">
      <alignment horizontal="center" vertical="top" wrapText="1"/>
    </xf>
    <xf numFmtId="0" fontId="101" fillId="0" borderId="5" xfId="0" applyFont="1" applyBorder="1"/>
    <xf numFmtId="49" fontId="101" fillId="0" borderId="0" xfId="0" applyNumberFormat="1" applyFont="1" applyAlignment="1">
      <alignment vertical="top" wrapText="1"/>
    </xf>
    <xf numFmtId="0" fontId="101" fillId="0" borderId="0" xfId="0" applyFont="1" applyAlignment="1">
      <alignment horizontal="center" vertical="top"/>
    </xf>
    <xf numFmtId="0" fontId="101" fillId="0" borderId="0" xfId="0" applyFont="1" applyAlignment="1">
      <alignment vertical="top" wrapText="1"/>
    </xf>
    <xf numFmtId="2" fontId="136" fillId="0" borderId="58" xfId="0" applyNumberFormat="1" applyFont="1" applyBorder="1" applyAlignment="1">
      <alignment horizontal="center" vertical="top" wrapText="1"/>
    </xf>
    <xf numFmtId="0" fontId="101" fillId="0" borderId="39" xfId="0" applyFont="1" applyBorder="1" applyAlignment="1">
      <alignment horizontal="left" vertical="top" wrapText="1" indent="1"/>
    </xf>
    <xf numFmtId="2" fontId="105" fillId="0" borderId="0" xfId="0" applyNumberFormat="1" applyFont="1"/>
    <xf numFmtId="10" fontId="44" fillId="0" borderId="1" xfId="558" applyNumberFormat="1" applyFont="1" applyBorder="1"/>
    <xf numFmtId="2" fontId="133" fillId="0" borderId="0" xfId="0" applyNumberFormat="1" applyFont="1"/>
    <xf numFmtId="0" fontId="93" fillId="0" borderId="1" xfId="0" applyFont="1" applyBorder="1"/>
    <xf numFmtId="9" fontId="93" fillId="0" borderId="1" xfId="0" applyNumberFormat="1" applyFont="1" applyBorder="1"/>
    <xf numFmtId="176" fontId="101" fillId="0" borderId="0" xfId="558" applyNumberFormat="1" applyFont="1" applyFill="1"/>
    <xf numFmtId="0" fontId="101" fillId="0" borderId="0" xfId="0" applyFont="1" applyAlignment="1">
      <alignment horizontal="center" wrapText="1"/>
    </xf>
    <xf numFmtId="2" fontId="136" fillId="0" borderId="59" xfId="0" applyNumberFormat="1" applyFont="1" applyBorder="1" applyAlignment="1">
      <alignment horizontal="center" vertical="top" wrapText="1"/>
    </xf>
    <xf numFmtId="2" fontId="136" fillId="0" borderId="40" xfId="0" applyNumberFormat="1" applyFont="1" applyBorder="1" applyAlignment="1">
      <alignment horizontal="center" vertical="top" wrapText="1"/>
    </xf>
    <xf numFmtId="2" fontId="136" fillId="0" borderId="45" xfId="0" applyNumberFormat="1" applyFont="1" applyBorder="1" applyAlignment="1">
      <alignment horizontal="center" vertical="top" wrapText="1"/>
    </xf>
    <xf numFmtId="2" fontId="136" fillId="0" borderId="46" xfId="0" applyNumberFormat="1" applyFont="1" applyBorder="1" applyAlignment="1">
      <alignment horizontal="center" vertical="top" wrapText="1"/>
    </xf>
    <xf numFmtId="0" fontId="199" fillId="0" borderId="1" xfId="0" applyFont="1" applyBorder="1" applyAlignment="1">
      <alignment horizontal="right" vertical="top" wrapText="1" indent="1"/>
    </xf>
    <xf numFmtId="2" fontId="101" fillId="63" borderId="1" xfId="0" applyNumberFormat="1" applyFont="1" applyFill="1" applyBorder="1" applyAlignment="1">
      <alignment horizontal="center" vertical="top" wrapText="1"/>
    </xf>
    <xf numFmtId="0" fontId="101" fillId="0" borderId="106" xfId="116" applyFont="1" applyBorder="1" applyAlignment="1">
      <alignment horizontal="left" wrapText="1" indent="1"/>
    </xf>
    <xf numFmtId="49" fontId="101" fillId="0" borderId="88" xfId="0" applyNumberFormat="1" applyFont="1" applyBorder="1" applyAlignment="1">
      <alignment horizontal="center" vertical="top" wrapText="1"/>
    </xf>
    <xf numFmtId="49" fontId="101" fillId="0" borderId="52" xfId="0" applyNumberFormat="1" applyFont="1" applyBorder="1" applyAlignment="1">
      <alignment horizontal="center" vertical="top" wrapText="1"/>
    </xf>
    <xf numFmtId="49" fontId="101" fillId="0" borderId="37" xfId="0" applyNumberFormat="1" applyFont="1" applyBorder="1" applyAlignment="1">
      <alignment horizontal="center" vertical="top" wrapText="1"/>
    </xf>
    <xf numFmtId="49" fontId="136" fillId="0" borderId="52" xfId="0" applyNumberFormat="1" applyFont="1" applyBorder="1" applyAlignment="1">
      <alignment horizontal="center" vertical="top" wrapText="1"/>
    </xf>
    <xf numFmtId="49" fontId="101" fillId="0" borderId="53" xfId="0" applyNumberFormat="1" applyFont="1" applyBorder="1" applyAlignment="1">
      <alignment horizontal="center" vertical="top" wrapText="1"/>
    </xf>
    <xf numFmtId="0" fontId="101" fillId="0" borderId="57" xfId="0" applyFont="1" applyBorder="1" applyAlignment="1">
      <alignment horizontal="left" vertical="top" wrapText="1" indent="1"/>
    </xf>
    <xf numFmtId="0" fontId="101" fillId="0" borderId="42" xfId="0" applyFont="1" applyBorder="1" applyAlignment="1">
      <alignment horizontal="left" vertical="top" wrapText="1" indent="1"/>
    </xf>
    <xf numFmtId="2" fontId="101" fillId="0" borderId="43" xfId="0" applyNumberFormat="1" applyFont="1" applyBorder="1" applyAlignment="1">
      <alignment horizontal="center" vertical="top" wrapText="1"/>
    </xf>
    <xf numFmtId="0" fontId="136" fillId="0" borderId="39" xfId="0" applyFont="1" applyBorder="1" applyAlignment="1">
      <alignment horizontal="left" vertical="top" wrapText="1" indent="1"/>
    </xf>
    <xf numFmtId="0" fontId="101" fillId="0" borderId="44" xfId="0" applyFont="1" applyBorder="1" applyAlignment="1">
      <alignment horizontal="left" vertical="top" wrapText="1" indent="1"/>
    </xf>
    <xf numFmtId="2" fontId="136" fillId="59" borderId="1" xfId="0" applyNumberFormat="1" applyFont="1" applyFill="1" applyBorder="1" applyAlignment="1">
      <alignment horizontal="center" vertical="top" wrapText="1"/>
    </xf>
    <xf numFmtId="10" fontId="133" fillId="0" borderId="1" xfId="558" applyNumberFormat="1" applyFont="1" applyFill="1" applyBorder="1"/>
    <xf numFmtId="0" fontId="101" fillId="0" borderId="1" xfId="0" applyFont="1" applyBorder="1" applyAlignment="1">
      <alignment horizontal="center"/>
    </xf>
    <xf numFmtId="9" fontId="101" fillId="0" borderId="0" xfId="558" applyFont="1" applyFill="1"/>
    <xf numFmtId="10" fontId="101" fillId="0" borderId="1" xfId="558" applyNumberFormat="1" applyFont="1" applyFill="1" applyBorder="1"/>
    <xf numFmtId="2" fontId="101" fillId="70" borderId="58" xfId="0" applyNumberFormat="1" applyFont="1" applyFill="1" applyBorder="1" applyAlignment="1">
      <alignment horizontal="center" vertical="top" wrapText="1"/>
    </xf>
    <xf numFmtId="0" fontId="200" fillId="0" borderId="0" xfId="0" applyFont="1"/>
    <xf numFmtId="0" fontId="99" fillId="0" borderId="3" xfId="0" applyFont="1" applyBorder="1" applyAlignment="1">
      <alignment vertical="center" wrapText="1"/>
    </xf>
    <xf numFmtId="0" fontId="110" fillId="0" borderId="69" xfId="0" applyFont="1" applyBorder="1" applyAlignment="1">
      <alignment vertical="center" wrapText="1"/>
    </xf>
    <xf numFmtId="0" fontId="99" fillId="0" borderId="3" xfId="0" applyFont="1" applyBorder="1"/>
    <xf numFmtId="0" fontId="99" fillId="0" borderId="69" xfId="0" applyFont="1" applyBorder="1"/>
    <xf numFmtId="0" fontId="198" fillId="0" borderId="69" xfId="0" applyFont="1" applyBorder="1" applyAlignment="1">
      <alignment horizontal="center" vertical="center" wrapText="1"/>
    </xf>
    <xf numFmtId="0" fontId="201" fillId="0" borderId="1" xfId="0" applyFont="1" applyBorder="1" applyAlignment="1">
      <alignment horizontal="center" vertical="center" wrapText="1"/>
    </xf>
    <xf numFmtId="0" fontId="201" fillId="0" borderId="69" xfId="0" applyFont="1" applyBorder="1" applyAlignment="1">
      <alignment horizontal="center" vertical="center" wrapText="1"/>
    </xf>
    <xf numFmtId="0" fontId="198" fillId="0" borderId="69" xfId="0" applyFont="1" applyBorder="1" applyAlignment="1">
      <alignment vertical="center" wrapText="1"/>
    </xf>
    <xf numFmtId="0" fontId="202" fillId="0" borderId="0" xfId="0" applyFont="1" applyAlignment="1">
      <alignment horizontal="left" vertical="center"/>
    </xf>
    <xf numFmtId="0" fontId="188" fillId="0" borderId="0" xfId="0" applyFont="1"/>
    <xf numFmtId="0" fontId="202" fillId="0" borderId="0" xfId="0" applyFont="1" applyAlignment="1">
      <alignment vertical="center"/>
    </xf>
    <xf numFmtId="0" fontId="198" fillId="0" borderId="1" xfId="0" applyFont="1" applyBorder="1" applyAlignment="1">
      <alignment horizontal="center" vertical="center" wrapText="1"/>
    </xf>
    <xf numFmtId="0" fontId="198" fillId="0" borderId="7" xfId="0" applyFont="1" applyBorder="1" applyAlignment="1">
      <alignment horizontal="center" vertical="center" wrapText="1"/>
    </xf>
    <xf numFmtId="0" fontId="105" fillId="0" borderId="7"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69" xfId="0" applyFont="1" applyBorder="1" applyAlignment="1">
      <alignment horizontal="center" vertical="center" wrapText="1"/>
    </xf>
    <xf numFmtId="0" fontId="198" fillId="0" borderId="1" xfId="0" applyFont="1" applyBorder="1" applyAlignment="1">
      <alignment vertical="center" wrapText="1"/>
    </xf>
    <xf numFmtId="0" fontId="198" fillId="0" borderId="1" xfId="0" applyFont="1" applyBorder="1" applyAlignment="1">
      <alignment horizontal="left" wrapText="1" indent="1"/>
    </xf>
    <xf numFmtId="0" fontId="105" fillId="0" borderId="1" xfId="0" applyFont="1" applyBorder="1" applyAlignment="1">
      <alignment vertical="center" wrapText="1"/>
    </xf>
    <xf numFmtId="0" fontId="133" fillId="0" borderId="1" xfId="116" applyFont="1" applyBorder="1" applyAlignment="1">
      <alignment horizontal="left" wrapText="1" indent="1"/>
    </xf>
    <xf numFmtId="0" fontId="42" fillId="0" borderId="0" xfId="240" applyFont="1" applyAlignment="1">
      <alignment vertical="center" wrapText="1"/>
    </xf>
    <xf numFmtId="0" fontId="133" fillId="0" borderId="1" xfId="0" applyFont="1" applyBorder="1" applyAlignment="1">
      <alignment horizontal="left" wrapText="1" indent="1"/>
    </xf>
    <xf numFmtId="0" fontId="110" fillId="0" borderId="7" xfId="0" applyFont="1" applyBorder="1" applyAlignment="1">
      <alignment vertical="center" wrapText="1"/>
    </xf>
    <xf numFmtId="0" fontId="50" fillId="0" borderId="3" xfId="0" applyFont="1" applyBorder="1" applyAlignment="1">
      <alignment vertical="center" wrapText="1"/>
    </xf>
    <xf numFmtId="0" fontId="198" fillId="0" borderId="1" xfId="0" applyFont="1" applyBorder="1"/>
    <xf numFmtId="2" fontId="43" fillId="0" borderId="0" xfId="6" applyNumberFormat="1" applyFont="1"/>
    <xf numFmtId="10" fontId="43" fillId="0" borderId="0" xfId="558" applyNumberFormat="1" applyFont="1"/>
    <xf numFmtId="0" fontId="40" fillId="0" borderId="1" xfId="0" applyFont="1" applyBorder="1" applyAlignment="1">
      <alignment horizontal="center" vertical="center" wrapText="1"/>
    </xf>
    <xf numFmtId="2" fontId="198" fillId="0" borderId="0" xfId="0" applyNumberFormat="1" applyFont="1"/>
    <xf numFmtId="0" fontId="110" fillId="0" borderId="33" xfId="0" applyFont="1" applyBorder="1" applyAlignment="1">
      <alignment horizontal="center" vertical="center" wrapText="1"/>
    </xf>
    <xf numFmtId="4" fontId="44" fillId="0" borderId="1" xfId="0" applyNumberFormat="1" applyFont="1" applyBorder="1" applyAlignment="1">
      <alignment horizontal="right" wrapText="1"/>
    </xf>
    <xf numFmtId="10" fontId="110" fillId="0" borderId="1" xfId="0" applyNumberFormat="1" applyFont="1" applyBorder="1" applyAlignment="1">
      <alignment horizontal="right" wrapText="1"/>
    </xf>
    <xf numFmtId="0" fontId="44" fillId="0" borderId="27" xfId="0" applyFont="1" applyBorder="1" applyAlignment="1">
      <alignment horizontal="center" vertical="center" wrapText="1"/>
    </xf>
    <xf numFmtId="0" fontId="110" fillId="0" borderId="1" xfId="0" applyFont="1" applyBorder="1" applyAlignment="1">
      <alignment horizontal="left" wrapText="1"/>
    </xf>
    <xf numFmtId="0" fontId="163" fillId="0" borderId="1" xfId="0" applyFont="1" applyBorder="1" applyAlignment="1">
      <alignment horizontal="center" wrapText="1"/>
    </xf>
    <xf numFmtId="0" fontId="110" fillId="0" borderId="1" xfId="0" applyFont="1" applyBorder="1" applyAlignment="1">
      <alignment horizontal="center" vertical="center" wrapText="1"/>
    </xf>
    <xf numFmtId="2" fontId="44" fillId="0" borderId="1" xfId="0" applyNumberFormat="1" applyFont="1" applyBorder="1" applyAlignment="1">
      <alignment horizontal="right" wrapText="1"/>
    </xf>
    <xf numFmtId="4" fontId="93" fillId="0" borderId="1" xfId="0" applyNumberFormat="1" applyFont="1" applyBorder="1" applyAlignment="1">
      <alignment horizontal="right" wrapText="1"/>
    </xf>
    <xf numFmtId="10" fontId="44" fillId="0" borderId="1" xfId="558" applyNumberFormat="1" applyFont="1" applyFill="1" applyBorder="1" applyAlignment="1">
      <alignment horizontal="right" wrapText="1"/>
    </xf>
    <xf numFmtId="10" fontId="44" fillId="0" borderId="1" xfId="558" applyNumberFormat="1" applyFont="1" applyFill="1" applyBorder="1" applyAlignment="1">
      <alignment horizontal="right"/>
    </xf>
    <xf numFmtId="4" fontId="110" fillId="0" borderId="1" xfId="0" applyNumberFormat="1" applyFont="1" applyBorder="1" applyAlignment="1">
      <alignment horizontal="right" wrapText="1"/>
    </xf>
    <xf numFmtId="0" fontId="44" fillId="0" borderId="0" xfId="240" applyFont="1" applyAlignment="1">
      <alignment horizontal="center"/>
    </xf>
    <xf numFmtId="0" fontId="41" fillId="0" borderId="0" xfId="240" applyFont="1" applyAlignment="1">
      <alignment horizontal="left" vertical="top" wrapText="1"/>
    </xf>
    <xf numFmtId="2" fontId="187" fillId="0" borderId="0" xfId="240" applyNumberFormat="1" applyFont="1"/>
    <xf numFmtId="4" fontId="187" fillId="0" borderId="0" xfId="240" applyNumberFormat="1" applyFont="1"/>
    <xf numFmtId="0" fontId="52" fillId="0" borderId="1" xfId="0" applyFont="1" applyBorder="1"/>
    <xf numFmtId="0" fontId="43" fillId="0" borderId="1" xfId="0" applyFont="1" applyBorder="1" applyAlignment="1">
      <alignment horizontal="right"/>
    </xf>
    <xf numFmtId="2" fontId="43" fillId="0" borderId="1" xfId="0" applyNumberFormat="1" applyFont="1" applyBorder="1"/>
    <xf numFmtId="0" fontId="52" fillId="0" borderId="1" xfId="0" applyFont="1" applyBorder="1" applyAlignment="1">
      <alignment horizontal="center" vertical="center"/>
    </xf>
    <xf numFmtId="2" fontId="52" fillId="0" borderId="1" xfId="0" applyNumberFormat="1" applyFont="1" applyBorder="1"/>
    <xf numFmtId="0" fontId="11" fillId="0" borderId="0" xfId="240" applyFont="1"/>
    <xf numFmtId="0" fontId="42" fillId="34" borderId="1" xfId="240" applyFont="1" applyFill="1" applyBorder="1" applyAlignment="1">
      <alignment horizontal="center" vertical="center" wrapText="1"/>
    </xf>
    <xf numFmtId="0" fontId="11" fillId="34" borderId="0" xfId="240" applyFont="1" applyFill="1"/>
    <xf numFmtId="49" fontId="41" fillId="0" borderId="10" xfId="240" applyNumberFormat="1" applyFont="1" applyBorder="1" applyAlignment="1">
      <alignment horizontal="center" vertical="center" wrapText="1"/>
    </xf>
    <xf numFmtId="4" fontId="0" fillId="0" borderId="1" xfId="0" applyNumberFormat="1" applyBorder="1"/>
    <xf numFmtId="49" fontId="11" fillId="0" borderId="0" xfId="240" applyNumberFormat="1" applyFont="1"/>
    <xf numFmtId="0" fontId="43" fillId="2" borderId="1" xfId="0" applyFont="1" applyFill="1" applyBorder="1"/>
    <xf numFmtId="0" fontId="43" fillId="2" borderId="8" xfId="0" applyFont="1" applyFill="1" applyBorder="1"/>
    <xf numFmtId="49" fontId="45" fillId="0" borderId="1" xfId="240" applyNumberFormat="1" applyFont="1" applyBorder="1" applyAlignment="1">
      <alignment horizontal="right" vertical="center" wrapText="1"/>
    </xf>
    <xf numFmtId="4" fontId="52" fillId="0" borderId="1" xfId="240" applyNumberFormat="1" applyFont="1" applyBorder="1" applyAlignment="1">
      <alignment horizontal="right" vertical="center" wrapText="1"/>
    </xf>
    <xf numFmtId="4" fontId="52" fillId="0" borderId="1" xfId="0" applyNumberFormat="1" applyFont="1" applyBorder="1" applyAlignment="1">
      <alignment horizontal="right" vertical="center"/>
    </xf>
    <xf numFmtId="49" fontId="41" fillId="0" borderId="1" xfId="240" applyNumberFormat="1" applyFont="1" applyBorder="1" applyAlignment="1">
      <alignment horizontal="right" vertical="center" wrapText="1"/>
    </xf>
    <xf numFmtId="0" fontId="130" fillId="0" borderId="0" xfId="0" applyFont="1" applyAlignment="1">
      <alignment horizontal="left"/>
    </xf>
    <xf numFmtId="0" fontId="130" fillId="0" borderId="9" xfId="0" applyFont="1" applyBorder="1" applyAlignment="1">
      <alignment horizontal="left" vertical="center"/>
    </xf>
    <xf numFmtId="0" fontId="130" fillId="0" borderId="7" xfId="0" applyFont="1" applyBorder="1" applyAlignment="1">
      <alignment horizontal="left" vertical="center"/>
    </xf>
    <xf numFmtId="4" fontId="188" fillId="0" borderId="1" xfId="0" applyNumberFormat="1" applyFont="1" applyBorder="1" applyAlignment="1">
      <alignment horizontal="right" vertical="center"/>
    </xf>
    <xf numFmtId="4" fontId="188" fillId="0" borderId="1" xfId="240" applyNumberFormat="1" applyFont="1" applyBorder="1" applyAlignment="1">
      <alignment horizontal="right" vertical="center" wrapText="1"/>
    </xf>
    <xf numFmtId="0" fontId="45" fillId="0" borderId="1" xfId="0" applyFont="1" applyBorder="1" applyAlignment="1">
      <alignment vertical="center" wrapText="1"/>
    </xf>
    <xf numFmtId="0" fontId="44" fillId="0" borderId="32" xfId="0" applyFont="1" applyBorder="1" applyAlignment="1">
      <alignment horizontal="center" vertical="center" wrapText="1"/>
    </xf>
    <xf numFmtId="0" fontId="93" fillId="0" borderId="30" xfId="0" applyFont="1" applyBorder="1" applyAlignment="1">
      <alignment vertical="center"/>
    </xf>
    <xf numFmtId="2" fontId="0" fillId="0" borderId="1" xfId="0" applyNumberFormat="1" applyBorder="1"/>
    <xf numFmtId="0" fontId="0" fillId="0" borderId="39" xfId="0" applyBorder="1"/>
    <xf numFmtId="2" fontId="0" fillId="0" borderId="40" xfId="0" applyNumberFormat="1" applyBorder="1"/>
    <xf numFmtId="0" fontId="36" fillId="0" borderId="44" xfId="0" applyFont="1" applyBorder="1"/>
    <xf numFmtId="2" fontId="36" fillId="0" borderId="45" xfId="0" applyNumberFormat="1" applyFont="1" applyBorder="1"/>
    <xf numFmtId="2" fontId="36" fillId="0" borderId="46" xfId="0" applyNumberFormat="1" applyFont="1" applyBorder="1"/>
    <xf numFmtId="0" fontId="146" fillId="0" borderId="98" xfId="547" applyFont="1" applyBorder="1" applyAlignment="1">
      <alignment horizontal="center" vertical="center" wrapText="1"/>
    </xf>
    <xf numFmtId="2" fontId="43" fillId="0" borderId="10" xfId="547" applyNumberFormat="1" applyFont="1" applyBorder="1" applyAlignment="1">
      <alignment horizontal="center"/>
    </xf>
    <xf numFmtId="2" fontId="43" fillId="0" borderId="8" xfId="547" applyNumberFormat="1" applyFont="1" applyBorder="1" applyAlignment="1">
      <alignment horizontal="center"/>
    </xf>
    <xf numFmtId="2" fontId="43" fillId="0" borderId="97" xfId="547" applyNumberFormat="1" applyFont="1" applyBorder="1" applyAlignment="1">
      <alignment horizontal="center"/>
    </xf>
    <xf numFmtId="2" fontId="52" fillId="0" borderId="98" xfId="547" applyNumberFormat="1" applyFont="1" applyBorder="1" applyAlignment="1">
      <alignment horizontal="center"/>
    </xf>
    <xf numFmtId="0" fontId="43" fillId="0" borderId="1" xfId="506" applyFont="1" applyBorder="1" applyAlignment="1">
      <alignment horizontal="center" vertical="center"/>
    </xf>
    <xf numFmtId="2" fontId="51" fillId="73" borderId="128" xfId="448" applyNumberFormat="1" applyFont="1" applyFill="1" applyBorder="1" applyAlignment="1">
      <alignment horizontal="center"/>
    </xf>
    <xf numFmtId="2" fontId="51" fillId="73" borderId="106" xfId="448" applyNumberFormat="1" applyFont="1" applyFill="1" applyBorder="1" applyAlignment="1">
      <alignment horizontal="center"/>
    </xf>
    <xf numFmtId="2" fontId="51" fillId="73" borderId="118" xfId="448" applyNumberFormat="1" applyFont="1" applyFill="1" applyBorder="1" applyAlignment="1">
      <alignment horizontal="center"/>
    </xf>
    <xf numFmtId="2" fontId="51" fillId="73" borderId="104" xfId="448" applyNumberFormat="1" applyFont="1" applyFill="1" applyBorder="1" applyAlignment="1">
      <alignment horizontal="center"/>
    </xf>
    <xf numFmtId="2" fontId="51" fillId="73" borderId="105" xfId="448" applyNumberFormat="1" applyFont="1" applyFill="1" applyBorder="1" applyAlignment="1">
      <alignment horizontal="center"/>
    </xf>
    <xf numFmtId="2" fontId="51" fillId="73" borderId="111" xfId="448" applyNumberFormat="1" applyFont="1" applyFill="1" applyBorder="1" applyAlignment="1">
      <alignment horizontal="center"/>
    </xf>
    <xf numFmtId="2" fontId="51" fillId="73" borderId="32" xfId="448" applyNumberFormat="1" applyFont="1" applyFill="1" applyBorder="1" applyAlignment="1">
      <alignment horizontal="center"/>
    </xf>
    <xf numFmtId="4" fontId="51" fillId="73" borderId="106" xfId="449" applyNumberFormat="1" applyFont="1" applyFill="1" applyBorder="1" applyAlignment="1">
      <alignment horizontal="center" vertical="center" wrapText="1"/>
    </xf>
    <xf numFmtId="2" fontId="133" fillId="73" borderId="102" xfId="448" applyNumberFormat="1" applyFont="1" applyFill="1" applyBorder="1" applyAlignment="1">
      <alignment horizontal="center"/>
    </xf>
    <xf numFmtId="2" fontId="133" fillId="73" borderId="130" xfId="448" applyNumberFormat="1" applyFont="1" applyFill="1" applyBorder="1" applyAlignment="1">
      <alignment horizontal="center"/>
    </xf>
    <xf numFmtId="0" fontId="0" fillId="77" borderId="1" xfId="0" applyFill="1" applyBorder="1" applyAlignment="1">
      <alignment horizontal="center" vertical="center" wrapText="1"/>
    </xf>
    <xf numFmtId="0" fontId="0" fillId="74" borderId="1" xfId="0" applyFill="1" applyBorder="1" applyAlignment="1">
      <alignment horizontal="center" vertical="center" wrapText="1"/>
    </xf>
    <xf numFmtId="0" fontId="110" fillId="0" borderId="0" xfId="0" applyFont="1"/>
    <xf numFmtId="0" fontId="110" fillId="0" borderId="0" xfId="0" applyFont="1" applyAlignment="1">
      <alignment horizontal="center" vertical="center" wrapText="1"/>
    </xf>
    <xf numFmtId="0" fontId="110" fillId="0" borderId="0" xfId="0" applyFont="1" applyAlignment="1">
      <alignment horizontal="left" vertical="center" wrapText="1"/>
    </xf>
    <xf numFmtId="1" fontId="42" fillId="0" borderId="8" xfId="547" applyNumberFormat="1" applyFont="1" applyBorder="1" applyAlignment="1">
      <alignment horizontal="center"/>
    </xf>
    <xf numFmtId="1" fontId="44" fillId="0" borderId="8" xfId="547" applyNumberFormat="1" applyFont="1" applyBorder="1" applyAlignment="1">
      <alignment horizontal="center"/>
    </xf>
    <xf numFmtId="0" fontId="44" fillId="0" borderId="1" xfId="546" applyFont="1" applyBorder="1" applyAlignment="1">
      <alignment horizontal="center" wrapText="1"/>
    </xf>
    <xf numFmtId="0" fontId="44" fillId="0" borderId="1" xfId="546" applyFont="1" applyBorder="1" applyAlignment="1">
      <alignment horizontal="center"/>
    </xf>
    <xf numFmtId="0" fontId="93" fillId="0" borderId="1" xfId="546" applyFont="1" applyBorder="1"/>
    <xf numFmtId="0" fontId="44" fillId="0" borderId="1" xfId="546" applyFont="1" applyBorder="1" applyAlignment="1">
      <alignment horizontal="center" vertical="center"/>
    </xf>
    <xf numFmtId="0" fontId="133" fillId="0" borderId="1" xfId="0" applyFont="1" applyBorder="1" applyAlignment="1">
      <alignment horizontal="left" wrapText="1"/>
    </xf>
    <xf numFmtId="2" fontId="44" fillId="0" borderId="1" xfId="0" applyNumberFormat="1" applyFont="1" applyBorder="1" applyAlignment="1">
      <alignment vertical="center"/>
    </xf>
    <xf numFmtId="0" fontId="101" fillId="0" borderId="1" xfId="0" applyFont="1" applyBorder="1" applyAlignment="1">
      <alignment horizontal="left" wrapText="1"/>
    </xf>
    <xf numFmtId="2" fontId="44" fillId="0" borderId="8" xfId="0" applyNumberFormat="1" applyFont="1" applyBorder="1" applyAlignment="1">
      <alignment vertical="center"/>
    </xf>
    <xf numFmtId="0" fontId="101" fillId="0" borderId="1" xfId="0" applyFont="1" applyBorder="1" applyAlignment="1">
      <alignment horizontal="left" vertical="top" wrapText="1"/>
    </xf>
    <xf numFmtId="0" fontId="101" fillId="0" borderId="7" xfId="0" applyFont="1" applyBorder="1" applyAlignment="1">
      <alignment horizontal="left" vertical="top" wrapText="1"/>
    </xf>
    <xf numFmtId="2" fontId="44" fillId="0" borderId="8" xfId="0" applyNumberFormat="1" applyFont="1" applyBorder="1" applyAlignment="1">
      <alignment vertical="top"/>
    </xf>
    <xf numFmtId="0" fontId="44" fillId="0" borderId="0" xfId="546" applyFont="1" applyAlignment="1">
      <alignment vertical="top"/>
    </xf>
    <xf numFmtId="0" fontId="44" fillId="0" borderId="1" xfId="546" applyFont="1" applyBorder="1" applyAlignment="1">
      <alignment vertical="top"/>
    </xf>
    <xf numFmtId="0" fontId="44" fillId="0" borderId="7" xfId="546" applyFont="1" applyBorder="1" applyAlignment="1">
      <alignment horizontal="left" vertical="top"/>
    </xf>
    <xf numFmtId="4" fontId="51" fillId="0" borderId="0" xfId="116" applyNumberFormat="1" applyFont="1"/>
    <xf numFmtId="0" fontId="93" fillId="0" borderId="44" xfId="506" applyFont="1" applyBorder="1" applyAlignment="1">
      <alignment horizontal="center" vertical="center"/>
    </xf>
    <xf numFmtId="0" fontId="93" fillId="0" borderId="0" xfId="506" applyFont="1" applyAlignment="1">
      <alignment horizontal="center" vertical="center"/>
    </xf>
    <xf numFmtId="0" fontId="44" fillId="0" borderId="41" xfId="506" applyFont="1" applyBorder="1" applyAlignment="1">
      <alignment horizontal="center" vertical="center"/>
    </xf>
    <xf numFmtId="0" fontId="44" fillId="0" borderId="51" xfId="506" applyFont="1" applyBorder="1" applyAlignment="1">
      <alignment horizontal="center" vertical="center"/>
    </xf>
    <xf numFmtId="0" fontId="44" fillId="0" borderId="0" xfId="506" applyFont="1" applyAlignment="1">
      <alignment horizontal="left" vertical="center" wrapText="1"/>
    </xf>
    <xf numFmtId="0" fontId="93" fillId="0" borderId="0" xfId="506" applyFont="1" applyAlignment="1">
      <alignment horizontal="center" vertical="center" wrapText="1"/>
    </xf>
    <xf numFmtId="0" fontId="44" fillId="0" borderId="0" xfId="506" applyFont="1" applyAlignment="1">
      <alignment horizontal="center" vertical="top" wrapText="1"/>
    </xf>
    <xf numFmtId="0" fontId="10" fillId="0" borderId="0" xfId="506" applyFont="1"/>
    <xf numFmtId="0" fontId="44" fillId="0" borderId="48" xfId="506" applyFont="1" applyBorder="1" applyAlignment="1">
      <alignment horizontal="center" vertical="center"/>
    </xf>
    <xf numFmtId="0" fontId="44" fillId="0" borderId="27" xfId="0" applyFont="1" applyBorder="1" applyAlignment="1">
      <alignment horizontal="left" vertical="top" wrapText="1"/>
    </xf>
    <xf numFmtId="0" fontId="44" fillId="0" borderId="95" xfId="506" applyFont="1" applyBorder="1" applyAlignment="1">
      <alignment horizontal="center" vertical="center"/>
    </xf>
    <xf numFmtId="0" fontId="44" fillId="0" borderId="56" xfId="506" applyFont="1" applyBorder="1" applyAlignment="1">
      <alignment horizontal="right" vertical="top" wrapText="1"/>
    </xf>
    <xf numFmtId="0" fontId="44" fillId="0" borderId="91" xfId="0" applyFont="1" applyBorder="1" applyAlignment="1">
      <alignment horizontal="center"/>
    </xf>
    <xf numFmtId="0" fontId="44" fillId="0" borderId="124" xfId="0" applyFont="1" applyBorder="1" applyAlignment="1">
      <alignment horizontal="center"/>
    </xf>
    <xf numFmtId="0" fontId="145" fillId="0" borderId="43" xfId="124" applyFont="1" applyBorder="1" applyAlignment="1">
      <alignment vertical="center" wrapText="1"/>
    </xf>
    <xf numFmtId="0" fontId="145" fillId="0" borderId="58" xfId="124" applyFont="1" applyBorder="1" applyAlignment="1">
      <alignment vertical="center" wrapText="1"/>
    </xf>
    <xf numFmtId="1" fontId="44" fillId="0" borderId="58" xfId="0" applyNumberFormat="1" applyFont="1" applyBorder="1" applyAlignment="1">
      <alignment horizontal="right" vertical="center"/>
    </xf>
    <xf numFmtId="2" fontId="44" fillId="0" borderId="58" xfId="0" applyNumberFormat="1" applyFont="1" applyBorder="1" applyAlignment="1">
      <alignment horizontal="right" vertical="center"/>
    </xf>
    <xf numFmtId="0" fontId="133" fillId="0" borderId="45" xfId="124" applyFont="1" applyBorder="1" applyAlignment="1">
      <alignment vertical="center" wrapText="1"/>
    </xf>
    <xf numFmtId="0" fontId="44" fillId="2" borderId="69" xfId="0" applyFont="1" applyFill="1" applyBorder="1" applyAlignment="1">
      <alignment horizontal="right" vertical="center"/>
    </xf>
    <xf numFmtId="0" fontId="44" fillId="2" borderId="3" xfId="0" applyFont="1" applyFill="1" applyBorder="1" applyAlignment="1">
      <alignment horizontal="right" vertical="center"/>
    </xf>
    <xf numFmtId="2" fontId="116" fillId="0" borderId="0" xfId="506" applyNumberFormat="1" applyFont="1"/>
    <xf numFmtId="0" fontId="43" fillId="0" borderId="42" xfId="552" applyFont="1" applyBorder="1"/>
    <xf numFmtId="0" fontId="43" fillId="0" borderId="3" xfId="552" applyFont="1" applyBorder="1" applyAlignment="1">
      <alignment horizontal="center" vertical="center"/>
    </xf>
    <xf numFmtId="0" fontId="43" fillId="0" borderId="10" xfId="552" applyFont="1" applyBorder="1" applyAlignment="1">
      <alignment horizontal="center" vertical="center"/>
    </xf>
    <xf numFmtId="2" fontId="43" fillId="0" borderId="42" xfId="552" applyNumberFormat="1" applyFont="1" applyBorder="1" applyAlignment="1">
      <alignment horizontal="center" vertical="center"/>
    </xf>
    <xf numFmtId="2" fontId="43" fillId="0" borderId="43" xfId="552" applyNumberFormat="1" applyFont="1" applyBorder="1" applyAlignment="1">
      <alignment horizontal="center" vertical="center"/>
    </xf>
    <xf numFmtId="0" fontId="43" fillId="0" borderId="39" xfId="552" applyFont="1" applyBorder="1"/>
    <xf numFmtId="0" fontId="43" fillId="0" borderId="1" xfId="552" applyFont="1" applyBorder="1" applyAlignment="1">
      <alignment horizontal="center" vertical="center"/>
    </xf>
    <xf numFmtId="0" fontId="43" fillId="0" borderId="8" xfId="552" applyFont="1" applyBorder="1" applyAlignment="1">
      <alignment horizontal="center" vertical="center"/>
    </xf>
    <xf numFmtId="2" fontId="43" fillId="0" borderId="39" xfId="552" applyNumberFormat="1" applyFont="1" applyBorder="1" applyAlignment="1">
      <alignment horizontal="center" vertical="center"/>
    </xf>
    <xf numFmtId="2" fontId="43" fillId="0" borderId="40" xfId="552" applyNumberFormat="1" applyFont="1" applyBorder="1" applyAlignment="1">
      <alignment horizontal="center" vertical="center"/>
    </xf>
    <xf numFmtId="0" fontId="43" fillId="0" borderId="41" xfId="552" applyFont="1" applyBorder="1"/>
    <xf numFmtId="0" fontId="43" fillId="0" borderId="79" xfId="552" applyFont="1" applyBorder="1" applyAlignment="1">
      <alignment horizontal="center" vertical="center"/>
    </xf>
    <xf numFmtId="0" fontId="43" fillId="0" borderId="97" xfId="552" applyFont="1" applyBorder="1" applyAlignment="1">
      <alignment horizontal="center" vertical="center"/>
    </xf>
    <xf numFmtId="2" fontId="43" fillId="0" borderId="41" xfId="552" applyNumberFormat="1" applyFont="1" applyBorder="1" applyAlignment="1">
      <alignment horizontal="center" vertical="center"/>
    </xf>
    <xf numFmtId="2" fontId="43" fillId="0" borderId="47" xfId="552" applyNumberFormat="1" applyFont="1" applyBorder="1" applyAlignment="1">
      <alignment horizontal="center" vertical="center"/>
    </xf>
    <xf numFmtId="2" fontId="43" fillId="0" borderId="5" xfId="552" applyNumberFormat="1" applyFont="1" applyBorder="1"/>
    <xf numFmtId="2" fontId="43" fillId="0" borderId="10" xfId="552" applyNumberFormat="1" applyFont="1" applyBorder="1"/>
    <xf numFmtId="2" fontId="43" fillId="0" borderId="88" xfId="552" applyNumberFormat="1" applyFont="1" applyBorder="1"/>
    <xf numFmtId="2" fontId="43" fillId="0" borderId="37" xfId="552" applyNumberFormat="1" applyFont="1" applyBorder="1"/>
    <xf numFmtId="0" fontId="52" fillId="0" borderId="30" xfId="552" applyFont="1" applyBorder="1"/>
    <xf numFmtId="0" fontId="52" fillId="0" borderId="30" xfId="552" applyFont="1" applyBorder="1" applyAlignment="1">
      <alignment horizontal="right"/>
    </xf>
    <xf numFmtId="0" fontId="51" fillId="0" borderId="52" xfId="0" applyFont="1" applyBorder="1"/>
    <xf numFmtId="2" fontId="51" fillId="0" borderId="32" xfId="448" applyNumberFormat="1" applyFont="1" applyBorder="1" applyAlignment="1">
      <alignment horizontal="center"/>
    </xf>
    <xf numFmtId="0" fontId="51" fillId="34" borderId="94" xfId="448" applyFont="1" applyFill="1" applyBorder="1" applyAlignment="1">
      <alignment horizontal="center"/>
    </xf>
    <xf numFmtId="0" fontId="51" fillId="34" borderId="116" xfId="448" applyFont="1" applyFill="1" applyBorder="1" applyAlignment="1">
      <alignment horizontal="center"/>
    </xf>
    <xf numFmtId="0" fontId="51" fillId="0" borderId="23" xfId="448" applyFont="1" applyBorder="1" applyAlignment="1">
      <alignment horizontal="center"/>
    </xf>
    <xf numFmtId="0" fontId="51" fillId="34" borderId="86" xfId="448" applyFont="1" applyFill="1" applyBorder="1" applyAlignment="1">
      <alignment horizontal="center"/>
    </xf>
    <xf numFmtId="0" fontId="51" fillId="34" borderId="23" xfId="448" applyFont="1" applyFill="1" applyBorder="1" applyAlignment="1">
      <alignment horizontal="center"/>
    </xf>
    <xf numFmtId="0" fontId="51" fillId="34" borderId="134" xfId="448" applyFont="1" applyFill="1" applyBorder="1"/>
    <xf numFmtId="0" fontId="137" fillId="34" borderId="135" xfId="448" applyFont="1" applyFill="1" applyBorder="1" applyAlignment="1">
      <alignment horizontal="center"/>
    </xf>
    <xf numFmtId="0" fontId="51" fillId="34" borderId="136" xfId="448" applyFont="1" applyFill="1" applyBorder="1" applyAlignment="1">
      <alignment horizontal="center"/>
    </xf>
    <xf numFmtId="0" fontId="51" fillId="0" borderId="128" xfId="448" applyFont="1" applyBorder="1" applyAlignment="1">
      <alignment horizontal="center"/>
    </xf>
    <xf numFmtId="0" fontId="51" fillId="34" borderId="137" xfId="448" applyFont="1" applyFill="1" applyBorder="1" applyAlignment="1">
      <alignment horizontal="center"/>
    </xf>
    <xf numFmtId="0" fontId="51" fillId="34" borderId="128" xfId="448" applyFont="1" applyFill="1" applyBorder="1" applyAlignment="1">
      <alignment horizontal="center"/>
    </xf>
    <xf numFmtId="0" fontId="137" fillId="34" borderId="1" xfId="448" applyFont="1" applyFill="1" applyBorder="1" applyAlignment="1">
      <alignment horizontal="center"/>
    </xf>
    <xf numFmtId="0" fontId="51" fillId="34" borderId="1" xfId="448" applyFont="1" applyFill="1" applyBorder="1" applyAlignment="1">
      <alignment horizontal="center"/>
    </xf>
    <xf numFmtId="0" fontId="51" fillId="34" borderId="8" xfId="448" applyFont="1" applyFill="1" applyBorder="1" applyAlignment="1">
      <alignment horizontal="center"/>
    </xf>
    <xf numFmtId="0" fontId="51" fillId="0" borderId="67" xfId="448" applyFont="1" applyBorder="1" applyAlignment="1">
      <alignment horizontal="center"/>
    </xf>
    <xf numFmtId="0" fontId="51" fillId="34" borderId="7" xfId="448" applyFont="1" applyFill="1" applyBorder="1" applyAlignment="1">
      <alignment horizontal="center"/>
    </xf>
    <xf numFmtId="0" fontId="51" fillId="34" borderId="67" xfId="448" applyFont="1" applyFill="1" applyBorder="1" applyAlignment="1">
      <alignment horizontal="center"/>
    </xf>
    <xf numFmtId="0" fontId="51" fillId="34" borderId="142" xfId="448" applyFont="1" applyFill="1" applyBorder="1" applyAlignment="1">
      <alignment horizontal="center"/>
    </xf>
    <xf numFmtId="0" fontId="51" fillId="34" borderId="143" xfId="448" applyFont="1" applyFill="1" applyBorder="1" applyAlignment="1">
      <alignment horizontal="center"/>
    </xf>
    <xf numFmtId="0" fontId="51" fillId="34" borderId="52" xfId="448" applyFont="1" applyFill="1" applyBorder="1"/>
    <xf numFmtId="0" fontId="51" fillId="34" borderId="40" xfId="448" applyFont="1" applyFill="1" applyBorder="1" applyAlignment="1">
      <alignment horizontal="center"/>
    </xf>
    <xf numFmtId="0" fontId="51" fillId="34" borderId="144" xfId="448" applyFont="1" applyFill="1" applyBorder="1" applyAlignment="1">
      <alignment horizontal="center"/>
    </xf>
    <xf numFmtId="0" fontId="51" fillId="34" borderId="145" xfId="448" applyFont="1" applyFill="1" applyBorder="1" applyAlignment="1">
      <alignment horizontal="center"/>
    </xf>
    <xf numFmtId="0" fontId="51" fillId="34" borderId="125" xfId="448" applyFont="1" applyFill="1" applyBorder="1" applyAlignment="1">
      <alignment horizontal="center"/>
    </xf>
    <xf numFmtId="0" fontId="137" fillId="0" borderId="111" xfId="448" applyFont="1" applyBorder="1" applyAlignment="1">
      <alignment horizontal="center"/>
    </xf>
    <xf numFmtId="0" fontId="137" fillId="34" borderId="120" xfId="448" applyFont="1" applyFill="1" applyBorder="1" applyAlignment="1">
      <alignment horizontal="center"/>
    </xf>
    <xf numFmtId="0" fontId="137" fillId="34" borderId="109" xfId="448" applyFont="1" applyFill="1" applyBorder="1" applyAlignment="1">
      <alignment horizontal="center"/>
    </xf>
    <xf numFmtId="0" fontId="137" fillId="34" borderId="110" xfId="448" applyFont="1" applyFill="1" applyBorder="1" applyAlignment="1">
      <alignment horizontal="center"/>
    </xf>
    <xf numFmtId="0" fontId="137" fillId="34" borderId="111" xfId="448" applyFont="1" applyFill="1" applyBorder="1" applyAlignment="1">
      <alignment horizontal="center"/>
    </xf>
    <xf numFmtId="2" fontId="51" fillId="0" borderId="87" xfId="448" applyNumberFormat="1" applyFont="1" applyBorder="1" applyAlignment="1">
      <alignment horizontal="center"/>
    </xf>
    <xf numFmtId="2" fontId="51" fillId="0" borderId="4" xfId="448" applyNumberFormat="1" applyFont="1" applyBorder="1" applyAlignment="1">
      <alignment horizontal="center"/>
    </xf>
    <xf numFmtId="2" fontId="51" fillId="0" borderId="25" xfId="448" applyNumberFormat="1" applyFont="1" applyBorder="1" applyAlignment="1">
      <alignment horizontal="center"/>
    </xf>
    <xf numFmtId="0" fontId="137" fillId="34" borderId="106" xfId="448" applyFont="1" applyFill="1" applyBorder="1" applyAlignment="1">
      <alignment horizontal="center"/>
    </xf>
    <xf numFmtId="0" fontId="137" fillId="34" borderId="118" xfId="448" applyFont="1" applyFill="1" applyBorder="1" applyAlignment="1">
      <alignment horizontal="center"/>
    </xf>
    <xf numFmtId="0" fontId="137" fillId="34" borderId="105" xfId="448" applyFont="1" applyFill="1" applyBorder="1" applyAlignment="1">
      <alignment horizontal="center"/>
    </xf>
    <xf numFmtId="0" fontId="96" fillId="34" borderId="0" xfId="448" applyFont="1" applyFill="1"/>
    <xf numFmtId="0" fontId="43" fillId="0" borderId="1" xfId="506" applyFont="1" applyBorder="1" applyAlignment="1">
      <alignment horizontal="center" vertical="center" wrapText="1"/>
    </xf>
    <xf numFmtId="4" fontId="52" fillId="0" borderId="1" xfId="0" applyNumberFormat="1" applyFont="1" applyBorder="1"/>
    <xf numFmtId="191" fontId="43" fillId="0" borderId="1" xfId="0" applyNumberFormat="1" applyFont="1" applyBorder="1"/>
    <xf numFmtId="2" fontId="159" fillId="34" borderId="106" xfId="116" applyNumberFormat="1" applyFont="1" applyFill="1" applyBorder="1" applyAlignment="1">
      <alignment horizontal="right"/>
    </xf>
    <xf numFmtId="0" fontId="42" fillId="0" borderId="58" xfId="6" applyFont="1" applyBorder="1" applyAlignment="1">
      <alignment horizontal="center" vertical="center" wrapText="1"/>
    </xf>
    <xf numFmtId="2" fontId="54" fillId="0" borderId="0" xfId="6" applyNumberFormat="1" applyFont="1" applyAlignment="1">
      <alignment horizontal="center" vertical="center" wrapText="1"/>
    </xf>
    <xf numFmtId="2" fontId="41" fillId="0" borderId="0" xfId="6" applyNumberFormat="1" applyFont="1" applyAlignment="1">
      <alignment horizontal="center" vertical="center" wrapText="1"/>
    </xf>
    <xf numFmtId="0" fontId="201" fillId="0" borderId="0" xfId="6" applyFont="1" applyAlignment="1">
      <alignment horizontal="center" vertical="center" wrapText="1"/>
    </xf>
    <xf numFmtId="4" fontId="42" fillId="0" borderId="67" xfId="6" applyNumberFormat="1" applyFont="1" applyBorder="1"/>
    <xf numFmtId="4" fontId="47" fillId="0" borderId="67" xfId="6" applyNumberFormat="1" applyFont="1" applyBorder="1"/>
    <xf numFmtId="0" fontId="44" fillId="0" borderId="1" xfId="0" applyFont="1" applyBorder="1" applyAlignment="1">
      <alignment horizontal="center"/>
    </xf>
    <xf numFmtId="0" fontId="44" fillId="0" borderId="1" xfId="0" applyFont="1" applyBorder="1" applyAlignment="1">
      <alignment horizontal="center" vertical="center"/>
    </xf>
    <xf numFmtId="4" fontId="44" fillId="0" borderId="1" xfId="0" applyNumberFormat="1" applyFont="1" applyBorder="1"/>
    <xf numFmtId="0" fontId="42" fillId="0" borderId="1" xfId="6" applyFont="1" applyBorder="1"/>
    <xf numFmtId="0" fontId="96" fillId="0" borderId="1" xfId="6" applyFont="1" applyBorder="1" applyAlignment="1">
      <alignment horizontal="center" vertical="center" wrapText="1"/>
    </xf>
    <xf numFmtId="0" fontId="207" fillId="0" borderId="1" xfId="6" applyFont="1" applyBorder="1" applyAlignment="1">
      <alignment horizontal="center" vertical="center" wrapText="1"/>
    </xf>
    <xf numFmtId="2" fontId="42" fillId="0" borderId="58" xfId="6" applyNumberFormat="1" applyFont="1" applyBorder="1"/>
    <xf numFmtId="2" fontId="42" fillId="0" borderId="59" xfId="6" applyNumberFormat="1" applyFont="1" applyBorder="1"/>
    <xf numFmtId="2" fontId="42" fillId="0" borderId="40" xfId="6" applyNumberFormat="1" applyFont="1" applyBorder="1"/>
    <xf numFmtId="179" fontId="42" fillId="0" borderId="1" xfId="6" applyNumberFormat="1" applyFont="1" applyBorder="1" applyAlignment="1">
      <alignment horizontal="center"/>
    </xf>
    <xf numFmtId="179" fontId="42" fillId="0" borderId="45" xfId="6" applyNumberFormat="1" applyFont="1" applyBorder="1" applyAlignment="1">
      <alignment horizontal="center"/>
    </xf>
    <xf numFmtId="2" fontId="42" fillId="0" borderId="49" xfId="6" applyNumberFormat="1" applyFont="1" applyBorder="1" applyAlignment="1">
      <alignment horizontal="center"/>
    </xf>
    <xf numFmtId="2" fontId="42" fillId="0" borderId="3" xfId="6" applyNumberFormat="1" applyFont="1" applyBorder="1" applyAlignment="1">
      <alignment horizontal="center"/>
    </xf>
    <xf numFmtId="0" fontId="9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44" fillId="0" borderId="8" xfId="0" applyFont="1" applyBorder="1"/>
    <xf numFmtId="181" fontId="110" fillId="0" borderId="1" xfId="0" applyNumberFormat="1" applyFont="1" applyBorder="1"/>
    <xf numFmtId="2" fontId="44" fillId="0" borderId="0" xfId="0" applyNumberFormat="1" applyFont="1" applyAlignment="1">
      <alignment horizontal="right" vertical="center" wrapText="1"/>
    </xf>
    <xf numFmtId="2" fontId="44" fillId="0" borderId="0" xfId="0" applyNumberFormat="1" applyFont="1"/>
    <xf numFmtId="4" fontId="44" fillId="0" borderId="8" xfId="0" applyNumberFormat="1" applyFont="1" applyBorder="1"/>
    <xf numFmtId="4" fontId="110" fillId="0" borderId="1" xfId="0" applyNumberFormat="1" applyFont="1" applyBorder="1"/>
    <xf numFmtId="4" fontId="93" fillId="0" borderId="1" xfId="0" applyNumberFormat="1" applyFont="1" applyBorder="1"/>
    <xf numFmtId="0" fontId="42" fillId="2" borderId="7" xfId="6" applyFont="1" applyFill="1" applyBorder="1" applyAlignment="1">
      <alignment horizontal="center" vertical="center" wrapText="1"/>
    </xf>
    <xf numFmtId="0" fontId="208" fillId="0" borderId="3" xfId="6" applyFont="1" applyBorder="1" applyAlignment="1">
      <alignment horizontal="center" vertical="center" wrapText="1"/>
    </xf>
    <xf numFmtId="0" fontId="43" fillId="0" borderId="1" xfId="6" applyFont="1" applyBorder="1" applyAlignment="1">
      <alignment horizontal="center" vertical="center"/>
    </xf>
    <xf numFmtId="0" fontId="198" fillId="0" borderId="0" xfId="6" applyFont="1"/>
    <xf numFmtId="0" fontId="43" fillId="31" borderId="0" xfId="6" applyFont="1" applyFill="1"/>
    <xf numFmtId="2" fontId="198" fillId="0" borderId="0" xfId="6" applyNumberFormat="1" applyFont="1"/>
    <xf numFmtId="0" fontId="188" fillId="0" borderId="3" xfId="6" applyFont="1" applyBorder="1"/>
    <xf numFmtId="2" fontId="188" fillId="2" borderId="1" xfId="6" applyNumberFormat="1" applyFont="1" applyFill="1" applyBorder="1"/>
    <xf numFmtId="2" fontId="188" fillId="0" borderId="1" xfId="6" applyNumberFormat="1" applyFont="1" applyBorder="1"/>
    <xf numFmtId="2" fontId="52" fillId="0" borderId="0" xfId="6" applyNumberFormat="1" applyFont="1"/>
    <xf numFmtId="0" fontId="52" fillId="2" borderId="0" xfId="6" applyFont="1" applyFill="1"/>
    <xf numFmtId="0" fontId="198" fillId="0" borderId="1" xfId="6" applyFont="1" applyBorder="1"/>
    <xf numFmtId="2" fontId="198" fillId="0" borderId="1" xfId="6" applyNumberFormat="1" applyFont="1" applyBorder="1"/>
    <xf numFmtId="0" fontId="210" fillId="0" borderId="1" xfId="6" applyFont="1" applyBorder="1" applyAlignment="1">
      <alignment horizontal="right"/>
    </xf>
    <xf numFmtId="2" fontId="210" fillId="0" borderId="1" xfId="6" applyNumberFormat="1" applyFont="1" applyBorder="1"/>
    <xf numFmtId="0" fontId="115" fillId="0" borderId="0" xfId="6" applyFont="1"/>
    <xf numFmtId="2" fontId="115" fillId="0" borderId="0" xfId="6" applyNumberFormat="1" applyFont="1"/>
    <xf numFmtId="2" fontId="211" fillId="0" borderId="1" xfId="6" applyNumberFormat="1" applyFont="1" applyBorder="1"/>
    <xf numFmtId="0" fontId="43" fillId="0" borderId="1" xfId="6" applyFont="1" applyBorder="1"/>
    <xf numFmtId="179" fontId="42" fillId="0" borderId="1" xfId="6" applyNumberFormat="1" applyFont="1" applyBorder="1"/>
    <xf numFmtId="2" fontId="43" fillId="30" borderId="0" xfId="6" applyNumberFormat="1" applyFont="1" applyFill="1"/>
    <xf numFmtId="0" fontId="95" fillId="0" borderId="0" xfId="6" applyFont="1"/>
    <xf numFmtId="2" fontId="95" fillId="30" borderId="0" xfId="6" applyNumberFormat="1" applyFont="1" applyFill="1"/>
    <xf numFmtId="2" fontId="95" fillId="0" borderId="0" xfId="6" applyNumberFormat="1" applyFont="1"/>
    <xf numFmtId="0" fontId="95" fillId="0" borderId="1" xfId="6" applyFont="1" applyBorder="1" applyAlignment="1">
      <alignment horizontal="center" vertical="center"/>
    </xf>
    <xf numFmtId="0" fontId="95" fillId="31" borderId="0" xfId="6" applyFont="1" applyFill="1"/>
    <xf numFmtId="2" fontId="184" fillId="0" borderId="0" xfId="6" applyNumberFormat="1" applyFont="1"/>
    <xf numFmtId="2" fontId="215" fillId="0" borderId="0" xfId="6" applyNumberFormat="1" applyFont="1"/>
    <xf numFmtId="2" fontId="43" fillId="59" borderId="0" xfId="6" applyNumberFormat="1" applyFont="1" applyFill="1"/>
    <xf numFmtId="181" fontId="43" fillId="0" borderId="0" xfId="6" applyNumberFormat="1" applyFont="1"/>
    <xf numFmtId="177" fontId="43" fillId="0" borderId="0" xfId="6" applyNumberFormat="1" applyFont="1"/>
    <xf numFmtId="0" fontId="43" fillId="30" borderId="0" xfId="6" applyFont="1" applyFill="1"/>
    <xf numFmtId="2" fontId="43" fillId="0" borderId="0" xfId="6" applyNumberFormat="1" applyFont="1" applyAlignment="1">
      <alignment horizontal="center"/>
    </xf>
    <xf numFmtId="0" fontId="162" fillId="79" borderId="7" xfId="124" applyFont="1" applyFill="1" applyBorder="1" applyAlignment="1">
      <alignment vertical="center" wrapText="1"/>
    </xf>
    <xf numFmtId="0" fontId="162" fillId="79" borderId="1" xfId="124" applyFont="1" applyFill="1" applyBorder="1" applyAlignment="1">
      <alignment horizontal="center" vertical="center" wrapText="1"/>
    </xf>
    <xf numFmtId="0" fontId="173" fillId="79" borderId="1" xfId="124" applyFont="1" applyFill="1" applyBorder="1" applyAlignment="1">
      <alignment horizontal="center" vertical="center" wrapText="1"/>
    </xf>
    <xf numFmtId="0" fontId="173" fillId="79" borderId="8" xfId="124" applyFont="1" applyFill="1" applyBorder="1" applyAlignment="1">
      <alignment horizontal="center" vertical="center" wrapText="1"/>
    </xf>
    <xf numFmtId="0" fontId="162" fillId="79" borderId="40" xfId="124" applyFont="1" applyFill="1" applyBorder="1" applyAlignment="1">
      <alignment horizontal="center" vertical="center" wrapText="1"/>
    </xf>
    <xf numFmtId="179" fontId="42" fillId="0" borderId="45" xfId="6" applyNumberFormat="1" applyFont="1" applyBorder="1"/>
    <xf numFmtId="177" fontId="198" fillId="0" borderId="1" xfId="6" applyNumberFormat="1" applyFont="1" applyBorder="1"/>
    <xf numFmtId="4" fontId="162" fillId="34" borderId="60" xfId="134" applyNumberFormat="1" applyFont="1" applyFill="1" applyBorder="1" applyAlignment="1">
      <alignment horizontal="center" vertical="center"/>
    </xf>
    <xf numFmtId="4" fontId="162" fillId="34" borderId="61" xfId="134" applyNumberFormat="1" applyFont="1" applyFill="1" applyBorder="1" applyAlignment="1">
      <alignment horizontal="right" vertical="center"/>
    </xf>
    <xf numFmtId="4" fontId="162" fillId="34" borderId="69" xfId="134" applyNumberFormat="1" applyFont="1" applyFill="1" applyBorder="1" applyAlignment="1">
      <alignment horizontal="right" vertical="center"/>
    </xf>
    <xf numFmtId="4" fontId="162" fillId="34" borderId="3" xfId="134" applyNumberFormat="1" applyFont="1" applyFill="1" applyBorder="1" applyAlignment="1">
      <alignment horizontal="right" vertical="center"/>
    </xf>
    <xf numFmtId="4" fontId="162" fillId="34" borderId="10" xfId="134" applyNumberFormat="1" applyFont="1" applyFill="1" applyBorder="1" applyAlignment="1">
      <alignment horizontal="right" vertical="center"/>
    </xf>
    <xf numFmtId="4" fontId="162" fillId="34" borderId="39" xfId="134" applyNumberFormat="1" applyFont="1" applyFill="1" applyBorder="1" applyAlignment="1">
      <alignment horizontal="right"/>
    </xf>
    <xf numFmtId="4" fontId="162" fillId="34" borderId="7" xfId="134" applyNumberFormat="1" applyFont="1" applyFill="1" applyBorder="1" applyAlignment="1">
      <alignment horizontal="right" vertical="center"/>
    </xf>
    <xf numFmtId="4" fontId="162" fillId="34" borderId="8" xfId="134" applyNumberFormat="1" applyFont="1" applyFill="1" applyBorder="1" applyAlignment="1">
      <alignment horizontal="center" vertical="center"/>
    </xf>
    <xf numFmtId="4" fontId="162" fillId="34" borderId="41" xfId="134" applyNumberFormat="1" applyFont="1" applyFill="1" applyBorder="1" applyAlignment="1">
      <alignment horizontal="right" vertical="center"/>
    </xf>
    <xf numFmtId="4" fontId="162" fillId="34" borderId="97" xfId="134" applyNumberFormat="1" applyFont="1" applyFill="1" applyBorder="1" applyAlignment="1">
      <alignment horizontal="right" vertical="center"/>
    </xf>
    <xf numFmtId="4" fontId="162" fillId="34" borderId="44" xfId="134" applyNumberFormat="1" applyFont="1" applyFill="1" applyBorder="1" applyAlignment="1">
      <alignment horizontal="right" vertical="center"/>
    </xf>
    <xf numFmtId="4" fontId="162" fillId="34" borderId="79" xfId="134" applyNumberFormat="1" applyFont="1" applyFill="1" applyBorder="1" applyAlignment="1">
      <alignment horizontal="right" vertical="center"/>
    </xf>
    <xf numFmtId="4" fontId="162" fillId="34" borderId="60" xfId="134" applyNumberFormat="1" applyFont="1" applyFill="1" applyBorder="1" applyAlignment="1">
      <alignment horizontal="right" vertical="center"/>
    </xf>
    <xf numFmtId="4" fontId="162" fillId="34" borderId="62" xfId="134" applyNumberFormat="1" applyFont="1" applyFill="1" applyBorder="1" applyAlignment="1">
      <alignment horizontal="center" vertical="center"/>
    </xf>
    <xf numFmtId="4" fontId="162" fillId="34" borderId="63" xfId="134" applyNumberFormat="1" applyFont="1" applyFill="1" applyBorder="1" applyAlignment="1">
      <alignment horizontal="right" vertical="center"/>
    </xf>
    <xf numFmtId="4" fontId="162" fillId="34" borderId="98" xfId="134" applyNumberFormat="1" applyFont="1" applyFill="1" applyBorder="1" applyAlignment="1">
      <alignment horizontal="center" vertical="center"/>
    </xf>
    <xf numFmtId="4" fontId="162" fillId="34" borderId="61" xfId="134" applyNumberFormat="1" applyFont="1" applyFill="1" applyBorder="1" applyAlignment="1">
      <alignment horizontal="center" vertical="center"/>
    </xf>
    <xf numFmtId="0" fontId="170" fillId="34" borderId="43" xfId="134" applyFont="1" applyFill="1" applyBorder="1" applyAlignment="1">
      <alignment horizontal="center" wrapText="1"/>
    </xf>
    <xf numFmtId="188" fontId="162" fillId="34" borderId="42" xfId="444" applyNumberFormat="1" applyFont="1" applyFill="1" applyBorder="1" applyAlignment="1">
      <alignment horizontal="right" vertical="center"/>
    </xf>
    <xf numFmtId="0" fontId="170" fillId="34" borderId="46" xfId="134" applyFont="1" applyFill="1" applyBorder="1" applyAlignment="1">
      <alignment horizontal="center" wrapText="1"/>
    </xf>
    <xf numFmtId="188" fontId="54" fillId="34" borderId="54" xfId="444" applyNumberFormat="1" applyFont="1" applyFill="1" applyBorder="1" applyAlignment="1">
      <alignment horizontal="right" vertical="center"/>
    </xf>
    <xf numFmtId="188" fontId="54" fillId="34" borderId="44" xfId="444" applyNumberFormat="1" applyFont="1" applyFill="1" applyBorder="1" applyAlignment="1">
      <alignment horizontal="right" vertical="center"/>
    </xf>
    <xf numFmtId="4" fontId="162" fillId="34" borderId="57" xfId="444" applyNumberFormat="1" applyFont="1" applyFill="1" applyBorder="1" applyAlignment="1">
      <alignment horizontal="right" vertical="center"/>
    </xf>
    <xf numFmtId="4" fontId="162" fillId="34" borderId="59" xfId="444" applyNumberFormat="1" applyFont="1" applyFill="1" applyBorder="1" applyAlignment="1">
      <alignment horizontal="right" vertical="center"/>
    </xf>
    <xf numFmtId="4" fontId="162" fillId="34" borderId="40" xfId="444" applyNumberFormat="1" applyFont="1" applyFill="1" applyBorder="1" applyAlignment="1">
      <alignment horizontal="right" vertical="center"/>
    </xf>
    <xf numFmtId="4" fontId="162" fillId="34" borderId="39" xfId="444" applyNumberFormat="1" applyFont="1" applyFill="1" applyBorder="1" applyAlignment="1">
      <alignment horizontal="right" vertical="center"/>
    </xf>
    <xf numFmtId="4" fontId="162" fillId="34" borderId="52" xfId="444" applyNumberFormat="1" applyFont="1" applyFill="1" applyBorder="1" applyAlignment="1">
      <alignment horizontal="right" vertical="center"/>
    </xf>
    <xf numFmtId="4" fontId="162" fillId="71" borderId="40" xfId="444" applyNumberFormat="1" applyFont="1" applyFill="1" applyBorder="1" applyAlignment="1">
      <alignment horizontal="right" vertical="center"/>
    </xf>
    <xf numFmtId="4" fontId="162" fillId="68" borderId="40" xfId="444" applyNumberFormat="1" applyFont="1" applyFill="1" applyBorder="1" applyAlignment="1">
      <alignment horizontal="right" vertical="center"/>
    </xf>
    <xf numFmtId="4" fontId="162" fillId="34" borderId="41" xfId="444" applyNumberFormat="1" applyFont="1" applyFill="1" applyBorder="1" applyAlignment="1">
      <alignment horizontal="right" vertical="center"/>
    </xf>
    <xf numFmtId="4" fontId="162" fillId="34" borderId="47" xfId="444" applyNumberFormat="1" applyFont="1" applyFill="1" applyBorder="1" applyAlignment="1">
      <alignment horizontal="right" vertical="center"/>
    </xf>
    <xf numFmtId="4" fontId="162" fillId="34" borderId="57" xfId="134" applyNumberFormat="1" applyFont="1" applyFill="1" applyBorder="1" applyAlignment="1">
      <alignment vertical="center"/>
    </xf>
    <xf numFmtId="4" fontId="162" fillId="34" borderId="69" xfId="134" applyNumberFormat="1" applyFont="1" applyFill="1" applyBorder="1" applyAlignment="1">
      <alignment vertical="center"/>
    </xf>
    <xf numFmtId="4" fontId="162" fillId="34" borderId="8" xfId="134" applyNumberFormat="1" applyFont="1" applyFill="1" applyBorder="1" applyAlignment="1">
      <alignment vertical="center"/>
    </xf>
    <xf numFmtId="0" fontId="170" fillId="64" borderId="98" xfId="134" applyFont="1" applyFill="1" applyBorder="1" applyAlignment="1">
      <alignment horizontal="right" wrapText="1"/>
    </xf>
    <xf numFmtId="3" fontId="162" fillId="34" borderId="60" xfId="134" applyNumberFormat="1" applyFont="1" applyFill="1" applyBorder="1" applyAlignment="1">
      <alignment horizontal="right" vertical="center"/>
    </xf>
    <xf numFmtId="0" fontId="170" fillId="64" borderId="10" xfId="134" applyFont="1" applyFill="1" applyBorder="1" applyAlignment="1">
      <alignment horizontal="right" wrapText="1"/>
    </xf>
    <xf numFmtId="0" fontId="170" fillId="0" borderId="8" xfId="134" applyFont="1" applyBorder="1" applyAlignment="1">
      <alignment horizontal="right" wrapText="1"/>
    </xf>
    <xf numFmtId="4" fontId="162" fillId="34" borderId="8" xfId="134" applyNumberFormat="1" applyFont="1" applyFill="1" applyBorder="1" applyAlignment="1">
      <alignment horizontal="right" vertical="center"/>
    </xf>
    <xf numFmtId="0" fontId="170" fillId="0" borderId="97" xfId="134" applyFont="1" applyBorder="1" applyAlignment="1">
      <alignment horizontal="right" wrapText="1"/>
    </xf>
    <xf numFmtId="0" fontId="170" fillId="0" borderId="98" xfId="134" applyFont="1" applyBorder="1" applyAlignment="1">
      <alignment horizontal="right" wrapText="1"/>
    </xf>
    <xf numFmtId="4" fontId="162" fillId="34" borderId="62" xfId="134" applyNumberFormat="1" applyFont="1" applyFill="1" applyBorder="1" applyAlignment="1">
      <alignment horizontal="right" vertical="center"/>
    </xf>
    <xf numFmtId="0" fontId="170" fillId="0" borderId="59" xfId="134" applyFont="1" applyBorder="1" applyAlignment="1">
      <alignment horizontal="right" wrapText="1"/>
    </xf>
    <xf numFmtId="0" fontId="170" fillId="0" borderId="40" xfId="134" applyFont="1" applyBorder="1" applyAlignment="1">
      <alignment horizontal="right" wrapText="1"/>
    </xf>
    <xf numFmtId="0" fontId="170" fillId="64" borderId="40" xfId="134" applyFont="1" applyFill="1" applyBorder="1" applyAlignment="1">
      <alignment horizontal="right" wrapText="1"/>
    </xf>
    <xf numFmtId="0" fontId="170" fillId="64" borderId="47" xfId="134" applyFont="1" applyFill="1" applyBorder="1" applyAlignment="1">
      <alignment horizontal="right" wrapText="1"/>
    </xf>
    <xf numFmtId="4" fontId="162" fillId="34" borderId="61" xfId="134" applyNumberFormat="1" applyFont="1" applyFill="1" applyBorder="1" applyAlignment="1">
      <alignment horizontal="right"/>
    </xf>
    <xf numFmtId="4" fontId="162" fillId="34" borderId="98" xfId="134" applyNumberFormat="1" applyFont="1" applyFill="1" applyBorder="1" applyAlignment="1">
      <alignment horizontal="right"/>
    </xf>
    <xf numFmtId="4" fontId="162" fillId="34" borderId="59" xfId="444" applyNumberFormat="1" applyFont="1" applyFill="1" applyBorder="1" applyAlignment="1">
      <alignment horizontal="right"/>
    </xf>
    <xf numFmtId="4" fontId="162" fillId="34" borderId="65" xfId="444" applyNumberFormat="1" applyFont="1" applyFill="1" applyBorder="1" applyAlignment="1">
      <alignment horizontal="right"/>
    </xf>
    <xf numFmtId="4" fontId="162" fillId="34" borderId="39" xfId="444" applyNumberFormat="1" applyFont="1" applyFill="1" applyBorder="1" applyAlignment="1">
      <alignment horizontal="right"/>
    </xf>
    <xf numFmtId="4" fontId="162" fillId="34" borderId="40" xfId="444" applyNumberFormat="1" applyFont="1" applyFill="1" applyBorder="1" applyAlignment="1">
      <alignment horizontal="right"/>
    </xf>
    <xf numFmtId="4" fontId="162" fillId="34" borderId="7" xfId="444" applyNumberFormat="1" applyFont="1" applyFill="1" applyBorder="1" applyAlignment="1">
      <alignment horizontal="right"/>
    </xf>
    <xf numFmtId="4" fontId="162" fillId="65" borderId="7" xfId="444" applyNumberFormat="1" applyFont="1" applyFill="1" applyBorder="1" applyAlignment="1">
      <alignment horizontal="right"/>
    </xf>
    <xf numFmtId="4" fontId="162" fillId="65" borderId="39" xfId="444" applyNumberFormat="1" applyFont="1" applyFill="1" applyBorder="1" applyAlignment="1">
      <alignment horizontal="right"/>
    </xf>
    <xf numFmtId="4" fontId="162" fillId="65" borderId="40" xfId="444" applyNumberFormat="1" applyFont="1" applyFill="1" applyBorder="1" applyAlignment="1">
      <alignment horizontal="right"/>
    </xf>
    <xf numFmtId="4" fontId="162" fillId="71" borderId="40" xfId="444" applyNumberFormat="1" applyFont="1" applyFill="1" applyBorder="1" applyAlignment="1">
      <alignment horizontal="right"/>
    </xf>
    <xf numFmtId="4" fontId="162" fillId="68" borderId="40" xfId="444" applyNumberFormat="1" applyFont="1" applyFill="1" applyBorder="1" applyAlignment="1">
      <alignment horizontal="right"/>
    </xf>
    <xf numFmtId="4" fontId="162" fillId="34" borderId="78" xfId="444" applyNumberFormat="1" applyFont="1" applyFill="1" applyBorder="1" applyAlignment="1">
      <alignment horizontal="right"/>
    </xf>
    <xf numFmtId="4" fontId="162" fillId="64" borderId="47" xfId="444" applyNumberFormat="1" applyFont="1" applyFill="1" applyBorder="1" applyAlignment="1">
      <alignment horizontal="right"/>
    </xf>
    <xf numFmtId="4" fontId="162" fillId="71" borderId="39" xfId="444" applyNumberFormat="1" applyFont="1" applyFill="1" applyBorder="1" applyAlignment="1">
      <alignment horizontal="right"/>
    </xf>
    <xf numFmtId="4" fontId="162" fillId="34" borderId="39" xfId="134" applyNumberFormat="1" applyFont="1" applyFill="1" applyBorder="1" applyAlignment="1">
      <alignment vertical="center"/>
    </xf>
    <xf numFmtId="4" fontId="138" fillId="34" borderId="40" xfId="444" applyNumberFormat="1" applyFont="1" applyFill="1" applyBorder="1" applyAlignment="1">
      <alignment horizontal="right"/>
    </xf>
    <xf numFmtId="4" fontId="155" fillId="0" borderId="28" xfId="134" applyNumberFormat="1" applyFont="1" applyBorder="1" applyAlignment="1">
      <alignment vertical="center"/>
    </xf>
    <xf numFmtId="0" fontId="155" fillId="0" borderId="0" xfId="134" applyFont="1" applyAlignment="1">
      <alignment vertical="center"/>
    </xf>
    <xf numFmtId="0" fontId="155" fillId="0" borderId="28" xfId="134" applyFont="1" applyBorder="1" applyAlignment="1">
      <alignment vertical="center"/>
    </xf>
    <xf numFmtId="2" fontId="155" fillId="0" borderId="28" xfId="134" applyNumberFormat="1" applyFont="1" applyBorder="1" applyAlignment="1">
      <alignment vertical="center"/>
    </xf>
    <xf numFmtId="2" fontId="155" fillId="0" borderId="0" xfId="134" applyNumberFormat="1" applyFont="1" applyAlignment="1">
      <alignment vertical="center"/>
    </xf>
    <xf numFmtId="0" fontId="51" fillId="0" borderId="0" xfId="134" applyFont="1"/>
    <xf numFmtId="0" fontId="170" fillId="0" borderId="0" xfId="134" applyFont="1"/>
    <xf numFmtId="0" fontId="137" fillId="0" borderId="0" xfId="134" applyFont="1"/>
    <xf numFmtId="188" fontId="137" fillId="0" borderId="0" xfId="134" applyNumberFormat="1" applyFont="1"/>
    <xf numFmtId="189" fontId="51" fillId="0" borderId="0" xfId="134" applyNumberFormat="1" applyFont="1"/>
    <xf numFmtId="4" fontId="54" fillId="0" borderId="0" xfId="134" applyNumberFormat="1" applyFont="1"/>
    <xf numFmtId="189" fontId="137" fillId="0" borderId="0" xfId="134" applyNumberFormat="1" applyFont="1"/>
    <xf numFmtId="4" fontId="51" fillId="0" borderId="0" xfId="134" applyNumberFormat="1" applyFont="1"/>
    <xf numFmtId="190" fontId="137" fillId="0" borderId="0" xfId="134" applyNumberFormat="1" applyFont="1"/>
    <xf numFmtId="0" fontId="51" fillId="0" borderId="26" xfId="134" applyFont="1" applyBorder="1"/>
    <xf numFmtId="0" fontId="51" fillId="0" borderId="34" xfId="134" applyFont="1" applyBorder="1"/>
    <xf numFmtId="0" fontId="51" fillId="0" borderId="34" xfId="134" applyFont="1" applyBorder="1" applyAlignment="1">
      <alignment horizontal="right"/>
    </xf>
    <xf numFmtId="0" fontId="51" fillId="0" borderId="27" xfId="134" applyFont="1" applyBorder="1"/>
    <xf numFmtId="0" fontId="137" fillId="3" borderId="0" xfId="134" applyFont="1" applyFill="1"/>
    <xf numFmtId="0" fontId="51" fillId="0" borderId="28" xfId="134" applyFont="1" applyBorder="1"/>
    <xf numFmtId="0" fontId="51" fillId="0" borderId="24" xfId="134" applyFont="1" applyBorder="1"/>
    <xf numFmtId="0" fontId="54" fillId="0" borderId="0" xfId="134" applyFont="1"/>
    <xf numFmtId="10" fontId="51" fillId="0" borderId="28" xfId="548" applyNumberFormat="1" applyFont="1" applyBorder="1"/>
    <xf numFmtId="10" fontId="51" fillId="0" borderId="0" xfId="548" applyNumberFormat="1" applyFont="1" applyBorder="1"/>
    <xf numFmtId="10" fontId="51" fillId="0" borderId="29" xfId="548" applyNumberFormat="1" applyFont="1" applyBorder="1"/>
    <xf numFmtId="0" fontId="51" fillId="0" borderId="35" xfId="134" applyFont="1" applyBorder="1"/>
    <xf numFmtId="10" fontId="51" fillId="0" borderId="35" xfId="548" applyNumberFormat="1" applyFont="1" applyBorder="1"/>
    <xf numFmtId="0" fontId="51" fillId="0" borderId="56" xfId="134" applyFont="1" applyBorder="1"/>
    <xf numFmtId="0" fontId="51" fillId="64" borderId="3" xfId="549" applyFont="1" applyFill="1" applyBorder="1" applyAlignment="1">
      <alignment horizontal="center" wrapText="1"/>
    </xf>
    <xf numFmtId="0" fontId="51" fillId="0" borderId="1" xfId="134" applyFont="1" applyBorder="1"/>
    <xf numFmtId="2" fontId="51" fillId="0" borderId="1" xfId="134" applyNumberFormat="1" applyFont="1" applyBorder="1" applyAlignment="1">
      <alignment horizontal="right" vertical="center"/>
    </xf>
    <xf numFmtId="10" fontId="51" fillId="0" borderId="1" xfId="193" applyNumberFormat="1" applyFont="1" applyBorder="1"/>
    <xf numFmtId="2" fontId="51" fillId="0" borderId="1" xfId="134" applyNumberFormat="1" applyFont="1" applyBorder="1" applyAlignment="1">
      <alignment horizontal="right"/>
    </xf>
    <xf numFmtId="2" fontId="51" fillId="0" borderId="1" xfId="134" applyNumberFormat="1" applyFont="1" applyBorder="1"/>
    <xf numFmtId="4" fontId="51" fillId="0" borderId="1" xfId="134" applyNumberFormat="1" applyFont="1" applyBorder="1"/>
    <xf numFmtId="0" fontId="51" fillId="34" borderId="0" xfId="134" applyFont="1" applyFill="1"/>
    <xf numFmtId="0" fontId="51" fillId="0" borderId="1" xfId="134" applyFont="1" applyBorder="1" applyAlignment="1">
      <alignment horizontal="right"/>
    </xf>
    <xf numFmtId="4" fontId="51" fillId="0" borderId="1" xfId="134" applyNumberFormat="1" applyFont="1" applyBorder="1" applyAlignment="1">
      <alignment horizontal="right"/>
    </xf>
    <xf numFmtId="0" fontId="51" fillId="64" borderId="0" xfId="134" applyFont="1" applyFill="1"/>
    <xf numFmtId="4" fontId="51" fillId="34" borderId="1" xfId="134" applyNumberFormat="1" applyFont="1" applyFill="1" applyBorder="1" applyAlignment="1">
      <alignment horizontal="right"/>
    </xf>
    <xf numFmtId="0" fontId="51" fillId="34" borderId="1" xfId="134" applyFont="1" applyFill="1" applyBorder="1"/>
    <xf numFmtId="4" fontId="137" fillId="34" borderId="1" xfId="134" applyNumberFormat="1" applyFont="1" applyFill="1" applyBorder="1" applyAlignment="1">
      <alignment horizontal="right"/>
    </xf>
    <xf numFmtId="0" fontId="137" fillId="64" borderId="0" xfId="134" applyFont="1" applyFill="1"/>
    <xf numFmtId="0" fontId="137" fillId="0" borderId="1" xfId="134" applyFont="1" applyBorder="1"/>
    <xf numFmtId="0" fontId="137" fillId="34" borderId="1" xfId="134" applyFont="1" applyFill="1" applyBorder="1"/>
    <xf numFmtId="4" fontId="145" fillId="64" borderId="0" xfId="134" applyNumberFormat="1" applyFont="1" applyFill="1" applyAlignment="1">
      <alignment wrapText="1"/>
    </xf>
    <xf numFmtId="0" fontId="145" fillId="64" borderId="0" xfId="134" applyFont="1" applyFill="1" applyAlignment="1">
      <alignment wrapText="1"/>
    </xf>
    <xf numFmtId="0" fontId="145" fillId="64" borderId="87" xfId="134" applyFont="1" applyFill="1" applyBorder="1" applyAlignment="1">
      <alignment wrapText="1"/>
    </xf>
    <xf numFmtId="0" fontId="170" fillId="64" borderId="0" xfId="134" applyFont="1" applyFill="1"/>
    <xf numFmtId="4" fontId="101" fillId="0" borderId="0" xfId="134" applyNumberFormat="1" applyFont="1"/>
    <xf numFmtId="0" fontId="101" fillId="0" borderId="0" xfId="134" applyFont="1"/>
    <xf numFmtId="0" fontId="217" fillId="0" borderId="0" xfId="134" applyFont="1"/>
    <xf numFmtId="0" fontId="218" fillId="0" borderId="0" xfId="134" applyFont="1"/>
    <xf numFmtId="4" fontId="162" fillId="34" borderId="49" xfId="134" applyNumberFormat="1" applyFont="1" applyFill="1" applyBorder="1" applyAlignment="1">
      <alignment horizontal="right" vertical="center"/>
    </xf>
    <xf numFmtId="2" fontId="51" fillId="0" borderId="79" xfId="134" applyNumberFormat="1" applyFont="1" applyBorder="1" applyAlignment="1">
      <alignment horizontal="right" vertical="center"/>
    </xf>
    <xf numFmtId="4" fontId="162" fillId="34" borderId="94" xfId="134" applyNumberFormat="1" applyFont="1" applyFill="1" applyBorder="1" applyAlignment="1">
      <alignment horizontal="right" vertical="center"/>
    </xf>
    <xf numFmtId="2" fontId="51" fillId="0" borderId="3" xfId="134" applyNumberFormat="1" applyFont="1" applyBorder="1" applyAlignment="1">
      <alignment horizontal="right" vertical="center"/>
    </xf>
    <xf numFmtId="190" fontId="51" fillId="0" borderId="0" xfId="134" applyNumberFormat="1" applyFont="1" applyAlignment="1">
      <alignment vertical="center"/>
    </xf>
    <xf numFmtId="4" fontId="138" fillId="34" borderId="7" xfId="444" applyNumberFormat="1" applyFont="1" applyFill="1" applyBorder="1" applyAlignment="1">
      <alignment horizontal="right"/>
    </xf>
    <xf numFmtId="190" fontId="162" fillId="34" borderId="69" xfId="444" applyNumberFormat="1" applyFont="1" applyFill="1" applyBorder="1" applyAlignment="1">
      <alignment horizontal="right" vertical="center"/>
    </xf>
    <xf numFmtId="0" fontId="51" fillId="64" borderId="7" xfId="549" applyFont="1" applyFill="1" applyBorder="1" applyAlignment="1">
      <alignment horizontal="center" wrapText="1"/>
    </xf>
    <xf numFmtId="0" fontId="162" fillId="0" borderId="7" xfId="134" applyFont="1" applyBorder="1" applyAlignment="1">
      <alignment horizontal="center" wrapText="1"/>
    </xf>
    <xf numFmtId="0" fontId="51" fillId="0" borderId="7" xfId="134" applyFont="1" applyBorder="1"/>
    <xf numFmtId="0" fontId="162" fillId="0" borderId="39" xfId="134" applyFont="1" applyBorder="1" applyAlignment="1">
      <alignment horizontal="center" wrapText="1"/>
    </xf>
    <xf numFmtId="0" fontId="162" fillId="0" borderId="40" xfId="134" applyFont="1" applyBorder="1" applyAlignment="1">
      <alignment horizontal="center" wrapText="1"/>
    </xf>
    <xf numFmtId="0" fontId="51" fillId="0" borderId="44" xfId="134" applyFont="1" applyBorder="1" applyAlignment="1">
      <alignment horizontal="center" vertical="center"/>
    </xf>
    <xf numFmtId="0" fontId="51" fillId="0" borderId="46" xfId="134" applyFont="1" applyBorder="1" applyAlignment="1">
      <alignment horizontal="center" vertical="center"/>
    </xf>
    <xf numFmtId="0" fontId="133" fillId="0" borderId="44" xfId="134" applyFont="1" applyBorder="1" applyAlignment="1">
      <alignment horizontal="center" vertical="center"/>
    </xf>
    <xf numFmtId="3" fontId="162" fillId="34" borderId="30" xfId="134" applyNumberFormat="1" applyFont="1" applyFill="1" applyBorder="1" applyAlignment="1">
      <alignment horizontal="right" vertical="center"/>
    </xf>
    <xf numFmtId="4" fontId="162" fillId="34" borderId="5" xfId="134" applyNumberFormat="1" applyFont="1" applyFill="1" applyBorder="1" applyAlignment="1">
      <alignment vertical="center"/>
    </xf>
    <xf numFmtId="4" fontId="162" fillId="34" borderId="42" xfId="134" applyNumberFormat="1" applyFont="1" applyFill="1" applyBorder="1" applyAlignment="1">
      <alignment horizontal="right" vertical="center"/>
    </xf>
    <xf numFmtId="4" fontId="162" fillId="34" borderId="38" xfId="134" applyNumberFormat="1" applyFont="1" applyFill="1" applyBorder="1" applyAlignment="1">
      <alignment horizontal="right" vertical="center"/>
    </xf>
    <xf numFmtId="4" fontId="162" fillId="34" borderId="39" xfId="134" applyNumberFormat="1" applyFont="1" applyFill="1" applyBorder="1" applyAlignment="1">
      <alignment horizontal="right" vertical="center"/>
    </xf>
    <xf numFmtId="4" fontId="162" fillId="34" borderId="40" xfId="134" applyNumberFormat="1" applyFont="1" applyFill="1" applyBorder="1" applyAlignment="1">
      <alignment horizontal="right"/>
    </xf>
    <xf numFmtId="4" fontId="162" fillId="34" borderId="47" xfId="134" applyNumberFormat="1" applyFont="1" applyFill="1" applyBorder="1" applyAlignment="1">
      <alignment horizontal="right" vertical="center"/>
    </xf>
    <xf numFmtId="4" fontId="162" fillId="34" borderId="67" xfId="444" applyNumberFormat="1" applyFont="1" applyFill="1" applyBorder="1" applyAlignment="1">
      <alignment horizontal="right" vertical="center"/>
    </xf>
    <xf numFmtId="4" fontId="162" fillId="34" borderId="92" xfId="444" applyNumberFormat="1" applyFont="1" applyFill="1" applyBorder="1" applyAlignment="1">
      <alignment horizontal="right" vertical="center"/>
    </xf>
    <xf numFmtId="4" fontId="162" fillId="64" borderId="40" xfId="444" applyNumberFormat="1" applyFont="1" applyFill="1" applyBorder="1" applyAlignment="1">
      <alignment horizontal="right" vertical="center"/>
    </xf>
    <xf numFmtId="4" fontId="162" fillId="34" borderId="42" xfId="444" applyNumberFormat="1" applyFont="1" applyFill="1" applyBorder="1" applyAlignment="1">
      <alignment horizontal="right" vertical="center"/>
    </xf>
    <xf numFmtId="4" fontId="162" fillId="34" borderId="89" xfId="444" applyNumberFormat="1" applyFont="1" applyFill="1" applyBorder="1" applyAlignment="1">
      <alignment horizontal="right" vertical="center"/>
    </xf>
    <xf numFmtId="4" fontId="162" fillId="34" borderId="37" xfId="444" applyNumberFormat="1" applyFont="1" applyFill="1" applyBorder="1" applyAlignment="1">
      <alignment horizontal="right" vertical="center"/>
    </xf>
    <xf numFmtId="4" fontId="54" fillId="34" borderId="44" xfId="444" applyNumberFormat="1" applyFont="1" applyFill="1" applyBorder="1" applyAlignment="1">
      <alignment horizontal="right" vertical="center"/>
    </xf>
    <xf numFmtId="4" fontId="54" fillId="34" borderId="68" xfId="444" applyNumberFormat="1" applyFont="1" applyFill="1" applyBorder="1" applyAlignment="1">
      <alignment horizontal="right" vertical="center"/>
    </xf>
    <xf numFmtId="4" fontId="54" fillId="34" borderId="46" xfId="444" applyNumberFormat="1" applyFont="1" applyFill="1" applyBorder="1" applyAlignment="1">
      <alignment horizontal="right" vertical="center"/>
    </xf>
    <xf numFmtId="4" fontId="54" fillId="34" borderId="53" xfId="444" applyNumberFormat="1" applyFont="1" applyFill="1" applyBorder="1" applyAlignment="1">
      <alignment horizontal="right" vertical="center"/>
    </xf>
    <xf numFmtId="0" fontId="162" fillId="64" borderId="61" xfId="134" applyFont="1" applyFill="1" applyBorder="1" applyAlignment="1">
      <alignment horizontal="left" vertical="center" wrapText="1"/>
    </xf>
    <xf numFmtId="0" fontId="162" fillId="64" borderId="3" xfId="134" applyFont="1" applyFill="1" applyBorder="1" applyAlignment="1">
      <alignment horizontal="left" vertical="center" wrapText="1"/>
    </xf>
    <xf numFmtId="0" fontId="162" fillId="0" borderId="1" xfId="134" applyFont="1" applyBorder="1" applyAlignment="1">
      <alignment horizontal="left" vertical="center" wrapText="1"/>
    </xf>
    <xf numFmtId="0" fontId="162" fillId="0" borderId="79" xfId="134" applyFont="1" applyBorder="1" applyAlignment="1">
      <alignment horizontal="left" vertical="center" wrapText="1"/>
    </xf>
    <xf numFmtId="0" fontId="162" fillId="0" borderId="61" xfId="134" applyFont="1" applyBorder="1" applyAlignment="1">
      <alignment horizontal="left" vertical="center" wrapText="1"/>
    </xf>
    <xf numFmtId="0" fontId="162" fillId="0" borderId="58" xfId="134" applyFont="1" applyBorder="1" applyAlignment="1">
      <alignment horizontal="left" wrapText="1"/>
    </xf>
    <xf numFmtId="0" fontId="162" fillId="64" borderId="1" xfId="134" applyFont="1" applyFill="1" applyBorder="1" applyAlignment="1">
      <alignment horizontal="left" wrapText="1"/>
    </xf>
    <xf numFmtId="0" fontId="162" fillId="69" borderId="39" xfId="134" applyFont="1" applyFill="1" applyBorder="1" applyAlignment="1">
      <alignment horizontal="left" wrapText="1"/>
    </xf>
    <xf numFmtId="0" fontId="162" fillId="0" borderId="39" xfId="134" applyFont="1" applyBorder="1" applyAlignment="1">
      <alignment horizontal="left" wrapText="1"/>
    </xf>
    <xf numFmtId="0" fontId="173" fillId="64" borderId="39" xfId="134" applyFont="1" applyFill="1" applyBorder="1" applyAlignment="1">
      <alignment horizontal="left" wrapText="1"/>
    </xf>
    <xf numFmtId="0" fontId="162" fillId="70" borderId="39" xfId="134" applyFont="1" applyFill="1" applyBorder="1" applyAlignment="1">
      <alignment horizontal="left" wrapText="1"/>
    </xf>
    <xf numFmtId="0" fontId="162" fillId="64" borderId="39" xfId="134" applyFont="1" applyFill="1" applyBorder="1" applyAlignment="1">
      <alignment horizontal="left" wrapText="1"/>
    </xf>
    <xf numFmtId="0" fontId="162" fillId="64" borderId="41" xfId="134" applyFont="1" applyFill="1" applyBorder="1" applyAlignment="1">
      <alignment horizontal="left" wrapText="1"/>
    </xf>
    <xf numFmtId="0" fontId="138" fillId="64" borderId="1" xfId="134" applyFont="1" applyFill="1" applyBorder="1" applyAlignment="1">
      <alignment horizontal="left" wrapText="1"/>
    </xf>
    <xf numFmtId="0" fontId="162" fillId="34" borderId="3" xfId="134" applyFont="1" applyFill="1" applyBorder="1" applyAlignment="1">
      <alignment horizontal="left" wrapText="1"/>
    </xf>
    <xf numFmtId="0" fontId="162" fillId="34" borderId="45" xfId="134" applyFont="1" applyFill="1" applyBorder="1" applyAlignment="1">
      <alignment horizontal="left" wrapText="1"/>
    </xf>
    <xf numFmtId="0" fontId="51" fillId="0" borderId="0" xfId="134" applyFont="1" applyAlignment="1">
      <alignment horizontal="center" vertical="center"/>
    </xf>
    <xf numFmtId="0" fontId="137" fillId="0" borderId="0" xfId="134" applyFont="1" applyAlignment="1">
      <alignment horizontal="center" vertical="center"/>
    </xf>
    <xf numFmtId="0" fontId="162" fillId="64" borderId="60" xfId="134" applyFont="1" applyFill="1" applyBorder="1" applyAlignment="1">
      <alignment horizontal="center" vertical="center" wrapText="1"/>
    </xf>
    <xf numFmtId="0" fontId="162" fillId="68" borderId="42" xfId="134" applyFont="1" applyFill="1" applyBorder="1" applyAlignment="1">
      <alignment horizontal="center" vertical="center" wrapText="1"/>
    </xf>
    <xf numFmtId="0" fontId="162" fillId="0" borderId="39" xfId="134" applyFont="1" applyBorder="1" applyAlignment="1">
      <alignment horizontal="center" vertical="center" wrapText="1"/>
    </xf>
    <xf numFmtId="0" fontId="162" fillId="0" borderId="41" xfId="134" applyFont="1" applyBorder="1" applyAlignment="1">
      <alignment horizontal="center" vertical="center" wrapText="1"/>
    </xf>
    <xf numFmtId="0" fontId="162" fillId="68" borderId="41" xfId="134" applyFont="1" applyFill="1" applyBorder="1" applyAlignment="1">
      <alignment horizontal="center" vertical="center" wrapText="1"/>
    </xf>
    <xf numFmtId="0" fontId="162" fillId="0" borderId="60" xfId="134" applyFont="1" applyBorder="1" applyAlignment="1">
      <alignment horizontal="center" vertical="center" wrapText="1"/>
    </xf>
    <xf numFmtId="0" fontId="162" fillId="0" borderId="57" xfId="134" applyFont="1" applyBorder="1" applyAlignment="1">
      <alignment horizontal="center" vertical="center" wrapText="1"/>
    </xf>
    <xf numFmtId="16" fontId="162" fillId="64" borderId="39" xfId="134" applyNumberFormat="1" applyFont="1" applyFill="1" applyBorder="1" applyAlignment="1">
      <alignment horizontal="center" vertical="center" wrapText="1"/>
    </xf>
    <xf numFmtId="0" fontId="138" fillId="64" borderId="39" xfId="134" applyFont="1" applyFill="1" applyBorder="1" applyAlignment="1">
      <alignment horizontal="center" vertical="center" wrapText="1"/>
    </xf>
    <xf numFmtId="0" fontId="162" fillId="34" borderId="42" xfId="134" applyFont="1" applyFill="1" applyBorder="1" applyAlignment="1">
      <alignment horizontal="center" vertical="center" wrapText="1"/>
    </xf>
    <xf numFmtId="0" fontId="162" fillId="34" borderId="44" xfId="134" applyFont="1" applyFill="1" applyBorder="1" applyAlignment="1">
      <alignment horizontal="center" vertical="center" wrapText="1"/>
    </xf>
    <xf numFmtId="0" fontId="162" fillId="64" borderId="57" xfId="134" applyFont="1" applyFill="1" applyBorder="1" applyAlignment="1">
      <alignment horizontal="center" vertical="center" wrapText="1"/>
    </xf>
    <xf numFmtId="0" fontId="162" fillId="64" borderId="39" xfId="134" applyFont="1" applyFill="1" applyBorder="1" applyAlignment="1">
      <alignment horizontal="center" vertical="center" wrapText="1"/>
    </xf>
    <xf numFmtId="0" fontId="54" fillId="64" borderId="44" xfId="134" applyFont="1" applyFill="1" applyBorder="1" applyAlignment="1">
      <alignment horizontal="center" vertical="center"/>
    </xf>
    <xf numFmtId="0" fontId="51" fillId="64" borderId="0" xfId="134" applyFont="1" applyFill="1" applyAlignment="1">
      <alignment horizontal="center" vertical="center"/>
    </xf>
    <xf numFmtId="0" fontId="0" fillId="0" borderId="37" xfId="0" applyBorder="1"/>
    <xf numFmtId="0" fontId="0" fillId="0" borderId="52" xfId="0" applyBorder="1"/>
    <xf numFmtId="0" fontId="36" fillId="0" borderId="53" xfId="0" applyFont="1" applyBorder="1"/>
    <xf numFmtId="0" fontId="0" fillId="0" borderId="1" xfId="0" applyBorder="1" applyAlignment="1">
      <alignment horizontal="center" vertical="center"/>
    </xf>
    <xf numFmtId="2" fontId="219" fillId="0" borderId="1" xfId="0" applyNumberFormat="1" applyFont="1" applyBorder="1"/>
    <xf numFmtId="0" fontId="176" fillId="0" borderId="0" xfId="0" applyFont="1" applyAlignment="1">
      <alignment horizontal="center" vertical="center"/>
    </xf>
    <xf numFmtId="0" fontId="136" fillId="0" borderId="8" xfId="0" applyFont="1" applyBorder="1" applyAlignment="1">
      <alignment horizontal="center" vertical="top" wrapText="1"/>
    </xf>
    <xf numFmtId="4" fontId="93" fillId="0" borderId="1" xfId="0" applyNumberFormat="1" applyFont="1" applyBorder="1" applyAlignment="1">
      <alignment horizontal="center" vertical="center"/>
    </xf>
    <xf numFmtId="4" fontId="44" fillId="0" borderId="1" xfId="0" applyNumberFormat="1" applyFont="1" applyBorder="1" applyAlignment="1">
      <alignment horizontal="center" vertical="center"/>
    </xf>
    <xf numFmtId="0" fontId="101" fillId="0" borderId="8" xfId="0" applyFont="1" applyBorder="1" applyAlignment="1">
      <alignment horizontal="center" vertical="top" wrapText="1"/>
    </xf>
    <xf numFmtId="49" fontId="136" fillId="0" borderId="1" xfId="0" applyNumberFormat="1" applyFont="1" applyBorder="1" applyAlignment="1">
      <alignment horizontal="center" vertical="top" wrapText="1"/>
    </xf>
    <xf numFmtId="49" fontId="101" fillId="0" borderId="1" xfId="0" applyNumberFormat="1" applyFont="1" applyBorder="1" applyAlignment="1">
      <alignment horizontal="center" vertical="top" wrapText="1"/>
    </xf>
    <xf numFmtId="3" fontId="44" fillId="0" borderId="1" xfId="0" applyNumberFormat="1" applyFont="1" applyBorder="1" applyAlignment="1">
      <alignment horizontal="center" vertical="center"/>
    </xf>
    <xf numFmtId="0" fontId="136" fillId="0" borderId="97" xfId="0" applyFont="1" applyBorder="1" applyAlignment="1">
      <alignment horizontal="center" vertical="top" wrapText="1"/>
    </xf>
    <xf numFmtId="4" fontId="206" fillId="0" borderId="1" xfId="0" applyNumberFormat="1" applyFont="1" applyBorder="1" applyAlignment="1">
      <alignment horizontal="center" vertical="center"/>
    </xf>
    <xf numFmtId="49" fontId="136" fillId="0" borderId="41" xfId="0" applyNumberFormat="1" applyFont="1" applyBorder="1" applyAlignment="1">
      <alignment horizontal="center" vertical="top" wrapText="1"/>
    </xf>
    <xf numFmtId="0" fontId="136" fillId="0" borderId="10" xfId="0" applyFont="1" applyBorder="1" applyAlignment="1">
      <alignment horizontal="center" vertical="top" wrapText="1"/>
    </xf>
    <xf numFmtId="49" fontId="136" fillId="0" borderId="77" xfId="0" applyNumberFormat="1" applyFont="1" applyBorder="1" applyAlignment="1">
      <alignment horizontal="right" vertical="top" wrapText="1"/>
    </xf>
    <xf numFmtId="0" fontId="136" fillId="0" borderId="0" xfId="0" applyFont="1" applyAlignment="1">
      <alignment vertical="top" wrapText="1"/>
    </xf>
    <xf numFmtId="0" fontId="136" fillId="0" borderId="1" xfId="0" applyFont="1" applyBorder="1" applyAlignment="1">
      <alignment vertical="top" wrapText="1"/>
    </xf>
    <xf numFmtId="0" fontId="101" fillId="0" borderId="1" xfId="0" applyFont="1" applyBorder="1" applyAlignment="1">
      <alignment vertical="top" wrapText="1"/>
    </xf>
    <xf numFmtId="0" fontId="199" fillId="0" borderId="1" xfId="0" applyFont="1" applyBorder="1" applyAlignment="1">
      <alignment vertical="top" wrapText="1"/>
    </xf>
    <xf numFmtId="3" fontId="105" fillId="0" borderId="1" xfId="0" applyNumberFormat="1" applyFont="1" applyBorder="1" applyAlignment="1">
      <alignment horizontal="center" vertical="center"/>
    </xf>
    <xf numFmtId="1" fontId="162" fillId="0" borderId="57" xfId="0" applyNumberFormat="1" applyFont="1" applyBorder="1" applyAlignment="1">
      <alignment horizontal="center" vertical="center" wrapText="1"/>
    </xf>
    <xf numFmtId="1" fontId="162" fillId="0" borderId="58" xfId="0" applyNumberFormat="1" applyFont="1" applyBorder="1" applyAlignment="1">
      <alignment horizontal="center" vertical="center" wrapText="1"/>
    </xf>
    <xf numFmtId="0" fontId="43" fillId="0" borderId="0" xfId="0" applyFont="1" applyAlignment="1">
      <alignment horizontal="center" vertical="center"/>
    </xf>
    <xf numFmtId="0" fontId="220" fillId="0" borderId="0" xfId="0" applyFont="1"/>
    <xf numFmtId="0" fontId="136" fillId="0" borderId="1" xfId="116" applyFont="1" applyBorder="1" applyAlignment="1">
      <alignment horizontal="center" vertical="center" wrapText="1"/>
    </xf>
    <xf numFmtId="0" fontId="136" fillId="0" borderId="1" xfId="116" applyFont="1" applyBorder="1" applyAlignment="1">
      <alignment vertical="justify" wrapText="1"/>
    </xf>
    <xf numFmtId="2" fontId="136" fillId="0" borderId="1" xfId="116" applyNumberFormat="1" applyFont="1" applyBorder="1"/>
    <xf numFmtId="0" fontId="136" fillId="0" borderId="1" xfId="116" applyFont="1" applyBorder="1" applyAlignment="1">
      <alignment horizontal="left" vertical="justify" wrapText="1"/>
    </xf>
    <xf numFmtId="2" fontId="136" fillId="0" borderId="1" xfId="116" applyNumberFormat="1" applyFont="1" applyBorder="1" applyAlignment="1">
      <alignment horizontal="right"/>
    </xf>
    <xf numFmtId="0" fontId="101" fillId="0" borderId="1" xfId="116" applyFont="1" applyBorder="1" applyAlignment="1">
      <alignment horizontal="left" wrapText="1" indent="1"/>
    </xf>
    <xf numFmtId="2" fontId="101" fillId="0" borderId="1" xfId="116" applyNumberFormat="1" applyFont="1" applyBorder="1" applyAlignment="1">
      <alignment horizontal="right"/>
    </xf>
    <xf numFmtId="0" fontId="136" fillId="0" borderId="1" xfId="116" applyFont="1" applyBorder="1" applyAlignment="1">
      <alignment horizontal="left" wrapText="1"/>
    </xf>
    <xf numFmtId="0" fontId="101" fillId="0" borderId="1" xfId="116" applyFont="1" applyBorder="1" applyAlignment="1">
      <alignment horizontal="right" wrapText="1" indent="2"/>
    </xf>
    <xf numFmtId="2" fontId="101" fillId="0" borderId="1" xfId="116" applyNumberFormat="1" applyFont="1" applyBorder="1"/>
    <xf numFmtId="0" fontId="101" fillId="0" borderId="1" xfId="116" applyFont="1" applyBorder="1" applyAlignment="1">
      <alignment horizontal="left" vertical="justify" wrapText="1" indent="1"/>
    </xf>
    <xf numFmtId="0" fontId="101" fillId="0" borderId="1" xfId="116" applyFont="1" applyBorder="1" applyAlignment="1">
      <alignment horizontal="left" vertical="center" wrapText="1" indent="1"/>
    </xf>
    <xf numFmtId="0" fontId="101" fillId="0" borderId="1" xfId="116" applyFont="1" applyBorder="1" applyAlignment="1">
      <alignment horizontal="left" wrapText="1" indent="2"/>
    </xf>
    <xf numFmtId="0" fontId="101" fillId="0" borderId="1" xfId="116" applyFont="1" applyBorder="1" applyAlignment="1">
      <alignment horizontal="left" vertical="justify" indent="1"/>
    </xf>
    <xf numFmtId="0" fontId="136" fillId="0" borderId="1" xfId="116" applyFont="1" applyBorder="1" applyAlignment="1">
      <alignment horizontal="left" vertical="center" wrapText="1"/>
    </xf>
    <xf numFmtId="0" fontId="43" fillId="0" borderId="0" xfId="0" applyFont="1" applyAlignment="1">
      <alignment horizontal="left" vertical="center"/>
    </xf>
    <xf numFmtId="2" fontId="136" fillId="0" borderId="1" xfId="116" applyNumberFormat="1" applyFont="1" applyBorder="1" applyAlignment="1">
      <alignment horizontal="center" vertical="center"/>
    </xf>
    <xf numFmtId="0" fontId="93" fillId="0" borderId="1" xfId="0" applyFont="1" applyBorder="1" applyAlignment="1">
      <alignment horizontal="center" vertical="center"/>
    </xf>
    <xf numFmtId="2" fontId="93" fillId="0" borderId="1" xfId="0" applyNumberFormat="1" applyFont="1" applyBorder="1" applyAlignment="1">
      <alignment horizontal="center" vertical="center"/>
    </xf>
    <xf numFmtId="2" fontId="44" fillId="0" borderId="1" xfId="0" applyNumberFormat="1" applyFont="1" applyBorder="1"/>
    <xf numFmtId="0" fontId="136" fillId="0" borderId="79" xfId="116" applyFont="1" applyBorder="1" applyAlignment="1">
      <alignment horizontal="center" vertical="center" wrapText="1"/>
    </xf>
    <xf numFmtId="0" fontId="136" fillId="0" borderId="3" xfId="116" applyFont="1" applyBorder="1" applyAlignment="1">
      <alignment horizontal="center" vertical="center" wrapText="1"/>
    </xf>
    <xf numFmtId="0" fontId="99" fillId="0" borderId="0" xfId="0" applyFont="1"/>
    <xf numFmtId="1" fontId="137" fillId="0" borderId="1" xfId="506" applyNumberFormat="1" applyFont="1" applyBorder="1" applyAlignment="1">
      <alignment horizontal="center"/>
    </xf>
    <xf numFmtId="0" fontId="198" fillId="0" borderId="0" xfId="506" applyFont="1"/>
    <xf numFmtId="4" fontId="198" fillId="0" borderId="0" xfId="506" applyNumberFormat="1" applyFont="1"/>
    <xf numFmtId="49" fontId="36" fillId="0" borderId="0" xfId="5" applyNumberFormat="1" applyFont="1"/>
    <xf numFmtId="0" fontId="36" fillId="0" borderId="0" xfId="5" applyFont="1"/>
    <xf numFmtId="0" fontId="36" fillId="0" borderId="0" xfId="0" applyFont="1"/>
    <xf numFmtId="49" fontId="221" fillId="0" borderId="0" xfId="5" applyNumberFormat="1" applyFont="1"/>
    <xf numFmtId="0" fontId="221" fillId="0" borderId="0" xfId="0" applyFont="1"/>
    <xf numFmtId="49" fontId="116" fillId="0" borderId="0" xfId="5" applyNumberFormat="1" applyFont="1"/>
    <xf numFmtId="0" fontId="116" fillId="0" borderId="0" xfId="0" applyFont="1"/>
    <xf numFmtId="0" fontId="221" fillId="0" borderId="1" xfId="5" applyFont="1" applyBorder="1"/>
    <xf numFmtId="2" fontId="221" fillId="0" borderId="1" xfId="5" applyNumberFormat="1" applyFont="1" applyBorder="1"/>
    <xf numFmtId="0" fontId="116" fillId="0" borderId="1" xfId="5" applyFont="1" applyBorder="1"/>
    <xf numFmtId="2" fontId="116" fillId="0" borderId="1" xfId="5" applyNumberFormat="1" applyFont="1" applyBorder="1"/>
    <xf numFmtId="2" fontId="36" fillId="0" borderId="0" xfId="5" applyNumberFormat="1" applyFont="1"/>
    <xf numFmtId="2" fontId="9" fillId="0" borderId="0" xfId="5" applyNumberFormat="1" applyFont="1"/>
    <xf numFmtId="2" fontId="116" fillId="2" borderId="1" xfId="5" applyNumberFormat="1" applyFont="1" applyFill="1" applyBorder="1"/>
    <xf numFmtId="2" fontId="35" fillId="2" borderId="1" xfId="5" applyNumberFormat="1" applyFill="1" applyBorder="1"/>
    <xf numFmtId="2" fontId="43" fillId="0" borderId="69" xfId="0" applyNumberFormat="1" applyFont="1" applyBorder="1" applyAlignment="1">
      <alignment horizontal="center"/>
    </xf>
    <xf numFmtId="2" fontId="43" fillId="0" borderId="7" xfId="0" applyNumberFormat="1" applyFont="1" applyBorder="1" applyAlignment="1">
      <alignment horizontal="center"/>
    </xf>
    <xf numFmtId="2" fontId="43" fillId="0" borderId="10" xfId="0" applyNumberFormat="1" applyFont="1" applyBorder="1" applyAlignment="1">
      <alignment horizontal="center"/>
    </xf>
    <xf numFmtId="2" fontId="43" fillId="0" borderId="8" xfId="0" applyNumberFormat="1" applyFont="1" applyBorder="1" applyAlignment="1">
      <alignment horizontal="center"/>
    </xf>
    <xf numFmtId="0" fontId="44" fillId="0" borderId="0" xfId="0" applyFont="1" applyAlignment="1">
      <alignment wrapText="1"/>
    </xf>
    <xf numFmtId="0" fontId="44" fillId="0" borderId="1" xfId="552" applyFont="1" applyBorder="1" applyAlignment="1">
      <alignment wrapText="1"/>
    </xf>
    <xf numFmtId="0" fontId="44" fillId="0" borderId="1" xfId="0" applyFont="1" applyBorder="1" applyAlignment="1">
      <alignment vertical="top" wrapText="1"/>
    </xf>
    <xf numFmtId="0" fontId="187" fillId="0" borderId="0" xfId="0" applyFont="1"/>
    <xf numFmtId="0" fontId="44" fillId="2" borderId="1" xfId="0" applyFont="1" applyFill="1" applyBorder="1"/>
    <xf numFmtId="0" fontId="44" fillId="30" borderId="1" xfId="0" applyFont="1" applyFill="1" applyBorder="1"/>
    <xf numFmtId="0" fontId="44" fillId="0" borderId="8" xfId="0" applyFont="1" applyBorder="1" applyAlignment="1">
      <alignment wrapText="1"/>
    </xf>
    <xf numFmtId="0" fontId="187" fillId="0" borderId="0" xfId="0" applyFont="1" applyAlignment="1">
      <alignment wrapText="1"/>
    </xf>
    <xf numFmtId="0" fontId="44" fillId="0" borderId="8" xfId="0" applyFont="1" applyBorder="1" applyAlignment="1">
      <alignment horizontal="center" vertical="center" wrapText="1"/>
    </xf>
    <xf numFmtId="0" fontId="187" fillId="0" borderId="0" xfId="0" applyFont="1" applyAlignment="1">
      <alignment horizontal="center" vertical="center" wrapText="1"/>
    </xf>
    <xf numFmtId="0" fontId="187" fillId="0" borderId="0" xfId="0" applyFont="1" applyAlignment="1">
      <alignment horizontal="center" vertical="center"/>
    </xf>
    <xf numFmtId="0" fontId="42" fillId="0" borderId="1" xfId="0" applyFont="1" applyBorder="1" applyAlignment="1">
      <alignment horizontal="center" vertical="center" wrapText="1"/>
    </xf>
    <xf numFmtId="0" fontId="93" fillId="0" borderId="1" xfId="0" applyFont="1" applyBorder="1" applyAlignment="1">
      <alignment wrapText="1"/>
    </xf>
    <xf numFmtId="0" fontId="187" fillId="0" borderId="0" xfId="547" applyFont="1"/>
    <xf numFmtId="0" fontId="187" fillId="0" borderId="0" xfId="552" applyFont="1"/>
    <xf numFmtId="0" fontId="99" fillId="62" borderId="1" xfId="552" applyFont="1" applyFill="1" applyBorder="1" applyAlignment="1">
      <alignment wrapText="1"/>
    </xf>
    <xf numFmtId="0" fontId="44" fillId="80" borderId="1" xfId="0" applyFont="1" applyFill="1" applyBorder="1" applyAlignment="1">
      <alignment wrapText="1"/>
    </xf>
    <xf numFmtId="0" fontId="44" fillId="30" borderId="0" xfId="547" applyFont="1" applyFill="1"/>
    <xf numFmtId="0" fontId="176" fillId="30" borderId="0" xfId="547" applyFont="1" applyFill="1"/>
    <xf numFmtId="0" fontId="43" fillId="0" borderId="1" xfId="0" applyFont="1" applyBorder="1" applyAlignment="1">
      <alignment vertical="center"/>
    </xf>
    <xf numFmtId="0" fontId="93" fillId="0" borderId="0" xfId="552" applyFont="1" applyAlignment="1">
      <alignment horizontal="center"/>
    </xf>
    <xf numFmtId="2" fontId="51" fillId="34" borderId="94" xfId="448" applyNumberFormat="1" applyFont="1" applyFill="1" applyBorder="1" applyAlignment="1">
      <alignment horizontal="center"/>
    </xf>
    <xf numFmtId="0" fontId="42" fillId="0" borderId="45" xfId="547" applyFont="1" applyBorder="1" applyAlignment="1">
      <alignment horizontal="center" vertical="center" wrapText="1"/>
    </xf>
    <xf numFmtId="0" fontId="42" fillId="0" borderId="45" xfId="547" applyFont="1" applyBorder="1" applyAlignment="1">
      <alignment vertical="top" wrapText="1"/>
    </xf>
    <xf numFmtId="0" fontId="149" fillId="0" borderId="45" xfId="547" applyFont="1" applyBorder="1" applyAlignment="1">
      <alignment horizontal="center" vertical="center" wrapText="1"/>
    </xf>
    <xf numFmtId="0" fontId="149" fillId="64" borderId="55" xfId="547" applyFont="1" applyFill="1" applyBorder="1" applyAlignment="1">
      <alignment horizontal="center" vertical="center" wrapText="1"/>
    </xf>
    <xf numFmtId="0" fontId="176" fillId="0" borderId="0" xfId="547" applyFont="1"/>
    <xf numFmtId="4" fontId="101" fillId="0" borderId="1" xfId="0" applyNumberFormat="1" applyFont="1" applyBorder="1"/>
    <xf numFmtId="4" fontId="44" fillId="0" borderId="1" xfId="0" applyNumberFormat="1" applyFont="1" applyBorder="1" applyAlignment="1">
      <alignment vertical="center"/>
    </xf>
    <xf numFmtId="0" fontId="187" fillId="0" borderId="0" xfId="0" applyFont="1" applyAlignment="1">
      <alignment vertical="center"/>
    </xf>
    <xf numFmtId="0" fontId="44" fillId="0" borderId="0" xfId="0" applyFont="1" applyAlignment="1">
      <alignment vertical="center"/>
    </xf>
    <xf numFmtId="0" fontId="43" fillId="0" borderId="48"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0" xfId="0" applyFont="1" applyBorder="1" applyAlignment="1">
      <alignment horizontal="center" vertical="center" wrapText="1"/>
    </xf>
    <xf numFmtId="0" fontId="52" fillId="32" borderId="33" xfId="0" applyFont="1" applyFill="1" applyBorder="1" applyAlignment="1">
      <alignment horizontal="center" vertical="center" wrapText="1"/>
    </xf>
    <xf numFmtId="0" fontId="52" fillId="32" borderId="60" xfId="0" applyFont="1" applyFill="1" applyBorder="1" applyAlignment="1">
      <alignment horizontal="left" vertical="center" wrapText="1"/>
    </xf>
    <xf numFmtId="0" fontId="52" fillId="32" borderId="61" xfId="0" applyFont="1" applyFill="1" applyBorder="1" applyAlignment="1">
      <alignment horizontal="center" vertical="center" wrapText="1"/>
    </xf>
    <xf numFmtId="0" fontId="52" fillId="32" borderId="98" xfId="0" applyFont="1" applyFill="1" applyBorder="1" applyAlignment="1">
      <alignment horizontal="center" vertical="center" wrapText="1"/>
    </xf>
    <xf numFmtId="0" fontId="52" fillId="0" borderId="0" xfId="0" applyFont="1" applyAlignment="1">
      <alignment wrapText="1"/>
    </xf>
    <xf numFmtId="0" fontId="43" fillId="0" borderId="42" xfId="0" applyFont="1" applyBorder="1" applyAlignment="1">
      <alignment horizontal="left" vertical="center" wrapText="1"/>
    </xf>
    <xf numFmtId="0" fontId="43" fillId="0" borderId="3" xfId="0" applyFont="1" applyBorder="1" applyAlignment="1">
      <alignment horizontal="center" vertical="center"/>
    </xf>
    <xf numFmtId="0" fontId="43" fillId="0" borderId="10" xfId="0" applyFont="1" applyBorder="1" applyAlignment="1">
      <alignment horizontal="center" vertical="center"/>
    </xf>
    <xf numFmtId="0" fontId="52" fillId="32" borderId="89" xfId="0" applyFont="1" applyFill="1" applyBorder="1" applyAlignment="1">
      <alignment horizontal="center" vertical="center"/>
    </xf>
    <xf numFmtId="0" fontId="43" fillId="0" borderId="39" xfId="0" applyFont="1" applyBorder="1" applyAlignment="1">
      <alignment horizontal="left" vertical="center" wrapText="1"/>
    </xf>
    <xf numFmtId="0" fontId="43" fillId="0" borderId="1" xfId="0" applyFont="1" applyBorder="1" applyAlignment="1">
      <alignment horizontal="center" vertical="center"/>
    </xf>
    <xf numFmtId="0" fontId="43" fillId="0" borderId="8" xfId="0" applyFont="1" applyBorder="1" applyAlignment="1">
      <alignment horizontal="center" vertical="center"/>
    </xf>
    <xf numFmtId="0" fontId="52" fillId="32" borderId="67" xfId="0" applyFont="1" applyFill="1" applyBorder="1" applyAlignment="1">
      <alignment horizontal="center" vertical="center"/>
    </xf>
    <xf numFmtId="0" fontId="43" fillId="0" borderId="48" xfId="0" applyFont="1" applyBorder="1" applyAlignment="1">
      <alignment horizontal="left" vertical="center" wrapText="1"/>
    </xf>
    <xf numFmtId="0" fontId="43" fillId="0" borderId="79" xfId="0" applyFont="1" applyBorder="1" applyAlignment="1">
      <alignment horizontal="center" vertical="center"/>
    </xf>
    <xf numFmtId="0" fontId="43" fillId="0" borderId="97" xfId="0" applyFont="1" applyBorder="1" applyAlignment="1">
      <alignment horizontal="center" vertical="center"/>
    </xf>
    <xf numFmtId="0" fontId="43" fillId="0" borderId="44" xfId="0" applyFont="1" applyBorder="1" applyAlignment="1">
      <alignment horizontal="left" vertical="center" wrapText="1"/>
    </xf>
    <xf numFmtId="0" fontId="43" fillId="0" borderId="45" xfId="0" applyFont="1" applyBorder="1" applyAlignment="1">
      <alignment horizontal="center" vertical="center"/>
    </xf>
    <xf numFmtId="0" fontId="43" fillId="0" borderId="55" xfId="0" applyFont="1" applyBorder="1" applyAlignment="1">
      <alignment horizontal="center" vertical="center"/>
    </xf>
    <xf numFmtId="0" fontId="43"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6" fillId="0" borderId="0" xfId="0" applyFont="1" applyAlignment="1">
      <alignment horizontal="center" vertical="center"/>
    </xf>
    <xf numFmtId="0" fontId="105" fillId="0" borderId="1" xfId="0" applyFont="1" applyBorder="1" applyAlignment="1">
      <alignment vertical="top" wrapText="1"/>
    </xf>
    <xf numFmtId="4" fontId="105" fillId="0" borderId="1" xfId="0" applyNumberFormat="1" applyFont="1" applyBorder="1"/>
    <xf numFmtId="0" fontId="207" fillId="0" borderId="0" xfId="0" applyFont="1"/>
    <xf numFmtId="0" fontId="105" fillId="0" borderId="0" xfId="0" applyFont="1"/>
    <xf numFmtId="0" fontId="207" fillId="0" borderId="0" xfId="0" applyFont="1" applyAlignment="1">
      <alignment horizontal="right"/>
    </xf>
    <xf numFmtId="2" fontId="52" fillId="32" borderId="68" xfId="0" applyNumberFormat="1" applyFont="1" applyFill="1" applyBorder="1" applyAlignment="1">
      <alignment horizontal="center" vertical="center"/>
    </xf>
    <xf numFmtId="2" fontId="43" fillId="0" borderId="1" xfId="0" applyNumberFormat="1" applyFont="1" applyBorder="1" applyAlignment="1">
      <alignment horizontal="center" vertical="center"/>
    </xf>
    <xf numFmtId="2" fontId="43" fillId="0" borderId="45" xfId="0" applyNumberFormat="1" applyFont="1" applyBorder="1" applyAlignment="1">
      <alignment horizontal="center" vertical="center"/>
    </xf>
    <xf numFmtId="2" fontId="52" fillId="32" borderId="6" xfId="0" applyNumberFormat="1" applyFont="1" applyFill="1" applyBorder="1" applyAlignment="1">
      <alignment horizontal="center" vertical="center" wrapText="1"/>
    </xf>
    <xf numFmtId="2" fontId="52" fillId="32" borderId="61" xfId="0" applyNumberFormat="1" applyFont="1" applyFill="1" applyBorder="1" applyAlignment="1">
      <alignment horizontal="center" vertical="center" wrapText="1"/>
    </xf>
    <xf numFmtId="0" fontId="222" fillId="0" borderId="0" xfId="0" applyFont="1"/>
    <xf numFmtId="0" fontId="0" fillId="0" borderId="0" xfId="0" applyAlignment="1">
      <alignment wrapText="1"/>
    </xf>
    <xf numFmtId="0" fontId="44" fillId="2" borderId="1" xfId="0" applyFont="1" applyFill="1" applyBorder="1" applyAlignment="1">
      <alignment wrapText="1"/>
    </xf>
    <xf numFmtId="2" fontId="44" fillId="2" borderId="1" xfId="0" applyNumberFormat="1" applyFont="1" applyFill="1" applyBorder="1"/>
    <xf numFmtId="0" fontId="42" fillId="2" borderId="1" xfId="0" applyFont="1" applyFill="1" applyBorder="1" applyAlignment="1">
      <alignment wrapText="1"/>
    </xf>
    <xf numFmtId="2" fontId="44" fillId="80" borderId="1" xfId="0" applyNumberFormat="1" applyFont="1" applyFill="1" applyBorder="1"/>
    <xf numFmtId="0" fontId="44" fillId="80" borderId="1" xfId="0" applyFont="1" applyFill="1" applyBorder="1"/>
    <xf numFmtId="0" fontId="101" fillId="0" borderId="0" xfId="116" applyFont="1" applyAlignment="1">
      <alignment horizontal="left"/>
    </xf>
    <xf numFmtId="0" fontId="44" fillId="0" borderId="5" xfId="0" applyFont="1" applyBorder="1" applyAlignment="1">
      <alignment horizontal="center" wrapText="1"/>
    </xf>
    <xf numFmtId="0" fontId="223" fillId="0" borderId="0" xfId="506" applyFont="1" applyAlignment="1" applyProtection="1">
      <alignment horizontal="center" vertical="center" wrapText="1"/>
      <protection hidden="1"/>
    </xf>
    <xf numFmtId="4" fontId="151" fillId="0" borderId="0" xfId="506" applyNumberFormat="1" applyFont="1" applyAlignment="1" applyProtection="1">
      <alignment horizontal="center" vertical="center" wrapText="1"/>
      <protection hidden="1"/>
    </xf>
    <xf numFmtId="4" fontId="151" fillId="0" borderId="0" xfId="506" applyNumberFormat="1" applyFont="1" applyAlignment="1" applyProtection="1">
      <alignment horizontal="right" vertical="center" wrapText="1"/>
      <protection hidden="1"/>
    </xf>
    <xf numFmtId="4" fontId="151" fillId="2" borderId="0" xfId="506" applyNumberFormat="1" applyFont="1" applyFill="1" applyAlignment="1" applyProtection="1">
      <alignment horizontal="right" vertical="center" wrapText="1"/>
      <protection hidden="1"/>
    </xf>
    <xf numFmtId="4" fontId="173" fillId="0" borderId="0" xfId="506" applyNumberFormat="1" applyFont="1" applyAlignment="1" applyProtection="1">
      <alignment horizontal="right" vertical="center" wrapText="1"/>
      <protection hidden="1"/>
    </xf>
    <xf numFmtId="4" fontId="173" fillId="0" borderId="0" xfId="506" applyNumberFormat="1" applyFont="1" applyAlignment="1" applyProtection="1">
      <alignment horizontal="center" vertical="center" wrapText="1"/>
      <protection hidden="1"/>
    </xf>
    <xf numFmtId="4" fontId="40" fillId="0" borderId="0" xfId="506" applyNumberFormat="1" applyFont="1" applyAlignment="1" applyProtection="1">
      <alignment horizontal="right" vertical="center" wrapText="1"/>
      <protection hidden="1"/>
    </xf>
    <xf numFmtId="4" fontId="152" fillId="0" borderId="1" xfId="506" applyNumberFormat="1" applyFont="1" applyBorder="1" applyAlignment="1" applyProtection="1">
      <alignment horizontal="right" vertical="center" wrapText="1"/>
      <protection hidden="1"/>
    </xf>
    <xf numFmtId="4" fontId="164" fillId="0" borderId="1" xfId="506" applyNumberFormat="1" applyFont="1" applyBorder="1" applyAlignment="1" applyProtection="1">
      <alignment horizontal="right" vertical="center" wrapText="1"/>
      <protection hidden="1"/>
    </xf>
    <xf numFmtId="4" fontId="164" fillId="31" borderId="1" xfId="506" applyNumberFormat="1" applyFont="1" applyFill="1" applyBorder="1" applyAlignment="1" applyProtection="1">
      <alignment horizontal="right" vertical="center" wrapText="1"/>
      <protection hidden="1"/>
    </xf>
    <xf numFmtId="2" fontId="101" fillId="2" borderId="1" xfId="0" applyNumberFormat="1" applyFont="1" applyFill="1" applyBorder="1" applyAlignment="1">
      <alignment horizontal="center" vertical="top" wrapText="1"/>
    </xf>
    <xf numFmtId="0" fontId="136" fillId="0" borderId="79" xfId="0" applyFont="1" applyBorder="1" applyAlignment="1">
      <alignment horizontal="left" vertical="top" wrapText="1" indent="1"/>
    </xf>
    <xf numFmtId="0" fontId="42" fillId="0" borderId="1" xfId="0" applyFont="1" applyBorder="1" applyAlignment="1">
      <alignment wrapText="1"/>
    </xf>
    <xf numFmtId="0" fontId="110" fillId="0" borderId="30" xfId="0" applyFont="1" applyBorder="1" applyAlignment="1">
      <alignment vertical="center" wrapText="1"/>
    </xf>
    <xf numFmtId="0" fontId="44" fillId="0" borderId="6" xfId="0" applyFont="1" applyBorder="1" applyAlignment="1">
      <alignment horizontal="center" vertical="center" wrapText="1"/>
    </xf>
    <xf numFmtId="0" fontId="44" fillId="0" borderId="6" xfId="0" applyFont="1" applyBorder="1" applyAlignment="1">
      <alignment vertical="center"/>
    </xf>
    <xf numFmtId="0" fontId="44" fillId="0" borderId="31" xfId="0" applyFont="1" applyBorder="1" applyAlignment="1">
      <alignment vertical="center" wrapText="1"/>
    </xf>
    <xf numFmtId="0" fontId="44" fillId="0" borderId="6" xfId="0" applyFont="1" applyBorder="1" applyAlignment="1">
      <alignment horizontal="center" vertical="center"/>
    </xf>
    <xf numFmtId="4" fontId="188" fillId="0" borderId="0" xfId="506" applyNumberFormat="1" applyFont="1"/>
    <xf numFmtId="0" fontId="42" fillId="0" borderId="0" xfId="506" applyFont="1" applyAlignment="1">
      <alignment vertical="center" wrapText="1"/>
    </xf>
    <xf numFmtId="0" fontId="152" fillId="0" borderId="0" xfId="506" applyFont="1" applyAlignment="1">
      <alignment vertical="center"/>
    </xf>
    <xf numFmtId="0" fontId="219" fillId="0" borderId="0" xfId="0" applyFont="1"/>
    <xf numFmtId="9" fontId="44" fillId="0" borderId="0" xfId="558" applyFont="1"/>
    <xf numFmtId="4" fontId="138" fillId="34" borderId="67" xfId="444" applyNumberFormat="1" applyFont="1" applyFill="1" applyBorder="1" applyAlignment="1">
      <alignment horizontal="right" vertical="center"/>
    </xf>
    <xf numFmtId="4" fontId="138" fillId="34" borderId="52" xfId="444" applyNumberFormat="1" applyFont="1" applyFill="1" applyBorder="1" applyAlignment="1">
      <alignment horizontal="right" vertical="center"/>
    </xf>
    <xf numFmtId="4" fontId="138" fillId="34" borderId="40" xfId="444" applyNumberFormat="1" applyFont="1" applyFill="1" applyBorder="1" applyAlignment="1">
      <alignment horizontal="right" vertical="center"/>
    </xf>
    <xf numFmtId="4" fontId="138" fillId="34" borderId="39" xfId="444" applyNumberFormat="1" applyFont="1" applyFill="1" applyBorder="1" applyAlignment="1">
      <alignment horizontal="right" vertical="center"/>
    </xf>
    <xf numFmtId="3" fontId="162" fillId="34" borderId="63" xfId="134" applyNumberFormat="1" applyFont="1" applyFill="1" applyBorder="1" applyAlignment="1">
      <alignment horizontal="right" vertical="center"/>
    </xf>
    <xf numFmtId="4" fontId="162" fillId="34" borderId="7" xfId="134" applyNumberFormat="1" applyFont="1" applyFill="1" applyBorder="1" applyAlignment="1">
      <alignment vertical="center"/>
    </xf>
    <xf numFmtId="180" fontId="162" fillId="34" borderId="7" xfId="134" applyNumberFormat="1" applyFont="1" applyFill="1" applyBorder="1" applyAlignment="1">
      <alignment vertical="center"/>
    </xf>
    <xf numFmtId="3" fontId="162" fillId="34" borderId="6" xfId="134" applyNumberFormat="1" applyFont="1" applyFill="1" applyBorder="1" applyAlignment="1">
      <alignment horizontal="right" vertical="center"/>
    </xf>
    <xf numFmtId="4" fontId="162" fillId="34" borderId="66" xfId="134" applyNumberFormat="1" applyFont="1" applyFill="1" applyBorder="1" applyAlignment="1">
      <alignment vertical="center"/>
    </xf>
    <xf numFmtId="4" fontId="162" fillId="34" borderId="40" xfId="134" applyNumberFormat="1" applyFont="1" applyFill="1" applyBorder="1" applyAlignment="1">
      <alignment vertical="center"/>
    </xf>
    <xf numFmtId="4" fontId="162" fillId="34" borderId="46" xfId="134" applyNumberFormat="1" applyFont="1" applyFill="1" applyBorder="1" applyAlignment="1">
      <alignment horizontal="right" vertical="center"/>
    </xf>
    <xf numFmtId="4" fontId="162" fillId="34" borderId="7" xfId="134" applyNumberFormat="1" applyFont="1" applyFill="1" applyBorder="1" applyAlignment="1">
      <alignment horizontal="center" vertical="center"/>
    </xf>
    <xf numFmtId="0" fontId="51" fillId="0" borderId="3" xfId="134" applyFont="1" applyBorder="1" applyAlignment="1">
      <alignment horizontal="center" vertical="center"/>
    </xf>
    <xf numFmtId="0" fontId="133" fillId="0" borderId="3" xfId="134" applyFont="1" applyBorder="1" applyAlignment="1">
      <alignment horizontal="center" vertical="center"/>
    </xf>
    <xf numFmtId="0" fontId="51" fillId="0" borderId="10" xfId="134" applyFont="1" applyBorder="1" applyAlignment="1">
      <alignment horizontal="center" vertical="center"/>
    </xf>
    <xf numFmtId="4" fontId="162" fillId="34" borderId="43" xfId="134" applyNumberFormat="1" applyFont="1" applyFill="1" applyBorder="1" applyAlignment="1">
      <alignment horizontal="right" vertical="center"/>
    </xf>
    <xf numFmtId="4" fontId="162" fillId="34" borderId="78" xfId="134" applyNumberFormat="1" applyFont="1" applyFill="1" applyBorder="1" applyAlignment="1">
      <alignment horizontal="right" vertical="center"/>
    </xf>
    <xf numFmtId="4" fontId="162" fillId="34" borderId="63" xfId="134" applyNumberFormat="1" applyFont="1" applyFill="1" applyBorder="1" applyAlignment="1">
      <alignment horizontal="center" vertical="center"/>
    </xf>
    <xf numFmtId="4" fontId="162" fillId="34" borderId="39" xfId="134" applyNumberFormat="1" applyFont="1" applyFill="1" applyBorder="1" applyAlignment="1">
      <alignment horizontal="center" vertical="center"/>
    </xf>
    <xf numFmtId="4" fontId="162" fillId="34" borderId="40" xfId="134" applyNumberFormat="1" applyFont="1" applyFill="1" applyBorder="1" applyAlignment="1">
      <alignment horizontal="center" vertical="center"/>
    </xf>
    <xf numFmtId="0" fontId="187" fillId="0" borderId="0" xfId="552" applyFont="1" applyAlignment="1">
      <alignment vertical="center"/>
    </xf>
    <xf numFmtId="0" fontId="133" fillId="0" borderId="0" xfId="552" applyFont="1"/>
    <xf numFmtId="0" fontId="43" fillId="0" borderId="0" xfId="552" applyFont="1" applyAlignment="1">
      <alignment vertical="center"/>
    </xf>
    <xf numFmtId="0" fontId="43" fillId="59" borderId="0" xfId="552" applyFont="1" applyFill="1"/>
    <xf numFmtId="0" fontId="187" fillId="59" borderId="0" xfId="552" applyFont="1" applyFill="1"/>
    <xf numFmtId="0" fontId="164" fillId="81" borderId="0" xfId="552" applyFont="1" applyFill="1"/>
    <xf numFmtId="0" fontId="136" fillId="64" borderId="0" xfId="552" applyFont="1" applyFill="1"/>
    <xf numFmtId="0" fontId="101" fillId="64" borderId="0" xfId="552" applyFont="1" applyFill="1"/>
    <xf numFmtId="0" fontId="152" fillId="0" borderId="39" xfId="552" applyFont="1" applyBorder="1" applyAlignment="1">
      <alignment horizontal="center"/>
    </xf>
    <xf numFmtId="0" fontId="152" fillId="0" borderId="1" xfId="552" applyFont="1" applyBorder="1" applyAlignment="1">
      <alignment horizontal="center"/>
    </xf>
    <xf numFmtId="0" fontId="152" fillId="0" borderId="1" xfId="552" applyFont="1" applyBorder="1"/>
    <xf numFmtId="0" fontId="152" fillId="0" borderId="8" xfId="552" applyFont="1" applyBorder="1"/>
    <xf numFmtId="2" fontId="152" fillId="0" borderId="67" xfId="552" applyNumberFormat="1" applyFont="1" applyBorder="1"/>
    <xf numFmtId="0" fontId="224" fillId="0" borderId="1" xfId="552" applyFont="1" applyBorder="1" applyAlignment="1">
      <alignment horizontal="center"/>
    </xf>
    <xf numFmtId="2" fontId="164" fillId="0" borderId="67" xfId="552" applyNumberFormat="1" applyFont="1" applyBorder="1"/>
    <xf numFmtId="0" fontId="164" fillId="0" borderId="1" xfId="552" applyFont="1" applyBorder="1" applyAlignment="1">
      <alignment horizontal="center"/>
    </xf>
    <xf numFmtId="0" fontId="152" fillId="0" borderId="67" xfId="552" applyFont="1" applyBorder="1"/>
    <xf numFmtId="0" fontId="152" fillId="0" borderId="44" xfId="552" applyFont="1" applyBorder="1" applyAlignment="1">
      <alignment horizontal="center"/>
    </xf>
    <xf numFmtId="0" fontId="164" fillId="0" borderId="45" xfId="552" applyFont="1" applyBorder="1"/>
    <xf numFmtId="0" fontId="164" fillId="0" borderId="55" xfId="552" applyFont="1" applyBorder="1"/>
    <xf numFmtId="2" fontId="164" fillId="82" borderId="68" xfId="552" applyNumberFormat="1" applyFont="1" applyFill="1" applyBorder="1"/>
    <xf numFmtId="0" fontId="152" fillId="0" borderId="3" xfId="552" applyFont="1" applyBorder="1" applyAlignment="1">
      <alignment horizontal="center"/>
    </xf>
    <xf numFmtId="0" fontId="152" fillId="0" borderId="3" xfId="552" applyFont="1" applyBorder="1"/>
    <xf numFmtId="0" fontId="225" fillId="0" borderId="26" xfId="0" applyFont="1" applyBorder="1"/>
    <xf numFmtId="0" fontId="225" fillId="0" borderId="34" xfId="0" applyFont="1" applyBorder="1"/>
    <xf numFmtId="2" fontId="225" fillId="82" borderId="27" xfId="0" applyNumberFormat="1" applyFont="1" applyFill="1" applyBorder="1" applyAlignment="1">
      <alignment horizontal="center"/>
    </xf>
    <xf numFmtId="0" fontId="152" fillId="0" borderId="0" xfId="0" applyFont="1"/>
    <xf numFmtId="0" fontId="227" fillId="0" borderId="28" xfId="0" applyFont="1" applyBorder="1" applyAlignment="1">
      <alignment horizontal="left" indent="8"/>
    </xf>
    <xf numFmtId="0" fontId="224" fillId="0" borderId="0" xfId="0" applyFont="1"/>
    <xf numFmtId="0" fontId="152" fillId="0" borderId="24" xfId="0" applyFont="1" applyBorder="1"/>
    <xf numFmtId="0" fontId="152" fillId="0" borderId="35" xfId="0" applyFont="1" applyBorder="1"/>
    <xf numFmtId="0" fontId="152" fillId="0" borderId="56" xfId="0" applyFont="1" applyBorder="1"/>
    <xf numFmtId="0" fontId="152" fillId="0" borderId="26" xfId="552" applyFont="1" applyBorder="1"/>
    <xf numFmtId="0" fontId="152" fillId="0" borderId="34" xfId="552" applyFont="1" applyBorder="1"/>
    <xf numFmtId="0" fontId="152" fillId="0" borderId="27" xfId="552" applyFont="1" applyBorder="1"/>
    <xf numFmtId="0" fontId="152" fillId="0" borderId="29" xfId="552" applyFont="1" applyBorder="1"/>
    <xf numFmtId="0" fontId="164" fillId="0" borderId="35" xfId="552" applyFont="1" applyBorder="1"/>
    <xf numFmtId="2" fontId="164" fillId="0" borderId="56" xfId="552" applyNumberFormat="1" applyFont="1" applyBorder="1"/>
    <xf numFmtId="0" fontId="152" fillId="0" borderId="26" xfId="0" applyFont="1" applyBorder="1" applyAlignment="1">
      <alignment horizontal="center"/>
    </xf>
    <xf numFmtId="0" fontId="152" fillId="0" borderId="34" xfId="0" applyFont="1" applyBorder="1"/>
    <xf numFmtId="0" fontId="152" fillId="82" borderId="27" xfId="0" applyFont="1" applyFill="1" applyBorder="1"/>
    <xf numFmtId="0" fontId="152" fillId="0" borderId="28" xfId="0" applyFont="1" applyBorder="1" applyAlignment="1">
      <alignment horizontal="left"/>
    </xf>
    <xf numFmtId="0" fontId="152" fillId="0" borderId="28" xfId="0" applyFont="1" applyBorder="1"/>
    <xf numFmtId="0" fontId="152" fillId="0" borderId="28" xfId="0" applyFont="1" applyBorder="1" applyAlignment="1">
      <alignment horizontal="left" indent="5"/>
    </xf>
    <xf numFmtId="0" fontId="152" fillId="0" borderId="29" xfId="0" applyFont="1" applyBorder="1" applyAlignment="1">
      <alignment horizontal="left" indent="5"/>
    </xf>
    <xf numFmtId="2" fontId="152" fillId="82" borderId="56" xfId="0" applyNumberFormat="1" applyFont="1" applyFill="1" applyBorder="1"/>
    <xf numFmtId="0" fontId="152" fillId="0" borderId="28" xfId="552" applyFont="1" applyBorder="1"/>
    <xf numFmtId="0" fontId="152" fillId="0" borderId="24" xfId="552" applyFont="1" applyBorder="1"/>
    <xf numFmtId="0" fontId="164" fillId="0" borderId="45" xfId="552" applyFont="1" applyBorder="1" applyAlignment="1">
      <alignment horizontal="center"/>
    </xf>
    <xf numFmtId="0" fontId="154" fillId="0" borderId="0" xfId="552" applyFont="1"/>
    <xf numFmtId="0" fontId="229" fillId="0" borderId="0" xfId="0" applyFont="1"/>
    <xf numFmtId="0" fontId="230" fillId="0" borderId="0" xfId="0" applyFont="1" applyAlignment="1">
      <alignment wrapText="1"/>
    </xf>
    <xf numFmtId="0" fontId="99" fillId="62" borderId="87" xfId="552" applyFont="1" applyFill="1" applyBorder="1" applyAlignment="1">
      <alignment wrapText="1"/>
    </xf>
    <xf numFmtId="0" fontId="110" fillId="83" borderId="1" xfId="0" applyFont="1" applyFill="1" applyBorder="1" applyAlignment="1">
      <alignment wrapText="1"/>
    </xf>
    <xf numFmtId="1" fontId="43" fillId="31" borderId="1" xfId="0" applyNumberFormat="1" applyFont="1" applyFill="1" applyBorder="1" applyAlignment="1">
      <alignment horizontal="right" vertical="center"/>
    </xf>
    <xf numFmtId="4" fontId="43" fillId="31" borderId="1" xfId="0" applyNumberFormat="1" applyFont="1" applyFill="1" applyBorder="1" applyAlignment="1">
      <alignment horizontal="right" vertical="center"/>
    </xf>
    <xf numFmtId="4" fontId="43" fillId="31" borderId="8" xfId="0" applyNumberFormat="1" applyFont="1" applyFill="1" applyBorder="1" applyAlignment="1">
      <alignment horizontal="right" vertical="center"/>
    </xf>
    <xf numFmtId="0" fontId="43" fillId="31" borderId="1" xfId="552" applyFont="1" applyFill="1" applyBorder="1" applyAlignment="1">
      <alignment vertical="center"/>
    </xf>
    <xf numFmtId="0" fontId="43" fillId="31" borderId="40" xfId="552" applyFont="1" applyFill="1" applyBorder="1" applyAlignment="1">
      <alignment vertical="center"/>
    </xf>
    <xf numFmtId="0" fontId="43" fillId="31" borderId="4" xfId="552" applyFont="1" applyFill="1" applyBorder="1" applyAlignment="1">
      <alignment vertical="center"/>
    </xf>
    <xf numFmtId="0" fontId="43" fillId="31" borderId="25" xfId="552" applyFont="1" applyFill="1" applyBorder="1" applyAlignment="1">
      <alignment vertical="center"/>
    </xf>
    <xf numFmtId="1" fontId="43" fillId="31" borderId="3" xfId="0" applyNumberFormat="1" applyFont="1" applyFill="1" applyBorder="1" applyAlignment="1">
      <alignment horizontal="right" vertical="center"/>
    </xf>
    <xf numFmtId="4" fontId="43" fillId="31" borderId="3" xfId="0" applyNumberFormat="1" applyFont="1" applyFill="1" applyBorder="1" applyAlignment="1">
      <alignment horizontal="right" vertical="center"/>
    </xf>
    <xf numFmtId="4" fontId="43" fillId="31" borderId="10" xfId="0" applyNumberFormat="1" applyFont="1" applyFill="1" applyBorder="1" applyAlignment="1">
      <alignment horizontal="right" vertical="center"/>
    </xf>
    <xf numFmtId="4" fontId="43" fillId="31" borderId="40" xfId="0" applyNumberFormat="1" applyFont="1" applyFill="1" applyBorder="1" applyAlignment="1">
      <alignment horizontal="right" vertical="center"/>
    </xf>
    <xf numFmtId="1" fontId="43" fillId="34" borderId="1" xfId="0" applyNumberFormat="1" applyFont="1" applyFill="1" applyBorder="1" applyAlignment="1">
      <alignment horizontal="right" vertical="center"/>
    </xf>
    <xf numFmtId="4" fontId="43" fillId="34" borderId="1" xfId="0" applyNumberFormat="1" applyFont="1" applyFill="1" applyBorder="1" applyAlignment="1">
      <alignment horizontal="right" vertical="center"/>
    </xf>
    <xf numFmtId="4" fontId="43" fillId="34" borderId="8" xfId="0" applyNumberFormat="1" applyFont="1" applyFill="1" applyBorder="1" applyAlignment="1">
      <alignment horizontal="right" vertical="center"/>
    </xf>
    <xf numFmtId="2" fontId="43" fillId="0" borderId="1" xfId="6" applyNumberFormat="1" applyFont="1" applyBorder="1"/>
    <xf numFmtId="0" fontId="187" fillId="0" borderId="0" xfId="546" applyFont="1"/>
    <xf numFmtId="4" fontId="42" fillId="59" borderId="0" xfId="240" applyNumberFormat="1" applyFont="1" applyFill="1" applyProtection="1">
      <protection locked="0"/>
    </xf>
    <xf numFmtId="4" fontId="43" fillId="30" borderId="1" xfId="0" applyNumberFormat="1" applyFont="1" applyFill="1" applyBorder="1" applyAlignment="1">
      <alignment horizontal="right" vertical="center"/>
    </xf>
    <xf numFmtId="0" fontId="110" fillId="84" borderId="1" xfId="0" applyFont="1" applyFill="1" applyBorder="1" applyAlignment="1">
      <alignment wrapText="1"/>
    </xf>
    <xf numFmtId="0" fontId="43" fillId="73" borderId="1" xfId="0" applyFont="1" applyFill="1" applyBorder="1" applyAlignment="1">
      <alignment horizontal="right" vertical="center"/>
    </xf>
    <xf numFmtId="1" fontId="187" fillId="0" borderId="0" xfId="552" applyNumberFormat="1" applyFont="1"/>
    <xf numFmtId="0" fontId="173" fillId="0" borderId="0" xfId="506" applyFont="1" applyAlignment="1" applyProtection="1">
      <alignment horizontal="center" vertical="center" wrapText="1"/>
      <protection hidden="1"/>
    </xf>
    <xf numFmtId="2" fontId="173" fillId="0" borderId="0" xfId="506" applyNumberFormat="1" applyFont="1" applyAlignment="1" applyProtection="1">
      <alignment horizontal="center" vertical="center" wrapText="1"/>
      <protection hidden="1"/>
    </xf>
    <xf numFmtId="4" fontId="231" fillId="2" borderId="0" xfId="506" applyNumberFormat="1" applyFont="1" applyFill="1" applyAlignment="1" applyProtection="1">
      <alignment horizontal="center" vertical="center" wrapText="1"/>
      <protection hidden="1"/>
    </xf>
    <xf numFmtId="0" fontId="151" fillId="0" borderId="1" xfId="506" applyFont="1" applyBorder="1" applyAlignment="1" applyProtection="1">
      <alignment horizontal="center" vertical="center" wrapText="1"/>
      <protection hidden="1"/>
    </xf>
    <xf numFmtId="2" fontId="158" fillId="0" borderId="0" xfId="506" applyNumberFormat="1" applyFont="1" applyAlignment="1" applyProtection="1">
      <alignment horizontal="center" vertical="center" wrapText="1"/>
      <protection hidden="1"/>
    </xf>
    <xf numFmtId="0" fontId="110" fillId="0" borderId="1" xfId="0" applyFont="1" applyBorder="1" applyAlignment="1" applyProtection="1">
      <alignment horizontal="left" vertical="center" wrapText="1"/>
      <protection hidden="1"/>
    </xf>
    <xf numFmtId="0" fontId="158" fillId="31" borderId="1" xfId="506" applyFont="1" applyFill="1" applyBorder="1" applyAlignment="1" applyProtection="1">
      <alignment horizontal="center" vertical="center" wrapText="1"/>
      <protection hidden="1"/>
    </xf>
    <xf numFmtId="0" fontId="101" fillId="0" borderId="1" xfId="546" applyFont="1" applyBorder="1" applyAlignment="1">
      <alignment horizontal="left" vertical="top" wrapText="1"/>
    </xf>
    <xf numFmtId="0" fontId="101" fillId="0" borderId="1" xfId="546" applyFont="1" applyBorder="1" applyAlignment="1">
      <alignment horizontal="left" vertical="top"/>
    </xf>
    <xf numFmtId="4" fontId="101" fillId="0" borderId="8" xfId="546" applyNumberFormat="1" applyFont="1" applyBorder="1" applyAlignment="1">
      <alignment horizontal="right" vertical="top"/>
    </xf>
    <xf numFmtId="4" fontId="101" fillId="0" borderId="39" xfId="546" applyNumberFormat="1" applyFont="1" applyBorder="1" applyAlignment="1">
      <alignment horizontal="right" vertical="top"/>
    </xf>
    <xf numFmtId="4" fontId="44" fillId="73" borderId="1" xfId="0" applyNumberFormat="1" applyFont="1" applyFill="1" applyBorder="1"/>
    <xf numFmtId="0" fontId="44" fillId="73" borderId="1" xfId="0" applyFont="1" applyFill="1" applyBorder="1" applyAlignment="1">
      <alignment vertical="top" wrapText="1"/>
    </xf>
    <xf numFmtId="2" fontId="43" fillId="0" borderId="114" xfId="546" applyNumberFormat="1" applyFont="1" applyBorder="1" applyAlignment="1">
      <alignment horizontal="center"/>
    </xf>
    <xf numFmtId="2" fontId="52" fillId="31" borderId="6" xfId="546" applyNumberFormat="1" applyFont="1" applyFill="1" applyBorder="1" applyAlignment="1">
      <alignment horizontal="center"/>
    </xf>
    <xf numFmtId="0" fontId="176" fillId="0" borderId="0" xfId="0" applyFont="1" applyAlignment="1">
      <alignment vertical="center"/>
    </xf>
    <xf numFmtId="49" fontId="136" fillId="0" borderId="39" xfId="0" applyNumberFormat="1" applyFont="1" applyBorder="1" applyAlignment="1">
      <alignment vertical="top" wrapText="1"/>
    </xf>
    <xf numFmtId="0" fontId="136" fillId="0" borderId="8" xfId="0" applyFont="1" applyBorder="1" applyAlignment="1">
      <alignment vertical="top" wrapText="1"/>
    </xf>
    <xf numFmtId="4" fontId="93" fillId="0" borderId="1" xfId="0" applyNumberFormat="1" applyFont="1" applyBorder="1" applyAlignment="1">
      <alignment vertical="center"/>
    </xf>
    <xf numFmtId="4" fontId="44" fillId="73" borderId="1" xfId="0" applyNumberFormat="1" applyFont="1" applyFill="1" applyBorder="1" applyAlignment="1">
      <alignment vertical="center"/>
    </xf>
    <xf numFmtId="49" fontId="101" fillId="0" borderId="39" xfId="0" applyNumberFormat="1" applyFont="1" applyBorder="1" applyAlignment="1">
      <alignment vertical="top" wrapText="1"/>
    </xf>
    <xf numFmtId="0" fontId="101" fillId="0" borderId="8" xfId="0" applyFont="1" applyBorder="1" applyAlignment="1">
      <alignment vertical="top" wrapText="1"/>
    </xf>
    <xf numFmtId="3" fontId="44" fillId="0" borderId="1" xfId="0" applyNumberFormat="1" applyFont="1" applyBorder="1" applyAlignment="1">
      <alignment vertical="center"/>
    </xf>
    <xf numFmtId="0" fontId="136" fillId="0" borderId="97" xfId="0" applyFont="1" applyBorder="1" applyAlignment="1">
      <alignment vertical="top" wrapText="1"/>
    </xf>
    <xf numFmtId="4" fontId="206" fillId="0" borderId="1" xfId="0" applyNumberFormat="1" applyFont="1" applyBorder="1" applyAlignment="1">
      <alignment vertical="center"/>
    </xf>
    <xf numFmtId="0" fontId="0" fillId="0" borderId="5" xfId="0" applyBorder="1"/>
    <xf numFmtId="0" fontId="44" fillId="0" borderId="0" xfId="0" applyFont="1" applyAlignment="1">
      <alignment horizontal="left"/>
    </xf>
    <xf numFmtId="0" fontId="110" fillId="0" borderId="0" xfId="0" applyFont="1" applyAlignment="1">
      <alignment horizontal="left"/>
    </xf>
    <xf numFmtId="0" fontId="206" fillId="2" borderId="0" xfId="0" applyFont="1" applyFill="1" applyAlignment="1">
      <alignment horizontal="center" vertical="center"/>
    </xf>
    <xf numFmtId="4" fontId="0" fillId="0" borderId="0" xfId="0" applyNumberFormat="1"/>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4" fontId="105" fillId="0" borderId="1" xfId="0" applyNumberFormat="1" applyFont="1" applyBorder="1" applyAlignment="1">
      <alignment vertical="center"/>
    </xf>
    <xf numFmtId="0" fontId="110" fillId="0" borderId="0" xfId="0" applyFont="1" applyAlignment="1">
      <alignment vertical="top" wrapText="1"/>
    </xf>
    <xf numFmtId="0" fontId="110" fillId="0" borderId="0" xfId="0" applyFont="1" applyAlignment="1">
      <alignment wrapText="1"/>
    </xf>
    <xf numFmtId="1" fontId="162" fillId="0" borderId="60" xfId="0" applyNumberFormat="1" applyFont="1" applyBorder="1" applyAlignment="1">
      <alignment horizontal="center" vertical="center" wrapText="1"/>
    </xf>
    <xf numFmtId="1" fontId="162" fillId="0" borderId="61" xfId="0" applyNumberFormat="1" applyFont="1" applyBorder="1" applyAlignment="1">
      <alignment horizontal="center" vertical="center" wrapText="1"/>
    </xf>
    <xf numFmtId="1" fontId="162" fillId="0" borderId="98" xfId="0" applyNumberFormat="1" applyFont="1" applyBorder="1" applyAlignment="1">
      <alignment horizontal="center" vertical="center" wrapText="1"/>
    </xf>
    <xf numFmtId="1" fontId="162" fillId="0" borderId="62" xfId="0" applyNumberFormat="1" applyFont="1" applyBorder="1" applyAlignment="1">
      <alignment horizontal="center" vertical="center" wrapText="1"/>
    </xf>
    <xf numFmtId="49" fontId="136" fillId="0" borderId="0" xfId="0" applyNumberFormat="1" applyFont="1" applyAlignment="1">
      <alignment vertical="top" wrapText="1"/>
    </xf>
    <xf numFmtId="49" fontId="136" fillId="0" borderId="57" xfId="0" applyNumberFormat="1" applyFont="1" applyBorder="1" applyAlignment="1">
      <alignment vertical="top" wrapText="1"/>
    </xf>
    <xf numFmtId="0" fontId="136" fillId="0" borderId="58" xfId="0" applyFont="1" applyBorder="1" applyAlignment="1">
      <alignment vertical="top" wrapText="1"/>
    </xf>
    <xf numFmtId="0" fontId="136" fillId="0" borderId="64" xfId="0" applyFont="1" applyBorder="1" applyAlignment="1">
      <alignment vertical="top" wrapText="1"/>
    </xf>
    <xf numFmtId="4" fontId="93" fillId="0" borderId="58" xfId="0" applyNumberFormat="1" applyFont="1" applyBorder="1" applyAlignment="1">
      <alignment vertical="center"/>
    </xf>
    <xf numFmtId="4" fontId="93" fillId="0" borderId="59" xfId="0" applyNumberFormat="1" applyFont="1" applyBorder="1" applyAlignment="1">
      <alignment vertical="center"/>
    </xf>
    <xf numFmtId="4" fontId="44" fillId="0" borderId="40" xfId="0" applyNumberFormat="1" applyFont="1" applyBorder="1" applyAlignment="1">
      <alignment vertical="center"/>
    </xf>
    <xf numFmtId="4" fontId="93" fillId="0" borderId="40" xfId="0" applyNumberFormat="1" applyFont="1" applyBorder="1" applyAlignment="1">
      <alignment vertical="center"/>
    </xf>
    <xf numFmtId="0" fontId="44" fillId="0" borderId="40" xfId="0" applyFont="1" applyBorder="1" applyAlignment="1">
      <alignment vertical="center"/>
    </xf>
    <xf numFmtId="49" fontId="136" fillId="0" borderId="44" xfId="0" applyNumberFormat="1" applyFont="1" applyBorder="1" applyAlignment="1">
      <alignment vertical="top" wrapText="1"/>
    </xf>
    <xf numFmtId="0" fontId="136" fillId="0" borderId="45" xfId="0" applyFont="1" applyBorder="1" applyAlignment="1">
      <alignment vertical="top" wrapText="1"/>
    </xf>
    <xf numFmtId="0" fontId="136" fillId="0" borderId="116" xfId="0" applyFont="1" applyBorder="1" applyAlignment="1">
      <alignment vertical="top" wrapText="1"/>
    </xf>
    <xf numFmtId="4" fontId="93" fillId="0" borderId="45" xfId="0" applyNumberFormat="1" applyFont="1" applyBorder="1" applyAlignment="1">
      <alignment vertical="center"/>
    </xf>
    <xf numFmtId="0" fontId="44" fillId="0" borderId="46" xfId="0" applyFont="1" applyBorder="1" applyAlignment="1">
      <alignment vertical="center"/>
    </xf>
    <xf numFmtId="9" fontId="235" fillId="0" borderId="0" xfId="558" applyFont="1" applyFill="1" applyAlignment="1">
      <alignment horizontal="center" vertical="center"/>
    </xf>
    <xf numFmtId="170" fontId="133" fillId="0" borderId="0" xfId="116" applyNumberFormat="1" applyFont="1"/>
    <xf numFmtId="0" fontId="43" fillId="0" borderId="23" xfId="0" applyFont="1" applyBorder="1" applyAlignment="1">
      <alignment horizontal="center" vertical="center"/>
    </xf>
    <xf numFmtId="0" fontId="43" fillId="0" borderId="23" xfId="0" applyFont="1" applyBorder="1" applyAlignment="1">
      <alignment horizontal="center" vertical="center" wrapText="1"/>
    </xf>
    <xf numFmtId="0" fontId="219" fillId="77" borderId="4" xfId="0" applyFont="1" applyFill="1" applyBorder="1" applyAlignment="1">
      <alignment horizontal="center" vertical="center" wrapText="1"/>
    </xf>
    <xf numFmtId="2" fontId="219" fillId="0" borderId="0" xfId="0" applyNumberFormat="1" applyFont="1"/>
    <xf numFmtId="2" fontId="221" fillId="0" borderId="0" xfId="0" applyNumberFormat="1" applyFont="1"/>
    <xf numFmtId="4" fontId="137" fillId="0" borderId="0" xfId="134" applyNumberFormat="1" applyFont="1"/>
    <xf numFmtId="0" fontId="42" fillId="0" borderId="1" xfId="0" applyFont="1" applyBorder="1" applyAlignment="1">
      <alignment horizontal="center" vertical="center"/>
    </xf>
    <xf numFmtId="191" fontId="43" fillId="0" borderId="0" xfId="240" applyNumberFormat="1" applyFont="1"/>
    <xf numFmtId="191" fontId="43" fillId="0" borderId="0" xfId="240" applyNumberFormat="1" applyFont="1" applyAlignment="1">
      <alignment horizontal="right"/>
    </xf>
    <xf numFmtId="191" fontId="28" fillId="0" borderId="0" xfId="240" applyNumberFormat="1"/>
    <xf numFmtId="191" fontId="44" fillId="0" borderId="0" xfId="240" applyNumberFormat="1" applyFont="1"/>
    <xf numFmtId="0" fontId="219" fillId="0" borderId="0" xfId="0" applyFont="1" applyAlignment="1">
      <alignment horizontal="center" vertical="center"/>
    </xf>
    <xf numFmtId="2" fontId="8" fillId="0" borderId="1" xfId="0" applyNumberFormat="1" applyFont="1" applyBorder="1"/>
    <xf numFmtId="2" fontId="8" fillId="0" borderId="40" xfId="0" applyNumberFormat="1" applyFont="1" applyBorder="1"/>
    <xf numFmtId="0" fontId="8" fillId="0" borderId="0" xfId="0" applyFont="1"/>
    <xf numFmtId="4" fontId="92" fillId="0" borderId="1" xfId="0" applyNumberFormat="1" applyFont="1" applyBorder="1"/>
    <xf numFmtId="0" fontId="8" fillId="0" borderId="1" xfId="0" applyFont="1" applyBorder="1"/>
    <xf numFmtId="177" fontId="35" fillId="0" borderId="0" xfId="5" applyNumberFormat="1"/>
    <xf numFmtId="2" fontId="0" fillId="0" borderId="0" xfId="0" applyNumberFormat="1" applyAlignment="1">
      <alignment vertical="top" wrapText="1"/>
    </xf>
    <xf numFmtId="2" fontId="0" fillId="0" borderId="0" xfId="0" applyNumberFormat="1" applyAlignment="1">
      <alignment vertical="top"/>
    </xf>
    <xf numFmtId="2" fontId="219" fillId="0" borderId="0" xfId="0" applyNumberFormat="1" applyFont="1" applyAlignment="1">
      <alignment horizontal="center" vertical="top"/>
    </xf>
    <xf numFmtId="2" fontId="51" fillId="34" borderId="0" xfId="116" applyNumberFormat="1" applyFont="1" applyFill="1"/>
    <xf numFmtId="0" fontId="198" fillId="0" borderId="0" xfId="240" applyFont="1"/>
    <xf numFmtId="0" fontId="198" fillId="0" borderId="0" xfId="240" applyFont="1" applyAlignment="1">
      <alignment horizontal="right"/>
    </xf>
    <xf numFmtId="0" fontId="116" fillId="0" borderId="0" xfId="240" applyFont="1"/>
    <xf numFmtId="0" fontId="221" fillId="0" borderId="0" xfId="240" applyFont="1"/>
    <xf numFmtId="0" fontId="105" fillId="0" borderId="0" xfId="240" applyFont="1"/>
    <xf numFmtId="191" fontId="221" fillId="0" borderId="0" xfId="240" applyNumberFormat="1" applyFont="1"/>
    <xf numFmtId="10" fontId="43" fillId="0" borderId="0" xfId="0" applyNumberFormat="1" applyFont="1"/>
    <xf numFmtId="0" fontId="7" fillId="0" borderId="0" xfId="6" applyFont="1" applyAlignment="1">
      <alignment horizontal="center" vertical="center" wrapText="1"/>
    </xf>
    <xf numFmtId="177" fontId="43" fillId="0" borderId="32" xfId="6" applyNumberFormat="1" applyFont="1" applyBorder="1" applyAlignment="1">
      <alignment horizontal="center" vertical="center" wrapText="1"/>
    </xf>
    <xf numFmtId="187" fontId="34" fillId="0" borderId="0" xfId="558" applyNumberFormat="1" applyFont="1" applyAlignment="1">
      <alignment horizontal="center" vertical="center" wrapText="1"/>
    </xf>
    <xf numFmtId="0" fontId="236" fillId="0" borderId="0" xfId="6" applyFont="1" applyAlignment="1">
      <alignment horizontal="center" vertical="center" wrapText="1"/>
    </xf>
    <xf numFmtId="0" fontId="237" fillId="0" borderId="0" xfId="6" applyFont="1" applyAlignment="1">
      <alignment horizontal="center" vertical="center" wrapText="1"/>
    </xf>
    <xf numFmtId="49" fontId="238" fillId="0" borderId="0" xfId="5" applyNumberFormat="1" applyFont="1"/>
    <xf numFmtId="0" fontId="238" fillId="0" borderId="0" xfId="5" applyFont="1"/>
    <xf numFmtId="0" fontId="238" fillId="0" borderId="0" xfId="0" applyFont="1"/>
    <xf numFmtId="49" fontId="239" fillId="0" borderId="0" xfId="5" applyNumberFormat="1" applyFont="1"/>
    <xf numFmtId="0" fontId="239" fillId="0" borderId="0" xfId="5" applyFont="1"/>
    <xf numFmtId="0" fontId="239" fillId="0" borderId="0" xfId="0" applyFont="1"/>
    <xf numFmtId="0" fontId="240" fillId="0" borderId="0" xfId="5" applyFont="1"/>
    <xf numFmtId="2" fontId="239" fillId="0" borderId="0" xfId="5" applyNumberFormat="1" applyFont="1"/>
    <xf numFmtId="0" fontId="239" fillId="0" borderId="0" xfId="6" applyFont="1" applyAlignment="1">
      <alignment horizontal="center" vertical="center" wrapText="1"/>
    </xf>
    <xf numFmtId="187" fontId="239" fillId="0" borderId="0" xfId="558" applyNumberFormat="1" applyFont="1" applyAlignment="1">
      <alignment horizontal="center" vertical="center" wrapText="1"/>
    </xf>
    <xf numFmtId="183" fontId="239" fillId="0" borderId="0" xfId="6" applyNumberFormat="1" applyFont="1" applyAlignment="1">
      <alignment horizontal="center" vertical="center" wrapText="1"/>
    </xf>
    <xf numFmtId="0" fontId="221" fillId="0" borderId="0" xfId="6" applyFont="1" applyAlignment="1">
      <alignment horizontal="center" vertical="center" wrapText="1"/>
    </xf>
    <xf numFmtId="183" fontId="221" fillId="0" borderId="0" xfId="6" applyNumberFormat="1" applyFont="1" applyAlignment="1">
      <alignment horizontal="center" vertical="center" wrapText="1"/>
    </xf>
    <xf numFmtId="0" fontId="241" fillId="0" borderId="0" xfId="5" applyFont="1"/>
    <xf numFmtId="0" fontId="241" fillId="0" borderId="0" xfId="5" applyFont="1" applyAlignment="1">
      <alignment horizontal="center"/>
    </xf>
    <xf numFmtId="2" fontId="241" fillId="0" borderId="0" xfId="5" applyNumberFormat="1" applyFont="1"/>
    <xf numFmtId="177" fontId="241" fillId="0" borderId="0" xfId="5" applyNumberFormat="1" applyFont="1"/>
    <xf numFmtId="183" fontId="241" fillId="0" borderId="0" xfId="558" applyNumberFormat="1" applyFont="1"/>
    <xf numFmtId="179" fontId="35" fillId="0" borderId="0" xfId="5" applyNumberFormat="1"/>
    <xf numFmtId="181" fontId="35" fillId="0" borderId="0" xfId="5" applyNumberFormat="1"/>
    <xf numFmtId="179" fontId="241" fillId="0" borderId="0" xfId="5" applyNumberFormat="1" applyFont="1"/>
    <xf numFmtId="0" fontId="115" fillId="0" borderId="0" xfId="6" applyFont="1" applyAlignment="1">
      <alignment horizontal="left"/>
    </xf>
    <xf numFmtId="0" fontId="179" fillId="0" borderId="0" xfId="0" applyFont="1" applyAlignment="1">
      <alignment horizontal="center" vertical="top"/>
    </xf>
    <xf numFmtId="2" fontId="52" fillId="0" borderId="0" xfId="0" applyNumberFormat="1" applyFont="1"/>
    <xf numFmtId="4" fontId="198" fillId="0" borderId="1" xfId="0" applyNumberFormat="1" applyFont="1" applyBorder="1" applyAlignment="1">
      <alignment horizontal="right" vertical="center"/>
    </xf>
    <xf numFmtId="0" fontId="105" fillId="62" borderId="1" xfId="0" applyFont="1" applyFill="1" applyBorder="1" applyAlignment="1">
      <alignment wrapText="1"/>
    </xf>
    <xf numFmtId="176" fontId="44" fillId="0" borderId="1" xfId="558" applyNumberFormat="1" applyFont="1" applyBorder="1"/>
    <xf numFmtId="0" fontId="234" fillId="0" borderId="1" xfId="0" applyFont="1" applyBorder="1" applyAlignment="1">
      <alignment horizontal="right" wrapText="1"/>
    </xf>
    <xf numFmtId="10" fontId="176" fillId="0" borderId="1" xfId="558" applyNumberFormat="1" applyFont="1" applyFill="1" applyBorder="1" applyAlignment="1">
      <alignment horizontal="right"/>
    </xf>
    <xf numFmtId="10" fontId="176" fillId="0" borderId="1" xfId="558" applyNumberFormat="1" applyFont="1" applyFill="1" applyBorder="1" applyAlignment="1">
      <alignment horizontal="right" wrapText="1"/>
    </xf>
    <xf numFmtId="10" fontId="234" fillId="0" borderId="1" xfId="0" applyNumberFormat="1" applyFont="1" applyBorder="1" applyAlignment="1">
      <alignment horizontal="right" wrapText="1"/>
    </xf>
    <xf numFmtId="0" fontId="176" fillId="0" borderId="1" xfId="0" applyFont="1" applyBorder="1" applyAlignment="1">
      <alignment horizontal="right" wrapText="1"/>
    </xf>
    <xf numFmtId="4" fontId="176" fillId="0" borderId="1" xfId="0" applyNumberFormat="1" applyFont="1" applyBorder="1" applyAlignment="1">
      <alignment horizontal="right" wrapText="1"/>
    </xf>
    <xf numFmtId="4" fontId="234" fillId="0" borderId="1" xfId="0" applyNumberFormat="1" applyFont="1" applyBorder="1" applyAlignment="1">
      <alignment horizontal="right" wrapText="1"/>
    </xf>
    <xf numFmtId="191" fontId="42" fillId="59" borderId="0" xfId="240" applyNumberFormat="1" applyFont="1" applyFill="1" applyProtection="1">
      <protection locked="0"/>
    </xf>
    <xf numFmtId="177" fontId="47" fillId="0" borderId="0" xfId="240" applyNumberFormat="1" applyFont="1" applyProtection="1">
      <protection locked="0"/>
    </xf>
    <xf numFmtId="9" fontId="43" fillId="0" borderId="1" xfId="558" applyFont="1" applyBorder="1"/>
    <xf numFmtId="9" fontId="43" fillId="0" borderId="0" xfId="558" applyFont="1"/>
    <xf numFmtId="10" fontId="43" fillId="0" borderId="1" xfId="558" applyNumberFormat="1" applyFont="1" applyBorder="1"/>
    <xf numFmtId="186" fontId="114" fillId="0" borderId="0" xfId="240" applyNumberFormat="1" applyFont="1"/>
    <xf numFmtId="0" fontId="6" fillId="0" borderId="0" xfId="6" applyFont="1" applyAlignment="1">
      <alignment horizontal="center" vertical="center" wrapText="1"/>
    </xf>
    <xf numFmtId="0" fontId="43" fillId="0" borderId="36" xfId="0" applyFont="1" applyBorder="1" applyAlignment="1">
      <alignment horizontal="center"/>
    </xf>
    <xf numFmtId="0" fontId="43" fillId="0" borderId="31" xfId="0" applyFont="1" applyBorder="1" applyAlignment="1">
      <alignment horizontal="center"/>
    </xf>
    <xf numFmtId="0" fontId="36" fillId="0" borderId="0" xfId="0" applyFont="1" applyAlignment="1">
      <alignment wrapText="1"/>
    </xf>
    <xf numFmtId="2" fontId="244" fillId="0" borderId="45" xfId="0" applyNumberFormat="1" applyFont="1" applyBorder="1"/>
    <xf numFmtId="177" fontId="0" fillId="0" borderId="1" xfId="0" applyNumberFormat="1" applyBorder="1"/>
    <xf numFmtId="0" fontId="0" fillId="77" borderId="7" xfId="0" applyFill="1" applyBorder="1" applyAlignment="1">
      <alignment horizontal="center" vertical="center" wrapText="1"/>
    </xf>
    <xf numFmtId="0" fontId="0" fillId="0" borderId="42" xfId="0" applyBorder="1"/>
    <xf numFmtId="0" fontId="5" fillId="0" borderId="0" xfId="556" applyFont="1"/>
    <xf numFmtId="2" fontId="5" fillId="0" borderId="0" xfId="556" applyNumberFormat="1" applyFont="1"/>
    <xf numFmtId="0" fontId="0" fillId="77" borderId="4" xfId="0" applyFill="1" applyBorder="1" applyAlignment="1">
      <alignment horizontal="center" vertical="center" wrapText="1"/>
    </xf>
    <xf numFmtId="187" fontId="0" fillId="0" borderId="0" xfId="558" applyNumberFormat="1" applyFont="1"/>
    <xf numFmtId="2" fontId="36" fillId="0" borderId="0" xfId="0" applyNumberFormat="1" applyFont="1"/>
    <xf numFmtId="0" fontId="44" fillId="0" borderId="0" xfId="0" applyFont="1" applyAlignment="1">
      <alignment horizontal="center"/>
    </xf>
    <xf numFmtId="0" fontId="43" fillId="0" borderId="6" xfId="0" applyFont="1" applyBorder="1" applyAlignment="1">
      <alignment horizontal="center" vertical="center" wrapText="1"/>
    </xf>
    <xf numFmtId="0" fontId="43" fillId="0" borderId="6" xfId="0" applyFont="1" applyBorder="1" applyAlignment="1">
      <alignment horizontal="center" vertical="center"/>
    </xf>
    <xf numFmtId="0" fontId="43" fillId="0" borderId="6" xfId="0" applyFont="1" applyBorder="1" applyAlignment="1">
      <alignment horizontal="center"/>
    </xf>
    <xf numFmtId="0" fontId="43" fillId="0" borderId="32" xfId="0" applyFont="1" applyBorder="1" applyAlignment="1">
      <alignment horizontal="center" vertical="center"/>
    </xf>
    <xf numFmtId="2" fontId="52" fillId="0" borderId="66" xfId="0" applyNumberFormat="1" applyFont="1" applyBorder="1" applyAlignment="1">
      <alignment horizontal="center" vertical="center"/>
    </xf>
    <xf numFmtId="2" fontId="52" fillId="0" borderId="66" xfId="0" applyNumberFormat="1" applyFont="1" applyBorder="1" applyAlignment="1">
      <alignment horizontal="left" vertical="center"/>
    </xf>
    <xf numFmtId="2" fontId="52" fillId="0" borderId="93" xfId="0" applyNumberFormat="1" applyFont="1" applyBorder="1" applyAlignment="1">
      <alignment horizontal="center" vertical="center"/>
    </xf>
    <xf numFmtId="2" fontId="52" fillId="0" borderId="90" xfId="0" applyNumberFormat="1" applyFont="1" applyBorder="1" applyAlignment="1">
      <alignment horizontal="center" vertical="center"/>
    </xf>
    <xf numFmtId="2" fontId="52" fillId="0" borderId="67" xfId="0" applyNumberFormat="1" applyFont="1" applyBorder="1" applyAlignment="1">
      <alignment horizontal="center" vertical="center"/>
    </xf>
    <xf numFmtId="2" fontId="52" fillId="0" borderId="67" xfId="0" applyNumberFormat="1" applyFont="1" applyBorder="1" applyAlignment="1">
      <alignment horizontal="left" vertical="center"/>
    </xf>
    <xf numFmtId="2" fontId="52" fillId="0" borderId="67" xfId="0" applyNumberFormat="1" applyFont="1" applyBorder="1" applyAlignment="1">
      <alignment horizontal="left" vertical="center" wrapText="1"/>
    </xf>
    <xf numFmtId="2" fontId="52" fillId="0" borderId="68" xfId="0" applyNumberFormat="1" applyFont="1" applyBorder="1" applyAlignment="1">
      <alignment horizontal="center" vertical="center"/>
    </xf>
    <xf numFmtId="2" fontId="52" fillId="0" borderId="68" xfId="0" applyNumberFormat="1" applyFont="1" applyBorder="1" applyAlignment="1">
      <alignment horizontal="left" vertical="center"/>
    </xf>
    <xf numFmtId="0" fontId="52" fillId="0" borderId="6" xfId="0" applyFont="1" applyBorder="1" applyAlignment="1">
      <alignment horizontal="center" vertical="center"/>
    </xf>
    <xf numFmtId="0" fontId="52" fillId="0" borderId="67" xfId="0" applyFont="1" applyBorder="1" applyAlignment="1">
      <alignment horizontal="center" vertical="center"/>
    </xf>
    <xf numFmtId="0" fontId="52" fillId="0" borderId="67" xfId="0" applyFont="1" applyBorder="1" applyAlignment="1">
      <alignment wrapText="1"/>
    </xf>
    <xf numFmtId="16" fontId="43" fillId="0" borderId="67" xfId="0" applyNumberFormat="1" applyFont="1" applyBorder="1" applyAlignment="1">
      <alignment horizontal="center" vertical="center"/>
    </xf>
    <xf numFmtId="2" fontId="43" fillId="0" borderId="67" xfId="0" applyNumberFormat="1" applyFont="1" applyBorder="1" applyAlignment="1">
      <alignment horizontal="center" vertical="center"/>
    </xf>
    <xf numFmtId="16" fontId="52" fillId="0" borderId="67" xfId="0" applyNumberFormat="1" applyFont="1" applyBorder="1" applyAlignment="1">
      <alignment horizontal="center" vertical="center"/>
    </xf>
    <xf numFmtId="0" fontId="43" fillId="0" borderId="67" xfId="0" applyFont="1" applyBorder="1" applyAlignment="1">
      <alignment horizontal="center" vertical="center"/>
    </xf>
    <xf numFmtId="0" fontId="52" fillId="0" borderId="67" xfId="0" applyFont="1" applyBorder="1" applyAlignment="1">
      <alignment vertical="center" wrapText="1"/>
    </xf>
    <xf numFmtId="0" fontId="43" fillId="0" borderId="71" xfId="0" applyFont="1" applyBorder="1" applyAlignment="1">
      <alignment horizontal="center" vertical="center"/>
    </xf>
    <xf numFmtId="0" fontId="43" fillId="0" borderId="71" xfId="0" applyFont="1" applyBorder="1"/>
    <xf numFmtId="2" fontId="43" fillId="0" borderId="71" xfId="0" applyNumberFormat="1" applyFont="1" applyBorder="1" applyAlignment="1">
      <alignment horizontal="center" vertical="center"/>
    </xf>
    <xf numFmtId="0" fontId="52" fillId="0" borderId="6" xfId="0" applyFont="1" applyBorder="1" applyAlignment="1">
      <alignment vertical="center" wrapText="1"/>
    </xf>
    <xf numFmtId="2" fontId="52" fillId="0" borderId="6" xfId="0" applyNumberFormat="1" applyFont="1" applyBorder="1" applyAlignment="1">
      <alignment horizontal="center" vertical="center"/>
    </xf>
    <xf numFmtId="2" fontId="43" fillId="0" borderId="0" xfId="0" applyNumberFormat="1" applyFont="1" applyAlignment="1">
      <alignment horizontal="right"/>
    </xf>
    <xf numFmtId="2" fontId="52" fillId="0" borderId="0" xfId="0" applyNumberFormat="1" applyFont="1" applyAlignment="1">
      <alignment horizontal="right"/>
    </xf>
    <xf numFmtId="2" fontId="43" fillId="0" borderId="0" xfId="0" applyNumberFormat="1" applyFont="1" applyAlignment="1">
      <alignment horizontal="right" vertical="center"/>
    </xf>
    <xf numFmtId="0" fontId="52" fillId="0" borderId="32" xfId="0" applyFont="1" applyBorder="1" applyAlignment="1">
      <alignment horizontal="center" vertical="center"/>
    </xf>
    <xf numFmtId="0" fontId="52" fillId="0" borderId="87" xfId="0" applyFont="1" applyBorder="1" applyAlignment="1">
      <alignment vertical="center" wrapText="1"/>
    </xf>
    <xf numFmtId="2" fontId="52" fillId="0" borderId="77" xfId="0" applyNumberFormat="1" applyFont="1" applyBorder="1" applyAlignment="1">
      <alignment horizontal="center" vertical="center"/>
    </xf>
    <xf numFmtId="2" fontId="52" fillId="0" borderId="71" xfId="0" applyNumberFormat="1" applyFont="1" applyBorder="1" applyAlignment="1">
      <alignment horizontal="center"/>
    </xf>
    <xf numFmtId="0" fontId="52" fillId="0" borderId="71" xfId="0" applyFont="1" applyBorder="1" applyAlignment="1">
      <alignment horizontal="center" vertical="center"/>
    </xf>
    <xf numFmtId="0" fontId="52" fillId="0" borderId="71" xfId="0" applyFont="1" applyBorder="1" applyAlignment="1">
      <alignment wrapText="1"/>
    </xf>
    <xf numFmtId="0" fontId="52" fillId="0" borderId="68" xfId="0" applyFont="1" applyBorder="1" applyAlignment="1">
      <alignment horizontal="center" vertical="center"/>
    </xf>
    <xf numFmtId="2" fontId="52" fillId="0" borderId="80" xfId="0" applyNumberFormat="1" applyFont="1" applyBorder="1" applyAlignment="1">
      <alignment horizontal="center" vertical="center"/>
    </xf>
    <xf numFmtId="0" fontId="52" fillId="0" borderId="68" xfId="0" applyFont="1" applyBorder="1" applyAlignment="1">
      <alignment wrapText="1"/>
    </xf>
    <xf numFmtId="4" fontId="43" fillId="0" borderId="0" xfId="0" applyNumberFormat="1" applyFont="1" applyAlignment="1">
      <alignment horizontal="right" vertical="center"/>
    </xf>
    <xf numFmtId="0" fontId="43" fillId="0" borderId="66" xfId="0" applyFont="1" applyBorder="1" applyAlignment="1">
      <alignment horizontal="center" vertical="center" wrapText="1"/>
    </xf>
    <xf numFmtId="2" fontId="198" fillId="0" borderId="0" xfId="0" applyNumberFormat="1" applyFont="1" applyAlignment="1">
      <alignment horizontal="center" vertical="center"/>
    </xf>
    <xf numFmtId="2" fontId="188" fillId="0" borderId="0" xfId="0" applyNumberFormat="1" applyFont="1"/>
    <xf numFmtId="2" fontId="52" fillId="0" borderId="1" xfId="0" applyNumberFormat="1" applyFont="1" applyBorder="1" applyAlignment="1">
      <alignment horizontal="center"/>
    </xf>
    <xf numFmtId="164" fontId="198" fillId="0" borderId="0" xfId="0" applyNumberFormat="1" applyFont="1"/>
    <xf numFmtId="0" fontId="145" fillId="0" borderId="67" xfId="0" applyFont="1" applyBorder="1" applyAlignment="1">
      <alignment horizontal="center" vertical="center"/>
    </xf>
    <xf numFmtId="0" fontId="145" fillId="0" borderId="67" xfId="0" applyFont="1" applyBorder="1"/>
    <xf numFmtId="2" fontId="145" fillId="0" borderId="67" xfId="0" applyNumberFormat="1" applyFont="1" applyBorder="1" applyAlignment="1">
      <alignment horizontal="center" vertical="center"/>
    </xf>
    <xf numFmtId="2" fontId="145" fillId="0" borderId="0" xfId="0" applyNumberFormat="1" applyFont="1"/>
    <xf numFmtId="0" fontId="145" fillId="0" borderId="0" xfId="0" applyFont="1"/>
    <xf numFmtId="0" fontId="131" fillId="0" borderId="0" xfId="0" applyFont="1" applyAlignment="1">
      <alignment horizontal="center"/>
    </xf>
    <xf numFmtId="0" fontId="131" fillId="0" borderId="1" xfId="0" applyFont="1" applyBorder="1" applyAlignment="1">
      <alignment horizontal="center" wrapText="1"/>
    </xf>
    <xf numFmtId="0" fontId="131" fillId="0" borderId="1" xfId="0" applyFont="1" applyBorder="1" applyAlignment="1">
      <alignment horizontal="left" vertical="center" wrapText="1"/>
    </xf>
    <xf numFmtId="0" fontId="246" fillId="0" borderId="1" xfId="0" applyFont="1" applyBorder="1" applyAlignment="1">
      <alignment horizontal="left" vertical="center" wrapText="1"/>
    </xf>
    <xf numFmtId="0" fontId="110" fillId="0" borderId="1" xfId="0" applyFont="1" applyBorder="1" applyAlignment="1">
      <alignment horizontal="left" vertical="center" wrapText="1"/>
    </xf>
    <xf numFmtId="0" fontId="44" fillId="0" borderId="0" xfId="0" applyFont="1" applyAlignment="1">
      <alignment horizontal="left" vertical="center"/>
    </xf>
    <xf numFmtId="2" fontId="34" fillId="0" borderId="0" xfId="6" applyNumberFormat="1" applyAlignment="1">
      <alignment horizontal="right" vertical="center" wrapText="1"/>
    </xf>
    <xf numFmtId="4" fontId="110" fillId="0" borderId="0" xfId="0" applyNumberFormat="1" applyFont="1"/>
    <xf numFmtId="0" fontId="4" fillId="0" borderId="0" xfId="6" applyFont="1" applyAlignment="1">
      <alignment horizontal="center" vertical="center" wrapText="1"/>
    </xf>
    <xf numFmtId="4" fontId="34" fillId="0" borderId="0" xfId="6" applyNumberFormat="1" applyAlignment="1">
      <alignment horizontal="center" vertical="center" wrapText="1"/>
    </xf>
    <xf numFmtId="4" fontId="221" fillId="0" borderId="0" xfId="6" applyNumberFormat="1" applyFont="1" applyAlignment="1">
      <alignment horizontal="center" vertical="center" wrapText="1"/>
    </xf>
    <xf numFmtId="10" fontId="0" fillId="0" borderId="0" xfId="558" applyNumberFormat="1" applyFont="1"/>
    <xf numFmtId="49" fontId="41" fillId="31" borderId="52" xfId="240" applyNumberFormat="1" applyFont="1" applyFill="1" applyBorder="1" applyAlignment="1">
      <alignment horizontal="right" vertical="center" wrapText="1"/>
    </xf>
    <xf numFmtId="49" fontId="41" fillId="0" borderId="52" xfId="5" applyNumberFormat="1" applyFont="1" applyBorder="1" applyAlignment="1">
      <alignment horizontal="right" vertical="center" wrapText="1"/>
    </xf>
    <xf numFmtId="49" fontId="41" fillId="31" borderId="52" xfId="5" applyNumberFormat="1" applyFont="1" applyFill="1" applyBorder="1" applyAlignment="1">
      <alignment horizontal="right" vertical="center" wrapText="1"/>
    </xf>
    <xf numFmtId="49" fontId="45" fillId="0" borderId="52" xfId="5" applyNumberFormat="1" applyFont="1" applyBorder="1" applyAlignment="1">
      <alignment horizontal="right" vertical="center" wrapText="1"/>
    </xf>
    <xf numFmtId="0" fontId="41" fillId="34" borderId="1" xfId="240" applyFont="1" applyFill="1" applyBorder="1" applyAlignment="1">
      <alignment horizontal="center" vertical="center" wrapText="1"/>
    </xf>
    <xf numFmtId="0" fontId="41" fillId="31" borderId="1" xfId="240" applyFont="1" applyFill="1" applyBorder="1" applyAlignment="1">
      <alignment horizontal="center" vertical="center" wrapText="1"/>
    </xf>
    <xf numFmtId="0" fontId="41" fillId="31" borderId="1" xfId="240" applyFont="1" applyFill="1" applyBorder="1" applyAlignment="1">
      <alignment horizontal="left" vertical="center" wrapText="1" indent="1"/>
    </xf>
    <xf numFmtId="0" fontId="41" fillId="31" borderId="1" xfId="5" applyFont="1" applyFill="1" applyBorder="1" applyAlignment="1">
      <alignment vertical="center" wrapText="1"/>
    </xf>
    <xf numFmtId="2" fontId="92" fillId="0" borderId="1" xfId="0" applyNumberFormat="1" applyFont="1" applyBorder="1"/>
    <xf numFmtId="4" fontId="36" fillId="0" borderId="1" xfId="0" applyNumberFormat="1" applyFont="1" applyBorder="1"/>
    <xf numFmtId="0" fontId="45" fillId="0" borderId="1" xfId="0" applyFont="1" applyBorder="1"/>
    <xf numFmtId="0" fontId="45" fillId="31" borderId="1" xfId="240" applyFont="1" applyFill="1" applyBorder="1" applyAlignment="1">
      <alignment vertical="center" wrapText="1"/>
    </xf>
    <xf numFmtId="0" fontId="42" fillId="34" borderId="1" xfId="240" applyFont="1" applyFill="1" applyBorder="1" applyAlignment="1">
      <alignment horizontal="center" vertical="top" wrapText="1"/>
    </xf>
    <xf numFmtId="2" fontId="44" fillId="0" borderId="0" xfId="0" applyNumberFormat="1" applyFont="1" applyAlignment="1">
      <alignment horizontal="center" vertical="center"/>
    </xf>
    <xf numFmtId="4" fontId="44" fillId="0" borderId="0" xfId="0" applyNumberFormat="1" applyFont="1" applyAlignment="1">
      <alignment horizontal="center" vertical="center"/>
    </xf>
    <xf numFmtId="0" fontId="206" fillId="0" borderId="0" xfId="0" applyFont="1"/>
    <xf numFmtId="4" fontId="44" fillId="0" borderId="0" xfId="0" applyNumberFormat="1" applyFont="1"/>
    <xf numFmtId="0" fontId="206" fillId="0" borderId="1" xfId="0" applyFont="1" applyBorder="1" applyAlignment="1">
      <alignment wrapText="1"/>
    </xf>
    <xf numFmtId="4" fontId="206" fillId="0" borderId="1" xfId="0" applyNumberFormat="1" applyFont="1" applyBorder="1" applyAlignment="1">
      <alignment wrapText="1"/>
    </xf>
    <xf numFmtId="1" fontId="206" fillId="0" borderId="1" xfId="0" applyNumberFormat="1" applyFont="1" applyBorder="1" applyAlignment="1">
      <alignment horizontal="center" vertical="center" wrapText="1"/>
    </xf>
    <xf numFmtId="4" fontId="44" fillId="0" borderId="1" xfId="0" applyNumberFormat="1" applyFont="1" applyBorder="1" applyAlignment="1">
      <alignment horizontal="right" vertical="center" wrapText="1"/>
    </xf>
    <xf numFmtId="4" fontId="206" fillId="0" borderId="1" xfId="0" applyNumberFormat="1" applyFont="1" applyBorder="1" applyAlignment="1">
      <alignment horizontal="right" vertical="center" wrapText="1"/>
    </xf>
    <xf numFmtId="4" fontId="44" fillId="0" borderId="1" xfId="0" applyNumberFormat="1" applyFont="1" applyBorder="1" applyAlignment="1">
      <alignment horizontal="right" vertical="center"/>
    </xf>
    <xf numFmtId="4" fontId="44" fillId="0" borderId="0" xfId="0" applyNumberFormat="1" applyFont="1" applyAlignment="1">
      <alignment horizontal="right" vertical="center" wrapText="1"/>
    </xf>
    <xf numFmtId="4" fontId="44" fillId="0" borderId="0" xfId="0" applyNumberFormat="1" applyFont="1" applyAlignment="1">
      <alignment horizontal="right" vertical="center"/>
    </xf>
    <xf numFmtId="4" fontId="105" fillId="0" borderId="1" xfId="0" applyNumberFormat="1" applyFont="1" applyBorder="1" applyAlignment="1">
      <alignment horizontal="center" vertical="center"/>
    </xf>
    <xf numFmtId="0" fontId="43" fillId="0" borderId="1" xfId="6" applyFont="1" applyBorder="1" applyAlignment="1">
      <alignment horizontal="center" vertical="center" wrapText="1"/>
    </xf>
    <xf numFmtId="2" fontId="43" fillId="0" borderId="1" xfId="6" applyNumberFormat="1" applyFont="1" applyBorder="1" applyAlignment="1">
      <alignment horizontal="center" vertical="center" wrapText="1"/>
    </xf>
    <xf numFmtId="9" fontId="43" fillId="0" borderId="1" xfId="558" applyFont="1" applyBorder="1" applyAlignment="1">
      <alignment horizontal="center" vertical="center" wrapText="1"/>
    </xf>
    <xf numFmtId="0" fontId="47" fillId="0" borderId="36" xfId="6" applyFont="1" applyBorder="1" applyAlignment="1">
      <alignment vertical="center" wrapText="1"/>
    </xf>
    <xf numFmtId="0" fontId="52" fillId="0" borderId="0" xfId="6" applyFont="1" applyAlignment="1">
      <alignment horizontal="center" vertical="center" wrapText="1"/>
    </xf>
    <xf numFmtId="0" fontId="130" fillId="0" borderId="0" xfId="6" applyFont="1" applyAlignment="1">
      <alignment horizontal="center" vertical="center" wrapText="1"/>
    </xf>
    <xf numFmtId="0" fontId="36" fillId="0" borderId="0" xfId="6" applyFont="1" applyAlignment="1">
      <alignment horizontal="center" vertical="center" wrapText="1"/>
    </xf>
    <xf numFmtId="0" fontId="47" fillId="0" borderId="1" xfId="6" applyFont="1" applyBorder="1" applyAlignment="1">
      <alignment horizontal="left" vertical="center" wrapText="1"/>
    </xf>
    <xf numFmtId="0" fontId="42" fillId="0" borderId="1" xfId="6" applyFont="1" applyBorder="1" applyAlignment="1">
      <alignment horizontal="left" vertical="center" wrapText="1"/>
    </xf>
    <xf numFmtId="0" fontId="187" fillId="0" borderId="1" xfId="6" applyFont="1" applyBorder="1" applyAlignment="1">
      <alignment horizontal="right" vertical="center" wrapText="1"/>
    </xf>
    <xf numFmtId="0" fontId="44" fillId="0" borderId="1" xfId="0" applyFont="1" applyBorder="1" applyAlignment="1">
      <alignment horizontal="left" vertical="center" wrapText="1"/>
    </xf>
    <xf numFmtId="4" fontId="44" fillId="0" borderId="0" xfId="0" applyNumberFormat="1" applyFont="1" applyAlignment="1">
      <alignment horizontal="left"/>
    </xf>
    <xf numFmtId="0" fontId="105" fillId="0" borderId="0" xfId="0" applyFont="1" applyAlignment="1">
      <alignment horizontal="left"/>
    </xf>
    <xf numFmtId="4" fontId="206" fillId="0" borderId="1" xfId="0" applyNumberFormat="1" applyFont="1" applyBorder="1" applyAlignment="1">
      <alignment horizontal="left" vertical="center" wrapText="1"/>
    </xf>
    <xf numFmtId="4" fontId="44" fillId="0" borderId="1" xfId="0" applyNumberFormat="1" applyFont="1" applyBorder="1" applyAlignment="1">
      <alignment horizontal="left" vertical="center" wrapText="1"/>
    </xf>
    <xf numFmtId="4" fontId="206" fillId="0" borderId="1" xfId="0" applyNumberFormat="1" applyFont="1" applyBorder="1" applyAlignment="1">
      <alignment horizontal="left" wrapText="1"/>
    </xf>
    <xf numFmtId="0" fontId="44" fillId="0" borderId="3" xfId="0" applyFont="1" applyBorder="1" applyAlignment="1">
      <alignment horizontal="left" wrapText="1"/>
    </xf>
    <xf numFmtId="1" fontId="44" fillId="0" borderId="1" xfId="0" applyNumberFormat="1" applyFont="1" applyBorder="1" applyAlignment="1">
      <alignment horizontal="center" vertical="center"/>
    </xf>
    <xf numFmtId="0" fontId="206" fillId="0" borderId="1" xfId="0" applyFont="1" applyBorder="1" applyAlignment="1">
      <alignment horizontal="center" vertical="center"/>
    </xf>
    <xf numFmtId="170" fontId="44" fillId="0" borderId="1" xfId="0" applyNumberFormat="1" applyFont="1" applyBorder="1" applyAlignment="1">
      <alignment horizontal="center" vertical="center"/>
    </xf>
    <xf numFmtId="4" fontId="246" fillId="0" borderId="1" xfId="0" applyNumberFormat="1" applyFont="1" applyBorder="1" applyAlignment="1">
      <alignment horizontal="right" wrapText="1"/>
    </xf>
    <xf numFmtId="4" fontId="131" fillId="0" borderId="1" xfId="0" applyNumberFormat="1" applyFont="1" applyBorder="1" applyAlignment="1">
      <alignment horizontal="right" wrapText="1"/>
    </xf>
    <xf numFmtId="0" fontId="43" fillId="0" borderId="0" xfId="0" applyFont="1" applyAlignment="1">
      <alignment vertical="top" wrapText="1"/>
    </xf>
    <xf numFmtId="0" fontId="43" fillId="0" borderId="0" xfId="0" applyFont="1" applyAlignment="1">
      <alignment horizontal="right"/>
    </xf>
    <xf numFmtId="0" fontId="0" fillId="2" borderId="0" xfId="0" applyFill="1" applyAlignment="1">
      <alignment wrapText="1"/>
    </xf>
    <xf numFmtId="0" fontId="3" fillId="0" borderId="0" xfId="5" applyFont="1"/>
    <xf numFmtId="2" fontId="0" fillId="65" borderId="0" xfId="0" applyNumberFormat="1" applyFill="1"/>
    <xf numFmtId="2" fontId="36" fillId="65" borderId="0" xfId="0" applyNumberFormat="1" applyFont="1" applyFill="1"/>
    <xf numFmtId="0" fontId="131" fillId="0" borderId="5" xfId="0" applyFont="1" applyBorder="1" applyAlignment="1">
      <alignment horizontal="center" vertical="center" wrapText="1"/>
    </xf>
    <xf numFmtId="0" fontId="253" fillId="0" borderId="0" xfId="0" applyFont="1" applyAlignment="1">
      <alignment horizontal="center" vertical="center"/>
    </xf>
    <xf numFmtId="0" fontId="44" fillId="0" borderId="0" xfId="0" applyFont="1" applyAlignment="1">
      <alignment vertical="top" wrapText="1"/>
    </xf>
    <xf numFmtId="0" fontId="131" fillId="0" borderId="0" xfId="0" applyFont="1" applyAlignment="1">
      <alignment vertical="top" wrapText="1"/>
    </xf>
    <xf numFmtId="0" fontId="42" fillId="0" borderId="1" xfId="240" applyFont="1" applyBorder="1" applyAlignment="1">
      <alignment horizontal="left" vertical="center" wrapText="1" indent="1"/>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42" fillId="0" borderId="1" xfId="0" applyFont="1" applyBorder="1" applyAlignment="1">
      <alignment vertical="top" wrapText="1"/>
    </xf>
    <xf numFmtId="16" fontId="42" fillId="0" borderId="1" xfId="0" applyNumberFormat="1" applyFont="1" applyBorder="1" applyAlignment="1">
      <alignment horizontal="center" vertical="center"/>
    </xf>
    <xf numFmtId="0" fontId="51" fillId="0" borderId="1" xfId="556" applyFont="1" applyBorder="1" applyAlignment="1">
      <alignment vertical="top" wrapText="1"/>
    </xf>
    <xf numFmtId="2" fontId="42" fillId="0" borderId="1" xfId="0" applyNumberFormat="1" applyFont="1" applyBorder="1"/>
    <xf numFmtId="2" fontId="42" fillId="0" borderId="1" xfId="0" applyNumberFormat="1" applyFont="1" applyBorder="1" applyAlignment="1">
      <alignment vertical="center"/>
    </xf>
    <xf numFmtId="177" fontId="42" fillId="0" borderId="1" xfId="0" applyNumberFormat="1" applyFont="1" applyBorder="1" applyAlignment="1">
      <alignment horizontal="right" vertical="center"/>
    </xf>
    <xf numFmtId="0" fontId="105" fillId="0" borderId="0" xfId="0" applyFont="1" applyAlignment="1">
      <alignment horizontal="center" vertical="center"/>
    </xf>
    <xf numFmtId="177" fontId="105" fillId="0" borderId="0" xfId="0" applyNumberFormat="1" applyFont="1"/>
    <xf numFmtId="2" fontId="42" fillId="0" borderId="1" xfId="0" applyNumberFormat="1" applyFont="1" applyBorder="1" applyAlignment="1">
      <alignment horizontal="right" vertical="center"/>
    </xf>
    <xf numFmtId="14" fontId="43" fillId="0" borderId="1" xfId="0" applyNumberFormat="1" applyFont="1" applyBorder="1" applyAlignment="1">
      <alignment horizontal="center" vertical="center"/>
    </xf>
    <xf numFmtId="0" fontId="42" fillId="0" borderId="1" xfId="0" applyFont="1" applyBorder="1" applyAlignment="1">
      <alignment horizontal="center" vertical="top" wrapText="1"/>
    </xf>
    <xf numFmtId="0" fontId="131" fillId="0" borderId="0" xfId="0" applyFont="1" applyAlignment="1">
      <alignment horizontal="center" vertical="center" wrapText="1"/>
    </xf>
    <xf numFmtId="0" fontId="248" fillId="0" borderId="5" xfId="0" applyFont="1" applyBorder="1" applyAlignment="1">
      <alignment horizontal="center" vertical="center" wrapText="1"/>
    </xf>
    <xf numFmtId="14" fontId="41" fillId="0" borderId="1" xfId="0" applyNumberFormat="1" applyFont="1" applyBorder="1" applyAlignment="1">
      <alignment horizontal="center" vertical="center"/>
    </xf>
    <xf numFmtId="0" fontId="42" fillId="0" borderId="1" xfId="0" applyFont="1" applyBorder="1"/>
    <xf numFmtId="0" fontId="254" fillId="0" borderId="0" xfId="0" applyFont="1" applyAlignment="1">
      <alignment horizontal="center" vertical="center"/>
    </xf>
    <xf numFmtId="0" fontId="41" fillId="0" borderId="0" xfId="0" applyFont="1" applyAlignment="1">
      <alignment horizontal="center" vertical="center"/>
    </xf>
    <xf numFmtId="0" fontId="254" fillId="0" borderId="0" xfId="0" applyFont="1" applyAlignment="1">
      <alignment horizontal="center" vertical="center" wrapText="1"/>
    </xf>
    <xf numFmtId="49" fontId="41" fillId="34" borderId="39" xfId="556" applyNumberFormat="1" applyFont="1" applyFill="1" applyBorder="1" applyAlignment="1">
      <alignment horizontal="center" vertical="center"/>
    </xf>
    <xf numFmtId="49" fontId="41" fillId="0" borderId="39" xfId="556" applyNumberFormat="1" applyFont="1" applyBorder="1" applyAlignment="1">
      <alignment horizontal="center" vertical="center"/>
    </xf>
    <xf numFmtId="49" fontId="41" fillId="34" borderId="1" xfId="556" applyNumberFormat="1" applyFont="1" applyFill="1" applyBorder="1" applyAlignment="1">
      <alignment horizontal="center" vertical="center"/>
    </xf>
    <xf numFmtId="49" fontId="41" fillId="34" borderId="79" xfId="556" applyNumberFormat="1" applyFont="1" applyFill="1" applyBorder="1" applyAlignment="1">
      <alignment horizontal="center" vertical="center"/>
    </xf>
    <xf numFmtId="49" fontId="40" fillId="34" borderId="1" xfId="556" applyNumberFormat="1" applyFont="1" applyFill="1" applyBorder="1" applyAlignment="1">
      <alignment horizontal="center" vertical="center"/>
    </xf>
    <xf numFmtId="0" fontId="50" fillId="0" borderId="1" xfId="0" applyFont="1" applyBorder="1" applyAlignment="1">
      <alignment vertical="center" wrapText="1"/>
    </xf>
    <xf numFmtId="49" fontId="41" fillId="0" borderId="1" xfId="556" applyNumberFormat="1" applyFont="1" applyBorder="1" applyAlignment="1">
      <alignment horizontal="center" vertical="center"/>
    </xf>
    <xf numFmtId="0" fontId="93" fillId="0" borderId="0" xfId="0" applyFont="1" applyAlignment="1">
      <alignment horizontal="center" vertical="center"/>
    </xf>
    <xf numFmtId="2" fontId="206" fillId="0" borderId="0" xfId="0" applyNumberFormat="1" applyFont="1" applyAlignment="1">
      <alignment horizontal="center" vertical="center"/>
    </xf>
    <xf numFmtId="0" fontId="110" fillId="0" borderId="1" xfId="0" applyFont="1" applyBorder="1" applyAlignment="1">
      <alignment horizontal="center" vertical="center"/>
    </xf>
    <xf numFmtId="0" fontId="110" fillId="0" borderId="7" xfId="0" applyFont="1" applyBorder="1" applyAlignment="1">
      <alignment horizontal="center" vertical="center"/>
    </xf>
    <xf numFmtId="4" fontId="44" fillId="2" borderId="0" xfId="0" applyNumberFormat="1" applyFont="1" applyFill="1"/>
    <xf numFmtId="4" fontId="206" fillId="0" borderId="0" xfId="0" applyNumberFormat="1" applyFont="1"/>
    <xf numFmtId="9" fontId="93" fillId="0" borderId="0" xfId="558" applyFont="1"/>
    <xf numFmtId="0" fontId="206" fillId="0" borderId="1" xfId="0" applyFont="1" applyBorder="1"/>
    <xf numFmtId="4" fontId="206" fillId="0" borderId="1" xfId="0" applyNumberFormat="1" applyFont="1" applyBorder="1"/>
    <xf numFmtId="4" fontId="105" fillId="0" borderId="0" xfId="0" applyNumberFormat="1" applyFont="1"/>
    <xf numFmtId="4" fontId="44" fillId="31" borderId="0" xfId="0" applyNumberFormat="1" applyFont="1" applyFill="1"/>
    <xf numFmtId="0" fontId="44" fillId="31" borderId="0" xfId="0" applyFont="1" applyFill="1"/>
    <xf numFmtId="4" fontId="206" fillId="31" borderId="1" xfId="0" applyNumberFormat="1" applyFont="1" applyFill="1" applyBorder="1"/>
    <xf numFmtId="0" fontId="44" fillId="31" borderId="1" xfId="0" applyFont="1" applyFill="1" applyBorder="1"/>
    <xf numFmtId="4" fontId="44" fillId="31" borderId="1" xfId="0" applyNumberFormat="1" applyFont="1" applyFill="1" applyBorder="1"/>
    <xf numFmtId="2" fontId="44" fillId="31" borderId="1" xfId="0" applyNumberFormat="1" applyFont="1" applyFill="1" applyBorder="1"/>
    <xf numFmtId="4" fontId="105" fillId="31" borderId="0" xfId="0" applyNumberFormat="1" applyFont="1" applyFill="1"/>
    <xf numFmtId="2" fontId="44" fillId="31" borderId="0" xfId="0" applyNumberFormat="1" applyFont="1" applyFill="1"/>
    <xf numFmtId="0" fontId="255" fillId="0" borderId="0" xfId="0" applyFont="1"/>
    <xf numFmtId="0" fontId="257" fillId="0" borderId="1" xfId="0" applyFont="1" applyBorder="1" applyAlignment="1">
      <alignment wrapText="1"/>
    </xf>
    <xf numFmtId="0" fontId="257" fillId="0" borderId="1" xfId="0" applyFont="1" applyBorder="1" applyAlignment="1">
      <alignment horizontal="center" vertical="center"/>
    </xf>
    <xf numFmtId="0" fontId="257" fillId="0" borderId="0" xfId="0" applyFont="1"/>
    <xf numFmtId="0" fontId="256" fillId="0" borderId="0" xfId="0" applyFont="1" applyAlignment="1">
      <alignment wrapText="1"/>
    </xf>
    <xf numFmtId="4" fontId="101" fillId="62" borderId="1" xfId="0" applyNumberFormat="1" applyFont="1" applyFill="1" applyBorder="1" applyAlignment="1">
      <alignment horizontal="center" vertical="center" wrapText="1"/>
    </xf>
    <xf numFmtId="0" fontId="257" fillId="0" borderId="1" xfId="0" applyFont="1" applyBorder="1" applyAlignment="1">
      <alignment vertical="center"/>
    </xf>
    <xf numFmtId="0" fontId="187" fillId="0" borderId="1" xfId="0" applyFont="1" applyBorder="1" applyAlignment="1">
      <alignment horizontal="left" vertical="center" wrapText="1"/>
    </xf>
    <xf numFmtId="0" fontId="187" fillId="0" borderId="1" xfId="0" applyFont="1" applyBorder="1" applyAlignment="1">
      <alignment horizontal="center" vertical="center" wrapText="1"/>
    </xf>
    <xf numFmtId="0" fontId="258" fillId="0" borderId="1" xfId="0" applyFont="1" applyBorder="1" applyAlignment="1">
      <alignment horizontal="left" vertical="center"/>
    </xf>
    <xf numFmtId="0" fontId="258" fillId="0" borderId="1" xfId="0" applyFont="1" applyBorder="1" applyAlignment="1">
      <alignment horizontal="center" vertical="center"/>
    </xf>
    <xf numFmtId="0" fontId="258" fillId="0" borderId="0" xfId="0" applyFont="1" applyAlignment="1">
      <alignment horizontal="center" vertical="center"/>
    </xf>
    <xf numFmtId="0" fontId="259" fillId="0" borderId="1" xfId="0" applyFont="1" applyBorder="1" applyAlignment="1">
      <alignment horizontal="left" vertical="center" wrapText="1"/>
    </xf>
    <xf numFmtId="0" fontId="259" fillId="0" borderId="1" xfId="0" applyFont="1" applyBorder="1" applyAlignment="1">
      <alignment horizontal="center" vertical="center"/>
    </xf>
    <xf numFmtId="0" fontId="259" fillId="0" borderId="0" xfId="0" applyFont="1" applyAlignment="1">
      <alignment horizontal="center" vertical="center"/>
    </xf>
    <xf numFmtId="0" fontId="260" fillId="0" borderId="0" xfId="0" applyFont="1" applyAlignment="1">
      <alignment horizontal="center" vertical="center"/>
    </xf>
    <xf numFmtId="0" fontId="258" fillId="0" borderId="1" xfId="0" applyFont="1" applyBorder="1" applyAlignment="1">
      <alignment horizontal="center" vertical="center" wrapText="1"/>
    </xf>
    <xf numFmtId="4" fontId="261" fillId="0" borderId="1" xfId="0" applyNumberFormat="1" applyFont="1" applyBorder="1" applyAlignment="1">
      <alignment horizontal="center" vertical="center"/>
    </xf>
    <xf numFmtId="0" fontId="42" fillId="0" borderId="3" xfId="0" applyFont="1" applyBorder="1" applyAlignment="1">
      <alignment vertical="top" wrapText="1"/>
    </xf>
    <xf numFmtId="0" fontId="93" fillId="0" borderId="0" xfId="0" applyFont="1" applyAlignment="1">
      <alignment horizontal="right"/>
    </xf>
    <xf numFmtId="0" fontId="262" fillId="0" borderId="0" xfId="0" applyFont="1"/>
    <xf numFmtId="4" fontId="137" fillId="0" borderId="0" xfId="506" applyNumberFormat="1" applyFont="1"/>
    <xf numFmtId="3" fontId="137" fillId="0" borderId="0" xfId="506" applyNumberFormat="1" applyFont="1"/>
    <xf numFmtId="0" fontId="43" fillId="0" borderId="67" xfId="0" applyFont="1" applyBorder="1" applyAlignment="1">
      <alignment wrapText="1"/>
    </xf>
    <xf numFmtId="2" fontId="198" fillId="0" borderId="0" xfId="0" applyNumberFormat="1" applyFont="1" applyAlignment="1">
      <alignment horizontal="right"/>
    </xf>
    <xf numFmtId="2" fontId="188" fillId="0" borderId="0" xfId="0" applyNumberFormat="1" applyFont="1" applyAlignment="1">
      <alignment horizontal="right"/>
    </xf>
    <xf numFmtId="0" fontId="42" fillId="0" borderId="97" xfId="0" applyFont="1" applyBorder="1" applyAlignment="1">
      <alignment vertical="top" wrapText="1"/>
    </xf>
    <xf numFmtId="0" fontId="50" fillId="0" borderId="1" xfId="0" applyFont="1" applyBorder="1" applyAlignment="1">
      <alignment vertical="top" wrapText="1"/>
    </xf>
    <xf numFmtId="0" fontId="263" fillId="0" borderId="1" xfId="0" applyFont="1" applyBorder="1" applyAlignment="1">
      <alignment horizontal="center" vertical="center" wrapText="1"/>
    </xf>
    <xf numFmtId="0" fontId="264" fillId="0" borderId="1" xfId="0" applyFont="1" applyBorder="1" applyAlignment="1">
      <alignment horizontal="center" vertical="center" wrapText="1"/>
    </xf>
    <xf numFmtId="0" fontId="50" fillId="0" borderId="1" xfId="0" applyFont="1" applyBorder="1" applyAlignment="1">
      <alignment horizontal="center" vertical="center" wrapText="1"/>
    </xf>
    <xf numFmtId="10" fontId="198" fillId="0" borderId="0" xfId="558" applyNumberFormat="1" applyFont="1"/>
    <xf numFmtId="0" fontId="52" fillId="0" borderId="1"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6" xfId="0" applyFont="1" applyBorder="1" applyAlignment="1">
      <alignment horizontal="center" vertical="top" wrapText="1"/>
    </xf>
    <xf numFmtId="0" fontId="44" fillId="0" borderId="31" xfId="0" applyFont="1" applyBorder="1" applyAlignment="1">
      <alignment horizontal="center" vertical="top" wrapText="1"/>
    </xf>
    <xf numFmtId="0" fontId="152" fillId="0" borderId="6" xfId="0" applyFont="1" applyBorder="1" applyAlignment="1">
      <alignment horizontal="center" vertical="top" wrapText="1"/>
    </xf>
    <xf numFmtId="0" fontId="152" fillId="0" borderId="56" xfId="0" applyFont="1" applyBorder="1" applyAlignment="1">
      <alignment vertical="top" wrapText="1"/>
    </xf>
    <xf numFmtId="0" fontId="152" fillId="0" borderId="56" xfId="0" applyFont="1" applyBorder="1" applyAlignment="1">
      <alignment horizontal="center" vertical="top" wrapText="1"/>
    </xf>
    <xf numFmtId="0" fontId="152" fillId="0" borderId="23" xfId="0" applyFont="1" applyBorder="1" applyAlignment="1">
      <alignment horizontal="center" vertical="top" wrapText="1"/>
    </xf>
    <xf numFmtId="0" fontId="44" fillId="0" borderId="6" xfId="0" applyFont="1" applyBorder="1" applyAlignment="1">
      <alignment horizontal="center"/>
    </xf>
    <xf numFmtId="0" fontId="152" fillId="34" borderId="56" xfId="0" applyFont="1" applyFill="1" applyBorder="1" applyAlignment="1">
      <alignment vertical="top" wrapText="1"/>
    </xf>
    <xf numFmtId="0" fontId="51" fillId="0" borderId="1" xfId="556" applyFont="1" applyBorder="1" applyAlignment="1">
      <alignment horizontal="left" vertical="top" wrapText="1"/>
    </xf>
    <xf numFmtId="0" fontId="162" fillId="69" borderId="39" xfId="134" applyFont="1" applyFill="1" applyBorder="1" applyAlignment="1">
      <alignment horizontal="left" vertical="center" wrapText="1"/>
    </xf>
    <xf numFmtId="0" fontId="52" fillId="0" borderId="52" xfId="0" applyFont="1" applyBorder="1" applyAlignment="1">
      <alignment wrapText="1"/>
    </xf>
    <xf numFmtId="0" fontId="43" fillId="0" borderId="52" xfId="0" applyFont="1" applyBorder="1" applyAlignment="1">
      <alignment wrapText="1"/>
    </xf>
    <xf numFmtId="0" fontId="52" fillId="0" borderId="92" xfId="0" applyFont="1" applyBorder="1" applyAlignment="1">
      <alignment wrapText="1"/>
    </xf>
    <xf numFmtId="0" fontId="136" fillId="0" borderId="53" xfId="556" applyFont="1" applyBorder="1" applyAlignment="1">
      <alignment horizontal="left" vertical="center" wrapText="1"/>
    </xf>
    <xf numFmtId="2" fontId="52" fillId="0" borderId="9" xfId="0" applyNumberFormat="1" applyFont="1" applyBorder="1" applyAlignment="1">
      <alignment horizontal="center" vertical="center"/>
    </xf>
    <xf numFmtId="2" fontId="43" fillId="0" borderId="9" xfId="0" applyNumberFormat="1" applyFont="1" applyBorder="1" applyAlignment="1">
      <alignment horizontal="center" vertical="center"/>
    </xf>
    <xf numFmtId="2" fontId="52" fillId="0" borderId="9" xfId="0" applyNumberFormat="1" applyFont="1" applyBorder="1" applyAlignment="1">
      <alignment horizontal="center"/>
    </xf>
    <xf numFmtId="2" fontId="52" fillId="0" borderId="77" xfId="0" applyNumberFormat="1" applyFont="1" applyBorder="1" applyAlignment="1">
      <alignment horizontal="center"/>
    </xf>
    <xf numFmtId="0" fontId="43" fillId="0" borderId="6" xfId="0" applyFont="1" applyBorder="1" applyAlignment="1">
      <alignment horizontal="center" wrapText="1"/>
    </xf>
    <xf numFmtId="0" fontId="52" fillId="0" borderId="87" xfId="0" applyFont="1" applyBorder="1" applyAlignment="1">
      <alignment horizontal="center" vertical="center" wrapText="1"/>
    </xf>
    <xf numFmtId="1" fontId="42" fillId="0" borderId="1" xfId="0" applyNumberFormat="1" applyFont="1" applyBorder="1" applyAlignment="1">
      <alignment horizontal="center" vertical="center"/>
    </xf>
    <xf numFmtId="1" fontId="42" fillId="0" borderId="8" xfId="0" applyNumberFormat="1" applyFont="1" applyBorder="1" applyAlignment="1">
      <alignment horizontal="center" vertical="center"/>
    </xf>
    <xf numFmtId="1" fontId="50" fillId="0" borderId="1" xfId="0" applyNumberFormat="1" applyFont="1" applyBorder="1" applyAlignment="1">
      <alignment horizontal="center" vertical="center"/>
    </xf>
    <xf numFmtId="1" fontId="94" fillId="0" borderId="0" xfId="0" applyNumberFormat="1" applyFont="1" applyAlignment="1">
      <alignment horizontal="center" vertical="center"/>
    </xf>
    <xf numFmtId="0" fontId="176" fillId="0" borderId="5" xfId="0" applyFont="1" applyBorder="1"/>
    <xf numFmtId="0" fontId="176" fillId="0" borderId="0" xfId="0" applyFont="1"/>
    <xf numFmtId="164" fontId="266" fillId="0" borderId="0" xfId="559" applyFont="1" applyAlignment="1">
      <alignment horizontal="right"/>
    </xf>
    <xf numFmtId="2" fontId="266" fillId="0" borderId="0" xfId="0" applyNumberFormat="1" applyFont="1" applyAlignment="1">
      <alignment horizontal="right"/>
    </xf>
    <xf numFmtId="2" fontId="43" fillId="0" borderId="0" xfId="0" applyNumberFormat="1" applyFont="1" applyAlignment="1">
      <alignment horizontal="left"/>
    </xf>
    <xf numFmtId="0" fontId="131" fillId="0" borderId="58" xfId="0" applyFont="1" applyBorder="1" applyAlignment="1">
      <alignment horizontal="left" vertical="center" wrapText="1"/>
    </xf>
    <xf numFmtId="0" fontId="246" fillId="0" borderId="58" xfId="0" applyFont="1" applyBorder="1" applyAlignment="1">
      <alignment horizontal="left" vertical="center" wrapText="1"/>
    </xf>
    <xf numFmtId="0" fontId="131" fillId="0" borderId="60" xfId="0" applyFont="1" applyBorder="1" applyAlignment="1">
      <alignment horizontal="center" wrapText="1"/>
    </xf>
    <xf numFmtId="0" fontId="131" fillId="0" borderId="61" xfId="0" applyFont="1" applyBorder="1" applyAlignment="1">
      <alignment horizontal="center" wrapText="1"/>
    </xf>
    <xf numFmtId="0" fontId="247" fillId="0" borderId="0" xfId="0" applyFont="1" applyAlignment="1">
      <alignment wrapText="1"/>
    </xf>
    <xf numFmtId="0" fontId="248" fillId="0" borderId="0" xfId="0" applyFont="1" applyAlignment="1">
      <alignment vertical="center" wrapText="1"/>
    </xf>
    <xf numFmtId="0" fontId="40" fillId="0" borderId="6" xfId="0" applyFont="1" applyBorder="1" applyAlignment="1">
      <alignment horizontal="center" vertical="top" wrapText="1"/>
    </xf>
    <xf numFmtId="0" fontId="40" fillId="0" borderId="31" xfId="0" applyFont="1" applyBorder="1" applyAlignment="1">
      <alignment horizontal="center" vertical="top" wrapText="1"/>
    </xf>
    <xf numFmtId="0" fontId="44" fillId="59" borderId="0" xfId="0" applyFont="1" applyFill="1"/>
    <xf numFmtId="4" fontId="44" fillId="59" borderId="0" xfId="0" applyNumberFormat="1" applyFont="1" applyFill="1"/>
    <xf numFmtId="0" fontId="44" fillId="59" borderId="0" xfId="0" applyFont="1" applyFill="1" applyAlignment="1">
      <alignment horizontal="center" vertical="center"/>
    </xf>
    <xf numFmtId="4" fontId="207" fillId="0" borderId="0" xfId="240" applyNumberFormat="1" applyFont="1" applyProtection="1">
      <protection locked="0"/>
    </xf>
    <xf numFmtId="9" fontId="44" fillId="0" borderId="0" xfId="558" applyFont="1" applyAlignment="1">
      <alignment horizontal="center"/>
    </xf>
    <xf numFmtId="2" fontId="0" fillId="2" borderId="1" xfId="0" applyNumberFormat="1" applyFill="1" applyBorder="1"/>
    <xf numFmtId="2" fontId="0" fillId="2" borderId="40" xfId="0" applyNumberFormat="1" applyFill="1" applyBorder="1"/>
    <xf numFmtId="0" fontId="0" fillId="2" borderId="0" xfId="0" applyFill="1"/>
    <xf numFmtId="2" fontId="43" fillId="0" borderId="0" xfId="0" applyNumberFormat="1" applyFont="1" applyAlignment="1">
      <alignment horizontal="center" vertical="center"/>
    </xf>
    <xf numFmtId="0" fontId="131" fillId="73" borderId="0" xfId="0" applyFont="1" applyFill="1" applyAlignment="1">
      <alignment horizontal="center"/>
    </xf>
    <xf numFmtId="0" fontId="131" fillId="0" borderId="62" xfId="0" applyFont="1" applyBorder="1" applyAlignment="1">
      <alignment horizontal="center" wrapText="1"/>
    </xf>
    <xf numFmtId="170" fontId="52" fillId="0" borderId="67" xfId="0" applyNumberFormat="1" applyFont="1" applyBorder="1" applyAlignment="1">
      <alignment horizontal="center" vertical="center"/>
    </xf>
    <xf numFmtId="9" fontId="0" fillId="0" borderId="0" xfId="558" applyFont="1"/>
    <xf numFmtId="170" fontId="137" fillId="0" borderId="0" xfId="506" applyNumberFormat="1" applyFont="1"/>
    <xf numFmtId="4" fontId="243" fillId="0" borderId="57" xfId="0" applyNumberFormat="1" applyFont="1" applyBorder="1"/>
    <xf numFmtId="176" fontId="43" fillId="0" borderId="59" xfId="558" applyNumberFormat="1" applyFont="1" applyFill="1" applyBorder="1"/>
    <xf numFmtId="4" fontId="243" fillId="0" borderId="39" xfId="0" applyNumberFormat="1" applyFont="1" applyBorder="1"/>
    <xf numFmtId="176" fontId="43" fillId="0" borderId="40" xfId="558" applyNumberFormat="1" applyFont="1" applyFill="1" applyBorder="1"/>
    <xf numFmtId="0" fontId="43" fillId="0" borderId="1" xfId="0" applyFont="1" applyBorder="1" applyAlignment="1">
      <alignment horizontal="center" wrapText="1"/>
    </xf>
    <xf numFmtId="0" fontId="43" fillId="0" borderId="1" xfId="0" applyFont="1" applyBorder="1" applyAlignment="1">
      <alignment horizontal="center"/>
    </xf>
    <xf numFmtId="0" fontId="133" fillId="0" borderId="1" xfId="0" applyFont="1" applyBorder="1" applyAlignment="1">
      <alignment horizontal="center"/>
    </xf>
    <xf numFmtId="4" fontId="243" fillId="0" borderId="39" xfId="0" applyNumberFormat="1" applyFont="1" applyBorder="1" applyAlignment="1">
      <alignment horizontal="center"/>
    </xf>
    <xf numFmtId="4" fontId="133" fillId="0" borderId="1" xfId="0" applyNumberFormat="1" applyFont="1" applyBorder="1"/>
    <xf numFmtId="4" fontId="243" fillId="0" borderId="44" xfId="0" applyNumberFormat="1" applyFont="1" applyBorder="1"/>
    <xf numFmtId="176" fontId="43" fillId="0" borderId="46" xfId="558" applyNumberFormat="1" applyFont="1" applyFill="1" applyBorder="1"/>
    <xf numFmtId="0" fontId="52" fillId="0" borderId="1" xfId="0" applyFont="1" applyBorder="1" applyAlignment="1">
      <alignment wrapText="1"/>
    </xf>
    <xf numFmtId="4" fontId="145" fillId="0" borderId="1" xfId="0" applyNumberFormat="1" applyFont="1" applyBorder="1"/>
    <xf numFmtId="4" fontId="52" fillId="0" borderId="0" xfId="0" applyNumberFormat="1" applyFont="1"/>
    <xf numFmtId="0" fontId="40" fillId="0" borderId="1" xfId="0" applyFont="1" applyBorder="1" applyAlignment="1">
      <alignment horizontal="right" wrapText="1"/>
    </xf>
    <xf numFmtId="0" fontId="40" fillId="0" borderId="1" xfId="0" applyFont="1" applyBorder="1" applyAlignment="1">
      <alignment wrapText="1"/>
    </xf>
    <xf numFmtId="4" fontId="52" fillId="0" borderId="0" xfId="0" applyNumberFormat="1" applyFont="1" applyAlignment="1">
      <alignment horizontal="right"/>
    </xf>
    <xf numFmtId="4" fontId="198" fillId="0" borderId="0" xfId="0" applyNumberFormat="1" applyFont="1"/>
    <xf numFmtId="0" fontId="42" fillId="0" borderId="0" xfId="0" applyFont="1" applyAlignment="1">
      <alignment wrapText="1"/>
    </xf>
    <xf numFmtId="0" fontId="51" fillId="0" borderId="1" xfId="0" applyFont="1" applyBorder="1" applyAlignment="1">
      <alignment horizontal="center" vertical="center" wrapText="1"/>
    </xf>
    <xf numFmtId="0" fontId="162" fillId="0" borderId="40" xfId="556" applyFont="1" applyBorder="1" applyAlignment="1">
      <alignment horizontal="center" vertical="center" wrapText="1"/>
    </xf>
    <xf numFmtId="4" fontId="162" fillId="0" borderId="1" xfId="0" applyNumberFormat="1" applyFont="1" applyBorder="1" applyAlignment="1">
      <alignment horizontal="center"/>
    </xf>
    <xf numFmtId="0" fontId="54" fillId="0" borderId="40" xfId="556" applyFont="1" applyBorder="1" applyAlignment="1">
      <alignment horizontal="center" vertical="center" wrapText="1"/>
    </xf>
    <xf numFmtId="4" fontId="134" fillId="0" borderId="1" xfId="0" applyNumberFormat="1" applyFont="1" applyBorder="1"/>
    <xf numFmtId="4" fontId="252" fillId="0" borderId="1" xfId="0" applyNumberFormat="1" applyFont="1" applyBorder="1"/>
    <xf numFmtId="2" fontId="251" fillId="0" borderId="0" xfId="0" applyNumberFormat="1" applyFont="1"/>
    <xf numFmtId="4" fontId="133" fillId="0" borderId="0" xfId="0" applyNumberFormat="1" applyFont="1"/>
    <xf numFmtId="4" fontId="162" fillId="0" borderId="1" xfId="0" applyNumberFormat="1" applyFont="1" applyBorder="1" applyAlignment="1">
      <alignment horizontal="center" vertical="center"/>
    </xf>
    <xf numFmtId="0" fontId="40" fillId="0" borderId="1" xfId="0" applyFont="1" applyBorder="1" applyAlignment="1">
      <alignment horizontal="center" wrapText="1"/>
    </xf>
    <xf numFmtId="0" fontId="43" fillId="0" borderId="23" xfId="0" applyFont="1" applyBorder="1" applyAlignment="1">
      <alignment horizontal="right"/>
    </xf>
    <xf numFmtId="10" fontId="43" fillId="0" borderId="0" xfId="558" applyNumberFormat="1" applyFont="1" applyFill="1"/>
    <xf numFmtId="4" fontId="134" fillId="0" borderId="1" xfId="0" applyNumberFormat="1" applyFont="1" applyBorder="1" applyAlignment="1">
      <alignment horizontal="right"/>
    </xf>
    <xf numFmtId="0" fontId="12" fillId="0" borderId="0" xfId="0" applyFont="1"/>
    <xf numFmtId="0" fontId="43" fillId="0" borderId="6" xfId="0" applyFont="1" applyBorder="1" applyAlignment="1">
      <alignment horizontal="right"/>
    </xf>
    <xf numFmtId="9" fontId="43" fillId="0" borderId="0" xfId="558" applyFont="1" applyFill="1"/>
    <xf numFmtId="0" fontId="214" fillId="0" borderId="1" xfId="0" applyFont="1" applyBorder="1" applyAlignment="1">
      <alignment wrapText="1"/>
    </xf>
    <xf numFmtId="4" fontId="220" fillId="0" borderId="1" xfId="0" applyNumberFormat="1" applyFont="1" applyBorder="1"/>
    <xf numFmtId="0" fontId="41" fillId="0" borderId="0" xfId="240" applyFont="1" applyProtection="1">
      <protection locked="0"/>
    </xf>
    <xf numFmtId="2" fontId="162" fillId="0" borderId="58" xfId="6" applyNumberFormat="1" applyFont="1" applyBorder="1" applyAlignment="1">
      <alignment horizontal="center" vertical="center" wrapText="1"/>
    </xf>
    <xf numFmtId="170" fontId="162" fillId="0" borderId="58" xfId="6" applyNumberFormat="1" applyFont="1" applyBorder="1" applyAlignment="1">
      <alignment horizontal="center" vertical="center" wrapText="1"/>
    </xf>
    <xf numFmtId="2" fontId="162" fillId="0" borderId="1" xfId="6" applyNumberFormat="1" applyFont="1" applyBorder="1" applyAlignment="1">
      <alignment horizontal="center" vertical="center" wrapText="1"/>
    </xf>
    <xf numFmtId="170" fontId="162" fillId="0" borderId="1" xfId="6" applyNumberFormat="1" applyFont="1" applyBorder="1" applyAlignment="1">
      <alignment horizontal="center" vertical="center" wrapText="1"/>
    </xf>
    <xf numFmtId="2" fontId="162" fillId="0" borderId="45" xfId="6" applyNumberFormat="1" applyFont="1" applyBorder="1" applyAlignment="1">
      <alignment horizontal="center" vertical="center" wrapText="1"/>
    </xf>
    <xf numFmtId="170" fontId="162" fillId="0" borderId="45" xfId="6" applyNumberFormat="1" applyFont="1" applyBorder="1" applyAlignment="1">
      <alignment horizontal="center" vertical="center" wrapText="1"/>
    </xf>
    <xf numFmtId="2" fontId="162" fillId="0" borderId="49" xfId="6" applyNumberFormat="1" applyFont="1" applyBorder="1" applyAlignment="1">
      <alignment horizontal="center" vertical="center" wrapText="1"/>
    </xf>
    <xf numFmtId="2" fontId="162" fillId="0" borderId="59" xfId="6" applyNumberFormat="1" applyFont="1" applyBorder="1" applyAlignment="1">
      <alignment horizontal="center" vertical="center" wrapText="1"/>
    </xf>
    <xf numFmtId="2" fontId="162" fillId="0" borderId="40" xfId="6" applyNumberFormat="1" applyFont="1" applyBorder="1" applyAlignment="1">
      <alignment horizontal="center" vertical="center" wrapText="1"/>
    </xf>
    <xf numFmtId="2" fontId="162" fillId="0" borderId="3" xfId="6" applyNumberFormat="1" applyFont="1" applyBorder="1" applyAlignment="1">
      <alignment horizontal="center" vertical="center" wrapText="1"/>
    </xf>
    <xf numFmtId="2" fontId="162" fillId="0" borderId="46" xfId="6" applyNumberFormat="1" applyFont="1" applyBorder="1" applyAlignment="1">
      <alignment horizontal="center" vertical="center" wrapText="1"/>
    </xf>
    <xf numFmtId="2" fontId="162" fillId="0" borderId="43" xfId="6" applyNumberFormat="1" applyFont="1" applyBorder="1" applyAlignment="1">
      <alignment horizontal="center" vertical="center" wrapText="1"/>
    </xf>
    <xf numFmtId="2" fontId="162" fillId="0" borderId="79" xfId="6" applyNumberFormat="1" applyFont="1" applyBorder="1" applyAlignment="1">
      <alignment horizontal="center" vertical="center" wrapText="1"/>
    </xf>
    <xf numFmtId="2" fontId="162" fillId="0" borderId="47" xfId="6" applyNumberFormat="1" applyFont="1" applyBorder="1" applyAlignment="1">
      <alignment horizontal="center" vertical="center" wrapText="1"/>
    </xf>
    <xf numFmtId="2" fontId="138" fillId="0" borderId="58" xfId="6" applyNumberFormat="1" applyFont="1" applyBorder="1" applyAlignment="1">
      <alignment horizontal="center" vertical="center" wrapText="1"/>
    </xf>
    <xf numFmtId="170" fontId="138" fillId="0" borderId="58" xfId="6" applyNumberFormat="1" applyFont="1" applyBorder="1" applyAlignment="1">
      <alignment horizontal="center" vertical="center" wrapText="1"/>
    </xf>
    <xf numFmtId="2" fontId="138" fillId="0" borderId="59" xfId="6" applyNumberFormat="1" applyFont="1" applyBorder="1" applyAlignment="1">
      <alignment horizontal="center" vertical="center" wrapText="1"/>
    </xf>
    <xf numFmtId="175" fontId="42" fillId="0" borderId="0" xfId="240" applyNumberFormat="1" applyFont="1" applyProtection="1">
      <protection locked="0"/>
    </xf>
    <xf numFmtId="175" fontId="47" fillId="0" borderId="0" xfId="240" applyNumberFormat="1" applyFont="1" applyProtection="1">
      <protection locked="0"/>
    </xf>
    <xf numFmtId="0" fontId="196" fillId="0" borderId="0" xfId="240" applyFont="1" applyAlignment="1">
      <alignment horizontal="right"/>
    </xf>
    <xf numFmtId="4" fontId="196" fillId="0" borderId="33" xfId="240" applyNumberFormat="1" applyFont="1" applyBorder="1"/>
    <xf numFmtId="2" fontId="196" fillId="0" borderId="33" xfId="240" applyNumberFormat="1" applyFont="1" applyBorder="1"/>
    <xf numFmtId="4" fontId="196" fillId="0" borderId="0" xfId="240" applyNumberFormat="1" applyFont="1"/>
    <xf numFmtId="0" fontId="119" fillId="0" borderId="0" xfId="240" applyFont="1" applyAlignment="1">
      <alignment horizontal="right"/>
    </xf>
    <xf numFmtId="4" fontId="119" fillId="0" borderId="32" xfId="240" applyNumberFormat="1" applyFont="1" applyBorder="1"/>
    <xf numFmtId="2" fontId="119" fillId="0" borderId="32" xfId="240" applyNumberFormat="1" applyFont="1" applyBorder="1"/>
    <xf numFmtId="4" fontId="119" fillId="0" borderId="0" xfId="240" applyNumberFormat="1" applyFont="1"/>
    <xf numFmtId="0" fontId="119" fillId="0" borderId="32" xfId="240" applyFont="1" applyBorder="1"/>
    <xf numFmtId="4" fontId="119" fillId="0" borderId="23" xfId="240" applyNumberFormat="1" applyFont="1" applyBorder="1"/>
    <xf numFmtId="0" fontId="196" fillId="0" borderId="0" xfId="240" applyFont="1" applyAlignment="1">
      <alignment horizontal="center" vertical="center"/>
    </xf>
    <xf numFmtId="2" fontId="196" fillId="0" borderId="0" xfId="240" applyNumberFormat="1" applyFont="1"/>
    <xf numFmtId="0" fontId="196" fillId="0" borderId="0" xfId="240" applyFont="1"/>
    <xf numFmtId="0" fontId="119" fillId="0" borderId="0" xfId="240" applyFont="1" applyAlignment="1">
      <alignment horizontal="center" vertical="center"/>
    </xf>
    <xf numFmtId="0" fontId="137" fillId="0" borderId="0" xfId="506" applyFont="1" applyAlignment="1">
      <alignment horizontal="center"/>
    </xf>
    <xf numFmtId="0" fontId="44" fillId="85" borderId="0" xfId="0" applyFont="1" applyFill="1"/>
    <xf numFmtId="179" fontId="44" fillId="0" borderId="8" xfId="0" applyNumberFormat="1" applyFont="1" applyBorder="1" applyAlignment="1">
      <alignment horizontal="center" vertical="center"/>
    </xf>
    <xf numFmtId="181" fontId="110" fillId="0" borderId="1" xfId="0" applyNumberFormat="1" applyFont="1" applyBorder="1" applyAlignment="1">
      <alignment horizontal="center" vertical="center"/>
    </xf>
    <xf numFmtId="179" fontId="44" fillId="0" borderId="1" xfId="0" applyNumberFormat="1" applyFont="1" applyBorder="1" applyAlignment="1">
      <alignment horizontal="center" vertical="center"/>
    </xf>
    <xf numFmtId="179" fontId="93" fillId="0" borderId="1" xfId="0" applyNumberFormat="1" applyFont="1" applyBorder="1" applyAlignment="1">
      <alignment horizontal="center" vertical="center"/>
    </xf>
    <xf numFmtId="179" fontId="93" fillId="0" borderId="8" xfId="0" applyNumberFormat="1" applyFont="1" applyBorder="1" applyAlignment="1">
      <alignment horizontal="center" vertical="center"/>
    </xf>
    <xf numFmtId="181" fontId="93" fillId="0" borderId="8" xfId="0" applyNumberFormat="1" applyFont="1" applyBorder="1" applyAlignment="1">
      <alignment horizontal="center" vertical="center"/>
    </xf>
    <xf numFmtId="0" fontId="44" fillId="0" borderId="8" xfId="0" applyFont="1" applyBorder="1" applyAlignment="1">
      <alignment horizontal="center" vertical="center"/>
    </xf>
    <xf numFmtId="0" fontId="105" fillId="0" borderId="28" xfId="0" applyFont="1" applyBorder="1"/>
    <xf numFmtId="0" fontId="105" fillId="0" borderId="24" xfId="0" applyFont="1" applyBorder="1" applyAlignment="1">
      <alignment horizontal="center"/>
    </xf>
    <xf numFmtId="179" fontId="43" fillId="0" borderId="1" xfId="0" applyNumberFormat="1" applyFont="1" applyBorder="1" applyAlignment="1">
      <alignment horizontal="center" vertical="center"/>
    </xf>
    <xf numFmtId="0" fontId="43" fillId="0" borderId="0" xfId="6" applyFont="1" applyAlignment="1">
      <alignment horizontal="right"/>
    </xf>
    <xf numFmtId="181" fontId="52" fillId="34" borderId="86" xfId="0" applyNumberFormat="1" applyFont="1" applyFill="1" applyBorder="1" applyAlignment="1">
      <alignment horizontal="right"/>
    </xf>
    <xf numFmtId="181" fontId="52" fillId="34" borderId="35" xfId="0" applyNumberFormat="1" applyFont="1" applyFill="1" applyBorder="1" applyAlignment="1">
      <alignment horizontal="right"/>
    </xf>
    <xf numFmtId="181" fontId="268" fillId="34" borderId="7" xfId="0" applyNumberFormat="1" applyFont="1" applyFill="1" applyBorder="1" applyAlignment="1">
      <alignment horizontal="right"/>
    </xf>
    <xf numFmtId="2" fontId="40" fillId="34" borderId="1" xfId="5" applyNumberFormat="1" applyFont="1" applyFill="1" applyBorder="1" applyAlignment="1" applyProtection="1">
      <alignment horizontal="center" vertical="center"/>
      <protection locked="0"/>
    </xf>
    <xf numFmtId="2" fontId="40" fillId="34" borderId="40" xfId="5" applyNumberFormat="1" applyFont="1" applyFill="1" applyBorder="1" applyAlignment="1" applyProtection="1">
      <alignment horizontal="center" vertical="center"/>
      <protection locked="0"/>
    </xf>
    <xf numFmtId="2" fontId="40" fillId="34" borderId="1" xfId="5" applyNumberFormat="1" applyFont="1" applyFill="1" applyBorder="1" applyAlignment="1" applyProtection="1">
      <alignment horizontal="center" vertical="center" wrapText="1"/>
      <protection locked="0"/>
    </xf>
    <xf numFmtId="2" fontId="40" fillId="34" borderId="40" xfId="5" applyNumberFormat="1" applyFont="1" applyFill="1" applyBorder="1" applyAlignment="1" applyProtection="1">
      <alignment horizontal="center" vertical="center" wrapText="1"/>
      <protection locked="0"/>
    </xf>
    <xf numFmtId="10" fontId="44" fillId="0" borderId="6" xfId="0" applyNumberFormat="1" applyFont="1" applyBorder="1"/>
    <xf numFmtId="1" fontId="43" fillId="0" borderId="0" xfId="6" applyNumberFormat="1" applyFont="1"/>
    <xf numFmtId="1" fontId="42" fillId="85" borderId="7" xfId="6" applyNumberFormat="1" applyFont="1" applyFill="1" applyBorder="1"/>
    <xf numFmtId="2" fontId="47" fillId="0" borderId="54" xfId="6" applyNumberFormat="1" applyFont="1" applyBorder="1" applyAlignment="1">
      <alignment horizontal="center"/>
    </xf>
    <xf numFmtId="0" fontId="43" fillId="34" borderId="0" xfId="6" applyFont="1" applyFill="1"/>
    <xf numFmtId="0" fontId="95" fillId="34" borderId="0" xfId="6" applyFont="1" applyFill="1"/>
    <xf numFmtId="0" fontId="184" fillId="34" borderId="0" xfId="6" applyFont="1" applyFill="1"/>
    <xf numFmtId="2" fontId="43" fillId="34" borderId="0" xfId="6" applyNumberFormat="1" applyFont="1" applyFill="1"/>
    <xf numFmtId="193" fontId="118" fillId="0" borderId="0" xfId="192" applyNumberFormat="1" applyFont="1"/>
    <xf numFmtId="2" fontId="43" fillId="0" borderId="0" xfId="6" applyNumberFormat="1" applyFont="1" applyAlignment="1">
      <alignment horizontal="center" vertical="center"/>
    </xf>
    <xf numFmtId="0" fontId="43" fillId="0" borderId="0" xfId="6" applyFont="1" applyAlignment="1">
      <alignment horizontal="center" vertical="center"/>
    </xf>
    <xf numFmtId="0" fontId="133" fillId="0" borderId="32" xfId="0" applyFont="1" applyBorder="1"/>
    <xf numFmtId="0" fontId="44" fillId="34" borderId="32" xfId="0" applyFont="1" applyFill="1" applyBorder="1" applyAlignment="1">
      <alignment wrapText="1"/>
    </xf>
    <xf numFmtId="0" fontId="44" fillId="34" borderId="32" xfId="0" applyFont="1" applyFill="1" applyBorder="1" applyAlignment="1">
      <alignment horizontal="center" wrapText="1"/>
    </xf>
    <xf numFmtId="179" fontId="44" fillId="34" borderId="32" xfId="0" applyNumberFormat="1" applyFont="1" applyFill="1" applyBorder="1" applyAlignment="1">
      <alignment horizontal="center"/>
    </xf>
    <xf numFmtId="0" fontId="43" fillId="34" borderId="32" xfId="0" applyFont="1" applyFill="1" applyBorder="1" applyAlignment="1">
      <alignment horizontal="center" wrapText="1"/>
    </xf>
    <xf numFmtId="0" fontId="43" fillId="34" borderId="32" xfId="0" applyFont="1" applyFill="1" applyBorder="1"/>
    <xf numFmtId="177" fontId="44" fillId="34" borderId="32" xfId="0" applyNumberFormat="1" applyFont="1" applyFill="1" applyBorder="1" applyAlignment="1">
      <alignment horizontal="center"/>
    </xf>
    <xf numFmtId="0" fontId="43" fillId="34" borderId="32" xfId="0" applyFont="1" applyFill="1" applyBorder="1" applyAlignment="1">
      <alignment horizontal="center" vertical="center" wrapText="1"/>
    </xf>
    <xf numFmtId="0" fontId="44" fillId="34" borderId="32" xfId="0" applyFont="1" applyFill="1" applyBorder="1" applyAlignment="1">
      <alignment horizontal="center" vertical="center" wrapText="1"/>
    </xf>
    <xf numFmtId="179" fontId="44" fillId="34" borderId="32" xfId="0" applyNumberFormat="1" applyFont="1" applyFill="1" applyBorder="1" applyAlignment="1">
      <alignment horizontal="center" vertical="center"/>
    </xf>
    <xf numFmtId="0" fontId="42" fillId="34" borderId="32" xfId="0" applyFont="1" applyFill="1" applyBorder="1" applyAlignment="1">
      <alignment horizontal="center" wrapText="1"/>
    </xf>
    <xf numFmtId="0" fontId="43" fillId="34" borderId="32" xfId="0" applyFont="1" applyFill="1" applyBorder="1" applyAlignment="1">
      <alignment horizontal="left" vertical="center"/>
    </xf>
    <xf numFmtId="0" fontId="101" fillId="0" borderId="32" xfId="0" applyFont="1" applyBorder="1" applyAlignment="1">
      <alignment horizontal="center" vertical="center" wrapText="1"/>
    </xf>
    <xf numFmtId="0" fontId="43" fillId="34" borderId="0" xfId="0" applyFont="1" applyFill="1"/>
    <xf numFmtId="0" fontId="52" fillId="34" borderId="0" xfId="0" applyFont="1" applyFill="1"/>
    <xf numFmtId="178" fontId="52" fillId="34" borderId="0" xfId="0" applyNumberFormat="1" applyFont="1" applyFill="1"/>
    <xf numFmtId="179" fontId="52" fillId="34" borderId="0" xfId="0" applyNumberFormat="1" applyFont="1" applyFill="1"/>
    <xf numFmtId="175" fontId="43" fillId="34" borderId="0" xfId="0" applyNumberFormat="1" applyFont="1" applyFill="1"/>
    <xf numFmtId="181" fontId="52" fillId="34" borderId="0" xfId="0" applyNumberFormat="1" applyFont="1" applyFill="1"/>
    <xf numFmtId="0" fontId="43" fillId="34" borderId="57" xfId="0" applyFont="1" applyFill="1" applyBorder="1" applyAlignment="1">
      <alignment horizontal="center" vertical="center" wrapText="1"/>
    </xf>
    <xf numFmtId="0" fontId="52" fillId="34" borderId="42" xfId="0" applyFont="1" applyFill="1" applyBorder="1" applyAlignment="1">
      <alignment horizontal="center" vertical="center" wrapText="1"/>
    </xf>
    <xf numFmtId="0" fontId="43" fillId="34" borderId="1" xfId="0" applyFont="1" applyFill="1" applyBorder="1" applyAlignment="1">
      <alignment horizontal="center" vertical="center" wrapText="1"/>
    </xf>
    <xf numFmtId="0" fontId="43" fillId="34" borderId="40" xfId="0" applyFont="1" applyFill="1" applyBorder="1" applyAlignment="1">
      <alignment horizontal="center" vertical="center" wrapText="1"/>
    </xf>
    <xf numFmtId="0" fontId="43" fillId="34" borderId="39" xfId="0" applyFont="1" applyFill="1" applyBorder="1" applyAlignment="1">
      <alignment horizontal="center" vertical="center" wrapText="1"/>
    </xf>
    <xf numFmtId="1" fontId="43" fillId="34" borderId="39" xfId="0" applyNumberFormat="1" applyFont="1" applyFill="1" applyBorder="1" applyAlignment="1">
      <alignment horizontal="center" vertical="center" wrapText="1"/>
    </xf>
    <xf numFmtId="1" fontId="43" fillId="34" borderId="1" xfId="0" applyNumberFormat="1" applyFont="1" applyFill="1" applyBorder="1" applyAlignment="1">
      <alignment horizontal="center" vertical="center" wrapText="1"/>
    </xf>
    <xf numFmtId="2" fontId="43" fillId="34" borderId="39" xfId="0" applyNumberFormat="1" applyFont="1" applyFill="1" applyBorder="1" applyAlignment="1">
      <alignment horizontal="center" vertical="center" wrapText="1"/>
    </xf>
    <xf numFmtId="2" fontId="43" fillId="34" borderId="1" xfId="0" applyNumberFormat="1" applyFont="1" applyFill="1" applyBorder="1" applyAlignment="1">
      <alignment horizontal="center" vertical="center" wrapText="1"/>
    </xf>
    <xf numFmtId="2" fontId="43" fillId="34" borderId="40" xfId="0" applyNumberFormat="1" applyFont="1" applyFill="1" applyBorder="1" applyAlignment="1">
      <alignment horizontal="center" vertical="center" wrapText="1"/>
    </xf>
    <xf numFmtId="177" fontId="43" fillId="34" borderId="1" xfId="0" applyNumberFormat="1" applyFont="1" applyFill="1" applyBorder="1" applyAlignment="1">
      <alignment horizontal="center" vertical="center" wrapText="1"/>
    </xf>
    <xf numFmtId="2" fontId="51" fillId="34" borderId="0" xfId="116" applyNumberFormat="1" applyFont="1" applyFill="1" applyAlignment="1">
      <alignment horizontal="center"/>
    </xf>
    <xf numFmtId="0" fontId="203" fillId="34" borderId="0" xfId="240" applyFont="1" applyFill="1"/>
    <xf numFmtId="4" fontId="36" fillId="34" borderId="0" xfId="240" applyNumberFormat="1" applyFont="1" applyFill="1"/>
    <xf numFmtId="4" fontId="2" fillId="0" borderId="0" xfId="240" applyNumberFormat="1" applyFont="1"/>
    <xf numFmtId="2" fontId="137" fillId="0" borderId="0" xfId="506" applyNumberFormat="1" applyFont="1"/>
    <xf numFmtId="177" fontId="43" fillId="0" borderId="106" xfId="0" applyNumberFormat="1" applyFont="1" applyBorder="1" applyAlignment="1">
      <alignment horizontal="center"/>
    </xf>
    <xf numFmtId="177" fontId="43" fillId="0" borderId="33" xfId="0" applyNumberFormat="1" applyFont="1" applyBorder="1" applyAlignment="1">
      <alignment horizontal="center"/>
    </xf>
    <xf numFmtId="177" fontId="43" fillId="0" borderId="102" xfId="0" applyNumberFormat="1" applyFont="1" applyBorder="1" applyAlignment="1">
      <alignment horizontal="center"/>
    </xf>
    <xf numFmtId="177" fontId="43" fillId="31" borderId="106" xfId="0" applyNumberFormat="1" applyFont="1" applyFill="1" applyBorder="1" applyAlignment="1">
      <alignment horizontal="center"/>
    </xf>
    <xf numFmtId="177" fontId="43" fillId="0" borderId="111" xfId="0" applyNumberFormat="1" applyFont="1" applyBorder="1" applyAlignment="1">
      <alignment horizontal="center"/>
    </xf>
    <xf numFmtId="187" fontId="43" fillId="0" borderId="106" xfId="0" applyNumberFormat="1" applyFont="1" applyBorder="1" applyAlignment="1">
      <alignment horizontal="center"/>
    </xf>
    <xf numFmtId="2" fontId="43" fillId="0" borderId="0" xfId="506" applyNumberFormat="1" applyFont="1"/>
    <xf numFmtId="177" fontId="162" fillId="0" borderId="58" xfId="6" applyNumberFormat="1" applyFont="1" applyBorder="1" applyAlignment="1">
      <alignment horizontal="center" vertical="center" wrapText="1"/>
    </xf>
    <xf numFmtId="177" fontId="162" fillId="0" borderId="1" xfId="6" applyNumberFormat="1" applyFont="1" applyBorder="1" applyAlignment="1">
      <alignment horizontal="center" vertical="center" wrapText="1"/>
    </xf>
    <xf numFmtId="177" fontId="162" fillId="0" borderId="45" xfId="6" applyNumberFormat="1" applyFont="1" applyBorder="1" applyAlignment="1">
      <alignment horizontal="center" vertical="center" wrapText="1"/>
    </xf>
    <xf numFmtId="177" fontId="138" fillId="0" borderId="58" xfId="6" applyNumberFormat="1" applyFont="1" applyBorder="1" applyAlignment="1">
      <alignment horizontal="center" vertical="center" wrapText="1"/>
    </xf>
    <xf numFmtId="177" fontId="54" fillId="0" borderId="1" xfId="6" applyNumberFormat="1" applyFont="1" applyBorder="1" applyAlignment="1">
      <alignment horizontal="center" vertical="center" wrapText="1"/>
    </xf>
    <xf numFmtId="177" fontId="249" fillId="0" borderId="1" xfId="6" applyNumberFormat="1" applyFont="1" applyBorder="1" applyAlignment="1">
      <alignment horizontal="center" vertical="center" wrapText="1"/>
    </xf>
    <xf numFmtId="177" fontId="250" fillId="0" borderId="1" xfId="6" applyNumberFormat="1" applyFont="1" applyBorder="1" applyAlignment="1">
      <alignment horizontal="center" vertical="center" wrapText="1"/>
    </xf>
    <xf numFmtId="177" fontId="135" fillId="0" borderId="1" xfId="6" applyNumberFormat="1" applyFont="1" applyBorder="1" applyAlignment="1">
      <alignment horizontal="center" vertical="center" wrapText="1"/>
    </xf>
    <xf numFmtId="192" fontId="0" fillId="0" borderId="0" xfId="558" applyNumberFormat="1" applyFont="1"/>
    <xf numFmtId="0" fontId="47" fillId="86" borderId="0" xfId="240" applyFont="1" applyFill="1" applyProtection="1">
      <protection locked="0"/>
    </xf>
    <xf numFmtId="2" fontId="206" fillId="0" borderId="1" xfId="0" applyNumberFormat="1" applyFont="1" applyBorder="1" applyAlignment="1">
      <alignment horizontal="center" vertical="center"/>
    </xf>
    <xf numFmtId="2" fontId="44" fillId="34" borderId="139" xfId="0" applyNumberFormat="1" applyFont="1" applyFill="1" applyBorder="1" applyAlignment="1">
      <alignment horizontal="center" vertical="center" wrapText="1"/>
    </xf>
    <xf numFmtId="0" fontId="42" fillId="34" borderId="1" xfId="6" applyFont="1" applyFill="1" applyBorder="1" applyAlignment="1">
      <alignment horizontal="center" vertical="center" wrapText="1"/>
    </xf>
    <xf numFmtId="49" fontId="42" fillId="34" borderId="1" xfId="6" applyNumberFormat="1" applyFont="1" applyFill="1" applyBorder="1" applyAlignment="1">
      <alignment horizontal="center" vertical="center" wrapText="1"/>
    </xf>
    <xf numFmtId="49" fontId="42" fillId="34" borderId="1" xfId="6" applyNumberFormat="1" applyFont="1" applyFill="1" applyBorder="1" applyAlignment="1">
      <alignment horizontal="right" vertical="center" wrapText="1"/>
    </xf>
    <xf numFmtId="0" fontId="42" fillId="34" borderId="1" xfId="6" applyFont="1" applyFill="1" applyBorder="1" applyAlignment="1">
      <alignment vertical="center" wrapText="1"/>
    </xf>
    <xf numFmtId="177" fontId="41" fillId="34" borderId="1" xfId="6" applyNumberFormat="1" applyFont="1" applyFill="1" applyBorder="1" applyAlignment="1">
      <alignment horizontal="center" vertical="center" wrapText="1"/>
    </xf>
    <xf numFmtId="0" fontId="41" fillId="34" borderId="1" xfId="6" applyFont="1" applyFill="1" applyBorder="1" applyAlignment="1">
      <alignment horizontal="center" vertical="center" wrapText="1"/>
    </xf>
    <xf numFmtId="2" fontId="41" fillId="34" borderId="1" xfId="6" applyNumberFormat="1" applyFont="1" applyFill="1" applyBorder="1" applyAlignment="1">
      <alignment horizontal="center" vertical="center" wrapText="1"/>
    </xf>
    <xf numFmtId="2" fontId="41" fillId="34" borderId="1" xfId="6" applyNumberFormat="1" applyFont="1" applyFill="1" applyBorder="1" applyAlignment="1" applyProtection="1">
      <alignment horizontal="center" vertical="center" wrapText="1"/>
      <protection locked="0"/>
    </xf>
    <xf numFmtId="4" fontId="41" fillId="34" borderId="1" xfId="6" applyNumberFormat="1" applyFont="1" applyFill="1" applyBorder="1" applyAlignment="1">
      <alignment horizontal="center" vertical="center" wrapText="1"/>
    </xf>
    <xf numFmtId="0" fontId="41" fillId="34" borderId="1" xfId="6" applyFont="1" applyFill="1" applyBorder="1" applyAlignment="1" applyProtection="1">
      <alignment horizontal="center" vertical="center" wrapText="1"/>
      <protection locked="0"/>
    </xf>
    <xf numFmtId="10" fontId="41" fillId="34" borderId="1" xfId="6" applyNumberFormat="1" applyFont="1" applyFill="1" applyBorder="1" applyAlignment="1" applyProtection="1">
      <alignment horizontal="center" vertical="center" wrapText="1"/>
      <protection locked="0"/>
    </xf>
    <xf numFmtId="170" fontId="41" fillId="34" borderId="1" xfId="6" applyNumberFormat="1" applyFont="1" applyFill="1" applyBorder="1" applyAlignment="1" applyProtection="1">
      <alignment horizontal="center" vertical="center" wrapText="1"/>
      <protection locked="0"/>
    </xf>
    <xf numFmtId="170" fontId="41" fillId="34" borderId="1" xfId="6" applyNumberFormat="1" applyFont="1" applyFill="1" applyBorder="1" applyAlignment="1">
      <alignment horizontal="center" vertical="center" wrapText="1"/>
    </xf>
    <xf numFmtId="1" fontId="41" fillId="34" borderId="1" xfId="6" applyNumberFormat="1" applyFont="1" applyFill="1" applyBorder="1" applyAlignment="1" applyProtection="1">
      <alignment horizontal="center" vertical="center" wrapText="1"/>
      <protection locked="0"/>
    </xf>
    <xf numFmtId="4" fontId="41" fillId="34" borderId="1" xfId="6" applyNumberFormat="1" applyFont="1" applyFill="1" applyBorder="1" applyAlignment="1" applyProtection="1">
      <alignment horizontal="center" vertical="center" wrapText="1"/>
      <protection locked="0"/>
    </xf>
    <xf numFmtId="0" fontId="42" fillId="34" borderId="1" xfId="0" applyFont="1" applyFill="1" applyBorder="1" applyAlignment="1">
      <alignment vertical="center" wrapText="1"/>
    </xf>
    <xf numFmtId="1" fontId="41" fillId="34" borderId="1" xfId="6" applyNumberFormat="1" applyFont="1" applyFill="1" applyBorder="1" applyAlignment="1">
      <alignment horizontal="center" vertical="center" wrapText="1"/>
    </xf>
    <xf numFmtId="49" fontId="42" fillId="34" borderId="79" xfId="6" applyNumberFormat="1" applyFont="1" applyFill="1" applyBorder="1" applyAlignment="1">
      <alignment horizontal="right" vertical="center" wrapText="1"/>
    </xf>
    <xf numFmtId="0" fontId="42" fillId="34" borderId="79" xfId="6" applyFont="1" applyFill="1" applyBorder="1" applyAlignment="1">
      <alignment vertical="center" wrapText="1"/>
    </xf>
    <xf numFmtId="2" fontId="41" fillId="34" borderId="79" xfId="6" applyNumberFormat="1" applyFont="1" applyFill="1" applyBorder="1" applyAlignment="1">
      <alignment horizontal="center" vertical="center" wrapText="1"/>
    </xf>
    <xf numFmtId="49" fontId="42" fillId="34" borderId="8" xfId="6" applyNumberFormat="1" applyFont="1" applyFill="1" applyBorder="1" applyAlignment="1">
      <alignment horizontal="right" vertical="center" wrapText="1"/>
    </xf>
    <xf numFmtId="0" fontId="50" fillId="34" borderId="96" xfId="0" applyFont="1" applyFill="1" applyBorder="1" applyAlignment="1">
      <alignment wrapText="1"/>
    </xf>
    <xf numFmtId="0" fontId="42" fillId="34" borderId="7" xfId="6" applyFont="1" applyFill="1" applyBorder="1" applyAlignment="1">
      <alignment horizontal="center" vertical="center" wrapText="1"/>
    </xf>
    <xf numFmtId="0" fontId="42" fillId="34" borderId="3" xfId="6" applyFont="1" applyFill="1" applyBorder="1" applyAlignment="1">
      <alignment vertical="center" wrapText="1"/>
    </xf>
    <xf numFmtId="49" fontId="42" fillId="34" borderId="2" xfId="6" applyNumberFormat="1" applyFont="1" applyFill="1" applyBorder="1" applyAlignment="1">
      <alignment horizontal="right" vertical="center" wrapText="1"/>
    </xf>
    <xf numFmtId="0" fontId="42" fillId="34" borderId="2" xfId="6" applyFont="1" applyFill="1" applyBorder="1" applyAlignment="1">
      <alignment vertical="center" wrapText="1"/>
    </xf>
    <xf numFmtId="0" fontId="41" fillId="34" borderId="2" xfId="6" applyFont="1" applyFill="1" applyBorder="1" applyAlignment="1" applyProtection="1">
      <alignment horizontal="center" vertical="center" wrapText="1"/>
      <protection locked="0"/>
    </xf>
    <xf numFmtId="0" fontId="40" fillId="34" borderId="1" xfId="0" applyFont="1" applyFill="1" applyBorder="1" applyAlignment="1">
      <alignment vertical="center" wrapText="1"/>
    </xf>
    <xf numFmtId="49" fontId="42" fillId="34" borderId="0" xfId="6" applyNumberFormat="1" applyFont="1" applyFill="1" applyAlignment="1">
      <alignment horizontal="right" vertical="center" wrapText="1"/>
    </xf>
    <xf numFmtId="0" fontId="34" fillId="34" borderId="9" xfId="6" applyFill="1" applyBorder="1"/>
    <xf numFmtId="0" fontId="34" fillId="34" borderId="0" xfId="6" applyFill="1"/>
    <xf numFmtId="49" fontId="34" fillId="34" borderId="0" xfId="6" applyNumberFormat="1" applyFill="1"/>
    <xf numFmtId="0" fontId="114" fillId="34" borderId="0" xfId="6" applyFont="1" applyFill="1"/>
    <xf numFmtId="2" fontId="54" fillId="34" borderId="1" xfId="6" applyNumberFormat="1" applyFont="1" applyFill="1" applyBorder="1" applyAlignment="1" applyProtection="1">
      <alignment horizontal="center" vertical="center" wrapText="1"/>
      <protection locked="0"/>
    </xf>
    <xf numFmtId="2" fontId="54" fillId="34" borderId="1" xfId="6" applyNumberFormat="1" applyFont="1" applyFill="1" applyBorder="1" applyAlignment="1">
      <alignment horizontal="center" vertical="center" wrapText="1"/>
    </xf>
    <xf numFmtId="0" fontId="0" fillId="34" borderId="0" xfId="0" applyFill="1" applyAlignment="1">
      <alignment horizontal="center" vertical="center" wrapText="1"/>
    </xf>
    <xf numFmtId="0" fontId="0" fillId="34" borderId="0" xfId="0" applyFill="1"/>
    <xf numFmtId="2" fontId="0" fillId="34" borderId="0" xfId="0" applyNumberFormat="1" applyFill="1"/>
    <xf numFmtId="177" fontId="0" fillId="34" borderId="0" xfId="0" applyNumberFormat="1" applyFill="1"/>
    <xf numFmtId="0" fontId="8" fillId="34" borderId="0" xfId="0" applyFont="1" applyFill="1"/>
    <xf numFmtId="2" fontId="8" fillId="34" borderId="0" xfId="0" applyNumberFormat="1" applyFont="1" applyFill="1"/>
    <xf numFmtId="0" fontId="219" fillId="34" borderId="0" xfId="0" applyFont="1" applyFill="1"/>
    <xf numFmtId="2" fontId="244" fillId="34" borderId="0" xfId="0" applyNumberFormat="1" applyFont="1" applyFill="1"/>
    <xf numFmtId="183" fontId="43" fillId="0" borderId="1" xfId="5" applyNumberFormat="1" applyFont="1" applyBorder="1"/>
    <xf numFmtId="186" fontId="42" fillId="0" borderId="0" xfId="240" applyNumberFormat="1" applyFont="1" applyProtection="1">
      <protection locked="0"/>
    </xf>
    <xf numFmtId="194" fontId="42" fillId="0" borderId="0" xfId="240" applyNumberFormat="1" applyFont="1" applyProtection="1">
      <protection locked="0"/>
    </xf>
    <xf numFmtId="0" fontId="131" fillId="0" borderId="57" xfId="0" applyFont="1" applyBorder="1" applyAlignment="1">
      <alignment horizontal="left" vertical="center" wrapText="1"/>
    </xf>
    <xf numFmtId="0" fontId="246" fillId="0" borderId="57" xfId="0" applyFont="1" applyBorder="1" applyAlignment="1">
      <alignment horizontal="left" vertical="center" wrapText="1"/>
    </xf>
    <xf numFmtId="179" fontId="52" fillId="0" borderId="80" xfId="0" applyNumberFormat="1" applyFont="1" applyBorder="1" applyAlignment="1">
      <alignment horizontal="center" vertical="center"/>
    </xf>
    <xf numFmtId="179" fontId="43" fillId="0" borderId="0" xfId="0" applyNumberFormat="1" applyFont="1" applyAlignment="1">
      <alignment wrapText="1"/>
    </xf>
    <xf numFmtId="179" fontId="101" fillId="0" borderId="40" xfId="556" applyNumberFormat="1" applyFont="1" applyBorder="1" applyAlignment="1">
      <alignment horizontal="center" vertical="center" wrapText="1"/>
    </xf>
    <xf numFmtId="179" fontId="52" fillId="0" borderId="68" xfId="0" applyNumberFormat="1" applyFont="1" applyBorder="1" applyAlignment="1">
      <alignment horizontal="center" vertical="center"/>
    </xf>
    <xf numFmtId="181" fontId="43" fillId="0" borderId="0" xfId="0" applyNumberFormat="1" applyFont="1" applyAlignment="1">
      <alignment wrapText="1"/>
    </xf>
    <xf numFmtId="181" fontId="198" fillId="0" borderId="0" xfId="0" applyNumberFormat="1" applyFont="1"/>
    <xf numFmtId="179" fontId="52" fillId="0" borderId="6" xfId="0" applyNumberFormat="1" applyFont="1" applyBorder="1" applyAlignment="1">
      <alignment horizontal="center" vertical="center"/>
    </xf>
    <xf numFmtId="170" fontId="188" fillId="0" borderId="0" xfId="0" applyNumberFormat="1" applyFont="1"/>
    <xf numFmtId="1" fontId="44" fillId="0" borderId="0" xfId="0" applyNumberFormat="1" applyFont="1"/>
    <xf numFmtId="0" fontId="54" fillId="34" borderId="1" xfId="5" applyFont="1" applyFill="1" applyBorder="1" applyAlignment="1">
      <alignment horizontal="center" vertical="center" wrapText="1"/>
    </xf>
    <xf numFmtId="0" fontId="54" fillId="34" borderId="40" xfId="5" applyFont="1" applyFill="1" applyBorder="1" applyAlignment="1">
      <alignment horizontal="center" vertical="center" wrapText="1"/>
    </xf>
    <xf numFmtId="1" fontId="54" fillId="34" borderId="3" xfId="5" applyNumberFormat="1" applyFont="1" applyFill="1" applyBorder="1" applyAlignment="1">
      <alignment horizontal="center" vertical="center" wrapText="1"/>
    </xf>
    <xf numFmtId="0" fontId="54" fillId="34" borderId="3" xfId="5" applyFont="1" applyFill="1" applyBorder="1" applyAlignment="1">
      <alignment horizontal="center" vertical="center" wrapText="1"/>
    </xf>
    <xf numFmtId="0" fontId="54" fillId="34" borderId="43" xfId="5" applyFont="1" applyFill="1" applyBorder="1" applyAlignment="1">
      <alignment horizontal="center" vertical="center" wrapText="1"/>
    </xf>
    <xf numFmtId="49" fontId="54" fillId="34" borderId="4" xfId="5" applyNumberFormat="1" applyFont="1" applyFill="1" applyBorder="1" applyAlignment="1">
      <alignment horizontal="center" vertical="center" wrapText="1"/>
    </xf>
    <xf numFmtId="49" fontId="54" fillId="34" borderId="87" xfId="5" applyNumberFormat="1" applyFont="1" applyFill="1" applyBorder="1" applyAlignment="1">
      <alignment horizontal="center" vertical="center" wrapText="1"/>
    </xf>
    <xf numFmtId="49" fontId="54" fillId="34" borderId="70" xfId="5" applyNumberFormat="1" applyFont="1" applyFill="1" applyBorder="1" applyAlignment="1">
      <alignment horizontal="center" vertical="center" wrapText="1"/>
    </xf>
    <xf numFmtId="2" fontId="40" fillId="34" borderId="58" xfId="5" applyNumberFormat="1" applyFont="1" applyFill="1" applyBorder="1" applyAlignment="1">
      <alignment horizontal="center" vertical="center"/>
    </xf>
    <xf numFmtId="2" fontId="162" fillId="34" borderId="58" xfId="5" applyNumberFormat="1" applyFont="1" applyFill="1" applyBorder="1" applyAlignment="1">
      <alignment horizontal="center" vertical="center"/>
    </xf>
    <xf numFmtId="2" fontId="40" fillId="34" borderId="59" xfId="5" applyNumberFormat="1" applyFont="1" applyFill="1" applyBorder="1" applyAlignment="1">
      <alignment horizontal="center" vertical="center"/>
    </xf>
    <xf numFmtId="2" fontId="40" fillId="34" borderId="1" xfId="5" applyNumberFormat="1" applyFont="1" applyFill="1" applyBorder="1" applyAlignment="1">
      <alignment horizontal="center" vertical="center"/>
    </xf>
    <xf numFmtId="2" fontId="40" fillId="34" borderId="40" xfId="5" applyNumberFormat="1" applyFont="1" applyFill="1" applyBorder="1" applyAlignment="1">
      <alignment horizontal="center" vertical="center"/>
    </xf>
    <xf numFmtId="2" fontId="40" fillId="34" borderId="1" xfId="240" applyNumberFormat="1" applyFont="1" applyFill="1" applyBorder="1" applyAlignment="1">
      <alignment horizontal="center" vertical="center"/>
    </xf>
    <xf numFmtId="2" fontId="40" fillId="34" borderId="45" xfId="240" applyNumberFormat="1" applyFont="1" applyFill="1" applyBorder="1" applyAlignment="1">
      <alignment horizontal="center" vertical="center"/>
    </xf>
    <xf numFmtId="2" fontId="40" fillId="34" borderId="40" xfId="240" applyNumberFormat="1" applyFont="1" applyFill="1" applyBorder="1" applyAlignment="1">
      <alignment horizontal="center" vertical="center"/>
    </xf>
    <xf numFmtId="2" fontId="40" fillId="34" borderId="46" xfId="240" applyNumberFormat="1" applyFont="1" applyFill="1" applyBorder="1" applyAlignment="1">
      <alignment horizontal="center" vertical="center"/>
    </xf>
    <xf numFmtId="2" fontId="40" fillId="34" borderId="58" xfId="5" applyNumberFormat="1" applyFont="1" applyFill="1" applyBorder="1" applyAlignment="1" applyProtection="1">
      <alignment horizontal="center" vertical="center" wrapText="1"/>
      <protection locked="0"/>
    </xf>
    <xf numFmtId="2" fontId="40" fillId="34" borderId="59" xfId="5" applyNumberFormat="1" applyFont="1" applyFill="1" applyBorder="1" applyAlignment="1" applyProtection="1">
      <alignment horizontal="center" vertical="center" wrapText="1"/>
      <protection locked="0"/>
    </xf>
    <xf numFmtId="2" fontId="40" fillId="34" borderId="45" xfId="5" applyNumberFormat="1" applyFont="1" applyFill="1" applyBorder="1" applyAlignment="1" applyProtection="1">
      <alignment horizontal="center" vertical="center" wrapText="1"/>
      <protection locked="0"/>
    </xf>
    <xf numFmtId="2" fontId="40" fillId="34" borderId="46" xfId="5" applyNumberFormat="1" applyFont="1" applyFill="1" applyBorder="1" applyAlignment="1" applyProtection="1">
      <alignment horizontal="center" vertical="center" wrapText="1"/>
      <protection locked="0"/>
    </xf>
    <xf numFmtId="10" fontId="40" fillId="34" borderId="1" xfId="5" applyNumberFormat="1" applyFont="1" applyFill="1" applyBorder="1" applyAlignment="1" applyProtection="1">
      <alignment horizontal="center" vertical="center" wrapText="1"/>
      <protection locked="0"/>
    </xf>
    <xf numFmtId="10" fontId="40" fillId="34" borderId="40" xfId="5" applyNumberFormat="1" applyFont="1" applyFill="1" applyBorder="1" applyAlignment="1" applyProtection="1">
      <alignment horizontal="center" vertical="center" wrapText="1"/>
      <protection locked="0"/>
    </xf>
    <xf numFmtId="10" fontId="40" fillId="34" borderId="1" xfId="5" applyNumberFormat="1" applyFont="1" applyFill="1" applyBorder="1" applyAlignment="1" applyProtection="1">
      <alignment horizontal="center" vertical="center"/>
      <protection locked="0"/>
    </xf>
    <xf numFmtId="10" fontId="40" fillId="34" borderId="40" xfId="5" applyNumberFormat="1" applyFont="1" applyFill="1" applyBorder="1" applyAlignment="1" applyProtection="1">
      <alignment horizontal="center" vertical="center"/>
      <protection locked="0"/>
    </xf>
    <xf numFmtId="10" fontId="40" fillId="34" borderId="79" xfId="5" applyNumberFormat="1" applyFont="1" applyFill="1" applyBorder="1" applyAlignment="1" applyProtection="1">
      <alignment horizontal="center" vertical="center" wrapText="1"/>
      <protection locked="0"/>
    </xf>
    <xf numFmtId="10" fontId="40" fillId="34" borderId="79" xfId="5" applyNumberFormat="1" applyFont="1" applyFill="1" applyBorder="1" applyAlignment="1" applyProtection="1">
      <alignment horizontal="center" vertical="center"/>
      <protection locked="0"/>
    </xf>
    <xf numFmtId="10" fontId="40" fillId="34" borderId="47" xfId="5" applyNumberFormat="1" applyFont="1" applyFill="1" applyBorder="1" applyAlignment="1" applyProtection="1">
      <alignment horizontal="center" vertical="center"/>
      <protection locked="0"/>
    </xf>
    <xf numFmtId="2" fontId="40" fillId="34" borderId="58" xfId="5" applyNumberFormat="1" applyFont="1" applyFill="1" applyBorder="1" applyAlignment="1" applyProtection="1">
      <alignment horizontal="center" vertical="center"/>
      <protection locked="0"/>
    </xf>
    <xf numFmtId="2" fontId="40" fillId="34" borderId="59" xfId="5" applyNumberFormat="1" applyFont="1" applyFill="1" applyBorder="1" applyAlignment="1" applyProtection="1">
      <alignment horizontal="center" vertical="center"/>
      <protection locked="0"/>
    </xf>
    <xf numFmtId="10" fontId="40" fillId="34" borderId="45" xfId="5" applyNumberFormat="1" applyFont="1" applyFill="1" applyBorder="1" applyAlignment="1" applyProtection="1">
      <alignment horizontal="center" vertical="center" wrapText="1"/>
      <protection locked="0"/>
    </xf>
    <xf numFmtId="10" fontId="40" fillId="34" borderId="46" xfId="5" applyNumberFormat="1" applyFont="1" applyFill="1" applyBorder="1" applyAlignment="1" applyProtection="1">
      <alignment horizontal="center" vertical="center" wrapText="1"/>
      <protection locked="0"/>
    </xf>
    <xf numFmtId="2" fontId="40" fillId="34" borderId="1" xfId="5" applyNumberFormat="1" applyFont="1" applyFill="1" applyBorder="1" applyAlignment="1">
      <alignment horizontal="center" vertical="center" wrapText="1"/>
    </xf>
    <xf numFmtId="2" fontId="40" fillId="34" borderId="40" xfId="5" applyNumberFormat="1" applyFont="1" applyFill="1" applyBorder="1" applyAlignment="1">
      <alignment horizontal="center" vertical="center" wrapText="1"/>
    </xf>
    <xf numFmtId="2" fontId="40" fillId="34" borderId="8" xfId="5" applyNumberFormat="1" applyFont="1" applyFill="1" applyBorder="1" applyAlignment="1" applyProtection="1">
      <alignment horizontal="center" vertical="center" wrapText="1"/>
      <protection locked="0"/>
    </xf>
    <xf numFmtId="177" fontId="40" fillId="34" borderId="1" xfId="5" applyNumberFormat="1" applyFont="1" applyFill="1" applyBorder="1" applyAlignment="1" applyProtection="1">
      <alignment horizontal="center" vertical="center"/>
      <protection locked="0"/>
    </xf>
    <xf numFmtId="10" fontId="40" fillId="34" borderId="1" xfId="5" applyNumberFormat="1" applyFont="1" applyFill="1" applyBorder="1" applyAlignment="1">
      <alignment horizontal="center" vertical="center"/>
    </xf>
    <xf numFmtId="10" fontId="40" fillId="34" borderId="40" xfId="5" applyNumberFormat="1" applyFont="1" applyFill="1" applyBorder="1" applyAlignment="1">
      <alignment horizontal="center" vertical="center"/>
    </xf>
    <xf numFmtId="2" fontId="40" fillId="34" borderId="8" xfId="5" applyNumberFormat="1" applyFont="1" applyFill="1" applyBorder="1" applyAlignment="1">
      <alignment horizontal="center" vertical="center"/>
    </xf>
    <xf numFmtId="177" fontId="40" fillId="34" borderId="1" xfId="5" applyNumberFormat="1" applyFont="1" applyFill="1" applyBorder="1" applyAlignment="1">
      <alignment horizontal="center" vertical="center"/>
    </xf>
    <xf numFmtId="2" fontId="40" fillId="34" borderId="45" xfId="5" applyNumberFormat="1" applyFont="1" applyFill="1" applyBorder="1" applyAlignment="1">
      <alignment horizontal="center" vertical="center"/>
    </xf>
    <xf numFmtId="2" fontId="40" fillId="34" borderId="55" xfId="5" applyNumberFormat="1" applyFont="1" applyFill="1" applyBorder="1" applyAlignment="1">
      <alignment horizontal="center" vertical="center"/>
    </xf>
    <xf numFmtId="177" fontId="40" fillId="34" borderId="45" xfId="5" applyNumberFormat="1" applyFont="1" applyFill="1" applyBorder="1" applyAlignment="1">
      <alignment horizontal="center" vertical="center"/>
    </xf>
    <xf numFmtId="177" fontId="40" fillId="34" borderId="58" xfId="5" applyNumberFormat="1" applyFont="1" applyFill="1" applyBorder="1" applyAlignment="1" applyProtection="1">
      <alignment horizontal="center" vertical="center" wrapText="1"/>
      <protection locked="0"/>
    </xf>
    <xf numFmtId="177" fontId="40" fillId="34" borderId="59" xfId="5" applyNumberFormat="1" applyFont="1" applyFill="1" applyBorder="1" applyAlignment="1" applyProtection="1">
      <alignment horizontal="center" vertical="center" wrapText="1"/>
      <protection locked="0"/>
    </xf>
    <xf numFmtId="177" fontId="40" fillId="34" borderId="1" xfId="5" applyNumberFormat="1" applyFont="1" applyFill="1" applyBorder="1" applyAlignment="1" applyProtection="1">
      <alignment horizontal="center" vertical="center" wrapText="1"/>
      <protection locked="0"/>
    </xf>
    <xf numFmtId="177" fontId="40" fillId="34" borderId="40" xfId="5" applyNumberFormat="1" applyFont="1" applyFill="1" applyBorder="1" applyAlignment="1" applyProtection="1">
      <alignment horizontal="center" vertical="center" wrapText="1"/>
      <protection locked="0"/>
    </xf>
    <xf numFmtId="177" fontId="40" fillId="34" borderId="40" xfId="5" applyNumberFormat="1" applyFont="1" applyFill="1" applyBorder="1" applyAlignment="1" applyProtection="1">
      <alignment horizontal="center" vertical="center"/>
      <protection locked="0"/>
    </xf>
    <xf numFmtId="177" fontId="40" fillId="34" borderId="45" xfId="5" applyNumberFormat="1" applyFont="1" applyFill="1" applyBorder="1" applyAlignment="1" applyProtection="1">
      <alignment horizontal="center" vertical="center" wrapText="1"/>
      <protection locked="0"/>
    </xf>
    <xf numFmtId="177" fontId="40" fillId="34" borderId="45" xfId="5" applyNumberFormat="1" applyFont="1" applyFill="1" applyBorder="1" applyAlignment="1" applyProtection="1">
      <alignment horizontal="center" vertical="center"/>
      <protection locked="0"/>
    </xf>
    <xf numFmtId="177" fontId="40" fillId="34" borderId="46" xfId="5" applyNumberFormat="1" applyFont="1" applyFill="1" applyBorder="1" applyAlignment="1" applyProtection="1">
      <alignment horizontal="center" vertical="center"/>
      <protection locked="0"/>
    </xf>
    <xf numFmtId="2" fontId="46" fillId="34" borderId="61" xfId="5" applyNumberFormat="1" applyFont="1" applyFill="1" applyBorder="1" applyAlignment="1" applyProtection="1">
      <alignment horizontal="center" vertical="center" wrapText="1"/>
      <protection locked="0"/>
    </xf>
    <xf numFmtId="2" fontId="46" fillId="34" borderId="62" xfId="5" applyNumberFormat="1" applyFont="1" applyFill="1" applyBorder="1" applyAlignment="1" applyProtection="1">
      <alignment horizontal="center" vertical="center" wrapText="1"/>
      <protection locked="0"/>
    </xf>
    <xf numFmtId="2" fontId="46" fillId="34" borderId="3" xfId="5" applyNumberFormat="1" applyFont="1" applyFill="1" applyBorder="1" applyAlignment="1" applyProtection="1">
      <alignment horizontal="center" vertical="center" wrapText="1"/>
      <protection locked="0"/>
    </xf>
    <xf numFmtId="2" fontId="46" fillId="34" borderId="43" xfId="5" applyNumberFormat="1" applyFont="1" applyFill="1" applyBorder="1" applyAlignment="1" applyProtection="1">
      <alignment horizontal="center" vertical="center" wrapText="1"/>
      <protection locked="0"/>
    </xf>
    <xf numFmtId="2" fontId="40" fillId="34" borderId="79" xfId="5" applyNumberFormat="1" applyFont="1" applyFill="1" applyBorder="1" applyAlignment="1" applyProtection="1">
      <alignment horizontal="center" vertical="center" wrapText="1"/>
      <protection locked="0"/>
    </xf>
    <xf numFmtId="2" fontId="40" fillId="34" borderId="79" xfId="5" applyNumberFormat="1" applyFont="1" applyFill="1" applyBorder="1" applyAlignment="1" applyProtection="1">
      <alignment horizontal="center" vertical="center"/>
      <protection locked="0"/>
    </xf>
    <xf numFmtId="2" fontId="46" fillId="34" borderId="58" xfId="5" applyNumberFormat="1" applyFont="1" applyFill="1" applyBorder="1" applyAlignment="1" applyProtection="1">
      <alignment horizontal="center" vertical="center" wrapText="1"/>
      <protection locked="0"/>
    </xf>
    <xf numFmtId="2" fontId="46" fillId="34" borderId="59" xfId="5" applyNumberFormat="1" applyFont="1" applyFill="1" applyBorder="1" applyAlignment="1" applyProtection="1">
      <alignment horizontal="center" vertical="center" wrapText="1"/>
      <protection locked="0"/>
    </xf>
    <xf numFmtId="0" fontId="35" fillId="34" borderId="0" xfId="5" applyFill="1"/>
    <xf numFmtId="0" fontId="43" fillId="34" borderId="0" xfId="5" applyFont="1" applyFill="1"/>
    <xf numFmtId="0" fontId="44" fillId="34" borderId="0" xfId="5" applyFont="1" applyFill="1"/>
    <xf numFmtId="0" fontId="165" fillId="34" borderId="0" xfId="5" applyFont="1" applyFill="1"/>
    <xf numFmtId="0" fontId="30" fillId="34" borderId="0" xfId="5" applyFont="1" applyFill="1"/>
    <xf numFmtId="0" fontId="104" fillId="34" borderId="0" xfId="5" applyFont="1" applyFill="1" applyAlignment="1">
      <alignment horizontal="center" vertical="center"/>
    </xf>
    <xf numFmtId="0" fontId="44" fillId="34" borderId="0" xfId="5" applyFont="1" applyFill="1" applyAlignment="1">
      <alignment horizontal="center" vertical="center"/>
    </xf>
    <xf numFmtId="0" fontId="40" fillId="34" borderId="1" xfId="0" applyFont="1" applyFill="1" applyBorder="1" applyAlignment="1">
      <alignment horizontal="left" vertical="center" wrapText="1" indent="1"/>
    </xf>
    <xf numFmtId="0" fontId="40" fillId="34" borderId="58" xfId="0" applyFont="1" applyFill="1" applyBorder="1" applyAlignment="1">
      <alignment vertical="center" wrapText="1"/>
    </xf>
    <xf numFmtId="0" fontId="40" fillId="34" borderId="58" xfId="5" applyFont="1" applyFill="1" applyBorder="1" applyAlignment="1">
      <alignment horizontal="center" vertical="center"/>
    </xf>
    <xf numFmtId="0" fontId="40" fillId="34" borderId="1" xfId="5" applyFont="1" applyFill="1" applyBorder="1" applyAlignment="1">
      <alignment horizontal="center" vertical="center"/>
    </xf>
    <xf numFmtId="0" fontId="40" fillId="34" borderId="45" xfId="0" applyFont="1" applyFill="1" applyBorder="1" applyAlignment="1">
      <alignment horizontal="left" vertical="center" wrapText="1" indent="1"/>
    </xf>
    <xf numFmtId="0" fontId="40" fillId="34" borderId="45" xfId="5" applyFont="1" applyFill="1" applyBorder="1" applyAlignment="1">
      <alignment horizontal="center" vertical="center"/>
    </xf>
    <xf numFmtId="0" fontId="40" fillId="34" borderId="65" xfId="5" applyFont="1" applyFill="1" applyBorder="1" applyAlignment="1">
      <alignment horizontal="center" vertical="center"/>
    </xf>
    <xf numFmtId="0" fontId="40" fillId="34" borderId="7" xfId="5" applyFont="1" applyFill="1" applyBorder="1" applyAlignment="1">
      <alignment horizontal="center" vertical="center"/>
    </xf>
    <xf numFmtId="0" fontId="40" fillId="34" borderId="54" xfId="5" applyFont="1" applyFill="1" applyBorder="1" applyAlignment="1">
      <alignment horizontal="center" vertical="center"/>
    </xf>
    <xf numFmtId="0" fontId="40" fillId="34" borderId="1" xfId="5" applyFont="1" applyFill="1" applyBorder="1" applyAlignment="1">
      <alignment vertical="center" wrapText="1"/>
    </xf>
    <xf numFmtId="0" fontId="40" fillId="34" borderId="58" xfId="5" applyFont="1" applyFill="1" applyBorder="1" applyAlignment="1">
      <alignment vertical="center" wrapText="1"/>
    </xf>
    <xf numFmtId="0" fontId="40" fillId="34" borderId="1" xfId="5" applyFont="1" applyFill="1" applyBorder="1" applyAlignment="1">
      <alignment horizontal="left" vertical="center" wrapText="1" indent="1"/>
    </xf>
    <xf numFmtId="0" fontId="40" fillId="34" borderId="45" xfId="5" applyFont="1" applyFill="1" applyBorder="1" applyAlignment="1">
      <alignment vertical="center" wrapText="1"/>
    </xf>
    <xf numFmtId="0" fontId="40" fillId="34" borderId="79" xfId="5" applyFont="1" applyFill="1" applyBorder="1" applyAlignment="1">
      <alignment vertical="center" wrapText="1"/>
    </xf>
    <xf numFmtId="0" fontId="40" fillId="34" borderId="78" xfId="5" applyFont="1" applyFill="1" applyBorder="1" applyAlignment="1">
      <alignment horizontal="center" vertical="center"/>
    </xf>
    <xf numFmtId="0" fontId="40" fillId="34" borderId="45" xfId="0" applyFont="1" applyFill="1" applyBorder="1" applyAlignment="1">
      <alignment vertical="center" wrapText="1"/>
    </xf>
    <xf numFmtId="0" fontId="40" fillId="34" borderId="7" xfId="5" applyFont="1" applyFill="1" applyBorder="1" applyAlignment="1" applyProtection="1">
      <alignment horizontal="center" vertical="center"/>
      <protection locked="0"/>
    </xf>
    <xf numFmtId="0" fontId="40" fillId="34" borderId="1" xfId="0" applyFont="1" applyFill="1" applyBorder="1" applyAlignment="1">
      <alignment horizontal="left" vertical="center" wrapText="1" indent="2"/>
    </xf>
    <xf numFmtId="0" fontId="40" fillId="34" borderId="45" xfId="5" applyFont="1" applyFill="1" applyBorder="1" applyAlignment="1">
      <alignment horizontal="left" vertical="center" wrapText="1" indent="1"/>
    </xf>
    <xf numFmtId="0" fontId="46" fillId="34" borderId="61" xfId="0" applyFont="1" applyFill="1" applyBorder="1" applyAlignment="1">
      <alignment vertical="center" wrapText="1"/>
    </xf>
    <xf numFmtId="0" fontId="46" fillId="34" borderId="63" xfId="5" applyFont="1" applyFill="1" applyBorder="1" applyAlignment="1">
      <alignment horizontal="center" vertical="center"/>
    </xf>
    <xf numFmtId="0" fontId="46" fillId="34" borderId="3" xfId="0" applyFont="1" applyFill="1" applyBorder="1" applyAlignment="1">
      <alignment vertical="center" wrapText="1"/>
    </xf>
    <xf numFmtId="0" fontId="46" fillId="34" borderId="69" xfId="5" applyFont="1" applyFill="1" applyBorder="1" applyAlignment="1">
      <alignment horizontal="center" vertical="center"/>
    </xf>
    <xf numFmtId="0" fontId="40" fillId="34" borderId="79" xfId="0" applyFont="1" applyFill="1" applyBorder="1" applyAlignment="1">
      <alignment horizontal="left" vertical="center" wrapText="1" indent="1"/>
    </xf>
    <xf numFmtId="0" fontId="46" fillId="34" borderId="58" xfId="0" applyFont="1" applyFill="1" applyBorder="1" applyAlignment="1">
      <alignment vertical="center" wrapText="1"/>
    </xf>
    <xf numFmtId="0" fontId="46" fillId="34" borderId="65" xfId="5" applyFont="1" applyFill="1" applyBorder="1" applyAlignment="1">
      <alignment horizontal="center" vertical="center"/>
    </xf>
    <xf numFmtId="49" fontId="43" fillId="34" borderId="0" xfId="5" applyNumberFormat="1" applyFont="1" applyFill="1"/>
    <xf numFmtId="0" fontId="43" fillId="34" borderId="5" xfId="5" applyFont="1" applyFill="1" applyBorder="1"/>
    <xf numFmtId="0" fontId="43" fillId="34" borderId="0" xfId="5" applyFont="1" applyFill="1" applyAlignment="1">
      <alignment vertical="top" wrapText="1"/>
    </xf>
    <xf numFmtId="0" fontId="40" fillId="34" borderId="0" xfId="0" applyFont="1" applyFill="1" applyAlignment="1">
      <alignment vertical="top"/>
    </xf>
    <xf numFmtId="0" fontId="47" fillId="34" borderId="0" xfId="5" applyFont="1" applyFill="1" applyProtection="1">
      <protection locked="0"/>
    </xf>
    <xf numFmtId="0" fontId="42" fillId="34" borderId="0" xfId="5" applyFont="1" applyFill="1" applyAlignment="1">
      <alignment horizontal="left" vertical="top" wrapText="1"/>
    </xf>
    <xf numFmtId="0" fontId="42" fillId="34" borderId="0" xfId="5" applyFont="1" applyFill="1" applyProtection="1">
      <protection locked="0"/>
    </xf>
    <xf numFmtId="0" fontId="42" fillId="34" borderId="0" xfId="5" applyFont="1" applyFill="1"/>
    <xf numFmtId="0" fontId="132" fillId="34" borderId="0" xfId="5" applyFont="1" applyFill="1"/>
    <xf numFmtId="0" fontId="42" fillId="34" borderId="0" xfId="5" applyFont="1" applyFill="1" applyAlignment="1" applyProtection="1">
      <alignment horizontal="left"/>
      <protection locked="0"/>
    </xf>
    <xf numFmtId="0" fontId="43" fillId="34" borderId="0" xfId="5" applyFont="1" applyFill="1" applyProtection="1">
      <protection locked="0"/>
    </xf>
    <xf numFmtId="0" fontId="29" fillId="34" borderId="0" xfId="5" applyFont="1" applyFill="1"/>
    <xf numFmtId="0" fontId="103" fillId="34" borderId="0" xfId="5" applyFont="1" applyFill="1" applyProtection="1">
      <protection locked="0"/>
    </xf>
    <xf numFmtId="0" fontId="106" fillId="34" borderId="0" xfId="5" applyFont="1" applyFill="1"/>
    <xf numFmtId="0" fontId="42" fillId="34" borderId="0" xfId="6" applyFont="1" applyFill="1" applyAlignment="1">
      <alignment horizontal="justify" vertical="center" wrapText="1"/>
    </xf>
    <xf numFmtId="0" fontId="43" fillId="34" borderId="0" xfId="6" applyFont="1" applyFill="1" applyAlignment="1">
      <alignment horizontal="center" vertical="center" wrapText="1"/>
    </xf>
    <xf numFmtId="0" fontId="42" fillId="34" borderId="0" xfId="6" applyFont="1" applyFill="1" applyAlignment="1">
      <alignment horizontal="center" vertical="center" wrapText="1"/>
    </xf>
    <xf numFmtId="0" fontId="42" fillId="34" borderId="0" xfId="6" applyFont="1" applyFill="1" applyAlignment="1">
      <alignment horizontal="left" vertical="center" wrapText="1"/>
    </xf>
    <xf numFmtId="0" fontId="272" fillId="0" borderId="1" xfId="0" applyFont="1" applyBorder="1" applyAlignment="1">
      <alignment horizontal="center" vertical="center" wrapText="1"/>
    </xf>
    <xf numFmtId="9" fontId="272" fillId="0" borderId="7" xfId="558" applyFont="1" applyBorder="1" applyAlignment="1">
      <alignment horizontal="center" vertical="center" wrapText="1"/>
    </xf>
    <xf numFmtId="0" fontId="104" fillId="0" borderId="1" xfId="0" applyFont="1" applyBorder="1" applyAlignment="1">
      <alignment wrapText="1"/>
    </xf>
    <xf numFmtId="4" fontId="275" fillId="0" borderId="1" xfId="0" applyNumberFormat="1" applyFont="1" applyBorder="1"/>
    <xf numFmtId="4" fontId="104" fillId="0" borderId="1" xfId="0" applyNumberFormat="1" applyFont="1" applyBorder="1"/>
    <xf numFmtId="9" fontId="104" fillId="0" borderId="1" xfId="558" applyFont="1" applyBorder="1"/>
    <xf numFmtId="0" fontId="42" fillId="0" borderId="0" xfId="6" applyFont="1" applyAlignment="1">
      <alignment horizontal="center" vertical="center" wrapText="1"/>
    </xf>
    <xf numFmtId="0" fontId="104" fillId="34" borderId="0" xfId="240" applyFont="1" applyFill="1" applyAlignment="1" applyProtection="1">
      <alignment horizontal="center" vertical="center"/>
      <protection locked="0"/>
    </xf>
    <xf numFmtId="0" fontId="44" fillId="34" borderId="0" xfId="240" applyFont="1" applyFill="1"/>
    <xf numFmtId="0" fontId="104" fillId="34" borderId="0" xfId="240" applyFont="1" applyFill="1"/>
    <xf numFmtId="4" fontId="48" fillId="34" borderId="1" xfId="240" applyNumberFormat="1" applyFont="1" applyFill="1" applyBorder="1" applyAlignment="1">
      <alignment horizontal="center" vertical="center" wrapText="1"/>
    </xf>
    <xf numFmtId="4" fontId="48" fillId="34" borderId="40" xfId="240" applyNumberFormat="1" applyFont="1" applyFill="1" applyBorder="1" applyAlignment="1">
      <alignment horizontal="center" vertical="center" wrapText="1"/>
    </xf>
    <xf numFmtId="4" fontId="48" fillId="34" borderId="39" xfId="240" applyNumberFormat="1" applyFont="1" applyFill="1" applyBorder="1" applyAlignment="1">
      <alignment horizontal="center" vertical="center" wrapText="1"/>
    </xf>
    <xf numFmtId="4" fontId="48" fillId="34" borderId="1" xfId="240" applyNumberFormat="1" applyFont="1" applyFill="1" applyBorder="1" applyAlignment="1" applyProtection="1">
      <alignment horizontal="center" vertical="center" wrapText="1"/>
      <protection locked="0"/>
    </xf>
    <xf numFmtId="180" fontId="48" fillId="34" borderId="1" xfId="240" applyNumberFormat="1" applyFont="1" applyFill="1" applyBorder="1" applyAlignment="1">
      <alignment horizontal="center" vertical="center" wrapText="1"/>
    </xf>
    <xf numFmtId="0" fontId="41" fillId="34" borderId="39" xfId="0" applyFont="1" applyFill="1" applyBorder="1" applyAlignment="1">
      <alignment horizontal="center" vertical="center" wrapText="1"/>
    </xf>
    <xf numFmtId="0" fontId="41" fillId="34" borderId="1" xfId="0" applyFont="1" applyFill="1" applyBorder="1" applyAlignment="1">
      <alignment horizontal="center" vertical="center" wrapText="1"/>
    </xf>
    <xf numFmtId="180" fontId="41" fillId="34" borderId="1" xfId="0" applyNumberFormat="1" applyFont="1" applyFill="1" applyBorder="1" applyAlignment="1">
      <alignment horizontal="center" vertical="center" wrapText="1"/>
    </xf>
    <xf numFmtId="4" fontId="49" fillId="34" borderId="3" xfId="240" applyNumberFormat="1" applyFont="1" applyFill="1" applyBorder="1" applyAlignment="1">
      <alignment horizontal="center" vertical="center" wrapText="1"/>
    </xf>
    <xf numFmtId="4" fontId="49" fillId="34" borderId="43" xfId="240" applyNumberFormat="1" applyFont="1" applyFill="1" applyBorder="1" applyAlignment="1">
      <alignment horizontal="center" vertical="center" wrapText="1"/>
    </xf>
    <xf numFmtId="4" fontId="49" fillId="34" borderId="42" xfId="240" applyNumberFormat="1" applyFont="1" applyFill="1" applyBorder="1" applyAlignment="1">
      <alignment horizontal="center" vertical="center" wrapText="1"/>
    </xf>
    <xf numFmtId="4" fontId="49" fillId="34" borderId="40" xfId="240" applyNumberFormat="1" applyFont="1" applyFill="1" applyBorder="1" applyAlignment="1">
      <alignment horizontal="center" vertical="center" wrapText="1"/>
    </xf>
    <xf numFmtId="4" fontId="49" fillId="34" borderId="52" xfId="240" applyNumberFormat="1" applyFont="1" applyFill="1" applyBorder="1" applyAlignment="1">
      <alignment horizontal="center" vertical="center" wrapText="1"/>
    </xf>
    <xf numFmtId="4" fontId="49" fillId="34" borderId="1" xfId="240" applyNumberFormat="1" applyFont="1" applyFill="1" applyBorder="1" applyAlignment="1">
      <alignment horizontal="center" vertical="center" wrapText="1"/>
    </xf>
    <xf numFmtId="4" fontId="49" fillId="34" borderId="7" xfId="240" applyNumberFormat="1" applyFont="1" applyFill="1" applyBorder="1" applyAlignment="1">
      <alignment horizontal="center" vertical="center" wrapText="1"/>
    </xf>
    <xf numFmtId="4" fontId="49" fillId="34" borderId="39" xfId="240" applyNumberFormat="1" applyFont="1" applyFill="1" applyBorder="1" applyAlignment="1">
      <alignment horizontal="center" vertical="center" wrapText="1"/>
    </xf>
    <xf numFmtId="4" fontId="48" fillId="34" borderId="52" xfId="240" applyNumberFormat="1" applyFont="1" applyFill="1" applyBorder="1" applyAlignment="1">
      <alignment horizontal="center" vertical="center" wrapText="1"/>
    </xf>
    <xf numFmtId="4" fontId="48" fillId="34" borderId="7" xfId="240" applyNumberFormat="1" applyFont="1" applyFill="1" applyBorder="1" applyAlignment="1">
      <alignment horizontal="center" vertical="center" wrapText="1"/>
    </xf>
    <xf numFmtId="4" fontId="195" fillId="34" borderId="40" xfId="240" applyNumberFormat="1" applyFont="1" applyFill="1" applyBorder="1" applyAlignment="1">
      <alignment horizontal="center" vertical="center" wrapText="1"/>
    </xf>
    <xf numFmtId="4" fontId="48" fillId="34" borderId="52" xfId="240" applyNumberFormat="1" applyFont="1" applyFill="1" applyBorder="1" applyAlignment="1" applyProtection="1">
      <alignment horizontal="center" vertical="center" wrapText="1"/>
      <protection locked="0"/>
    </xf>
    <xf numFmtId="4" fontId="48" fillId="34" borderId="39" xfId="240" applyNumberFormat="1" applyFont="1" applyFill="1" applyBorder="1" applyAlignment="1" applyProtection="1">
      <alignment horizontal="center" vertical="center" wrapText="1"/>
      <protection locked="0"/>
    </xf>
    <xf numFmtId="180" fontId="48" fillId="34" borderId="1" xfId="240" applyNumberFormat="1" applyFont="1" applyFill="1" applyBorder="1" applyAlignment="1" applyProtection="1">
      <alignment horizontal="center" vertical="center" wrapText="1"/>
      <protection locked="0"/>
    </xf>
    <xf numFmtId="180" fontId="49" fillId="34" borderId="1" xfId="240" applyNumberFormat="1" applyFont="1" applyFill="1" applyBorder="1" applyAlignment="1">
      <alignment horizontal="center" vertical="center" wrapText="1"/>
    </xf>
    <xf numFmtId="4" fontId="48" fillId="34" borderId="40" xfId="240" applyNumberFormat="1" applyFont="1" applyFill="1" applyBorder="1" applyAlignment="1" applyProtection="1">
      <alignment horizontal="center" vertical="center" wrapText="1"/>
      <protection locked="0"/>
    </xf>
    <xf numFmtId="4" fontId="49" fillId="34" borderId="41" xfId="240" applyNumberFormat="1" applyFont="1" applyFill="1" applyBorder="1" applyAlignment="1" applyProtection="1">
      <alignment horizontal="center" vertical="center" wrapText="1"/>
      <protection locked="0"/>
    </xf>
    <xf numFmtId="4" fontId="49" fillId="34" borderId="79" xfId="240" applyNumberFormat="1" applyFont="1" applyFill="1" applyBorder="1" applyAlignment="1" applyProtection="1">
      <alignment horizontal="center" vertical="center" wrapText="1"/>
      <protection locked="0"/>
    </xf>
    <xf numFmtId="4" fontId="49" fillId="34" borderId="1" xfId="240" applyNumberFormat="1" applyFont="1" applyFill="1" applyBorder="1" applyAlignment="1" applyProtection="1">
      <alignment horizontal="center" vertical="center" wrapText="1"/>
      <protection locked="0"/>
    </xf>
    <xf numFmtId="4" fontId="49" fillId="34" borderId="40" xfId="240" applyNumberFormat="1" applyFont="1" applyFill="1" applyBorder="1" applyAlignment="1" applyProtection="1">
      <alignment horizontal="center" vertical="center" wrapText="1"/>
      <protection locked="0"/>
    </xf>
    <xf numFmtId="180" fontId="49" fillId="34" borderId="79" xfId="240" applyNumberFormat="1" applyFont="1" applyFill="1" applyBorder="1" applyAlignment="1" applyProtection="1">
      <alignment horizontal="center" vertical="center" wrapText="1"/>
      <protection locked="0"/>
    </xf>
    <xf numFmtId="0" fontId="41" fillId="34" borderId="41" xfId="240" applyFont="1" applyFill="1" applyBorder="1" applyAlignment="1">
      <alignment horizontal="center" vertical="center" textRotation="90" wrapText="1"/>
    </xf>
    <xf numFmtId="0" fontId="41" fillId="34" borderId="1" xfId="240" applyFont="1" applyFill="1" applyBorder="1" applyAlignment="1">
      <alignment horizontal="center" vertical="center" textRotation="90" wrapText="1"/>
    </xf>
    <xf numFmtId="0" fontId="41" fillId="34" borderId="79" xfId="240" applyFont="1" applyFill="1" applyBorder="1" applyAlignment="1">
      <alignment horizontal="center" vertical="center" textRotation="90" wrapText="1"/>
    </xf>
    <xf numFmtId="0" fontId="41" fillId="34" borderId="40" xfId="240" applyFont="1" applyFill="1" applyBorder="1" applyAlignment="1">
      <alignment horizontal="center" vertical="center" textRotation="90" wrapText="1"/>
    </xf>
    <xf numFmtId="0" fontId="41" fillId="34" borderId="0" xfId="240" applyFont="1" applyFill="1" applyAlignment="1">
      <alignment horizontal="left" vertical="top" wrapText="1"/>
    </xf>
    <xf numFmtId="0" fontId="28" fillId="34" borderId="0" xfId="240" applyFill="1"/>
    <xf numFmtId="179" fontId="41" fillId="34" borderId="0" xfId="240" applyNumberFormat="1" applyFont="1" applyFill="1" applyAlignment="1">
      <alignment horizontal="left" vertical="top" wrapText="1"/>
    </xf>
    <xf numFmtId="0" fontId="41" fillId="34" borderId="3" xfId="240" applyFont="1" applyFill="1" applyBorder="1" applyAlignment="1">
      <alignment vertical="center" wrapText="1"/>
    </xf>
    <xf numFmtId="0" fontId="41" fillId="34" borderId="3" xfId="240" applyFont="1" applyFill="1" applyBorder="1" applyAlignment="1">
      <alignment horizontal="left" vertical="center" wrapText="1" indent="1"/>
    </xf>
    <xf numFmtId="0" fontId="41" fillId="34" borderId="1" xfId="240" applyFont="1" applyFill="1" applyBorder="1" applyAlignment="1">
      <alignment vertical="center" wrapText="1"/>
    </xf>
    <xf numFmtId="0" fontId="41" fillId="34" borderId="79" xfId="5" applyFont="1" applyFill="1" applyBorder="1" applyAlignment="1">
      <alignment vertical="center" wrapText="1"/>
    </xf>
    <xf numFmtId="0" fontId="41" fillId="34" borderId="1" xfId="0" applyFont="1" applyFill="1" applyBorder="1" applyAlignment="1">
      <alignment vertical="center" wrapText="1"/>
    </xf>
    <xf numFmtId="0" fontId="45" fillId="34" borderId="1" xfId="240" applyFont="1" applyFill="1" applyBorder="1" applyAlignment="1">
      <alignment vertical="center" wrapText="1"/>
    </xf>
    <xf numFmtId="0" fontId="45" fillId="34" borderId="8" xfId="240" applyFont="1" applyFill="1" applyBorder="1" applyAlignment="1">
      <alignment horizontal="center" vertical="center" wrapText="1"/>
    </xf>
    <xf numFmtId="0" fontId="41" fillId="34" borderId="79" xfId="240" applyFont="1" applyFill="1" applyBorder="1" applyAlignment="1">
      <alignment vertical="center" wrapText="1"/>
    </xf>
    <xf numFmtId="0" fontId="45" fillId="34" borderId="0" xfId="0" applyFont="1" applyFill="1"/>
    <xf numFmtId="0" fontId="45" fillId="34" borderId="79" xfId="240" applyFont="1" applyFill="1" applyBorder="1" applyAlignment="1">
      <alignment vertical="center" wrapText="1"/>
    </xf>
    <xf numFmtId="0" fontId="45" fillId="34" borderId="3" xfId="240" applyFont="1" applyFill="1" applyBorder="1" applyAlignment="1">
      <alignment vertical="center" wrapText="1"/>
    </xf>
    <xf numFmtId="0" fontId="45" fillId="34" borderId="1" xfId="5" applyFont="1" applyFill="1" applyBorder="1" applyAlignment="1">
      <alignment vertical="center" wrapText="1"/>
    </xf>
    <xf numFmtId="0" fontId="45" fillId="34" borderId="79" xfId="5" applyFont="1" applyFill="1" applyBorder="1" applyAlignment="1">
      <alignment vertical="center" wrapText="1"/>
    </xf>
    <xf numFmtId="0" fontId="45" fillId="34" borderId="1" xfId="0" applyFont="1" applyFill="1" applyBorder="1" applyAlignment="1">
      <alignment vertical="center" wrapText="1"/>
    </xf>
    <xf numFmtId="0" fontId="45" fillId="34" borderId="9" xfId="240" applyFont="1" applyFill="1" applyBorder="1" applyAlignment="1">
      <alignment horizontal="center" vertical="center" wrapText="1"/>
    </xf>
    <xf numFmtId="0" fontId="45" fillId="34" borderId="45" xfId="0" applyFont="1" applyFill="1" applyBorder="1" applyAlignment="1">
      <alignment vertical="center" wrapText="1"/>
    </xf>
    <xf numFmtId="0" fontId="45" fillId="34" borderId="80" xfId="240" applyFont="1" applyFill="1" applyBorder="1" applyAlignment="1">
      <alignment horizontal="center" vertical="center" wrapText="1"/>
    </xf>
    <xf numFmtId="0" fontId="44" fillId="34" borderId="32" xfId="0" applyFont="1" applyFill="1" applyBorder="1" applyAlignment="1">
      <alignment horizontal="center"/>
    </xf>
    <xf numFmtId="10" fontId="101" fillId="34" borderId="36" xfId="0" applyNumberFormat="1" applyFont="1" applyFill="1" applyBorder="1" applyAlignment="1">
      <alignment horizontal="center"/>
    </xf>
    <xf numFmtId="176" fontId="101" fillId="34" borderId="6" xfId="0" applyNumberFormat="1" applyFont="1" applyFill="1" applyBorder="1" applyAlignment="1">
      <alignment horizontal="center" vertical="center"/>
    </xf>
    <xf numFmtId="0" fontId="44" fillId="34" borderId="0" xfId="0" applyFont="1" applyFill="1"/>
    <xf numFmtId="4" fontId="45" fillId="34" borderId="1" xfId="240" applyNumberFormat="1" applyFont="1" applyFill="1" applyBorder="1" applyAlignment="1">
      <alignment horizontal="center" vertical="center" wrapText="1"/>
    </xf>
    <xf numFmtId="4" fontId="41" fillId="34" borderId="1" xfId="240" applyNumberFormat="1" applyFont="1" applyFill="1" applyBorder="1" applyAlignment="1">
      <alignment horizontal="center" vertical="center" wrapText="1"/>
    </xf>
    <xf numFmtId="4" fontId="41" fillId="34" borderId="1" xfId="240" applyNumberFormat="1" applyFont="1" applyFill="1" applyBorder="1" applyAlignment="1" applyProtection="1">
      <alignment horizontal="center" vertical="center" wrapText="1"/>
      <protection locked="0"/>
    </xf>
    <xf numFmtId="4" fontId="45" fillId="34" borderId="1" xfId="240" applyNumberFormat="1" applyFont="1" applyFill="1" applyBorder="1" applyAlignment="1" applyProtection="1">
      <alignment horizontal="center" vertical="center" wrapText="1"/>
      <protection locked="0"/>
    </xf>
    <xf numFmtId="2" fontId="41" fillId="34" borderId="1" xfId="240" applyNumberFormat="1" applyFont="1" applyFill="1" applyBorder="1" applyAlignment="1">
      <alignment horizontal="center" vertical="center" wrapText="1"/>
    </xf>
    <xf numFmtId="2" fontId="41" fillId="34" borderId="1" xfId="240" applyNumberFormat="1" applyFont="1" applyFill="1" applyBorder="1" applyAlignment="1" applyProtection="1">
      <alignment horizontal="center" vertical="center" wrapText="1"/>
      <protection locked="0"/>
    </xf>
    <xf numFmtId="0" fontId="103" fillId="34" borderId="0" xfId="240" applyFont="1" applyFill="1" applyAlignment="1" applyProtection="1">
      <alignment horizontal="center" wrapText="1"/>
      <protection locked="0"/>
    </xf>
    <xf numFmtId="0" fontId="43" fillId="34" borderId="0" xfId="240" applyFont="1" applyFill="1"/>
    <xf numFmtId="0" fontId="43" fillId="34" borderId="0" xfId="240" applyFont="1" applyFill="1" applyAlignment="1">
      <alignment vertical="top" wrapText="1"/>
    </xf>
    <xf numFmtId="49" fontId="43" fillId="34" borderId="0" xfId="240" applyNumberFormat="1" applyFont="1" applyFill="1"/>
    <xf numFmtId="0" fontId="43" fillId="34" borderId="0" xfId="240" applyFont="1" applyFill="1" applyAlignment="1">
      <alignment horizontal="center" vertical="center" wrapText="1"/>
    </xf>
    <xf numFmtId="0" fontId="40" fillId="34" borderId="0" xfId="240" applyFont="1" applyFill="1"/>
    <xf numFmtId="0" fontId="42" fillId="34" borderId="8" xfId="240" applyFont="1" applyFill="1" applyBorder="1" applyAlignment="1">
      <alignment vertical="center" wrapText="1"/>
    </xf>
    <xf numFmtId="0" fontId="42" fillId="34" borderId="9" xfId="240" applyFont="1" applyFill="1" applyBorder="1" applyAlignment="1">
      <alignment vertical="center" wrapText="1"/>
    </xf>
    <xf numFmtId="49" fontId="41" fillId="34" borderId="1" xfId="240" applyNumberFormat="1" applyFont="1" applyFill="1" applyBorder="1" applyAlignment="1">
      <alignment horizontal="center" vertical="center" wrapText="1"/>
    </xf>
    <xf numFmtId="49" fontId="46" fillId="34" borderId="8" xfId="240" applyNumberFormat="1" applyFont="1" applyFill="1" applyBorder="1" applyAlignment="1">
      <alignment horizontal="right" vertical="center" wrapText="1"/>
    </xf>
    <xf numFmtId="0" fontId="40" fillId="34" borderId="1" xfId="0" applyFont="1" applyFill="1" applyBorder="1" applyAlignment="1">
      <alignment vertical="top" wrapText="1"/>
    </xf>
    <xf numFmtId="0" fontId="45" fillId="34" borderId="7" xfId="240" applyFont="1" applyFill="1" applyBorder="1" applyAlignment="1">
      <alignment horizontal="center" vertical="center" wrapText="1"/>
    </xf>
    <xf numFmtId="180" fontId="45" fillId="34" borderId="1" xfId="240" applyNumberFormat="1" applyFont="1" applyFill="1" applyBorder="1" applyAlignment="1">
      <alignment horizontal="center" vertical="center" wrapText="1"/>
    </xf>
    <xf numFmtId="49" fontId="40" fillId="34" borderId="8" xfId="240" applyNumberFormat="1" applyFont="1" applyFill="1" applyBorder="1" applyAlignment="1">
      <alignment horizontal="right" vertical="center" wrapText="1"/>
    </xf>
    <xf numFmtId="49" fontId="40" fillId="34" borderId="3" xfId="240" applyNumberFormat="1" applyFont="1" applyFill="1" applyBorder="1" applyAlignment="1">
      <alignment horizontal="right" vertical="center" wrapText="1"/>
    </xf>
    <xf numFmtId="0" fontId="40" fillId="34" borderId="4" xfId="240" applyFont="1" applyFill="1" applyBorder="1" applyAlignment="1">
      <alignment vertical="top" wrapText="1"/>
    </xf>
    <xf numFmtId="4" fontId="41" fillId="34" borderId="3" xfId="240" applyNumberFormat="1" applyFont="1" applyFill="1" applyBorder="1" applyAlignment="1">
      <alignment horizontal="center" vertical="center" wrapText="1"/>
    </xf>
    <xf numFmtId="0" fontId="40" fillId="34" borderId="79" xfId="0" applyFont="1" applyFill="1" applyBorder="1" applyAlignment="1">
      <alignment vertical="top" wrapText="1"/>
    </xf>
    <xf numFmtId="49" fontId="46" fillId="34" borderId="1" xfId="240" applyNumberFormat="1" applyFont="1" applyFill="1" applyBorder="1" applyAlignment="1">
      <alignment horizontal="right" vertical="center" wrapText="1"/>
    </xf>
    <xf numFmtId="0" fontId="46" fillId="34" borderId="3" xfId="240" applyFont="1" applyFill="1" applyBorder="1" applyAlignment="1">
      <alignment vertical="top" wrapText="1"/>
    </xf>
    <xf numFmtId="0" fontId="45" fillId="34" borderId="1" xfId="240" applyFont="1" applyFill="1" applyBorder="1" applyAlignment="1">
      <alignment horizontal="center" vertical="center" wrapText="1"/>
    </xf>
    <xf numFmtId="49" fontId="40" fillId="34" borderId="1" xfId="240" applyNumberFormat="1" applyFont="1" applyFill="1" applyBorder="1" applyAlignment="1">
      <alignment horizontal="right" vertical="center" wrapText="1"/>
    </xf>
    <xf numFmtId="0" fontId="40" fillId="34" borderId="1" xfId="240" applyFont="1" applyFill="1" applyBorder="1" applyAlignment="1">
      <alignment vertical="top" wrapText="1"/>
    </xf>
    <xf numFmtId="0" fontId="40" fillId="34" borderId="79" xfId="240" applyFont="1" applyFill="1" applyBorder="1" applyAlignment="1">
      <alignment vertical="top" wrapText="1"/>
    </xf>
    <xf numFmtId="0" fontId="46" fillId="34" borderId="1" xfId="0" applyFont="1" applyFill="1" applyBorder="1" applyAlignment="1">
      <alignment vertical="top" wrapText="1"/>
    </xf>
    <xf numFmtId="0" fontId="46" fillId="34" borderId="1" xfId="240" applyFont="1" applyFill="1" applyBorder="1" applyAlignment="1">
      <alignment vertical="top" wrapText="1"/>
    </xf>
    <xf numFmtId="0" fontId="267" fillId="34" borderId="1" xfId="240" applyFont="1" applyFill="1" applyBorder="1" applyAlignment="1">
      <alignment vertical="top" wrapText="1"/>
    </xf>
    <xf numFmtId="0" fontId="40" fillId="34" borderId="8" xfId="240" applyFont="1" applyFill="1" applyBorder="1" applyAlignment="1">
      <alignment horizontal="right" vertical="center" wrapText="1"/>
    </xf>
    <xf numFmtId="0" fontId="41" fillId="34" borderId="7" xfId="240" applyFont="1" applyFill="1" applyBorder="1" applyAlignment="1">
      <alignment horizontal="center" vertical="center" wrapText="1"/>
    </xf>
    <xf numFmtId="0" fontId="41" fillId="34" borderId="1" xfId="240" applyFont="1" applyFill="1" applyBorder="1" applyAlignment="1" applyProtection="1">
      <alignment horizontal="center" vertical="center" wrapText="1"/>
      <protection locked="0"/>
    </xf>
    <xf numFmtId="0" fontId="40" fillId="34" borderId="3" xfId="240" applyFont="1" applyFill="1" applyBorder="1" applyAlignment="1">
      <alignment vertical="top" wrapText="1"/>
    </xf>
    <xf numFmtId="49" fontId="40" fillId="34" borderId="9" xfId="240" applyNumberFormat="1" applyFont="1" applyFill="1" applyBorder="1" applyAlignment="1">
      <alignment horizontal="right" vertical="center" wrapText="1"/>
    </xf>
    <xf numFmtId="0" fontId="40" fillId="34" borderId="9" xfId="240" applyFont="1" applyFill="1" applyBorder="1" applyAlignment="1">
      <alignment vertical="center" wrapText="1"/>
    </xf>
    <xf numFmtId="0" fontId="41" fillId="34" borderId="0" xfId="240" applyFont="1" applyFill="1" applyAlignment="1">
      <alignment horizontal="center" vertical="center" wrapText="1"/>
    </xf>
    <xf numFmtId="2" fontId="41" fillId="34" borderId="0" xfId="240" applyNumberFormat="1" applyFont="1" applyFill="1" applyAlignment="1">
      <alignment horizontal="center" vertical="center" wrapText="1"/>
    </xf>
    <xf numFmtId="0" fontId="40" fillId="34" borderId="0" xfId="240" applyFont="1" applyFill="1" applyAlignment="1">
      <alignment vertical="center"/>
    </xf>
    <xf numFmtId="49" fontId="43" fillId="34" borderId="0" xfId="240" applyNumberFormat="1" applyFont="1" applyFill="1" applyProtection="1">
      <protection locked="0"/>
    </xf>
    <xf numFmtId="0" fontId="43" fillId="34" borderId="0" xfId="240" applyFont="1" applyFill="1" applyProtection="1">
      <protection locked="0"/>
    </xf>
    <xf numFmtId="3" fontId="28" fillId="34" borderId="0" xfId="240" applyNumberFormat="1" applyFill="1"/>
    <xf numFmtId="49" fontId="47" fillId="34" borderId="1" xfId="240" applyNumberFormat="1" applyFont="1" applyFill="1" applyBorder="1" applyAlignment="1">
      <alignment horizontal="right" vertical="center" wrapText="1"/>
    </xf>
    <xf numFmtId="0" fontId="47" fillId="34" borderId="1" xfId="240" applyFont="1" applyFill="1" applyBorder="1" applyAlignment="1">
      <alignment vertical="center" wrapText="1"/>
    </xf>
    <xf numFmtId="49" fontId="42" fillId="34" borderId="1" xfId="240" applyNumberFormat="1" applyFont="1" applyFill="1" applyBorder="1" applyAlignment="1">
      <alignment horizontal="right" vertical="center" wrapText="1"/>
    </xf>
    <xf numFmtId="0" fontId="42" fillId="34" borderId="1" xfId="240" applyFont="1" applyFill="1" applyBorder="1" applyAlignment="1">
      <alignment vertical="center" wrapText="1"/>
    </xf>
    <xf numFmtId="0" fontId="46" fillId="34" borderId="1" xfId="0" applyFont="1" applyFill="1" applyBorder="1" applyAlignment="1">
      <alignment vertical="center" wrapText="1"/>
    </xf>
    <xf numFmtId="0" fontId="40" fillId="34" borderId="0" xfId="0" applyFont="1" applyFill="1"/>
    <xf numFmtId="2" fontId="45" fillId="34" borderId="1" xfId="240" applyNumberFormat="1" applyFont="1" applyFill="1" applyBorder="1" applyAlignment="1" applyProtection="1">
      <alignment horizontal="center" vertical="center" wrapText="1"/>
      <protection locked="0"/>
    </xf>
    <xf numFmtId="175" fontId="45" fillId="34" borderId="1" xfId="240" applyNumberFormat="1" applyFont="1" applyFill="1" applyBorder="1" applyAlignment="1" applyProtection="1">
      <alignment horizontal="center" vertical="center" wrapText="1"/>
      <protection locked="0"/>
    </xf>
    <xf numFmtId="175" fontId="45" fillId="34" borderId="1" xfId="240" applyNumberFormat="1" applyFont="1" applyFill="1" applyBorder="1" applyAlignment="1">
      <alignment horizontal="center" vertical="center" wrapText="1"/>
    </xf>
    <xf numFmtId="175" fontId="41" fillId="34" borderId="1" xfId="240" applyNumberFormat="1" applyFont="1" applyFill="1" applyBorder="1" applyAlignment="1">
      <alignment horizontal="center" vertical="center" wrapText="1"/>
    </xf>
    <xf numFmtId="175" fontId="41" fillId="34" borderId="1" xfId="240" applyNumberFormat="1" applyFont="1" applyFill="1" applyBorder="1" applyAlignment="1" applyProtection="1">
      <alignment horizontal="center" vertical="center" wrapText="1"/>
      <protection locked="0"/>
    </xf>
    <xf numFmtId="2" fontId="45" fillId="34" borderId="1" xfId="240" applyNumberFormat="1" applyFont="1" applyFill="1" applyBorder="1" applyAlignment="1">
      <alignment horizontal="center" vertical="center" wrapText="1"/>
    </xf>
    <xf numFmtId="0" fontId="45" fillId="34" borderId="1" xfId="240" applyFont="1" applyFill="1" applyBorder="1" applyAlignment="1" applyProtection="1">
      <alignment horizontal="center" vertical="center" wrapText="1"/>
      <protection locked="0"/>
    </xf>
    <xf numFmtId="49" fontId="42" fillId="34" borderId="9" xfId="240" applyNumberFormat="1" applyFont="1" applyFill="1" applyBorder="1" applyAlignment="1">
      <alignment horizontal="right" vertical="center" wrapText="1"/>
    </xf>
    <xf numFmtId="0" fontId="41" fillId="34" borderId="0" xfId="240" applyFont="1" applyFill="1" applyAlignment="1" applyProtection="1">
      <alignment horizontal="center" vertical="center" wrapText="1"/>
      <protection locked="0"/>
    </xf>
    <xf numFmtId="49" fontId="40" fillId="34" borderId="0" xfId="240" applyNumberFormat="1" applyFont="1" applyFill="1"/>
    <xf numFmtId="0" fontId="40" fillId="34" borderId="0" xfId="240" applyFont="1" applyFill="1" applyAlignment="1">
      <alignment horizontal="center" vertical="top" wrapText="1"/>
    </xf>
    <xf numFmtId="0" fontId="43" fillId="34" borderId="0" xfId="240" applyFont="1" applyFill="1" applyAlignment="1">
      <alignment wrapText="1"/>
    </xf>
    <xf numFmtId="2" fontId="40" fillId="34" borderId="1" xfId="240" applyNumberFormat="1" applyFont="1" applyFill="1" applyBorder="1" applyAlignment="1">
      <alignment horizontal="center" vertical="center" wrapText="1"/>
    </xf>
    <xf numFmtId="2" fontId="46" fillId="34" borderId="1" xfId="240" applyNumberFormat="1" applyFont="1" applyFill="1" applyBorder="1" applyAlignment="1">
      <alignment horizontal="center" vertical="center" wrapText="1"/>
    </xf>
    <xf numFmtId="4" fontId="40" fillId="34" borderId="1" xfId="240" applyNumberFormat="1" applyFont="1" applyFill="1" applyBorder="1" applyAlignment="1">
      <alignment horizontal="center" vertical="center" wrapText="1"/>
    </xf>
    <xf numFmtId="49" fontId="51" fillId="34" borderId="1" xfId="240" applyNumberFormat="1" applyFont="1" applyFill="1" applyBorder="1" applyAlignment="1">
      <alignment horizontal="right" vertical="center" wrapText="1"/>
    </xf>
    <xf numFmtId="0" fontId="51" fillId="34" borderId="1" xfId="240" applyFont="1" applyFill="1" applyBorder="1" applyAlignment="1">
      <alignment vertical="center" wrapText="1"/>
    </xf>
    <xf numFmtId="0" fontId="51" fillId="34" borderId="1" xfId="240" applyFont="1" applyFill="1" applyBorder="1" applyAlignment="1">
      <alignment horizontal="center" vertical="center" wrapText="1"/>
    </xf>
    <xf numFmtId="10" fontId="40" fillId="34" borderId="1" xfId="240" applyNumberFormat="1" applyFont="1" applyFill="1" applyBorder="1" applyAlignment="1">
      <alignment horizontal="center" vertical="center" wrapText="1"/>
    </xf>
    <xf numFmtId="0" fontId="40" fillId="34" borderId="0" xfId="240" applyFont="1" applyFill="1" applyAlignment="1">
      <alignment vertical="top"/>
    </xf>
    <xf numFmtId="0" fontId="42" fillId="34" borderId="0" xfId="240" applyFont="1" applyFill="1" applyAlignment="1">
      <alignment horizontal="center" vertical="top" wrapText="1"/>
    </xf>
    <xf numFmtId="49" fontId="133" fillId="34" borderId="0" xfId="240" applyNumberFormat="1" applyFont="1" applyFill="1"/>
    <xf numFmtId="0" fontId="133" fillId="34" borderId="0" xfId="240" applyFont="1" applyFill="1" applyAlignment="1">
      <alignment horizontal="center" vertical="center" wrapText="1"/>
    </xf>
    <xf numFmtId="0" fontId="133" fillId="34" borderId="0" xfId="240" applyFont="1" applyFill="1"/>
    <xf numFmtId="0" fontId="133" fillId="34" borderId="0" xfId="240" applyFont="1" applyFill="1" applyAlignment="1">
      <alignment wrapText="1"/>
    </xf>
    <xf numFmtId="0" fontId="54" fillId="34" borderId="1" xfId="240" applyFont="1" applyFill="1" applyBorder="1" applyAlignment="1">
      <alignment horizontal="center" vertical="center" wrapText="1"/>
    </xf>
    <xf numFmtId="2" fontId="162" fillId="34" borderId="1" xfId="240" applyNumberFormat="1" applyFont="1" applyFill="1" applyBorder="1" applyAlignment="1">
      <alignment horizontal="center" vertical="center" wrapText="1"/>
    </xf>
    <xf numFmtId="2" fontId="138" fillId="34" borderId="1" xfId="240" applyNumberFormat="1" applyFont="1" applyFill="1" applyBorder="1" applyAlignment="1">
      <alignment horizontal="center" vertical="center" wrapText="1"/>
    </xf>
    <xf numFmtId="4" fontId="162" fillId="34" borderId="1" xfId="240" applyNumberFormat="1" applyFont="1" applyFill="1" applyBorder="1" applyAlignment="1">
      <alignment horizontal="center" vertical="center" wrapText="1"/>
    </xf>
    <xf numFmtId="10" fontId="162" fillId="34" borderId="1" xfId="240" applyNumberFormat="1" applyFont="1" applyFill="1" applyBorder="1" applyAlignment="1">
      <alignment horizontal="center" vertical="center" wrapText="1"/>
    </xf>
    <xf numFmtId="0" fontId="162" fillId="34" borderId="0" xfId="240" applyFont="1" applyFill="1" applyAlignment="1">
      <alignment vertical="top"/>
    </xf>
    <xf numFmtId="0" fontId="162" fillId="34" borderId="0" xfId="240" applyFont="1" applyFill="1"/>
    <xf numFmtId="0" fontId="197" fillId="34" borderId="0" xfId="240" applyFont="1" applyFill="1" applyAlignment="1" applyProtection="1">
      <alignment horizontal="center" wrapText="1"/>
      <protection locked="0"/>
    </xf>
    <xf numFmtId="0" fontId="51" fillId="34" borderId="0" xfId="240" applyFont="1" applyFill="1" applyAlignment="1">
      <alignment horizontal="center" vertical="top" wrapText="1"/>
    </xf>
    <xf numFmtId="0" fontId="41" fillId="34" borderId="0" xfId="5" applyFont="1" applyFill="1" applyAlignment="1">
      <alignment vertical="top" wrapText="1"/>
    </xf>
    <xf numFmtId="49" fontId="54" fillId="34" borderId="48" xfId="5" applyNumberFormat="1" applyFont="1" applyFill="1" applyBorder="1" applyAlignment="1">
      <alignment vertical="center" wrapText="1"/>
    </xf>
    <xf numFmtId="49" fontId="54" fillId="34" borderId="42" xfId="5" applyNumberFormat="1" applyFont="1" applyFill="1" applyBorder="1" applyAlignment="1">
      <alignment vertical="center" wrapText="1"/>
    </xf>
    <xf numFmtId="49" fontId="54" fillId="34" borderId="28" xfId="5" applyNumberFormat="1" applyFont="1" applyFill="1" applyBorder="1" applyAlignment="1">
      <alignment horizontal="center" vertical="center" wrapText="1"/>
    </xf>
    <xf numFmtId="49" fontId="40" fillId="34" borderId="57" xfId="5" applyNumberFormat="1" applyFont="1" applyFill="1" applyBorder="1" applyAlignment="1">
      <alignment horizontal="center" vertical="center"/>
    </xf>
    <xf numFmtId="49" fontId="40" fillId="34" borderId="39" xfId="5" applyNumberFormat="1" applyFont="1" applyFill="1" applyBorder="1" applyAlignment="1">
      <alignment horizontal="center" vertical="center"/>
    </xf>
    <xf numFmtId="49" fontId="40" fillId="34" borderId="44" xfId="5" applyNumberFormat="1" applyFont="1" applyFill="1" applyBorder="1" applyAlignment="1">
      <alignment horizontal="center" vertical="center"/>
    </xf>
    <xf numFmtId="49" fontId="40" fillId="34" borderId="88" xfId="5" applyNumberFormat="1" applyFont="1" applyFill="1" applyBorder="1" applyAlignment="1">
      <alignment horizontal="center" vertical="center"/>
    </xf>
    <xf numFmtId="49" fontId="40" fillId="34" borderId="52" xfId="5" applyNumberFormat="1" applyFont="1" applyFill="1" applyBorder="1" applyAlignment="1">
      <alignment horizontal="center" vertical="center"/>
    </xf>
    <xf numFmtId="49" fontId="40" fillId="34" borderId="53" xfId="5" applyNumberFormat="1" applyFont="1" applyFill="1" applyBorder="1" applyAlignment="1">
      <alignment horizontal="center" vertical="center"/>
    </xf>
    <xf numFmtId="49" fontId="40" fillId="34" borderId="57" xfId="5" applyNumberFormat="1" applyFont="1" applyFill="1" applyBorder="1" applyAlignment="1">
      <alignment horizontal="center" vertical="center" wrapText="1"/>
    </xf>
    <xf numFmtId="49" fontId="40" fillId="34" borderId="39" xfId="5" applyNumberFormat="1" applyFont="1" applyFill="1" applyBorder="1" applyAlignment="1">
      <alignment horizontal="center" vertical="center" wrapText="1"/>
    </xf>
    <xf numFmtId="49" fontId="40" fillId="34" borderId="88" xfId="5" applyNumberFormat="1" applyFont="1" applyFill="1" applyBorder="1" applyAlignment="1">
      <alignment horizontal="center" vertical="center" wrapText="1"/>
    </xf>
    <xf numFmtId="49" fontId="40" fillId="34" borderId="52" xfId="5" applyNumberFormat="1" applyFont="1" applyFill="1" applyBorder="1" applyAlignment="1">
      <alignment horizontal="center" vertical="center" wrapText="1"/>
    </xf>
    <xf numFmtId="49" fontId="40" fillId="34" borderId="53" xfId="5" applyNumberFormat="1" applyFont="1" applyFill="1" applyBorder="1" applyAlignment="1">
      <alignment horizontal="center" vertical="center" wrapText="1"/>
    </xf>
    <xf numFmtId="49" fontId="40" fillId="34" borderId="92" xfId="5" applyNumberFormat="1" applyFont="1" applyFill="1" applyBorder="1" applyAlignment="1">
      <alignment horizontal="center" vertical="center" wrapText="1"/>
    </xf>
    <xf numFmtId="0" fontId="40" fillId="34" borderId="88" xfId="5" applyFont="1" applyFill="1" applyBorder="1" applyAlignment="1">
      <alignment horizontal="center" vertical="center" wrapText="1"/>
    </xf>
    <xf numFmtId="0" fontId="40" fillId="34" borderId="52" xfId="5" applyFont="1" applyFill="1" applyBorder="1" applyAlignment="1">
      <alignment horizontal="center" vertical="center" wrapText="1"/>
    </xf>
    <xf numFmtId="49" fontId="40" fillId="34" borderId="44" xfId="5" applyNumberFormat="1" applyFont="1" applyFill="1" applyBorder="1" applyAlignment="1">
      <alignment horizontal="center" vertical="center" wrapText="1"/>
    </xf>
    <xf numFmtId="49" fontId="46" fillId="34" borderId="30" xfId="5" applyNumberFormat="1" applyFont="1" applyFill="1" applyBorder="1" applyAlignment="1">
      <alignment horizontal="center" vertical="center" wrapText="1"/>
    </xf>
    <xf numFmtId="49" fontId="46" fillId="34" borderId="42" xfId="5" applyNumberFormat="1" applyFont="1" applyFill="1" applyBorder="1" applyAlignment="1">
      <alignment horizontal="center" vertical="center" wrapText="1"/>
    </xf>
    <xf numFmtId="49" fontId="35" fillId="34" borderId="0" xfId="5" applyNumberFormat="1" applyFill="1"/>
    <xf numFmtId="49" fontId="165" fillId="34" borderId="0" xfId="5" applyNumberFormat="1" applyFont="1" applyFill="1"/>
    <xf numFmtId="0" fontId="43" fillId="34" borderId="0" xfId="5" applyFont="1" applyFill="1" applyAlignment="1">
      <alignment horizontal="center" vertical="center"/>
    </xf>
    <xf numFmtId="0" fontId="31" fillId="34" borderId="0" xfId="5" applyFont="1" applyFill="1" applyAlignment="1">
      <alignment horizontal="center"/>
    </xf>
    <xf numFmtId="0" fontId="0" fillId="34" borderId="0" xfId="0" applyFill="1" applyAlignment="1">
      <alignment horizontal="center"/>
    </xf>
    <xf numFmtId="187" fontId="43" fillId="0" borderId="111" xfId="0" applyNumberFormat="1" applyFont="1" applyBorder="1" applyAlignment="1">
      <alignment horizontal="center"/>
    </xf>
    <xf numFmtId="179" fontId="43" fillId="0" borderId="111" xfId="0" applyNumberFormat="1" applyFont="1" applyBorder="1" applyAlignment="1">
      <alignment horizontal="center"/>
    </xf>
    <xf numFmtId="0" fontId="52" fillId="34" borderId="0" xfId="240" applyFont="1" applyFill="1" applyAlignment="1">
      <alignment horizontal="center"/>
    </xf>
    <xf numFmtId="0" fontId="42" fillId="34" borderId="0" xfId="240" applyFont="1" applyFill="1" applyAlignment="1" applyProtection="1">
      <alignment horizontal="center" vertical="top" wrapText="1"/>
      <protection locked="0"/>
    </xf>
    <xf numFmtId="0" fontId="41" fillId="34" borderId="8" xfId="240" applyFont="1" applyFill="1" applyBorder="1" applyAlignment="1">
      <alignment horizontal="center" vertical="center" wrapText="1"/>
    </xf>
    <xf numFmtId="0" fontId="41" fillId="34" borderId="9" xfId="240" applyFont="1" applyFill="1" applyBorder="1" applyAlignment="1">
      <alignment horizontal="center" vertical="center" wrapText="1"/>
    </xf>
    <xf numFmtId="0" fontId="43" fillId="34" borderId="0" xfId="240" applyFont="1" applyFill="1" applyAlignment="1">
      <alignment horizontal="left" vertical="top" wrapText="1"/>
    </xf>
    <xf numFmtId="0" fontId="41" fillId="34" borderId="79" xfId="240" applyFont="1" applyFill="1" applyBorder="1" applyAlignment="1">
      <alignment horizontal="center" vertical="center" wrapText="1"/>
    </xf>
    <xf numFmtId="0" fontId="41" fillId="34" borderId="3" xfId="240" applyFont="1" applyFill="1" applyBorder="1" applyAlignment="1">
      <alignment horizontal="center" vertical="center" wrapText="1"/>
    </xf>
    <xf numFmtId="0" fontId="40" fillId="34" borderId="0" xfId="240" applyFont="1" applyFill="1" applyAlignment="1">
      <alignment horizontal="left" vertical="top" wrapText="1"/>
    </xf>
    <xf numFmtId="0" fontId="162" fillId="34" borderId="0" xfId="240" applyFont="1" applyFill="1" applyAlignment="1">
      <alignment horizontal="left" vertical="top" wrapText="1"/>
    </xf>
    <xf numFmtId="0" fontId="104" fillId="34" borderId="0" xfId="0" applyFont="1" applyFill="1"/>
    <xf numFmtId="0" fontId="40" fillId="0" borderId="0" xfId="0" applyFont="1" applyAlignment="1">
      <alignment horizontal="left" vertical="top" wrapText="1"/>
    </xf>
    <xf numFmtId="0" fontId="44" fillId="34" borderId="0" xfId="0" applyFont="1" applyFill="1" applyAlignment="1">
      <alignment horizontal="center"/>
    </xf>
    <xf numFmtId="0" fontId="42" fillId="34" borderId="2" xfId="6" applyFont="1" applyFill="1" applyBorder="1" applyAlignment="1">
      <alignment horizontal="center" vertical="center" wrapText="1"/>
    </xf>
    <xf numFmtId="49" fontId="43" fillId="34" borderId="0" xfId="240" applyNumberFormat="1" applyFont="1" applyFill="1" applyAlignment="1">
      <alignment horizontal="right"/>
    </xf>
    <xf numFmtId="0" fontId="43" fillId="34" borderId="0" xfId="240" applyFont="1" applyFill="1" applyAlignment="1">
      <alignment horizontal="right"/>
    </xf>
    <xf numFmtId="0" fontId="41" fillId="34" borderId="39" xfId="240" applyFont="1" applyFill="1" applyBorder="1" applyAlignment="1">
      <alignment horizontal="center" vertical="center" textRotation="90" wrapText="1"/>
    </xf>
    <xf numFmtId="49" fontId="41" fillId="34" borderId="39" xfId="240" applyNumberFormat="1" applyFont="1" applyFill="1" applyBorder="1" applyAlignment="1">
      <alignment horizontal="center" vertical="center" wrapText="1"/>
    </xf>
    <xf numFmtId="49" fontId="41" fillId="34" borderId="8" xfId="240" applyNumberFormat="1" applyFont="1" applyFill="1" applyBorder="1" applyAlignment="1">
      <alignment horizontal="center" vertical="center" wrapText="1"/>
    </xf>
    <xf numFmtId="0" fontId="41" fillId="34" borderId="41" xfId="240" applyFont="1" applyFill="1" applyBorder="1" applyAlignment="1">
      <alignment horizontal="center" vertical="center" wrapText="1"/>
    </xf>
    <xf numFmtId="49" fontId="41" fillId="34" borderId="40" xfId="240" applyNumberFormat="1" applyFont="1" applyFill="1" applyBorder="1" applyAlignment="1">
      <alignment horizontal="center" vertical="center" wrapText="1"/>
    </xf>
    <xf numFmtId="49" fontId="45" fillId="34" borderId="52" xfId="240" applyNumberFormat="1" applyFont="1" applyFill="1" applyBorder="1" applyAlignment="1">
      <alignment horizontal="right" vertical="center" wrapText="1"/>
    </xf>
    <xf numFmtId="49" fontId="41" fillId="34" borderId="52" xfId="240" applyNumberFormat="1" applyFont="1" applyFill="1" applyBorder="1" applyAlignment="1">
      <alignment horizontal="right" vertical="center" wrapText="1"/>
    </xf>
    <xf numFmtId="49" fontId="41" fillId="34" borderId="39" xfId="240" applyNumberFormat="1" applyFont="1" applyFill="1" applyBorder="1" applyAlignment="1">
      <alignment horizontal="right" vertical="center" wrapText="1"/>
    </xf>
    <xf numFmtId="49" fontId="41" fillId="34" borderId="39" xfId="5" applyNumberFormat="1" applyFont="1" applyFill="1" applyBorder="1" applyAlignment="1">
      <alignment horizontal="right" vertical="center" wrapText="1"/>
    </xf>
    <xf numFmtId="49" fontId="45" fillId="34" borderId="39" xfId="240" applyNumberFormat="1" applyFont="1" applyFill="1" applyBorder="1" applyAlignment="1">
      <alignment horizontal="right" vertical="center" wrapText="1"/>
    </xf>
    <xf numFmtId="49" fontId="45" fillId="34" borderId="39" xfId="5" applyNumberFormat="1" applyFont="1" applyFill="1" applyBorder="1" applyAlignment="1">
      <alignment horizontal="right" vertical="center" wrapText="1"/>
    </xf>
    <xf numFmtId="49" fontId="45" fillId="34" borderId="53" xfId="240" applyNumberFormat="1" applyFont="1" applyFill="1" applyBorder="1" applyAlignment="1">
      <alignment horizontal="right" vertical="center" wrapText="1"/>
    </xf>
    <xf numFmtId="4" fontId="49" fillId="34" borderId="53" xfId="240" applyNumberFormat="1" applyFont="1" applyFill="1" applyBorder="1" applyAlignment="1" applyProtection="1">
      <alignment horizontal="center" vertical="center" wrapText="1"/>
      <protection locked="0"/>
    </xf>
    <xf numFmtId="4" fontId="49" fillId="34" borderId="45" xfId="240" applyNumberFormat="1" applyFont="1" applyFill="1" applyBorder="1" applyAlignment="1" applyProtection="1">
      <alignment horizontal="center" vertical="center" wrapText="1"/>
      <protection locked="0"/>
    </xf>
    <xf numFmtId="4" fontId="49" fillId="34" borderId="54" xfId="240" applyNumberFormat="1" applyFont="1" applyFill="1" applyBorder="1" applyAlignment="1" applyProtection="1">
      <alignment horizontal="center" vertical="center" wrapText="1"/>
      <protection locked="0"/>
    </xf>
    <xf numFmtId="4" fontId="49" fillId="34" borderId="44" xfId="240" applyNumberFormat="1" applyFont="1" applyFill="1" applyBorder="1" applyAlignment="1" applyProtection="1">
      <alignment horizontal="center" vertical="center" wrapText="1"/>
      <protection locked="0"/>
    </xf>
    <xf numFmtId="4" fontId="49" fillId="34" borderId="46" xfId="240" applyNumberFormat="1" applyFont="1" applyFill="1" applyBorder="1" applyAlignment="1" applyProtection="1">
      <alignment horizontal="center" vertical="center" wrapText="1"/>
      <protection locked="0"/>
    </xf>
    <xf numFmtId="49" fontId="45" fillId="34" borderId="0" xfId="240" applyNumberFormat="1" applyFont="1" applyFill="1" applyAlignment="1">
      <alignment horizontal="right" vertical="center" wrapText="1"/>
    </xf>
    <xf numFmtId="0" fontId="45" fillId="34" borderId="5" xfId="0" applyFont="1" applyFill="1" applyBorder="1" applyAlignment="1">
      <alignment vertical="center" wrapText="1"/>
    </xf>
    <xf numFmtId="0" fontId="45" fillId="34" borderId="0" xfId="240" applyFont="1" applyFill="1" applyAlignment="1">
      <alignment horizontal="center" vertical="center" wrapText="1"/>
    </xf>
    <xf numFmtId="4" fontId="49" fillId="34" borderId="0" xfId="240" applyNumberFormat="1" applyFont="1" applyFill="1" applyAlignment="1" applyProtection="1">
      <alignment horizontal="center" vertical="center" wrapText="1"/>
      <protection locked="0"/>
    </xf>
    <xf numFmtId="49" fontId="41" fillId="34" borderId="0" xfId="240" applyNumberFormat="1" applyFont="1" applyFill="1" applyAlignment="1">
      <alignment horizontal="right" vertical="center" wrapText="1"/>
    </xf>
    <xf numFmtId="49" fontId="28" fillId="34" borderId="0" xfId="240" applyNumberFormat="1" applyFill="1"/>
    <xf numFmtId="49" fontId="44" fillId="34" borderId="0" xfId="240" applyNumberFormat="1" applyFont="1" applyFill="1"/>
    <xf numFmtId="0" fontId="44" fillId="34" borderId="0" xfId="240" applyFont="1" applyFill="1" applyAlignment="1">
      <alignment horizontal="center"/>
    </xf>
    <xf numFmtId="0" fontId="41" fillId="34" borderId="40" xfId="240" applyFont="1" applyFill="1" applyBorder="1" applyAlignment="1">
      <alignment horizontal="center" vertical="center" wrapText="1"/>
    </xf>
    <xf numFmtId="0" fontId="45" fillId="34" borderId="40" xfId="240" applyFont="1" applyFill="1" applyBorder="1" applyAlignment="1">
      <alignment horizontal="center" vertical="center" wrapText="1"/>
    </xf>
    <xf numFmtId="4" fontId="48" fillId="34" borderId="73" xfId="240" applyNumberFormat="1" applyFont="1" applyFill="1" applyBorder="1" applyAlignment="1" applyProtection="1">
      <alignment horizontal="center" vertical="center" wrapText="1"/>
      <protection locked="0"/>
    </xf>
    <xf numFmtId="4" fontId="49" fillId="34" borderId="73" xfId="240" applyNumberFormat="1" applyFont="1" applyFill="1" applyBorder="1" applyAlignment="1" applyProtection="1">
      <alignment horizontal="center" vertical="center" wrapText="1"/>
      <protection locked="0"/>
    </xf>
    <xf numFmtId="4" fontId="48" fillId="34" borderId="73" xfId="240" applyNumberFormat="1" applyFont="1" applyFill="1" applyBorder="1" applyAlignment="1">
      <alignment horizontal="center" vertical="center" wrapText="1"/>
    </xf>
    <xf numFmtId="4" fontId="49" fillId="34" borderId="38" xfId="240" applyNumberFormat="1" applyFont="1" applyFill="1" applyBorder="1" applyAlignment="1">
      <alignment horizontal="center" vertical="center" wrapText="1"/>
    </xf>
    <xf numFmtId="4" fontId="48" fillId="34" borderId="41" xfId="240" applyNumberFormat="1" applyFont="1" applyFill="1" applyBorder="1" applyAlignment="1">
      <alignment horizontal="center" vertical="center" wrapText="1"/>
    </xf>
    <xf numFmtId="4" fontId="49" fillId="34" borderId="8" xfId="240" applyNumberFormat="1" applyFont="1" applyFill="1" applyBorder="1" applyAlignment="1">
      <alignment horizontal="center" vertical="center" wrapText="1"/>
    </xf>
    <xf numFmtId="4" fontId="49" fillId="34" borderId="73" xfId="240" applyNumberFormat="1" applyFont="1" applyFill="1" applyBorder="1" applyAlignment="1">
      <alignment horizontal="center" vertical="center" wrapText="1"/>
    </xf>
    <xf numFmtId="180" fontId="48" fillId="34" borderId="73" xfId="240" applyNumberFormat="1" applyFont="1" applyFill="1" applyBorder="1" applyAlignment="1">
      <alignment horizontal="center" vertical="center" wrapText="1"/>
    </xf>
    <xf numFmtId="0" fontId="114" fillId="34" borderId="0" xfId="240" applyFont="1" applyFill="1"/>
    <xf numFmtId="4" fontId="28" fillId="34" borderId="0" xfId="240" applyNumberFormat="1" applyFill="1"/>
    <xf numFmtId="0" fontId="36" fillId="34" borderId="0" xfId="240" applyFont="1" applyFill="1"/>
    <xf numFmtId="4" fontId="137" fillId="34" borderId="0" xfId="0" applyNumberFormat="1" applyFont="1" applyFill="1" applyAlignment="1">
      <alignment horizontal="right" vertical="center" wrapText="1"/>
    </xf>
    <xf numFmtId="191" fontId="137" fillId="34" borderId="0" xfId="0" applyNumberFormat="1" applyFont="1" applyFill="1" applyAlignment="1">
      <alignment horizontal="right" vertical="center" wrapText="1"/>
    </xf>
    <xf numFmtId="2" fontId="186" fillId="34" borderId="0" xfId="0" applyNumberFormat="1" applyFont="1" applyFill="1"/>
    <xf numFmtId="191" fontId="36" fillId="34" borderId="0" xfId="240" applyNumberFormat="1" applyFont="1" applyFill="1"/>
    <xf numFmtId="0" fontId="40" fillId="34" borderId="0" xfId="240" applyFont="1" applyFill="1" applyAlignment="1">
      <alignment vertical="top" wrapText="1"/>
    </xf>
    <xf numFmtId="0" fontId="40" fillId="34" borderId="4" xfId="240" applyFont="1" applyFill="1" applyBorder="1" applyAlignment="1">
      <alignment vertical="center" wrapText="1"/>
    </xf>
    <xf numFmtId="0" fontId="40" fillId="34" borderId="79" xfId="0" applyFont="1" applyFill="1" applyBorder="1" applyAlignment="1">
      <alignment vertical="center" wrapText="1"/>
    </xf>
    <xf numFmtId="0" fontId="46" fillId="34" borderId="3" xfId="240" applyFont="1" applyFill="1" applyBorder="1" applyAlignment="1">
      <alignment vertical="center" wrapText="1"/>
    </xf>
    <xf numFmtId="0" fontId="40" fillId="34" borderId="1" xfId="240" applyFont="1" applyFill="1" applyBorder="1" applyAlignment="1">
      <alignment vertical="center" wrapText="1"/>
    </xf>
    <xf numFmtId="0" fontId="40" fillId="34" borderId="79" xfId="240" applyFont="1" applyFill="1" applyBorder="1" applyAlignment="1">
      <alignment vertical="center" wrapText="1"/>
    </xf>
    <xf numFmtId="0" fontId="46" fillId="34" borderId="1" xfId="240" applyFont="1" applyFill="1" applyBorder="1" applyAlignment="1">
      <alignment vertical="center" wrapText="1"/>
    </xf>
    <xf numFmtId="0" fontId="40" fillId="34" borderId="3" xfId="240" applyFont="1" applyFill="1" applyBorder="1" applyAlignment="1">
      <alignment vertical="center" wrapText="1"/>
    </xf>
    <xf numFmtId="0" fontId="41" fillId="34" borderId="0" xfId="240" applyFont="1" applyFill="1" applyAlignment="1">
      <alignment vertical="center"/>
    </xf>
    <xf numFmtId="0" fontId="41" fillId="34" borderId="0" xfId="240" applyFont="1" applyFill="1"/>
    <xf numFmtId="0" fontId="28" fillId="34" borderId="0" xfId="240" applyFill="1" applyProtection="1">
      <protection locked="0"/>
    </xf>
    <xf numFmtId="0" fontId="40" fillId="34" borderId="1" xfId="0" applyFont="1" applyFill="1" applyBorder="1"/>
    <xf numFmtId="49" fontId="43" fillId="34" borderId="0" xfId="240" applyNumberFormat="1" applyFont="1" applyFill="1" applyAlignment="1">
      <alignment horizontal="center"/>
    </xf>
    <xf numFmtId="0" fontId="43" fillId="34" borderId="0" xfId="240" applyFont="1" applyFill="1" applyAlignment="1">
      <alignment horizontal="center"/>
    </xf>
    <xf numFmtId="0" fontId="40" fillId="34" borderId="0" xfId="240" applyFont="1" applyFill="1" applyAlignment="1">
      <alignment horizontal="center"/>
    </xf>
    <xf numFmtId="0" fontId="28" fillId="34" borderId="0" xfId="240" applyFill="1" applyAlignment="1">
      <alignment horizontal="center"/>
    </xf>
    <xf numFmtId="49" fontId="42" fillId="34" borderId="0" xfId="240" applyNumberFormat="1" applyFont="1" applyFill="1" applyProtection="1">
      <protection locked="0"/>
    </xf>
    <xf numFmtId="0" fontId="42" fillId="34" borderId="0" xfId="240" applyFont="1" applyFill="1" applyProtection="1">
      <protection locked="0"/>
    </xf>
    <xf numFmtId="0" fontId="42" fillId="34" borderId="0" xfId="0" applyFont="1" applyFill="1" applyAlignment="1">
      <alignment vertical="top" wrapText="1"/>
    </xf>
    <xf numFmtId="0" fontId="103" fillId="34" borderId="0" xfId="5" applyFont="1" applyFill="1" applyAlignment="1">
      <alignment vertical="center" wrapText="1"/>
    </xf>
    <xf numFmtId="49" fontId="54" fillId="34" borderId="51" xfId="5" applyNumberFormat="1" applyFont="1" applyFill="1" applyBorder="1" applyAlignment="1">
      <alignment horizontal="center" vertical="center" wrapText="1"/>
    </xf>
    <xf numFmtId="0" fontId="42" fillId="34" borderId="79" xfId="6" applyFont="1" applyFill="1" applyBorder="1" applyAlignment="1">
      <alignment horizontal="center" vertical="center" wrapText="1"/>
    </xf>
    <xf numFmtId="0" fontId="42" fillId="34" borderId="1" xfId="6" applyFont="1" applyFill="1" applyBorder="1" applyAlignment="1">
      <alignment horizontal="center" vertical="center"/>
    </xf>
    <xf numFmtId="2" fontId="50" fillId="34" borderId="1" xfId="6" applyNumberFormat="1" applyFont="1" applyFill="1" applyBorder="1" applyAlignment="1">
      <alignment horizontal="center" vertical="center" wrapText="1"/>
    </xf>
    <xf numFmtId="0" fontId="42" fillId="34" borderId="1" xfId="6" applyFont="1" applyFill="1" applyBorder="1" applyAlignment="1">
      <alignment horizontal="left" vertical="center" wrapText="1"/>
    </xf>
    <xf numFmtId="175" fontId="50" fillId="34" borderId="1" xfId="6" applyNumberFormat="1" applyFont="1" applyFill="1" applyBorder="1" applyAlignment="1">
      <alignment horizontal="center" vertical="center" wrapText="1"/>
    </xf>
    <xf numFmtId="2" fontId="212" fillId="34" borderId="1" xfId="6" applyNumberFormat="1" applyFont="1" applyFill="1" applyBorder="1" applyAlignment="1">
      <alignment horizontal="center" vertical="center" wrapText="1"/>
    </xf>
    <xf numFmtId="0" fontId="50" fillId="34" borderId="1" xfId="6" applyFont="1" applyFill="1" applyBorder="1" applyAlignment="1">
      <alignment horizontal="center" vertical="center"/>
    </xf>
    <xf numFmtId="2" fontId="212" fillId="34" borderId="1" xfId="6" applyNumberFormat="1" applyFont="1" applyFill="1" applyBorder="1" applyAlignment="1">
      <alignment horizontal="center" vertical="center"/>
    </xf>
    <xf numFmtId="2" fontId="213" fillId="34" borderId="1" xfId="6" applyNumberFormat="1" applyFont="1" applyFill="1" applyBorder="1" applyAlignment="1">
      <alignment horizontal="center" vertical="center"/>
    </xf>
    <xf numFmtId="0" fontId="40" fillId="34" borderId="1" xfId="0" applyFont="1" applyFill="1" applyBorder="1" applyAlignment="1">
      <alignment horizontal="center"/>
    </xf>
    <xf numFmtId="2" fontId="50" fillId="34" borderId="1" xfId="6" applyNumberFormat="1" applyFont="1" applyFill="1" applyBorder="1" applyAlignment="1">
      <alignment horizontal="center" vertical="center"/>
    </xf>
    <xf numFmtId="179" fontId="50" fillId="34" borderId="1" xfId="6" applyNumberFormat="1" applyFont="1" applyFill="1" applyBorder="1" applyAlignment="1">
      <alignment horizontal="center" vertical="center"/>
    </xf>
    <xf numFmtId="177" fontId="212" fillId="34" borderId="1" xfId="6" applyNumberFormat="1" applyFont="1" applyFill="1" applyBorder="1" applyAlignment="1">
      <alignment horizontal="center" vertical="center"/>
    </xf>
    <xf numFmtId="2" fontId="214" fillId="34" borderId="1" xfId="6" applyNumberFormat="1" applyFont="1" applyFill="1" applyBorder="1" applyAlignment="1">
      <alignment horizontal="center" vertical="center"/>
    </xf>
    <xf numFmtId="0" fontId="42" fillId="34" borderId="8" xfId="6" applyFont="1" applyFill="1" applyBorder="1" applyAlignment="1">
      <alignment horizontal="center" vertical="center" wrapText="1"/>
    </xf>
    <xf numFmtId="2" fontId="42" fillId="34" borderId="7" xfId="6" applyNumberFormat="1" applyFont="1" applyFill="1" applyBorder="1" applyAlignment="1">
      <alignment horizontal="center" vertical="center"/>
    </xf>
    <xf numFmtId="2" fontId="42" fillId="34" borderId="1" xfId="6" applyNumberFormat="1" applyFont="1" applyFill="1" applyBorder="1" applyAlignment="1">
      <alignment horizontal="center" vertical="center"/>
    </xf>
    <xf numFmtId="0" fontId="42" fillId="34" borderId="1" xfId="6" applyFont="1" applyFill="1" applyBorder="1" applyAlignment="1">
      <alignment horizontal="left" vertical="center" wrapText="1" indent="1"/>
    </xf>
    <xf numFmtId="2" fontId="42" fillId="34" borderId="3" xfId="6" applyNumberFormat="1" applyFont="1" applyFill="1" applyBorder="1" applyAlignment="1">
      <alignment horizontal="center" vertical="center"/>
    </xf>
    <xf numFmtId="177" fontId="42" fillId="34" borderId="1" xfId="6" applyNumberFormat="1" applyFont="1" applyFill="1" applyBorder="1" applyAlignment="1">
      <alignment horizontal="center" vertical="center"/>
    </xf>
    <xf numFmtId="177" fontId="213" fillId="34" borderId="1" xfId="6" applyNumberFormat="1" applyFont="1" applyFill="1" applyBorder="1" applyAlignment="1">
      <alignment horizontal="center" vertical="center"/>
    </xf>
    <xf numFmtId="175" fontId="214" fillId="34" borderId="1" xfId="6" applyNumberFormat="1" applyFont="1" applyFill="1" applyBorder="1" applyAlignment="1">
      <alignment horizontal="center" vertical="center"/>
    </xf>
    <xf numFmtId="0" fontId="96" fillId="34" borderId="0" xfId="6" applyFont="1" applyFill="1" applyAlignment="1">
      <alignment vertical="center" wrapText="1"/>
    </xf>
    <xf numFmtId="0" fontId="42" fillId="34" borderId="0" xfId="6" applyFont="1" applyFill="1" applyAlignment="1">
      <alignment horizontal="center" vertical="center"/>
    </xf>
    <xf numFmtId="0" fontId="42" fillId="34" borderId="0" xfId="6" applyFont="1" applyFill="1" applyAlignment="1">
      <alignment vertical="center" wrapText="1"/>
    </xf>
    <xf numFmtId="0" fontId="43" fillId="34" borderId="0" xfId="0" applyFont="1" applyFill="1" applyAlignment="1">
      <alignment vertical="center"/>
    </xf>
    <xf numFmtId="0" fontId="40" fillId="34" borderId="1" xfId="0" applyFont="1" applyFill="1" applyBorder="1" applyAlignment="1">
      <alignment horizontal="center" vertical="center"/>
    </xf>
    <xf numFmtId="49" fontId="43" fillId="34" borderId="0" xfId="6" applyNumberFormat="1" applyFont="1" applyFill="1"/>
    <xf numFmtId="49" fontId="52" fillId="34" borderId="0" xfId="6" applyNumberFormat="1" applyFont="1" applyFill="1"/>
    <xf numFmtId="0" fontId="52" fillId="34" borderId="0" xfId="6" applyFont="1" applyFill="1"/>
    <xf numFmtId="0" fontId="103" fillId="34" borderId="0" xfId="6" applyFont="1" applyFill="1" applyAlignment="1">
      <alignment horizontal="center" wrapText="1"/>
    </xf>
    <xf numFmtId="0" fontId="43" fillId="34" borderId="0" xfId="6" applyFont="1" applyFill="1" applyAlignment="1">
      <alignment horizontal="center" wrapText="1"/>
    </xf>
    <xf numFmtId="0" fontId="43" fillId="34" borderId="0" xfId="6" applyFont="1" applyFill="1" applyAlignment="1">
      <alignment horizontal="center" vertical="top" wrapText="1"/>
    </xf>
    <xf numFmtId="0" fontId="43" fillId="34" borderId="0" xfId="6" applyFont="1" applyFill="1" applyAlignment="1">
      <alignment vertical="top" wrapText="1"/>
    </xf>
    <xf numFmtId="49" fontId="43" fillId="34" borderId="0" xfId="0" applyNumberFormat="1" applyFont="1" applyFill="1"/>
    <xf numFmtId="0" fontId="115" fillId="34" borderId="0" xfId="0" applyFont="1" applyFill="1"/>
    <xf numFmtId="1" fontId="43" fillId="34" borderId="0" xfId="0" applyNumberFormat="1" applyFont="1" applyFill="1"/>
    <xf numFmtId="0" fontId="43" fillId="34" borderId="8" xfId="0" applyFont="1" applyFill="1" applyBorder="1" applyAlignment="1">
      <alignment horizontal="center" vertical="center" wrapText="1"/>
    </xf>
    <xf numFmtId="49" fontId="43" fillId="34" borderId="39" xfId="0" applyNumberFormat="1" applyFont="1" applyFill="1" applyBorder="1" applyAlignment="1">
      <alignment horizontal="center" vertical="top" wrapText="1"/>
    </xf>
    <xf numFmtId="0" fontId="43" fillId="34" borderId="8" xfId="0" applyFont="1" applyFill="1" applyBorder="1" applyAlignment="1">
      <alignment vertical="center" wrapText="1"/>
    </xf>
    <xf numFmtId="1" fontId="43" fillId="34" borderId="40" xfId="0" applyNumberFormat="1" applyFont="1" applyFill="1" applyBorder="1" applyAlignment="1">
      <alignment horizontal="center" vertical="center" wrapText="1"/>
    </xf>
    <xf numFmtId="1" fontId="0" fillId="34" borderId="0" xfId="0" applyNumberFormat="1" applyFill="1"/>
    <xf numFmtId="0" fontId="43" fillId="34" borderId="138" xfId="0" applyFont="1" applyFill="1" applyBorder="1" applyAlignment="1">
      <alignment vertical="center" wrapText="1"/>
    </xf>
    <xf numFmtId="2" fontId="0" fillId="34" borderId="0" xfId="0" applyNumberFormat="1" applyFill="1" applyAlignment="1">
      <alignment horizontal="center"/>
    </xf>
    <xf numFmtId="177" fontId="43" fillId="34" borderId="39" xfId="0" applyNumberFormat="1" applyFont="1" applyFill="1" applyBorder="1" applyAlignment="1">
      <alignment horizontal="center" vertical="center" wrapText="1"/>
    </xf>
    <xf numFmtId="177" fontId="43" fillId="34" borderId="8" xfId="0" applyNumberFormat="1" applyFont="1" applyFill="1" applyBorder="1" applyAlignment="1">
      <alignment horizontal="center" vertical="center" wrapText="1"/>
    </xf>
    <xf numFmtId="177" fontId="43" fillId="34" borderId="40" xfId="0" applyNumberFormat="1" applyFont="1" applyFill="1" applyBorder="1" applyAlignment="1">
      <alignment horizontal="center" vertical="center" wrapText="1"/>
    </xf>
    <xf numFmtId="175" fontId="43" fillId="34" borderId="39" xfId="0" applyNumberFormat="1" applyFont="1" applyFill="1" applyBorder="1" applyAlignment="1">
      <alignment horizontal="center" vertical="center" wrapText="1"/>
    </xf>
    <xf numFmtId="175" fontId="43" fillId="34" borderId="1" xfId="0" applyNumberFormat="1" applyFont="1" applyFill="1" applyBorder="1" applyAlignment="1">
      <alignment horizontal="center" vertical="center" wrapText="1"/>
    </xf>
    <xf numFmtId="175" fontId="43" fillId="34" borderId="40" xfId="0" applyNumberFormat="1" applyFont="1" applyFill="1" applyBorder="1" applyAlignment="1">
      <alignment horizontal="center" vertical="center" wrapText="1"/>
    </xf>
    <xf numFmtId="0" fontId="0" fillId="34" borderId="0" xfId="0" applyFill="1" applyAlignment="1">
      <alignment horizontal="left"/>
    </xf>
    <xf numFmtId="179" fontId="0" fillId="34" borderId="0" xfId="0" applyNumberFormat="1" applyFill="1"/>
    <xf numFmtId="49" fontId="43" fillId="34" borderId="44" xfId="0" applyNumberFormat="1" applyFont="1" applyFill="1" applyBorder="1" applyAlignment="1">
      <alignment horizontal="center" vertical="top" wrapText="1"/>
    </xf>
    <xf numFmtId="0" fontId="43" fillId="34" borderId="55" xfId="0" applyFont="1" applyFill="1" applyBorder="1" applyAlignment="1">
      <alignment vertical="center" wrapText="1"/>
    </xf>
    <xf numFmtId="49" fontId="0" fillId="34" borderId="0" xfId="0" applyNumberFormat="1" applyFill="1"/>
    <xf numFmtId="0" fontId="43" fillId="34" borderId="0" xfId="0" applyFont="1" applyFill="1" applyAlignment="1">
      <alignment vertical="center" wrapText="1"/>
    </xf>
    <xf numFmtId="0" fontId="43" fillId="34" borderId="0" xfId="0" applyFont="1" applyFill="1" applyAlignment="1">
      <alignment horizontal="left" vertical="center" wrapText="1"/>
    </xf>
    <xf numFmtId="0" fontId="44" fillId="34" borderId="0" xfId="0" applyFont="1" applyFill="1" applyAlignment="1">
      <alignment horizontal="center" vertical="center" wrapText="1"/>
    </xf>
    <xf numFmtId="49" fontId="43" fillId="34" borderId="39" xfId="0" applyNumberFormat="1" applyFont="1" applyFill="1" applyBorder="1" applyAlignment="1">
      <alignment horizontal="center" vertical="center" wrapText="1"/>
    </xf>
    <xf numFmtId="0" fontId="136" fillId="34" borderId="1" xfId="556" applyFont="1" applyFill="1" applyBorder="1" applyAlignment="1">
      <alignment horizontal="center" vertical="center" wrapText="1"/>
    </xf>
    <xf numFmtId="0" fontId="42" fillId="34" borderId="0" xfId="240" applyFont="1" applyFill="1" applyAlignment="1">
      <alignment wrapText="1"/>
    </xf>
    <xf numFmtId="0" fontId="133" fillId="0" borderId="0" xfId="124" applyFont="1" applyAlignment="1">
      <alignment horizontal="right"/>
    </xf>
    <xf numFmtId="0" fontId="133" fillId="0" borderId="0" xfId="124" applyFont="1"/>
    <xf numFmtId="0" fontId="145" fillId="0" borderId="0" xfId="124" applyFont="1"/>
    <xf numFmtId="0" fontId="133" fillId="0" borderId="57" xfId="124" applyFont="1" applyBorder="1" applyAlignment="1">
      <alignment wrapText="1"/>
    </xf>
    <xf numFmtId="0" fontId="133" fillId="0" borderId="1" xfId="124" applyFont="1" applyBorder="1"/>
    <xf numFmtId="0" fontId="133" fillId="34" borderId="1" xfId="124" applyFont="1" applyFill="1" applyBorder="1" applyAlignment="1">
      <alignment horizontal="center"/>
    </xf>
    <xf numFmtId="0" fontId="133" fillId="35" borderId="1" xfId="124" applyFont="1" applyFill="1" applyBorder="1" applyAlignment="1">
      <alignment horizontal="center"/>
    </xf>
    <xf numFmtId="0" fontId="236" fillId="34" borderId="1" xfId="124" applyFont="1" applyFill="1" applyBorder="1" applyAlignment="1">
      <alignment horizontal="left"/>
    </xf>
    <xf numFmtId="1" fontId="133" fillId="34" borderId="1" xfId="124" applyNumberFormat="1" applyFont="1" applyFill="1" applyBorder="1" applyProtection="1">
      <protection locked="0"/>
    </xf>
    <xf numFmtId="0" fontId="236" fillId="34" borderId="1" xfId="124" applyFont="1" applyFill="1" applyBorder="1" applyProtection="1">
      <protection locked="0"/>
    </xf>
    <xf numFmtId="0" fontId="236" fillId="34" borderId="1" xfId="124" applyFont="1" applyFill="1" applyBorder="1"/>
    <xf numFmtId="1" fontId="236" fillId="34" borderId="1" xfId="124" applyNumberFormat="1" applyFont="1" applyFill="1" applyBorder="1" applyProtection="1">
      <protection locked="0"/>
    </xf>
    <xf numFmtId="0" fontId="133" fillId="34" borderId="1" xfId="124" applyFont="1" applyFill="1" applyBorder="1"/>
    <xf numFmtId="0" fontId="133" fillId="34" borderId="1" xfId="124" applyFont="1" applyFill="1" applyBorder="1" applyProtection="1">
      <protection locked="0"/>
    </xf>
    <xf numFmtId="177" fontId="133" fillId="34" borderId="1" xfId="124" applyNumberFormat="1" applyFont="1" applyFill="1" applyBorder="1"/>
    <xf numFmtId="1" fontId="133" fillId="34" borderId="1" xfId="124" applyNumberFormat="1" applyFont="1" applyFill="1" applyBorder="1"/>
    <xf numFmtId="0" fontId="236" fillId="62" borderId="1" xfId="0" applyFont="1" applyFill="1" applyBorder="1" applyAlignment="1">
      <alignment horizontal="left"/>
    </xf>
    <xf numFmtId="170" fontId="133" fillId="34" borderId="1" xfId="124" applyNumberFormat="1" applyFont="1" applyFill="1" applyBorder="1"/>
    <xf numFmtId="0" fontId="133" fillId="34" borderId="1" xfId="124" applyFont="1" applyFill="1" applyBorder="1" applyAlignment="1">
      <alignment wrapText="1"/>
    </xf>
    <xf numFmtId="2" fontId="133" fillId="34" borderId="1" xfId="124" applyNumberFormat="1" applyFont="1" applyFill="1" applyBorder="1"/>
    <xf numFmtId="2" fontId="133" fillId="34" borderId="1" xfId="124" applyNumberFormat="1" applyFont="1" applyFill="1" applyBorder="1" applyAlignment="1">
      <alignment horizontal="right"/>
    </xf>
    <xf numFmtId="0" fontId="198" fillId="34" borderId="1" xfId="124" applyFont="1" applyFill="1" applyBorder="1"/>
    <xf numFmtId="2" fontId="266" fillId="34" borderId="1" xfId="124" applyNumberFormat="1" applyFont="1" applyFill="1" applyBorder="1"/>
    <xf numFmtId="170" fontId="198" fillId="34" borderId="1" xfId="124" applyNumberFormat="1" applyFont="1" applyFill="1" applyBorder="1" applyProtection="1">
      <protection locked="0"/>
    </xf>
    <xf numFmtId="170" fontId="236" fillId="34" borderId="1" xfId="124" applyNumberFormat="1" applyFont="1" applyFill="1" applyBorder="1" applyProtection="1">
      <protection locked="0"/>
    </xf>
    <xf numFmtId="0" fontId="198" fillId="34" borderId="1" xfId="124" applyFont="1" applyFill="1" applyBorder="1" applyProtection="1">
      <protection locked="0"/>
    </xf>
    <xf numFmtId="175" fontId="198" fillId="34" borderId="1" xfId="124" applyNumberFormat="1" applyFont="1" applyFill="1" applyBorder="1"/>
    <xf numFmtId="2" fontId="133" fillId="34" borderId="1" xfId="124" applyNumberFormat="1" applyFont="1" applyFill="1" applyBorder="1" applyProtection="1">
      <protection locked="0"/>
    </xf>
    <xf numFmtId="175" fontId="133" fillId="34" borderId="1" xfId="124" applyNumberFormat="1" applyFont="1" applyFill="1" applyBorder="1"/>
    <xf numFmtId="170" fontId="133" fillId="34" borderId="1" xfId="124" applyNumberFormat="1" applyFont="1" applyFill="1" applyBorder="1" applyProtection="1">
      <protection locked="0"/>
    </xf>
    <xf numFmtId="170" fontId="236" fillId="34" borderId="0" xfId="124" applyNumberFormat="1" applyFont="1" applyFill="1" applyProtection="1">
      <protection locked="0"/>
    </xf>
    <xf numFmtId="177" fontId="133" fillId="34" borderId="0" xfId="124" applyNumberFormat="1" applyFont="1" applyFill="1"/>
    <xf numFmtId="0" fontId="133" fillId="34" borderId="57" xfId="124" applyFont="1" applyFill="1" applyBorder="1"/>
    <xf numFmtId="0" fontId="133" fillId="34" borderId="39" xfId="124" applyFont="1" applyFill="1" applyBorder="1"/>
    <xf numFmtId="0" fontId="133" fillId="0" borderId="1" xfId="124" applyFont="1" applyBorder="1" applyAlignment="1">
      <alignment horizontal="center"/>
    </xf>
    <xf numFmtId="0" fontId="153" fillId="34" borderId="39" xfId="124" applyFont="1" applyFill="1" applyBorder="1"/>
    <xf numFmtId="2" fontId="133" fillId="34" borderId="1" xfId="124" applyNumberFormat="1" applyFont="1" applyFill="1" applyBorder="1" applyAlignment="1">
      <alignment horizontal="center"/>
    </xf>
    <xf numFmtId="1" fontId="266" fillId="34" borderId="40" xfId="124" applyNumberFormat="1" applyFont="1" applyFill="1" applyBorder="1"/>
    <xf numFmtId="2" fontId="266" fillId="34" borderId="40" xfId="124" applyNumberFormat="1" applyFont="1" applyFill="1" applyBorder="1"/>
    <xf numFmtId="0" fontId="153" fillId="34" borderId="1" xfId="124" applyFont="1" applyFill="1" applyBorder="1" applyAlignment="1">
      <alignment wrapText="1"/>
    </xf>
    <xf numFmtId="0" fontId="153" fillId="34" borderId="40" xfId="124" applyFont="1" applyFill="1" applyBorder="1" applyAlignment="1">
      <alignment wrapText="1"/>
    </xf>
    <xf numFmtId="0" fontId="134" fillId="0" borderId="0" xfId="124" applyFont="1"/>
    <xf numFmtId="0" fontId="184" fillId="34" borderId="0" xfId="0" applyFont="1" applyFill="1"/>
    <xf numFmtId="0" fontId="43" fillId="34" borderId="35" xfId="0" applyFont="1" applyFill="1" applyBorder="1"/>
    <xf numFmtId="0" fontId="43" fillId="34" borderId="60" xfId="0" applyFont="1" applyFill="1" applyBorder="1" applyAlignment="1">
      <alignment horizontal="center"/>
    </xf>
    <xf numFmtId="0" fontId="43" fillId="34" borderId="61" xfId="0" applyFont="1" applyFill="1" applyBorder="1" applyAlignment="1">
      <alignment wrapText="1"/>
    </xf>
    <xf numFmtId="0" fontId="52" fillId="34" borderId="61" xfId="0" applyFont="1" applyFill="1" applyBorder="1" applyAlignment="1">
      <alignment horizontal="center" wrapText="1"/>
    </xf>
    <xf numFmtId="0" fontId="52" fillId="34" borderId="62" xfId="0" applyFont="1" applyFill="1" applyBorder="1" applyAlignment="1">
      <alignment horizontal="center" wrapText="1"/>
    </xf>
    <xf numFmtId="0" fontId="43" fillId="34" borderId="0" xfId="0" applyFont="1" applyFill="1" applyAlignment="1">
      <alignment horizontal="center"/>
    </xf>
    <xf numFmtId="0" fontId="43" fillId="34" borderId="39" xfId="0" applyFont="1" applyFill="1" applyBorder="1" applyAlignment="1">
      <alignment horizontal="left" wrapText="1"/>
    </xf>
    <xf numFmtId="170" fontId="43" fillId="34" borderId="1" xfId="0" applyNumberFormat="1" applyFont="1" applyFill="1" applyBorder="1" applyAlignment="1">
      <alignment horizontal="center"/>
    </xf>
    <xf numFmtId="170" fontId="43" fillId="34" borderId="40" xfId="0" applyNumberFormat="1" applyFont="1" applyFill="1" applyBorder="1" applyAlignment="1">
      <alignment horizontal="center"/>
    </xf>
    <xf numFmtId="2" fontId="43" fillId="34" borderId="1" xfId="0" applyNumberFormat="1" applyFont="1" applyFill="1" applyBorder="1" applyAlignment="1">
      <alignment horizontal="center"/>
    </xf>
    <xf numFmtId="0" fontId="43" fillId="34" borderId="1" xfId="0" applyFont="1" applyFill="1" applyBorder="1" applyAlignment="1">
      <alignment horizontal="center"/>
    </xf>
    <xf numFmtId="0" fontId="43" fillId="34" borderId="40" xfId="0" applyFont="1" applyFill="1" applyBorder="1" applyAlignment="1">
      <alignment horizontal="center"/>
    </xf>
    <xf numFmtId="0" fontId="43" fillId="34" borderId="39" xfId="0" applyFont="1" applyFill="1" applyBorder="1" applyAlignment="1">
      <alignment wrapText="1"/>
    </xf>
    <xf numFmtId="2" fontId="43" fillId="34" borderId="40" xfId="0" applyNumberFormat="1" applyFont="1" applyFill="1" applyBorder="1" applyAlignment="1">
      <alignment horizontal="center"/>
    </xf>
    <xf numFmtId="0" fontId="43" fillId="34" borderId="41" xfId="0" applyFont="1" applyFill="1" applyBorder="1" applyAlignment="1">
      <alignment wrapText="1"/>
    </xf>
    <xf numFmtId="2" fontId="43" fillId="34" borderId="79" xfId="0" applyNumberFormat="1" applyFont="1" applyFill="1" applyBorder="1" applyAlignment="1">
      <alignment horizontal="center"/>
    </xf>
    <xf numFmtId="2" fontId="43" fillId="34" borderId="47" xfId="0" applyNumberFormat="1" applyFont="1" applyFill="1" applyBorder="1" applyAlignment="1">
      <alignment horizontal="center"/>
    </xf>
    <xf numFmtId="0" fontId="43" fillId="34" borderId="44" xfId="0" applyFont="1" applyFill="1" applyBorder="1" applyAlignment="1">
      <alignment wrapText="1"/>
    </xf>
    <xf numFmtId="0" fontId="43" fillId="34" borderId="45" xfId="0" applyFont="1" applyFill="1" applyBorder="1" applyAlignment="1">
      <alignment horizontal="center"/>
    </xf>
    <xf numFmtId="0" fontId="43" fillId="34" borderId="45" xfId="0" applyFont="1" applyFill="1" applyBorder="1"/>
    <xf numFmtId="0" fontId="43" fillId="34" borderId="46" xfId="0" applyFont="1" applyFill="1" applyBorder="1"/>
    <xf numFmtId="0" fontId="52" fillId="34" borderId="66" xfId="0" applyFont="1" applyFill="1" applyBorder="1" applyAlignment="1">
      <alignment wrapText="1"/>
    </xf>
    <xf numFmtId="179" fontId="52" fillId="34" borderId="65" xfId="0" applyNumberFormat="1" applyFont="1" applyFill="1" applyBorder="1"/>
    <xf numFmtId="179" fontId="52" fillId="34" borderId="90" xfId="0" applyNumberFormat="1" applyFont="1" applyFill="1" applyBorder="1"/>
    <xf numFmtId="0" fontId="131" fillId="34" borderId="0" xfId="0" applyFont="1" applyFill="1"/>
    <xf numFmtId="0" fontId="52" fillId="34" borderId="67" xfId="0" applyFont="1" applyFill="1" applyBorder="1" applyAlignment="1">
      <alignment horizontal="left" wrapText="1" indent="1"/>
    </xf>
    <xf numFmtId="179" fontId="52" fillId="34" borderId="7" xfId="0" applyNumberFormat="1" applyFont="1" applyFill="1" applyBorder="1" applyAlignment="1">
      <alignment wrapText="1"/>
    </xf>
    <xf numFmtId="179" fontId="52" fillId="34" borderId="73" xfId="0" applyNumberFormat="1" applyFont="1" applyFill="1" applyBorder="1" applyAlignment="1">
      <alignment wrapText="1"/>
    </xf>
    <xf numFmtId="0" fontId="115" fillId="34" borderId="67" xfId="0" applyFont="1" applyFill="1" applyBorder="1" applyAlignment="1">
      <alignment horizontal="left" indent="2"/>
    </xf>
    <xf numFmtId="179" fontId="115" fillId="34" borderId="7" xfId="0" applyNumberFormat="1" applyFont="1" applyFill="1" applyBorder="1" applyAlignment="1">
      <alignment wrapText="1"/>
    </xf>
    <xf numFmtId="179" fontId="115" fillId="34" borderId="73" xfId="0" applyNumberFormat="1" applyFont="1" applyFill="1" applyBorder="1" applyAlignment="1">
      <alignment wrapText="1"/>
    </xf>
    <xf numFmtId="0" fontId="43" fillId="34" borderId="67" xfId="0" applyFont="1" applyFill="1" applyBorder="1" applyAlignment="1">
      <alignment horizontal="left" indent="3"/>
    </xf>
    <xf numFmtId="179" fontId="205" fillId="34" borderId="7" xfId="0" applyNumberFormat="1" applyFont="1" applyFill="1" applyBorder="1" applyAlignment="1">
      <alignment wrapText="1"/>
    </xf>
    <xf numFmtId="179" fontId="43" fillId="34" borderId="1" xfId="0" applyNumberFormat="1" applyFont="1" applyFill="1" applyBorder="1" applyAlignment="1">
      <alignment wrapText="1"/>
    </xf>
    <xf numFmtId="179" fontId="43" fillId="34" borderId="40" xfId="0" applyNumberFormat="1" applyFont="1" applyFill="1" applyBorder="1" applyAlignment="1">
      <alignment wrapText="1"/>
    </xf>
    <xf numFmtId="0" fontId="43" fillId="34" borderId="67" xfId="0" applyFont="1" applyFill="1" applyBorder="1" applyAlignment="1">
      <alignment horizontal="left" indent="4"/>
    </xf>
    <xf numFmtId="179" fontId="43" fillId="34" borderId="39" xfId="0" applyNumberFormat="1" applyFont="1" applyFill="1" applyBorder="1"/>
    <xf numFmtId="0" fontId="52" fillId="34" borderId="0" xfId="0" applyFont="1" applyFill="1" applyAlignment="1">
      <alignment horizontal="center"/>
    </xf>
    <xf numFmtId="181" fontId="52" fillId="34" borderId="0" xfId="0" applyNumberFormat="1" applyFont="1" applyFill="1" applyAlignment="1">
      <alignment horizontal="center"/>
    </xf>
    <xf numFmtId="182" fontId="0" fillId="34" borderId="0" xfId="0" applyNumberFormat="1" applyFill="1" applyAlignment="1">
      <alignment horizontal="center"/>
    </xf>
    <xf numFmtId="179" fontId="43" fillId="34" borderId="7" xfId="0" applyNumberFormat="1" applyFont="1" applyFill="1" applyBorder="1" applyAlignment="1">
      <alignment wrapText="1"/>
    </xf>
    <xf numFmtId="179" fontId="43" fillId="34" borderId="73" xfId="0" applyNumberFormat="1" applyFont="1" applyFill="1" applyBorder="1" applyAlignment="1">
      <alignment wrapText="1"/>
    </xf>
    <xf numFmtId="179" fontId="52" fillId="34" borderId="0" xfId="0" applyNumberFormat="1" applyFont="1" applyFill="1" applyAlignment="1">
      <alignment horizontal="center"/>
    </xf>
    <xf numFmtId="179" fontId="115" fillId="34" borderId="40" xfId="0" applyNumberFormat="1" applyFont="1" applyFill="1" applyBorder="1" applyAlignment="1">
      <alignment wrapText="1"/>
    </xf>
    <xf numFmtId="0" fontId="52" fillId="34" borderId="67" xfId="0" applyFont="1" applyFill="1" applyBorder="1" applyAlignment="1">
      <alignment horizontal="left" indent="1"/>
    </xf>
    <xf numFmtId="181" fontId="52" fillId="34" borderId="7" xfId="0" applyNumberFormat="1" applyFont="1" applyFill="1" applyBorder="1" applyAlignment="1">
      <alignment horizontal="right"/>
    </xf>
    <xf numFmtId="181" fontId="52" fillId="34" borderId="73" xfId="0" applyNumberFormat="1" applyFont="1" applyFill="1" applyBorder="1" applyAlignment="1">
      <alignment horizontal="right"/>
    </xf>
    <xf numFmtId="0" fontId="130" fillId="34" borderId="0" xfId="0" applyFont="1" applyFill="1"/>
    <xf numFmtId="181" fontId="115" fillId="34" borderId="7" xfId="0" applyNumberFormat="1" applyFont="1" applyFill="1" applyBorder="1" applyAlignment="1">
      <alignment horizontal="right"/>
    </xf>
    <xf numFmtId="181" fontId="115" fillId="34" borderId="73" xfId="0" applyNumberFormat="1" applyFont="1" applyFill="1" applyBorder="1" applyAlignment="1">
      <alignment horizontal="right"/>
    </xf>
    <xf numFmtId="0" fontId="130" fillId="34" borderId="5" xfId="0" applyFont="1" applyFill="1" applyBorder="1"/>
    <xf numFmtId="181" fontId="205" fillId="34" borderId="7" xfId="0" applyNumberFormat="1" applyFont="1" applyFill="1" applyBorder="1" applyAlignment="1">
      <alignment horizontal="right"/>
    </xf>
    <xf numFmtId="181" fontId="43" fillId="34" borderId="7" xfId="0" applyNumberFormat="1" applyFont="1" applyFill="1" applyBorder="1" applyAlignment="1">
      <alignment horizontal="right"/>
    </xf>
    <xf numFmtId="181" fontId="43" fillId="34" borderId="73" xfId="0" applyNumberFormat="1" applyFont="1" applyFill="1" applyBorder="1" applyAlignment="1">
      <alignment horizontal="right"/>
    </xf>
    <xf numFmtId="181" fontId="115" fillId="34" borderId="9" xfId="0" applyNumberFormat="1" applyFont="1" applyFill="1" applyBorder="1"/>
    <xf numFmtId="181" fontId="115" fillId="34" borderId="1" xfId="0" applyNumberFormat="1" applyFont="1" applyFill="1" applyBorder="1"/>
    <xf numFmtId="181" fontId="115" fillId="34" borderId="40" xfId="0" applyNumberFormat="1" applyFont="1" applyFill="1" applyBorder="1"/>
    <xf numFmtId="0" fontId="130" fillId="34" borderId="9" xfId="0" applyFont="1" applyFill="1" applyBorder="1"/>
    <xf numFmtId="181" fontId="145" fillId="34" borderId="7" xfId="0" applyNumberFormat="1" applyFont="1" applyFill="1" applyBorder="1" applyAlignment="1">
      <alignment horizontal="right"/>
    </xf>
    <xf numFmtId="181" fontId="43" fillId="34" borderId="1" xfId="0" applyNumberFormat="1" applyFont="1" applyFill="1" applyBorder="1" applyAlignment="1">
      <alignment horizontal="right"/>
    </xf>
    <xf numFmtId="181" fontId="43" fillId="34" borderId="40" xfId="0" applyNumberFormat="1" applyFont="1" applyFill="1" applyBorder="1" applyAlignment="1">
      <alignment horizontal="right"/>
    </xf>
    <xf numFmtId="0" fontId="52" fillId="34" borderId="9" xfId="0" applyFont="1" applyFill="1" applyBorder="1"/>
    <xf numFmtId="181" fontId="133" fillId="34" borderId="7" xfId="0" applyNumberFormat="1" applyFont="1" applyFill="1" applyBorder="1" applyAlignment="1">
      <alignment horizontal="right"/>
    </xf>
    <xf numFmtId="0" fontId="43" fillId="34" borderId="68" xfId="0" applyFont="1" applyFill="1" applyBorder="1" applyAlignment="1">
      <alignment horizontal="left" indent="3"/>
    </xf>
    <xf numFmtId="181" fontId="43" fillId="34" borderId="54" xfId="0" applyNumberFormat="1" applyFont="1" applyFill="1" applyBorder="1" applyAlignment="1">
      <alignment horizontal="right"/>
    </xf>
    <xf numFmtId="181" fontId="43" fillId="34" borderId="72" xfId="0" applyNumberFormat="1" applyFont="1" applyFill="1" applyBorder="1" applyAlignment="1">
      <alignment horizontal="right"/>
    </xf>
    <xf numFmtId="0" fontId="145" fillId="34" borderId="23" xfId="0" applyFont="1" applyFill="1" applyBorder="1" applyAlignment="1">
      <alignment wrapText="1"/>
    </xf>
    <xf numFmtId="181" fontId="133" fillId="34" borderId="86" xfId="0" applyNumberFormat="1" applyFont="1" applyFill="1" applyBorder="1" applyAlignment="1">
      <alignment horizontal="right"/>
    </xf>
    <xf numFmtId="181" fontId="43" fillId="34" borderId="86" xfId="0" applyNumberFormat="1" applyFont="1" applyFill="1" applyBorder="1" applyAlignment="1">
      <alignment horizontal="right"/>
    </xf>
    <xf numFmtId="0" fontId="52" fillId="34" borderId="23" xfId="0" applyFont="1" applyFill="1" applyBorder="1" applyAlignment="1">
      <alignment wrapText="1"/>
    </xf>
    <xf numFmtId="175" fontId="52" fillId="34" borderId="86" xfId="0" applyNumberFormat="1" applyFont="1" applyFill="1" applyBorder="1"/>
    <xf numFmtId="2" fontId="52" fillId="34" borderId="86" xfId="0" applyNumberFormat="1" applyFont="1" applyFill="1" applyBorder="1"/>
    <xf numFmtId="0" fontId="52" fillId="34" borderId="66" xfId="0" applyFont="1" applyFill="1" applyBorder="1" applyAlignment="1">
      <alignment horizontal="left" wrapText="1" indent="1"/>
    </xf>
    <xf numFmtId="2" fontId="52" fillId="34" borderId="65" xfId="0" applyNumberFormat="1" applyFont="1" applyFill="1" applyBorder="1" applyAlignment="1">
      <alignment wrapText="1"/>
    </xf>
    <xf numFmtId="2" fontId="52" fillId="34" borderId="90" xfId="0" applyNumberFormat="1" applyFont="1" applyFill="1" applyBorder="1" applyAlignment="1">
      <alignment wrapText="1"/>
    </xf>
    <xf numFmtId="2" fontId="115" fillId="34" borderId="7" xfId="0" applyNumberFormat="1" applyFont="1" applyFill="1" applyBorder="1" applyAlignment="1">
      <alignment wrapText="1"/>
    </xf>
    <xf numFmtId="2" fontId="115" fillId="34" borderId="73" xfId="0" applyNumberFormat="1" applyFont="1" applyFill="1" applyBorder="1" applyAlignment="1">
      <alignment wrapText="1"/>
    </xf>
    <xf numFmtId="2" fontId="43" fillId="34" borderId="7" xfId="0" applyNumberFormat="1" applyFont="1" applyFill="1" applyBorder="1" applyAlignment="1">
      <alignment wrapText="1"/>
    </xf>
    <xf numFmtId="2" fontId="43" fillId="34" borderId="73" xfId="0" applyNumberFormat="1" applyFont="1" applyFill="1" applyBorder="1" applyAlignment="1">
      <alignment wrapText="1"/>
    </xf>
    <xf numFmtId="2" fontId="43" fillId="34" borderId="54" xfId="0" applyNumberFormat="1" applyFont="1" applyFill="1" applyBorder="1" applyAlignment="1">
      <alignment wrapText="1"/>
    </xf>
    <xf numFmtId="2" fontId="43" fillId="34" borderId="72" xfId="0" applyNumberFormat="1" applyFont="1" applyFill="1" applyBorder="1" applyAlignment="1">
      <alignment wrapText="1"/>
    </xf>
    <xf numFmtId="0" fontId="52" fillId="34" borderId="6" xfId="0" applyFont="1" applyFill="1" applyBorder="1" applyAlignment="1">
      <alignment horizontal="left" wrapText="1" indent="1"/>
    </xf>
    <xf numFmtId="2" fontId="52" fillId="34" borderId="63" xfId="0" applyNumberFormat="1" applyFont="1" applyFill="1" applyBorder="1" applyAlignment="1">
      <alignment wrapText="1"/>
    </xf>
    <xf numFmtId="2" fontId="52" fillId="34" borderId="31" xfId="0" applyNumberFormat="1" applyFont="1" applyFill="1" applyBorder="1" applyAlignment="1">
      <alignment wrapText="1"/>
    </xf>
    <xf numFmtId="0" fontId="115" fillId="34" borderId="89" xfId="0" applyFont="1" applyFill="1" applyBorder="1" applyAlignment="1">
      <alignment horizontal="left" indent="2"/>
    </xf>
    <xf numFmtId="2" fontId="115" fillId="34" borderId="69" xfId="0" applyNumberFormat="1" applyFont="1" applyFill="1" applyBorder="1" applyAlignment="1">
      <alignment wrapText="1"/>
    </xf>
    <xf numFmtId="2" fontId="115" fillId="34" borderId="38" xfId="0" applyNumberFormat="1" applyFont="1" applyFill="1" applyBorder="1" applyAlignment="1">
      <alignment wrapText="1"/>
    </xf>
    <xf numFmtId="2" fontId="43" fillId="34" borderId="69" xfId="0" applyNumberFormat="1" applyFont="1" applyFill="1" applyBorder="1" applyAlignment="1">
      <alignment wrapText="1"/>
    </xf>
    <xf numFmtId="2" fontId="43" fillId="34" borderId="38" xfId="0" applyNumberFormat="1" applyFont="1" applyFill="1" applyBorder="1" applyAlignment="1">
      <alignment wrapText="1"/>
    </xf>
    <xf numFmtId="175" fontId="52" fillId="34" borderId="7" xfId="0" applyNumberFormat="1" applyFont="1" applyFill="1" applyBorder="1" applyAlignment="1">
      <alignment horizontal="right"/>
    </xf>
    <xf numFmtId="2" fontId="52" fillId="34" borderId="7" xfId="0" applyNumberFormat="1" applyFont="1" applyFill="1" applyBorder="1" applyAlignment="1">
      <alignment horizontal="right"/>
    </xf>
    <xf numFmtId="2" fontId="52" fillId="34" borderId="73" xfId="0" applyNumberFormat="1" applyFont="1" applyFill="1" applyBorder="1" applyAlignment="1">
      <alignment horizontal="right"/>
    </xf>
    <xf numFmtId="0" fontId="52" fillId="34" borderId="5" xfId="0" applyFont="1" applyFill="1" applyBorder="1"/>
    <xf numFmtId="2" fontId="43" fillId="34" borderId="0" xfId="0" applyNumberFormat="1" applyFont="1" applyFill="1" applyAlignment="1">
      <alignment wrapText="1"/>
    </xf>
    <xf numFmtId="0" fontId="43" fillId="34" borderId="0" xfId="0" applyFont="1" applyFill="1" applyAlignment="1">
      <alignment horizontal="left" indent="3"/>
    </xf>
    <xf numFmtId="0" fontId="93" fillId="34" borderId="0" xfId="0" applyFont="1" applyFill="1"/>
    <xf numFmtId="0" fontId="43" fillId="34" borderId="33" xfId="0" applyFont="1" applyFill="1" applyBorder="1"/>
    <xf numFmtId="0" fontId="52" fillId="34" borderId="6" xfId="0" applyFont="1" applyFill="1" applyBorder="1" applyAlignment="1">
      <alignment wrapText="1"/>
    </xf>
    <xf numFmtId="0" fontId="52" fillId="34" borderId="36" xfId="0" applyFont="1" applyFill="1" applyBorder="1" applyAlignment="1">
      <alignment horizontal="center" wrapText="1"/>
    </xf>
    <xf numFmtId="0" fontId="52" fillId="34" borderId="6" xfId="0" applyFont="1" applyFill="1" applyBorder="1" applyAlignment="1">
      <alignment horizontal="center" wrapText="1"/>
    </xf>
    <xf numFmtId="0" fontId="52" fillId="34" borderId="33" xfId="0" applyFont="1" applyFill="1" applyBorder="1"/>
    <xf numFmtId="177" fontId="52" fillId="34" borderId="33" xfId="0" applyNumberFormat="1" applyFont="1" applyFill="1" applyBorder="1" applyAlignment="1">
      <alignment horizontal="center"/>
    </xf>
    <xf numFmtId="0" fontId="188" fillId="34" borderId="0" xfId="0" applyFont="1" applyFill="1"/>
    <xf numFmtId="0" fontId="43" fillId="34" borderId="6" xfId="0" applyFont="1" applyFill="1" applyBorder="1"/>
    <xf numFmtId="177" fontId="43" fillId="34" borderId="6" xfId="0" applyNumberFormat="1" applyFont="1" applyFill="1" applyBorder="1" applyAlignment="1">
      <alignment horizontal="center"/>
    </xf>
    <xf numFmtId="177" fontId="52" fillId="34" borderId="6" xfId="0" applyNumberFormat="1" applyFont="1" applyFill="1" applyBorder="1" applyAlignment="1">
      <alignment horizontal="center"/>
    </xf>
    <xf numFmtId="0" fontId="198" fillId="34" borderId="0" xfId="0" applyFont="1" applyFill="1"/>
    <xf numFmtId="0" fontId="130" fillId="34" borderId="32" xfId="0" applyFont="1" applyFill="1" applyBorder="1" applyAlignment="1">
      <alignment horizontal="left" indent="1"/>
    </xf>
    <xf numFmtId="177" fontId="130" fillId="34" borderId="32" xfId="0" applyNumberFormat="1" applyFont="1" applyFill="1" applyBorder="1" applyAlignment="1">
      <alignment horizontal="center"/>
    </xf>
    <xf numFmtId="177" fontId="52" fillId="34" borderId="32" xfId="0" applyNumberFormat="1" applyFont="1" applyFill="1" applyBorder="1" applyAlignment="1">
      <alignment horizontal="center"/>
    </xf>
    <xf numFmtId="177" fontId="43" fillId="34" borderId="0" xfId="0" applyNumberFormat="1" applyFont="1" applyFill="1"/>
    <xf numFmtId="10" fontId="43" fillId="34" borderId="0" xfId="0" applyNumberFormat="1" applyFont="1" applyFill="1"/>
    <xf numFmtId="0" fontId="43" fillId="34" borderId="32" xfId="0" applyFont="1" applyFill="1" applyBorder="1" applyAlignment="1">
      <alignment horizontal="left" indent="2"/>
    </xf>
    <xf numFmtId="177" fontId="43" fillId="34" borderId="32" xfId="0" applyNumberFormat="1" applyFont="1" applyFill="1" applyBorder="1" applyAlignment="1">
      <alignment horizontal="center"/>
    </xf>
    <xf numFmtId="0" fontId="43" fillId="34" borderId="32" xfId="0" applyFont="1" applyFill="1" applyBorder="1" applyAlignment="1">
      <alignment horizontal="left" indent="1"/>
    </xf>
    <xf numFmtId="0" fontId="52" fillId="34" borderId="32" xfId="0" applyFont="1" applyFill="1" applyBorder="1" applyAlignment="1">
      <alignment horizontal="left" indent="1"/>
    </xf>
    <xf numFmtId="0" fontId="43" fillId="34" borderId="23" xfId="0" applyFont="1" applyFill="1" applyBorder="1" applyAlignment="1">
      <alignment horizontal="left" indent="2"/>
    </xf>
    <xf numFmtId="177" fontId="43" fillId="34" borderId="23" xfId="0" applyNumberFormat="1" applyFont="1" applyFill="1" applyBorder="1" applyAlignment="1">
      <alignment horizontal="center"/>
    </xf>
    <xf numFmtId="0" fontId="52" fillId="34" borderId="6" xfId="0" applyFont="1" applyFill="1" applyBorder="1"/>
    <xf numFmtId="0" fontId="43" fillId="34" borderId="89" xfId="0" applyFont="1" applyFill="1" applyBorder="1" applyAlignment="1">
      <alignment horizontal="left" indent="1"/>
    </xf>
    <xf numFmtId="177" fontId="43" fillId="34" borderId="89" xfId="0" applyNumberFormat="1" applyFont="1" applyFill="1" applyBorder="1" applyAlignment="1">
      <alignment horizontal="center"/>
    </xf>
    <xf numFmtId="179" fontId="43" fillId="34" borderId="0" xfId="0" applyNumberFormat="1" applyFont="1" applyFill="1"/>
    <xf numFmtId="0" fontId="43" fillId="34" borderId="67" xfId="0" applyFont="1" applyFill="1" applyBorder="1" applyAlignment="1">
      <alignment horizontal="left" indent="2"/>
    </xf>
    <xf numFmtId="177" fontId="43" fillId="34" borderId="67" xfId="0" applyNumberFormat="1" applyFont="1" applyFill="1" applyBorder="1" applyAlignment="1">
      <alignment horizontal="center"/>
    </xf>
    <xf numFmtId="0" fontId="43" fillId="34" borderId="67" xfId="0" applyFont="1" applyFill="1" applyBorder="1"/>
    <xf numFmtId="0" fontId="43" fillId="34" borderId="67" xfId="0" applyFont="1" applyFill="1" applyBorder="1" applyAlignment="1">
      <alignment horizontal="left" indent="1"/>
    </xf>
    <xf numFmtId="2" fontId="52" fillId="34" borderId="67" xfId="0" applyNumberFormat="1" applyFont="1" applyFill="1" applyBorder="1" applyAlignment="1">
      <alignment horizontal="center"/>
    </xf>
    <xf numFmtId="2" fontId="43" fillId="34" borderId="67" xfId="0" applyNumberFormat="1" applyFont="1" applyFill="1" applyBorder="1" applyAlignment="1">
      <alignment horizontal="center"/>
    </xf>
    <xf numFmtId="0" fontId="43" fillId="34" borderId="68" xfId="0" applyFont="1" applyFill="1" applyBorder="1" applyAlignment="1">
      <alignment horizontal="left" indent="2"/>
    </xf>
    <xf numFmtId="2" fontId="43" fillId="34" borderId="68" xfId="0" applyNumberFormat="1" applyFont="1" applyFill="1" applyBorder="1" applyAlignment="1">
      <alignment horizontal="center"/>
    </xf>
    <xf numFmtId="0" fontId="52" fillId="34" borderId="30" xfId="0" applyFont="1" applyFill="1" applyBorder="1"/>
    <xf numFmtId="177" fontId="43" fillId="34" borderId="6" xfId="0" applyNumberFormat="1" applyFont="1" applyFill="1" applyBorder="1"/>
    <xf numFmtId="177" fontId="43" fillId="34" borderId="36" xfId="0" applyNumberFormat="1" applyFont="1" applyFill="1" applyBorder="1"/>
    <xf numFmtId="0" fontId="52" fillId="34" borderId="28" xfId="0" applyFont="1" applyFill="1" applyBorder="1"/>
    <xf numFmtId="177" fontId="52" fillId="34" borderId="32" xfId="0" applyNumberFormat="1" applyFont="1" applyFill="1" applyBorder="1"/>
    <xf numFmtId="0" fontId="43" fillId="34" borderId="28" xfId="0" applyFont="1" applyFill="1" applyBorder="1" applyAlignment="1">
      <alignment horizontal="left" indent="1"/>
    </xf>
    <xf numFmtId="177" fontId="43" fillId="34" borderId="32" xfId="0" applyNumberFormat="1" applyFont="1" applyFill="1" applyBorder="1"/>
    <xf numFmtId="0" fontId="52" fillId="34" borderId="29" xfId="0" applyFont="1" applyFill="1" applyBorder="1"/>
    <xf numFmtId="177" fontId="52" fillId="34" borderId="23" xfId="0" applyNumberFormat="1" applyFont="1" applyFill="1" applyBorder="1"/>
    <xf numFmtId="177" fontId="52" fillId="34" borderId="35" xfId="0" applyNumberFormat="1" applyFont="1" applyFill="1" applyBorder="1"/>
    <xf numFmtId="177" fontId="52" fillId="34" borderId="56" xfId="0" applyNumberFormat="1" applyFont="1" applyFill="1" applyBorder="1"/>
    <xf numFmtId="2" fontId="43" fillId="34" borderId="87" xfId="0" applyNumberFormat="1" applyFont="1" applyFill="1" applyBorder="1" applyAlignment="1">
      <alignment wrapText="1"/>
    </xf>
    <xf numFmtId="2" fontId="43" fillId="34" borderId="24" xfId="0" applyNumberFormat="1" applyFont="1" applyFill="1" applyBorder="1" applyAlignment="1">
      <alignment wrapText="1"/>
    </xf>
    <xf numFmtId="0" fontId="52" fillId="34" borderId="1" xfId="0" applyFont="1" applyFill="1" applyBorder="1" applyAlignment="1">
      <alignment horizontal="left" indent="1"/>
    </xf>
    <xf numFmtId="2" fontId="43" fillId="34" borderId="1" xfId="0" applyNumberFormat="1" applyFont="1" applyFill="1" applyBorder="1" applyAlignment="1">
      <alignment wrapText="1"/>
    </xf>
    <xf numFmtId="0" fontId="52" fillId="34" borderId="7" xfId="0" applyFont="1" applyFill="1" applyBorder="1" applyAlignment="1">
      <alignment horizontal="left" indent="1"/>
    </xf>
    <xf numFmtId="2" fontId="43" fillId="34" borderId="45" xfId="0" applyNumberFormat="1" applyFont="1" applyFill="1" applyBorder="1" applyAlignment="1">
      <alignment wrapText="1"/>
    </xf>
    <xf numFmtId="0" fontId="52" fillId="34" borderId="40" xfId="0" applyFont="1" applyFill="1" applyBorder="1" applyAlignment="1">
      <alignment horizontal="left" indent="1"/>
    </xf>
    <xf numFmtId="2" fontId="43" fillId="34" borderId="40" xfId="0" applyNumberFormat="1" applyFont="1" applyFill="1" applyBorder="1" applyAlignment="1">
      <alignment wrapText="1"/>
    </xf>
    <xf numFmtId="2" fontId="43" fillId="34" borderId="46" xfId="0" applyNumberFormat="1" applyFont="1" applyFill="1" applyBorder="1" applyAlignment="1">
      <alignment wrapText="1"/>
    </xf>
    <xf numFmtId="0" fontId="101" fillId="34" borderId="0" xfId="116" applyFont="1" applyFill="1" applyAlignment="1">
      <alignment horizontal="left"/>
    </xf>
    <xf numFmtId="0" fontId="51" fillId="34" borderId="0" xfId="116" applyFont="1" applyFill="1" applyAlignment="1">
      <alignment horizontal="center"/>
    </xf>
    <xf numFmtId="0" fontId="101" fillId="34" borderId="0" xfId="116" applyFont="1" applyFill="1"/>
    <xf numFmtId="0" fontId="159" fillId="34" borderId="0" xfId="116" applyFont="1" applyFill="1"/>
    <xf numFmtId="0" fontId="167" fillId="34" borderId="0" xfId="116" applyFont="1" applyFill="1" applyAlignment="1">
      <alignment horizontal="left"/>
    </xf>
    <xf numFmtId="0" fontId="168" fillId="34" borderId="0" xfId="116" applyFont="1" applyFill="1"/>
    <xf numFmtId="4" fontId="167" fillId="34" borderId="0" xfId="116" applyNumberFormat="1" applyFont="1" applyFill="1" applyAlignment="1">
      <alignment horizontal="left"/>
    </xf>
    <xf numFmtId="0" fontId="159" fillId="34" borderId="0" xfId="116" applyFont="1" applyFill="1" applyAlignment="1">
      <alignment horizontal="left"/>
    </xf>
    <xf numFmtId="0" fontId="136" fillId="34" borderId="0" xfId="116" applyFont="1" applyFill="1" applyAlignment="1">
      <alignment horizontal="left"/>
    </xf>
    <xf numFmtId="0" fontId="159" fillId="34" borderId="0" xfId="116" applyFont="1" applyFill="1" applyAlignment="1">
      <alignment horizontal="center"/>
    </xf>
    <xf numFmtId="182" fontId="159" fillId="34" borderId="0" xfId="116" applyNumberFormat="1" applyFont="1" applyFill="1" applyAlignment="1">
      <alignment horizontal="left"/>
    </xf>
    <xf numFmtId="180" fontId="159" fillId="34" borderId="0" xfId="116" applyNumberFormat="1" applyFont="1" applyFill="1" applyAlignment="1">
      <alignment horizontal="right"/>
    </xf>
    <xf numFmtId="0" fontId="155" fillId="34" borderId="0" xfId="116" applyFont="1" applyFill="1"/>
    <xf numFmtId="187" fontId="155" fillId="34" borderId="0" xfId="116" applyNumberFormat="1" applyFont="1" applyFill="1" applyAlignment="1">
      <alignment horizontal="right"/>
    </xf>
    <xf numFmtId="187" fontId="101" fillId="34" borderId="0" xfId="116" applyNumberFormat="1" applyFont="1" applyFill="1" applyAlignment="1">
      <alignment horizontal="left"/>
    </xf>
    <xf numFmtId="187" fontId="155" fillId="34" borderId="0" xfId="116" applyNumberFormat="1" applyFont="1" applyFill="1" applyAlignment="1">
      <alignment horizontal="center"/>
    </xf>
    <xf numFmtId="0" fontId="159" fillId="34" borderId="6" xfId="116" applyFont="1" applyFill="1" applyBorder="1" applyAlignment="1">
      <alignment horizontal="center" vertical="center" wrapText="1"/>
    </xf>
    <xf numFmtId="0" fontId="136" fillId="34" borderId="0" xfId="116" applyFont="1" applyFill="1" applyAlignment="1">
      <alignment horizontal="left" vertical="center" wrapText="1"/>
    </xf>
    <xf numFmtId="0" fontId="159" fillId="34" borderId="0" xfId="116" applyFont="1" applyFill="1" applyAlignment="1">
      <alignment horizontal="center" vertical="center" wrapText="1"/>
    </xf>
    <xf numFmtId="0" fontId="160" fillId="34" borderId="6" xfId="116" applyFont="1" applyFill="1" applyBorder="1" applyAlignment="1">
      <alignment horizontal="center" vertical="center" wrapText="1"/>
    </xf>
    <xf numFmtId="0" fontId="161" fillId="34" borderId="6" xfId="116" applyFont="1" applyFill="1" applyBorder="1" applyAlignment="1">
      <alignment horizontal="center" vertical="center" wrapText="1"/>
    </xf>
    <xf numFmtId="0" fontId="161" fillId="34" borderId="0" xfId="116" applyFont="1" applyFill="1" applyAlignment="1">
      <alignment horizontal="center" vertical="center" wrapText="1"/>
    </xf>
    <xf numFmtId="0" fontId="159" fillId="34" borderId="102" xfId="116" applyFont="1" applyFill="1" applyBorder="1" applyAlignment="1">
      <alignment vertical="justify" wrapText="1"/>
    </xf>
    <xf numFmtId="2" fontId="136" fillId="34" borderId="0" xfId="116" applyNumberFormat="1" applyFont="1" applyFill="1" applyAlignment="1">
      <alignment horizontal="left"/>
    </xf>
    <xf numFmtId="2" fontId="159" fillId="34" borderId="0" xfId="116" applyNumberFormat="1" applyFont="1" applyFill="1" applyAlignment="1">
      <alignment horizontal="center"/>
    </xf>
    <xf numFmtId="0" fontId="159" fillId="34" borderId="106" xfId="116" applyFont="1" applyFill="1" applyBorder="1" applyAlignment="1">
      <alignment horizontal="left" vertical="justify" wrapText="1"/>
    </xf>
    <xf numFmtId="0" fontId="155" fillId="34" borderId="106" xfId="116" applyFont="1" applyFill="1" applyBorder="1" applyAlignment="1">
      <alignment horizontal="left" wrapText="1" indent="1"/>
    </xf>
    <xf numFmtId="2" fontId="101" fillId="34" borderId="0" xfId="116" applyNumberFormat="1" applyFont="1" applyFill="1" applyAlignment="1">
      <alignment horizontal="left"/>
    </xf>
    <xf numFmtId="2" fontId="155" fillId="34" borderId="0" xfId="116" applyNumberFormat="1" applyFont="1" applyFill="1" applyAlignment="1">
      <alignment horizontal="center"/>
    </xf>
    <xf numFmtId="0" fontId="155" fillId="34" borderId="106" xfId="116" applyFont="1" applyFill="1" applyBorder="1" applyAlignment="1">
      <alignment horizontal="left" wrapText="1" indent="2"/>
    </xf>
    <xf numFmtId="177" fontId="159" fillId="34" borderId="0" xfId="116" applyNumberFormat="1" applyFont="1" applyFill="1" applyAlignment="1">
      <alignment horizontal="center"/>
    </xf>
    <xf numFmtId="4" fontId="133" fillId="34" borderId="28" xfId="116" applyNumberFormat="1" applyFont="1" applyFill="1" applyBorder="1" applyAlignment="1">
      <alignment horizontal="left"/>
    </xf>
    <xf numFmtId="2" fontId="155" fillId="34" borderId="106" xfId="116" applyNumberFormat="1" applyFont="1" applyFill="1" applyBorder="1"/>
    <xf numFmtId="175" fontId="51" fillId="34" borderId="0" xfId="116" applyNumberFormat="1" applyFont="1" applyFill="1"/>
    <xf numFmtId="2" fontId="155" fillId="34" borderId="106" xfId="116" applyNumberFormat="1" applyFont="1" applyFill="1" applyBorder="1" applyAlignment="1">
      <alignment wrapText="1"/>
    </xf>
    <xf numFmtId="0" fontId="159" fillId="34" borderId="106" xfId="116" applyFont="1" applyFill="1" applyBorder="1" applyAlignment="1">
      <alignment horizontal="left" wrapText="1"/>
    </xf>
    <xf numFmtId="2" fontId="159" fillId="34" borderId="106" xfId="116" applyNumberFormat="1" applyFont="1" applyFill="1" applyBorder="1"/>
    <xf numFmtId="0" fontId="137" fillId="34" borderId="0" xfId="116" applyFont="1" applyFill="1"/>
    <xf numFmtId="4" fontId="133" fillId="34" borderId="0" xfId="116" applyNumberFormat="1" applyFont="1" applyFill="1"/>
    <xf numFmtId="0" fontId="155" fillId="34" borderId="106" xfId="116" applyFont="1" applyFill="1" applyBorder="1" applyAlignment="1">
      <alignment horizontal="left" vertical="justify" wrapText="1" indent="1"/>
    </xf>
    <xf numFmtId="2" fontId="155" fillId="34" borderId="106" xfId="116" applyNumberFormat="1" applyFont="1" applyFill="1" applyBorder="1" applyAlignment="1">
      <alignment horizontal="right" wrapText="1"/>
    </xf>
    <xf numFmtId="2" fontId="155" fillId="34" borderId="106" xfId="116" applyNumberFormat="1" applyFont="1" applyFill="1" applyBorder="1" applyAlignment="1">
      <alignment vertical="center"/>
    </xf>
    <xf numFmtId="2" fontId="155" fillId="34" borderId="106" xfId="116" applyNumberFormat="1" applyFont="1" applyFill="1" applyBorder="1" applyAlignment="1">
      <alignment horizontal="right" vertical="center"/>
    </xf>
    <xf numFmtId="177" fontId="155" fillId="34" borderId="106" xfId="116" applyNumberFormat="1" applyFont="1" applyFill="1" applyBorder="1" applyAlignment="1">
      <alignment horizontal="right" vertical="center"/>
    </xf>
    <xf numFmtId="2" fontId="101" fillId="34" borderId="0" xfId="116" applyNumberFormat="1" applyFont="1" applyFill="1" applyAlignment="1">
      <alignment horizontal="left" vertical="center"/>
    </xf>
    <xf numFmtId="2" fontId="96" fillId="34" borderId="0" xfId="116" applyNumberFormat="1" applyFont="1" applyFill="1"/>
    <xf numFmtId="0" fontId="155" fillId="34" borderId="106" xfId="116" applyFont="1" applyFill="1" applyBorder="1" applyAlignment="1">
      <alignment horizontal="left" vertical="center" wrapText="1" indent="1"/>
    </xf>
    <xf numFmtId="0" fontId="101" fillId="34" borderId="0" xfId="116" applyFont="1" applyFill="1" applyAlignment="1">
      <alignment horizontal="center"/>
    </xf>
    <xf numFmtId="0" fontId="155" fillId="34" borderId="106" xfId="116" applyFont="1" applyFill="1" applyBorder="1" applyAlignment="1">
      <alignment horizontal="left" vertical="justify" indent="1"/>
    </xf>
    <xf numFmtId="177" fontId="155" fillId="34" borderId="106" xfId="116" applyNumberFormat="1" applyFont="1" applyFill="1" applyBorder="1"/>
    <xf numFmtId="2" fontId="155" fillId="34" borderId="114" xfId="116" applyNumberFormat="1" applyFont="1" applyFill="1" applyBorder="1"/>
    <xf numFmtId="177" fontId="155" fillId="34" borderId="114" xfId="116" applyNumberFormat="1" applyFont="1" applyFill="1" applyBorder="1"/>
    <xf numFmtId="2" fontId="155" fillId="34" borderId="114" xfId="116" applyNumberFormat="1" applyFont="1" applyFill="1" applyBorder="1" applyAlignment="1">
      <alignment horizontal="right" wrapText="1"/>
    </xf>
    <xf numFmtId="2" fontId="101" fillId="34" borderId="0" xfId="116" applyNumberFormat="1" applyFont="1" applyFill="1" applyAlignment="1">
      <alignment horizontal="center"/>
    </xf>
    <xf numFmtId="0" fontId="155" fillId="34" borderId="111" xfId="116" applyFont="1" applyFill="1" applyBorder="1" applyAlignment="1">
      <alignment horizontal="left" wrapText="1" indent="1"/>
    </xf>
    <xf numFmtId="2" fontId="155" fillId="34" borderId="111" xfId="116" applyNumberFormat="1" applyFont="1" applyFill="1" applyBorder="1"/>
    <xf numFmtId="0" fontId="51" fillId="34" borderId="0" xfId="116" applyFont="1" applyFill="1" applyAlignment="1">
      <alignment horizontal="left"/>
    </xf>
    <xf numFmtId="2" fontId="101" fillId="34" borderId="0" xfId="116" applyNumberFormat="1" applyFont="1" applyFill="1" applyAlignment="1">
      <alignment horizontal="right"/>
    </xf>
    <xf numFmtId="0" fontId="96" fillId="34" borderId="0" xfId="116" applyFont="1" applyFill="1"/>
    <xf numFmtId="0" fontId="96" fillId="34" borderId="0" xfId="116" applyFont="1" applyFill="1" applyAlignment="1">
      <alignment horizontal="right"/>
    </xf>
    <xf numFmtId="0" fontId="105" fillId="34" borderId="0" xfId="116" applyFont="1" applyFill="1" applyAlignment="1">
      <alignment horizontal="left"/>
    </xf>
    <xf numFmtId="0" fontId="96" fillId="34" borderId="0" xfId="116" applyFont="1" applyFill="1" applyAlignment="1">
      <alignment horizontal="center"/>
    </xf>
    <xf numFmtId="179" fontId="155" fillId="34" borderId="0" xfId="116" applyNumberFormat="1" applyFont="1" applyFill="1" applyAlignment="1">
      <alignment horizontal="center"/>
    </xf>
    <xf numFmtId="176" fontId="51" fillId="34" borderId="0" xfId="116" applyNumberFormat="1" applyFont="1" applyFill="1"/>
    <xf numFmtId="176" fontId="101" fillId="34" borderId="0" xfId="116" applyNumberFormat="1" applyFont="1" applyFill="1" applyAlignment="1">
      <alignment horizontal="left"/>
    </xf>
    <xf numFmtId="176" fontId="51" fillId="34" borderId="0" xfId="116" applyNumberFormat="1" applyFont="1" applyFill="1" applyAlignment="1">
      <alignment horizontal="center"/>
    </xf>
    <xf numFmtId="4" fontId="159" fillId="34" borderId="0" xfId="116" applyNumberFormat="1" applyFont="1" applyFill="1" applyAlignment="1">
      <alignment horizontal="left"/>
    </xf>
    <xf numFmtId="186" fontId="159" fillId="34" borderId="0" xfId="116" applyNumberFormat="1" applyFont="1" applyFill="1" applyAlignment="1">
      <alignment horizontal="left"/>
    </xf>
    <xf numFmtId="0" fontId="136" fillId="34" borderId="29" xfId="116" applyFont="1" applyFill="1" applyBorder="1" applyAlignment="1">
      <alignment horizontal="center" vertical="center" wrapText="1"/>
    </xf>
    <xf numFmtId="2" fontId="159" fillId="34" borderId="102" xfId="116" applyNumberFormat="1" applyFont="1" applyFill="1" applyBorder="1" applyAlignment="1">
      <alignment horizontal="right"/>
    </xf>
    <xf numFmtId="2" fontId="155" fillId="34" borderId="103" xfId="116" applyNumberFormat="1" applyFont="1" applyFill="1" applyBorder="1" applyAlignment="1">
      <alignment horizontal="right"/>
    </xf>
    <xf numFmtId="2" fontId="159" fillId="34" borderId="103" xfId="116" applyNumberFormat="1" applyFont="1" applyFill="1" applyBorder="1" applyAlignment="1">
      <alignment horizontal="right"/>
    </xf>
    <xf numFmtId="177" fontId="51" fillId="34" borderId="0" xfId="116" applyNumberFormat="1" applyFont="1" applyFill="1"/>
    <xf numFmtId="177" fontId="155" fillId="34" borderId="103" xfId="116" applyNumberFormat="1" applyFont="1" applyFill="1" applyBorder="1" applyAlignment="1">
      <alignment horizontal="right"/>
    </xf>
    <xf numFmtId="177" fontId="155" fillId="34" borderId="106" xfId="116" applyNumberFormat="1" applyFont="1" applyFill="1" applyBorder="1" applyAlignment="1">
      <alignment horizontal="right"/>
    </xf>
    <xf numFmtId="4" fontId="133" fillId="34" borderId="28" xfId="116" applyNumberFormat="1" applyFont="1" applyFill="1" applyBorder="1"/>
    <xf numFmtId="0" fontId="51" fillId="34" borderId="28" xfId="116" applyFont="1" applyFill="1" applyBorder="1"/>
    <xf numFmtId="2" fontId="155" fillId="34" borderId="114" xfId="116" applyNumberFormat="1" applyFont="1" applyFill="1" applyBorder="1" applyAlignment="1">
      <alignment horizontal="right"/>
    </xf>
    <xf numFmtId="2" fontId="155" fillId="34" borderId="122" xfId="116" applyNumberFormat="1" applyFont="1" applyFill="1" applyBorder="1" applyAlignment="1">
      <alignment horizontal="right"/>
    </xf>
    <xf numFmtId="2" fontId="155" fillId="34" borderId="108" xfId="116" applyNumberFormat="1" applyFont="1" applyFill="1" applyBorder="1" applyAlignment="1">
      <alignment horizontal="right"/>
    </xf>
    <xf numFmtId="170" fontId="101" fillId="34" borderId="0" xfId="116" applyNumberFormat="1" applyFont="1" applyFill="1" applyAlignment="1">
      <alignment horizontal="left"/>
    </xf>
    <xf numFmtId="0" fontId="101" fillId="34" borderId="0" xfId="0" applyFont="1" applyFill="1"/>
    <xf numFmtId="0" fontId="101" fillId="34" borderId="1" xfId="0" applyFont="1" applyFill="1" applyBorder="1" applyAlignment="1">
      <alignment horizontal="center"/>
    </xf>
    <xf numFmtId="0" fontId="44" fillId="34" borderId="1" xfId="0" applyFont="1" applyFill="1" applyBorder="1"/>
    <xf numFmtId="10" fontId="44" fillId="34" borderId="1" xfId="558" applyNumberFormat="1" applyFont="1" applyFill="1" applyBorder="1"/>
    <xf numFmtId="2" fontId="101" fillId="34" borderId="1" xfId="0" applyNumberFormat="1" applyFont="1" applyFill="1" applyBorder="1"/>
    <xf numFmtId="10" fontId="101" fillId="34" borderId="1" xfId="558" applyNumberFormat="1" applyFont="1" applyFill="1" applyBorder="1"/>
    <xf numFmtId="0" fontId="93" fillId="34" borderId="1" xfId="0" applyFont="1" applyFill="1" applyBorder="1"/>
    <xf numFmtId="9" fontId="93" fillId="34" borderId="1" xfId="0" applyNumberFormat="1" applyFont="1" applyFill="1" applyBorder="1"/>
    <xf numFmtId="0" fontId="101" fillId="34" borderId="8" xfId="0" applyFont="1" applyFill="1" applyBorder="1" applyAlignment="1">
      <alignment horizontal="center"/>
    </xf>
    <xf numFmtId="0" fontId="101" fillId="34" borderId="8" xfId="0" applyFont="1" applyFill="1" applyBorder="1"/>
    <xf numFmtId="0" fontId="44" fillId="34" borderId="1" xfId="0" applyFont="1" applyFill="1" applyBorder="1" applyAlignment="1">
      <alignment wrapText="1"/>
    </xf>
    <xf numFmtId="0" fontId="44" fillId="0" borderId="33" xfId="0" applyFont="1" applyBorder="1" applyAlignment="1">
      <alignment horizontal="center" vertical="center" wrapText="1"/>
    </xf>
    <xf numFmtId="0" fontId="40" fillId="0" borderId="6" xfId="0" applyFont="1" applyBorder="1"/>
    <xf numFmtId="0" fontId="277" fillId="0" borderId="23" xfId="0" applyFont="1" applyBorder="1" applyAlignment="1">
      <alignment horizontal="center" vertical="center" wrapText="1"/>
    </xf>
    <xf numFmtId="0" fontId="278" fillId="0" borderId="56" xfId="0" applyFont="1" applyBorder="1" applyAlignment="1">
      <alignment vertical="center" wrapText="1"/>
    </xf>
    <xf numFmtId="0" fontId="279" fillId="0" borderId="56" xfId="0" applyFont="1" applyBorder="1" applyAlignment="1">
      <alignment vertical="center" wrapText="1"/>
    </xf>
    <xf numFmtId="0" fontId="179" fillId="0" borderId="23" xfId="0" applyFont="1" applyBorder="1" applyAlignment="1">
      <alignment vertical="center" wrapText="1"/>
    </xf>
    <xf numFmtId="0" fontId="176" fillId="0" borderId="6" xfId="0" applyFont="1" applyBorder="1"/>
    <xf numFmtId="0" fontId="179" fillId="0" borderId="23" xfId="0" applyFont="1" applyBorder="1" applyAlignment="1">
      <alignment horizontal="left" vertical="center" wrapText="1"/>
    </xf>
    <xf numFmtId="0" fontId="279" fillId="0" borderId="23" xfId="0" applyFont="1" applyBorder="1" applyAlignment="1">
      <alignment vertical="center" wrapText="1"/>
    </xf>
    <xf numFmtId="0" fontId="279" fillId="34" borderId="56" xfId="0" applyFont="1" applyFill="1" applyBorder="1" applyAlignment="1">
      <alignment vertical="center" wrapText="1"/>
    </xf>
    <xf numFmtId="0" fontId="51" fillId="34" borderId="106" xfId="116" applyFont="1" applyFill="1" applyBorder="1"/>
    <xf numFmtId="4" fontId="159" fillId="34" borderId="102" xfId="116" applyNumberFormat="1" applyFont="1" applyFill="1" applyBorder="1"/>
    <xf numFmtId="4" fontId="159" fillId="34" borderId="106" xfId="116" applyNumberFormat="1" applyFont="1" applyFill="1" applyBorder="1" applyAlignment="1">
      <alignment horizontal="right"/>
    </xf>
    <xf numFmtId="4" fontId="155" fillId="34" borderId="106" xfId="116" applyNumberFormat="1" applyFont="1" applyFill="1" applyBorder="1" applyAlignment="1">
      <alignment wrapText="1"/>
    </xf>
    <xf numFmtId="2" fontId="101" fillId="34" borderId="106" xfId="116" applyNumberFormat="1" applyFont="1" applyFill="1" applyBorder="1" applyAlignment="1">
      <alignment wrapText="1"/>
    </xf>
    <xf numFmtId="2" fontId="101" fillId="34" borderId="106" xfId="116" applyNumberFormat="1" applyFont="1" applyFill="1" applyBorder="1"/>
    <xf numFmtId="4" fontId="155" fillId="34" borderId="106" xfId="116" applyNumberFormat="1" applyFont="1" applyFill="1" applyBorder="1" applyAlignment="1">
      <alignment horizontal="right"/>
    </xf>
    <xf numFmtId="4" fontId="159" fillId="34" borderId="106" xfId="116" applyNumberFormat="1" applyFont="1" applyFill="1" applyBorder="1"/>
    <xf numFmtId="4" fontId="155" fillId="34" borderId="106" xfId="116" applyNumberFormat="1" applyFont="1" applyFill="1" applyBorder="1"/>
    <xf numFmtId="4" fontId="155" fillId="34" borderId="106" xfId="116" applyNumberFormat="1" applyFont="1" applyFill="1" applyBorder="1" applyAlignment="1">
      <alignment horizontal="right" wrapText="1"/>
    </xf>
    <xf numFmtId="4" fontId="155" fillId="34" borderId="114" xfId="116" applyNumberFormat="1" applyFont="1" applyFill="1" applyBorder="1"/>
    <xf numFmtId="0" fontId="155" fillId="34" borderId="114" xfId="116" applyFont="1" applyFill="1" applyBorder="1" applyAlignment="1">
      <alignment horizontal="left" wrapText="1" indent="1"/>
    </xf>
    <xf numFmtId="0" fontId="155" fillId="34" borderId="128" xfId="116" applyFont="1" applyFill="1" applyBorder="1" applyAlignment="1">
      <alignment horizontal="left" wrapText="1" indent="2"/>
    </xf>
    <xf numFmtId="2" fontId="155" fillId="34" borderId="128" xfId="116" applyNumberFormat="1" applyFont="1" applyFill="1" applyBorder="1" applyAlignment="1">
      <alignment horizontal="right"/>
    </xf>
    <xf numFmtId="2" fontId="155" fillId="34" borderId="127" xfId="116" applyNumberFormat="1" applyFont="1" applyFill="1" applyBorder="1" applyAlignment="1">
      <alignment horizontal="right"/>
    </xf>
    <xf numFmtId="0" fontId="155" fillId="34" borderId="111" xfId="116" applyFont="1" applyFill="1" applyBorder="1" applyAlignment="1">
      <alignment horizontal="left" wrapText="1" indent="2"/>
    </xf>
    <xf numFmtId="0" fontId="155" fillId="34" borderId="0" xfId="116" applyFont="1" applyFill="1" applyAlignment="1">
      <alignment horizontal="center"/>
    </xf>
    <xf numFmtId="0" fontId="93" fillId="0" borderId="1" xfId="0" applyFont="1" applyBorder="1" applyAlignment="1">
      <alignment vertical="center" wrapText="1"/>
    </xf>
    <xf numFmtId="0" fontId="93" fillId="0" borderId="1" xfId="0" applyFont="1" applyBorder="1" applyAlignment="1">
      <alignment vertical="center"/>
    </xf>
    <xf numFmtId="2" fontId="93" fillId="0" borderId="1" xfId="0" applyNumberFormat="1" applyFont="1" applyBorder="1"/>
    <xf numFmtId="2" fontId="176" fillId="0" borderId="1" xfId="0" applyNumberFormat="1" applyFont="1" applyBorder="1"/>
    <xf numFmtId="0" fontId="206" fillId="0" borderId="1" xfId="0" applyFont="1" applyBorder="1" applyAlignment="1">
      <alignment vertical="center" wrapText="1"/>
    </xf>
    <xf numFmtId="0" fontId="206" fillId="0" borderId="1" xfId="0" applyFont="1" applyBorder="1" applyAlignment="1">
      <alignment vertical="center"/>
    </xf>
    <xf numFmtId="0" fontId="280" fillId="0" borderId="0" xfId="0" applyFont="1"/>
    <xf numFmtId="0" fontId="206" fillId="0" borderId="0" xfId="0" applyFont="1" applyAlignment="1">
      <alignment wrapText="1"/>
    </xf>
    <xf numFmtId="2" fontId="280" fillId="0" borderId="0" xfId="0" applyNumberFormat="1" applyFont="1"/>
    <xf numFmtId="0" fontId="281" fillId="0" borderId="0" xfId="0" applyFont="1" applyAlignment="1">
      <alignment wrapText="1"/>
    </xf>
    <xf numFmtId="0" fontId="281" fillId="0" borderId="0" xfId="0" applyFont="1"/>
    <xf numFmtId="2" fontId="281" fillId="0" borderId="0" xfId="0" applyNumberFormat="1" applyFont="1"/>
    <xf numFmtId="0" fontId="176" fillId="0" borderId="0" xfId="0" applyFont="1" applyAlignment="1">
      <alignment horizontal="right" wrapText="1"/>
    </xf>
    <xf numFmtId="2" fontId="136" fillId="0" borderId="0" xfId="0" applyNumberFormat="1" applyFont="1"/>
    <xf numFmtId="0" fontId="136" fillId="34" borderId="0" xfId="533" applyFont="1" applyFill="1" applyAlignment="1">
      <alignment horizontal="center" wrapText="1"/>
    </xf>
    <xf numFmtId="0" fontId="136" fillId="34" borderId="0" xfId="533" applyFont="1" applyFill="1" applyAlignment="1">
      <alignment wrapText="1"/>
    </xf>
    <xf numFmtId="0" fontId="43" fillId="34" borderId="0" xfId="506" applyFont="1" applyFill="1"/>
    <xf numFmtId="0" fontId="133" fillId="34" borderId="0" xfId="533" applyFont="1" applyFill="1"/>
    <xf numFmtId="0" fontId="101" fillId="34" borderId="0" xfId="533" applyFont="1" applyFill="1" applyAlignment="1">
      <alignment horizontal="center" vertical="center"/>
    </xf>
    <xf numFmtId="0" fontId="51" fillId="34" borderId="0" xfId="533" applyFont="1" applyFill="1" applyAlignment="1">
      <alignment horizontal="left" vertical="center"/>
    </xf>
    <xf numFmtId="0" fontId="101" fillId="34" borderId="6" xfId="533" applyFont="1" applyFill="1" applyBorder="1" applyAlignment="1">
      <alignment horizontal="center" vertical="center" wrapText="1"/>
    </xf>
    <xf numFmtId="0" fontId="101" fillId="34" borderId="23" xfId="533" applyFont="1" applyFill="1" applyBorder="1" applyAlignment="1">
      <alignment horizontal="center" vertical="center" wrapText="1"/>
    </xf>
    <xf numFmtId="0" fontId="136" fillId="34" borderId="66" xfId="533" applyFont="1" applyFill="1" applyBorder="1" applyAlignment="1">
      <alignment horizontal="center" vertical="center" wrapText="1"/>
    </xf>
    <xf numFmtId="0" fontId="145" fillId="34" borderId="89" xfId="533" applyFont="1" applyFill="1" applyBorder="1" applyAlignment="1">
      <alignment horizontal="center" vertical="center" wrapText="1"/>
    </xf>
    <xf numFmtId="4" fontId="145" fillId="34" borderId="89" xfId="533" applyNumberFormat="1" applyFont="1" applyFill="1" applyBorder="1" applyAlignment="1">
      <alignment horizontal="center" vertical="center" wrapText="1"/>
    </xf>
    <xf numFmtId="180" fontId="145" fillId="34" borderId="89" xfId="533" applyNumberFormat="1" applyFont="1" applyFill="1" applyBorder="1" applyAlignment="1">
      <alignment horizontal="center" vertical="center" wrapText="1"/>
    </xf>
    <xf numFmtId="0" fontId="136" fillId="34" borderId="89" xfId="533" applyFont="1" applyFill="1" applyBorder="1" applyAlignment="1">
      <alignment horizontal="center" vertical="center" wrapText="1"/>
    </xf>
    <xf numFmtId="0" fontId="133" fillId="34" borderId="89" xfId="533" applyFont="1" applyFill="1" applyBorder="1" applyAlignment="1">
      <alignment horizontal="center" vertical="center" wrapText="1"/>
    </xf>
    <xf numFmtId="4" fontId="133" fillId="34" borderId="89" xfId="533" applyNumberFormat="1" applyFont="1" applyFill="1" applyBorder="1" applyAlignment="1">
      <alignment horizontal="center" vertical="center" wrapText="1"/>
    </xf>
    <xf numFmtId="0" fontId="145" fillId="34" borderId="89" xfId="177" applyFont="1" applyFill="1" applyBorder="1" applyAlignment="1">
      <alignment horizontal="center" vertical="center" wrapText="1"/>
    </xf>
    <xf numFmtId="4" fontId="133" fillId="34" borderId="89" xfId="177" applyNumberFormat="1" applyFont="1" applyFill="1" applyBorder="1" applyAlignment="1">
      <alignment horizontal="center" vertical="center" wrapText="1"/>
    </xf>
    <xf numFmtId="0" fontId="145" fillId="34" borderId="89" xfId="533" applyFont="1" applyFill="1" applyBorder="1" applyAlignment="1">
      <alignment horizontal="left" vertical="center" wrapText="1"/>
    </xf>
    <xf numFmtId="4" fontId="145" fillId="34" borderId="89" xfId="177" applyNumberFormat="1" applyFont="1" applyFill="1" applyBorder="1" applyAlignment="1">
      <alignment horizontal="center" vertical="center" wrapText="1"/>
    </xf>
    <xf numFmtId="0" fontId="133" fillId="34" borderId="89" xfId="533" applyFont="1" applyFill="1" applyBorder="1" applyAlignment="1">
      <alignment horizontal="left" vertical="center" wrapText="1"/>
    </xf>
    <xf numFmtId="9" fontId="133" fillId="34" borderId="89" xfId="533" applyNumberFormat="1" applyFont="1" applyFill="1" applyBorder="1" applyAlignment="1">
      <alignment horizontal="center" vertical="center" wrapText="1"/>
    </xf>
    <xf numFmtId="0" fontId="133" fillId="34" borderId="89" xfId="177" applyFont="1" applyFill="1" applyBorder="1" applyAlignment="1">
      <alignment horizontal="center" vertical="center" wrapText="1"/>
    </xf>
    <xf numFmtId="10" fontId="133" fillId="34" borderId="89" xfId="533" applyNumberFormat="1" applyFont="1" applyFill="1" applyBorder="1" applyAlignment="1">
      <alignment horizontal="center" vertical="center" wrapText="1"/>
    </xf>
    <xf numFmtId="0" fontId="145" fillId="34" borderId="67" xfId="533" applyFont="1" applyFill="1" applyBorder="1" applyAlignment="1">
      <alignment horizontal="center" vertical="center" wrapText="1"/>
    </xf>
    <xf numFmtId="2" fontId="145" fillId="34" borderId="67" xfId="533" applyNumberFormat="1" applyFont="1" applyFill="1" applyBorder="1" applyAlignment="1">
      <alignment horizontal="center" vertical="center"/>
    </xf>
    <xf numFmtId="4" fontId="145" fillId="34" borderId="67" xfId="533" applyNumberFormat="1" applyFont="1" applyFill="1" applyBorder="1" applyAlignment="1">
      <alignment horizontal="center" vertical="center"/>
    </xf>
    <xf numFmtId="180" fontId="145" fillId="34" borderId="67" xfId="533" applyNumberFormat="1" applyFont="1" applyFill="1" applyBorder="1" applyAlignment="1">
      <alignment horizontal="center" vertical="center"/>
    </xf>
    <xf numFmtId="0" fontId="189" fillId="34" borderId="89" xfId="177" applyFont="1" applyFill="1" applyBorder="1" applyAlignment="1">
      <alignment horizontal="center" vertical="center" wrapText="1"/>
    </xf>
    <xf numFmtId="0" fontId="190" fillId="34" borderId="89" xfId="177" applyFont="1" applyFill="1" applyBorder="1" applyAlignment="1">
      <alignment horizontal="center" vertical="center" wrapText="1"/>
    </xf>
    <xf numFmtId="0" fontId="145" fillId="34" borderId="67" xfId="533" applyFont="1" applyFill="1" applyBorder="1" applyAlignment="1">
      <alignment horizontal="center" vertical="center"/>
    </xf>
    <xf numFmtId="2" fontId="145" fillId="34" borderId="89" xfId="533" applyNumberFormat="1" applyFont="1" applyFill="1" applyBorder="1" applyAlignment="1">
      <alignment horizontal="center" vertical="center" wrapText="1"/>
    </xf>
    <xf numFmtId="0" fontId="136" fillId="34" borderId="67" xfId="533" applyFont="1" applyFill="1" applyBorder="1" applyAlignment="1">
      <alignment horizontal="center" vertical="center"/>
    </xf>
    <xf numFmtId="0" fontId="145" fillId="87" borderId="67" xfId="506" applyFont="1" applyFill="1" applyBorder="1" applyAlignment="1">
      <alignment horizontal="center" vertical="center" wrapText="1"/>
    </xf>
    <xf numFmtId="3" fontId="145" fillId="34" borderId="67" xfId="533" applyNumberFormat="1" applyFont="1" applyFill="1" applyBorder="1" applyAlignment="1">
      <alignment horizontal="center" vertical="center"/>
    </xf>
    <xf numFmtId="0" fontId="145" fillId="34" borderId="67" xfId="177" applyFont="1" applyFill="1" applyBorder="1" applyAlignment="1">
      <alignment horizontal="center" vertical="center"/>
    </xf>
    <xf numFmtId="170" fontId="145" fillId="34" borderId="67" xfId="533" applyNumberFormat="1" applyFont="1" applyFill="1" applyBorder="1" applyAlignment="1">
      <alignment horizontal="center" vertical="center"/>
    </xf>
    <xf numFmtId="0" fontId="136" fillId="34" borderId="32" xfId="533" applyFont="1" applyFill="1" applyBorder="1" applyAlignment="1">
      <alignment horizontal="center" vertical="center" wrapText="1"/>
    </xf>
    <xf numFmtId="0" fontId="133" fillId="34" borderId="32" xfId="533" applyFont="1" applyFill="1" applyBorder="1" applyAlignment="1">
      <alignment horizontal="left" vertical="center" wrapText="1"/>
    </xf>
    <xf numFmtId="4" fontId="133" fillId="34" borderId="32" xfId="533" applyNumberFormat="1" applyFont="1" applyFill="1" applyBorder="1" applyAlignment="1">
      <alignment horizontal="center" vertical="center" wrapText="1"/>
    </xf>
    <xf numFmtId="0" fontId="133" fillId="34" borderId="32" xfId="177" applyFont="1" applyFill="1" applyBorder="1" applyAlignment="1">
      <alignment horizontal="center" vertical="center" wrapText="1"/>
    </xf>
    <xf numFmtId="4" fontId="133" fillId="34" borderId="32" xfId="177" applyNumberFormat="1" applyFont="1" applyFill="1" applyBorder="1" applyAlignment="1">
      <alignment horizontal="center" vertical="center" wrapText="1"/>
    </xf>
    <xf numFmtId="0" fontId="136" fillId="34" borderId="6" xfId="533" applyFont="1" applyFill="1" applyBorder="1" applyAlignment="1">
      <alignment horizontal="center" vertical="center" wrapText="1"/>
    </xf>
    <xf numFmtId="0" fontId="145" fillId="34" borderId="6" xfId="533" applyFont="1" applyFill="1" applyBorder="1" applyAlignment="1">
      <alignment horizontal="center" vertical="center"/>
    </xf>
    <xf numFmtId="4" fontId="145" fillId="34" borderId="6" xfId="533" applyNumberFormat="1" applyFont="1" applyFill="1" applyBorder="1" applyAlignment="1">
      <alignment horizontal="center" vertical="center" wrapText="1"/>
    </xf>
    <xf numFmtId="180" fontId="145" fillId="34" borderId="6" xfId="533" applyNumberFormat="1" applyFont="1" applyFill="1" applyBorder="1" applyAlignment="1">
      <alignment horizontal="center" vertical="center" wrapText="1"/>
    </xf>
    <xf numFmtId="170" fontId="145" fillId="34" borderId="6" xfId="533" applyNumberFormat="1" applyFont="1" applyFill="1" applyBorder="1" applyAlignment="1">
      <alignment horizontal="center" vertical="center" wrapText="1"/>
    </xf>
    <xf numFmtId="4" fontId="145" fillId="34" borderId="6" xfId="177" applyNumberFormat="1" applyFont="1" applyFill="1" applyBorder="1" applyAlignment="1">
      <alignment horizontal="center" vertical="center" wrapText="1"/>
    </xf>
    <xf numFmtId="0" fontId="133" fillId="34" borderId="6" xfId="506" applyFont="1" applyFill="1" applyBorder="1"/>
    <xf numFmtId="0" fontId="133" fillId="34" borderId="6" xfId="533" applyFont="1" applyFill="1" applyBorder="1" applyAlignment="1">
      <alignment horizontal="center" vertical="center" wrapText="1"/>
    </xf>
    <xf numFmtId="2" fontId="52" fillId="34" borderId="31" xfId="0" applyNumberFormat="1" applyFont="1" applyFill="1" applyBorder="1" applyAlignment="1">
      <alignment horizontal="center"/>
    </xf>
    <xf numFmtId="2" fontId="52" fillId="34" borderId="6" xfId="0" applyNumberFormat="1" applyFont="1" applyFill="1" applyBorder="1" applyAlignment="1">
      <alignment horizontal="center"/>
    </xf>
    <xf numFmtId="180" fontId="145" fillId="34" borderId="6" xfId="533" applyNumberFormat="1" applyFont="1" applyFill="1" applyBorder="1" applyAlignment="1">
      <alignment horizontal="center" vertical="center"/>
    </xf>
    <xf numFmtId="0" fontId="145" fillId="34" borderId="6" xfId="177" applyFont="1" applyFill="1" applyBorder="1" applyAlignment="1">
      <alignment horizontal="center" vertical="center"/>
    </xf>
    <xf numFmtId="4" fontId="145" fillId="34" borderId="6" xfId="177" applyNumberFormat="1" applyFont="1" applyFill="1" applyBorder="1" applyAlignment="1">
      <alignment horizontal="center" vertical="center"/>
    </xf>
    <xf numFmtId="0" fontId="136" fillId="34" borderId="33" xfId="533" applyFont="1" applyFill="1" applyBorder="1" applyAlignment="1">
      <alignment horizontal="center" vertical="center" wrapText="1"/>
    </xf>
    <xf numFmtId="0" fontId="136" fillId="34" borderId="23" xfId="533" applyFont="1" applyFill="1" applyBorder="1" applyAlignment="1">
      <alignment horizontal="center" vertical="center" wrapText="1"/>
    </xf>
    <xf numFmtId="0" fontId="101" fillId="34" borderId="0" xfId="533" applyFont="1" applyFill="1" applyAlignment="1">
      <alignment horizontal="center" vertical="top"/>
    </xf>
    <xf numFmtId="0" fontId="152" fillId="34" borderId="0" xfId="506" applyFont="1" applyFill="1" applyAlignment="1">
      <alignment vertical="top"/>
    </xf>
    <xf numFmtId="0" fontId="266" fillId="0" borderId="0" xfId="0" applyFont="1"/>
    <xf numFmtId="0" fontId="282" fillId="0" borderId="0" xfId="0" applyFont="1" applyAlignment="1">
      <alignment horizontal="center" vertical="center" wrapText="1"/>
    </xf>
    <xf numFmtId="0" fontId="282" fillId="0" borderId="0" xfId="0" applyFont="1" applyAlignment="1">
      <alignment horizontal="center" vertical="center"/>
    </xf>
    <xf numFmtId="4" fontId="266" fillId="0" borderId="0" xfId="0" applyNumberFormat="1" applyFont="1"/>
    <xf numFmtId="9" fontId="266" fillId="0" borderId="0" xfId="558" applyFont="1" applyFill="1" applyBorder="1"/>
    <xf numFmtId="0" fontId="43" fillId="0" borderId="7" xfId="0" applyFont="1" applyBorder="1"/>
    <xf numFmtId="0" fontId="42" fillId="0" borderId="7" xfId="0" applyFont="1" applyBorder="1" applyAlignment="1">
      <alignment horizontal="center" vertical="center"/>
    </xf>
    <xf numFmtId="2" fontId="43" fillId="0" borderId="7" xfId="0" applyNumberFormat="1" applyFont="1" applyBorder="1"/>
    <xf numFmtId="2" fontId="266" fillId="34" borderId="0" xfId="0" applyNumberFormat="1" applyFont="1" applyFill="1"/>
    <xf numFmtId="4" fontId="266" fillId="34" borderId="0" xfId="0" applyNumberFormat="1" applyFont="1" applyFill="1"/>
    <xf numFmtId="0" fontId="266" fillId="34" borderId="0" xfId="0" applyFont="1" applyFill="1"/>
    <xf numFmtId="0" fontId="282" fillId="34" borderId="0" xfId="0" applyFont="1" applyFill="1" applyAlignment="1">
      <alignment horizontal="center" vertical="center" wrapText="1"/>
    </xf>
    <xf numFmtId="0" fontId="282" fillId="34" borderId="0" xfId="0" applyFont="1" applyFill="1" applyAlignment="1">
      <alignment horizontal="center" vertical="center"/>
    </xf>
    <xf numFmtId="9" fontId="266" fillId="34" borderId="0" xfId="558" applyFont="1" applyFill="1" applyBorder="1"/>
    <xf numFmtId="0" fontId="283" fillId="34" borderId="0" xfId="0" applyFont="1" applyFill="1" applyAlignment="1">
      <alignment vertical="center" wrapText="1"/>
    </xf>
    <xf numFmtId="4" fontId="284" fillId="34" borderId="0" xfId="0" applyNumberFormat="1" applyFont="1" applyFill="1"/>
    <xf numFmtId="9" fontId="284" fillId="34" borderId="0" xfId="558" applyFont="1" applyFill="1" applyBorder="1"/>
    <xf numFmtId="2" fontId="40" fillId="3" borderId="7" xfId="5" applyNumberFormat="1" applyFont="1" applyFill="1" applyBorder="1" applyAlignment="1" applyProtection="1">
      <alignment horizontal="center" vertical="center"/>
      <protection locked="0"/>
    </xf>
    <xf numFmtId="2" fontId="40" fillId="34" borderId="47" xfId="5" applyNumberFormat="1" applyFont="1" applyFill="1" applyBorder="1" applyAlignment="1" applyProtection="1">
      <alignment horizontal="center" vertical="center"/>
      <protection locked="0"/>
    </xf>
    <xf numFmtId="49" fontId="40" fillId="34" borderId="7" xfId="5" applyNumberFormat="1" applyFont="1" applyFill="1" applyBorder="1" applyAlignment="1">
      <alignment horizontal="center" vertical="center" wrapText="1"/>
    </xf>
    <xf numFmtId="49" fontId="40" fillId="34" borderId="78" xfId="5" applyNumberFormat="1" applyFont="1" applyFill="1" applyBorder="1" applyAlignment="1">
      <alignment horizontal="center" vertical="center" wrapText="1"/>
    </xf>
    <xf numFmtId="49" fontId="46" fillId="34" borderId="65" xfId="5" applyNumberFormat="1" applyFont="1" applyFill="1" applyBorder="1" applyAlignment="1">
      <alignment horizontal="center" vertical="center" wrapText="1"/>
    </xf>
    <xf numFmtId="0" fontId="0" fillId="0" borderId="24" xfId="0" applyBorder="1"/>
    <xf numFmtId="177" fontId="40" fillId="34" borderId="40" xfId="5" applyNumberFormat="1" applyFont="1" applyFill="1" applyBorder="1" applyAlignment="1">
      <alignment horizontal="center" vertical="center"/>
    </xf>
    <xf numFmtId="177" fontId="40" fillId="34" borderId="46" xfId="5" applyNumberFormat="1" applyFont="1" applyFill="1" applyBorder="1" applyAlignment="1">
      <alignment horizontal="center" vertical="center"/>
    </xf>
    <xf numFmtId="0" fontId="0" fillId="0" borderId="28" xfId="0" applyBorder="1"/>
    <xf numFmtId="2" fontId="40" fillId="0" borderId="7" xfId="240" applyNumberFormat="1" applyFont="1" applyBorder="1" applyAlignment="1">
      <alignment horizontal="center" vertical="center"/>
    </xf>
    <xf numFmtId="2" fontId="40" fillId="0" borderId="54" xfId="240" applyNumberFormat="1" applyFont="1" applyBorder="1" applyAlignment="1">
      <alignment horizontal="center" vertical="center"/>
    </xf>
    <xf numFmtId="49" fontId="40" fillId="34" borderId="37" xfId="5" applyNumberFormat="1" applyFont="1" applyFill="1" applyBorder="1" applyAlignment="1">
      <alignment horizontal="center" vertical="center" wrapText="1"/>
    </xf>
    <xf numFmtId="0" fontId="40" fillId="34" borderId="3" xfId="5" applyFont="1" applyFill="1" applyBorder="1" applyAlignment="1">
      <alignment vertical="center" wrapText="1"/>
    </xf>
    <xf numFmtId="0" fontId="40" fillId="34" borderId="69" xfId="5" applyFont="1" applyFill="1" applyBorder="1" applyAlignment="1">
      <alignment horizontal="center" vertical="center"/>
    </xf>
    <xf numFmtId="2" fontId="40" fillId="34" borderId="3" xfId="5" applyNumberFormat="1" applyFont="1" applyFill="1" applyBorder="1" applyAlignment="1" applyProtection="1">
      <alignment horizontal="center" vertical="center" wrapText="1"/>
      <protection locked="0"/>
    </xf>
    <xf numFmtId="2" fontId="40" fillId="34" borderId="3" xfId="5" applyNumberFormat="1" applyFont="1" applyFill="1" applyBorder="1" applyAlignment="1" applyProtection="1">
      <alignment horizontal="center" vertical="center"/>
      <protection locked="0"/>
    </xf>
    <xf numFmtId="2" fontId="40" fillId="34" borderId="43" xfId="5" applyNumberFormat="1" applyFont="1" applyFill="1" applyBorder="1" applyAlignment="1" applyProtection="1">
      <alignment horizontal="center" vertical="center"/>
      <protection locked="0"/>
    </xf>
    <xf numFmtId="49" fontId="40" fillId="34" borderId="30" xfId="5" applyNumberFormat="1" applyFont="1" applyFill="1" applyBorder="1" applyAlignment="1">
      <alignment horizontal="center" vertical="center" wrapText="1"/>
    </xf>
    <xf numFmtId="0" fontId="40" fillId="34" borderId="61" xfId="5" applyFont="1" applyFill="1" applyBorder="1" applyAlignment="1">
      <alignment vertical="center" wrapText="1"/>
    </xf>
    <xf numFmtId="0" fontId="40" fillId="34" borderId="63" xfId="5" applyFont="1" applyFill="1" applyBorder="1" applyAlignment="1">
      <alignment horizontal="center" vertical="center"/>
    </xf>
    <xf numFmtId="2" fontId="40" fillId="34" borderId="61" xfId="5" applyNumberFormat="1" applyFont="1" applyFill="1" applyBorder="1" applyAlignment="1" applyProtection="1">
      <alignment horizontal="center" vertical="center" wrapText="1"/>
      <protection locked="0"/>
    </xf>
    <xf numFmtId="2" fontId="40" fillId="34" borderId="62" xfId="5" applyNumberFormat="1" applyFont="1" applyFill="1" applyBorder="1" applyAlignment="1" applyProtection="1">
      <alignment horizontal="center" vertical="center" wrapText="1"/>
      <protection locked="0"/>
    </xf>
    <xf numFmtId="49" fontId="40" fillId="34" borderId="69" xfId="5" applyNumberFormat="1" applyFont="1" applyFill="1" applyBorder="1" applyAlignment="1">
      <alignment horizontal="center" vertical="center" wrapText="1"/>
    </xf>
    <xf numFmtId="0" fontId="40" fillId="34" borderId="3" xfId="0" applyFont="1" applyFill="1" applyBorder="1" applyAlignment="1">
      <alignment horizontal="left" vertical="center" wrapText="1" indent="2"/>
    </xf>
    <xf numFmtId="0" fontId="40" fillId="34" borderId="3" xfId="5" applyFont="1" applyFill="1" applyBorder="1" applyAlignment="1">
      <alignment horizontal="center" vertical="center"/>
    </xf>
    <xf numFmtId="2" fontId="40" fillId="34" borderId="3" xfId="5" applyNumberFormat="1" applyFont="1" applyFill="1" applyBorder="1" applyAlignment="1">
      <alignment horizontal="center" vertical="center"/>
    </xf>
    <xf numFmtId="2" fontId="40" fillId="34" borderId="43" xfId="5" applyNumberFormat="1" applyFont="1" applyFill="1" applyBorder="1" applyAlignment="1">
      <alignment horizontal="center" vertical="center"/>
    </xf>
    <xf numFmtId="2" fontId="40" fillId="34" borderId="46" xfId="5" applyNumberFormat="1" applyFont="1" applyFill="1" applyBorder="1" applyAlignment="1">
      <alignment horizontal="center" vertical="center"/>
    </xf>
    <xf numFmtId="0" fontId="40" fillId="34" borderId="3" xfId="0" applyFont="1" applyFill="1" applyBorder="1" applyAlignment="1">
      <alignment vertical="center" wrapText="1"/>
    </xf>
    <xf numFmtId="2" fontId="40" fillId="34" borderId="43" xfId="5" applyNumberFormat="1" applyFont="1" applyFill="1" applyBorder="1" applyAlignment="1" applyProtection="1">
      <alignment horizontal="center" vertical="center" wrapText="1"/>
      <protection locked="0"/>
    </xf>
    <xf numFmtId="0" fontId="40" fillId="34" borderId="45" xfId="0" applyFont="1" applyFill="1" applyBorder="1" applyAlignment="1">
      <alignment horizontal="left" vertical="center" wrapText="1" indent="2"/>
    </xf>
    <xf numFmtId="2" fontId="40" fillId="34" borderId="45" xfId="5" applyNumberFormat="1" applyFont="1" applyFill="1" applyBorder="1" applyAlignment="1" applyProtection="1">
      <alignment horizontal="center" vertical="center"/>
      <protection locked="0"/>
    </xf>
    <xf numFmtId="2" fontId="40" fillId="34" borderId="46" xfId="5" applyNumberFormat="1" applyFont="1" applyFill="1" applyBorder="1" applyAlignment="1" applyProtection="1">
      <alignment horizontal="center" vertical="center"/>
      <protection locked="0"/>
    </xf>
    <xf numFmtId="2" fontId="40" fillId="0" borderId="7" xfId="5" applyNumberFormat="1" applyFont="1" applyBorder="1" applyAlignment="1" applyProtection="1">
      <alignment horizontal="center" vertical="center" wrapText="1"/>
      <protection locked="0"/>
    </xf>
    <xf numFmtId="177" fontId="40" fillId="34" borderId="46" xfId="5" applyNumberFormat="1" applyFont="1" applyFill="1" applyBorder="1" applyAlignment="1" applyProtection="1">
      <alignment horizontal="center" vertical="center" wrapText="1"/>
      <protection locked="0"/>
    </xf>
    <xf numFmtId="0" fontId="133" fillId="0" borderId="24" xfId="0" applyFont="1" applyBorder="1"/>
    <xf numFmtId="176" fontId="0" fillId="0" borderId="24" xfId="0" applyNumberFormat="1" applyBorder="1"/>
    <xf numFmtId="2" fontId="0" fillId="0" borderId="24" xfId="0" applyNumberFormat="1" applyBorder="1"/>
    <xf numFmtId="0" fontId="92" fillId="0" borderId="24" xfId="0" applyFont="1" applyBorder="1"/>
    <xf numFmtId="2" fontId="43" fillId="34" borderId="8" xfId="0" applyNumberFormat="1" applyFont="1" applyFill="1" applyBorder="1" applyAlignment="1">
      <alignment horizontal="center" vertical="center" wrapText="1"/>
    </xf>
    <xf numFmtId="49" fontId="43" fillId="34" borderId="42" xfId="0" applyNumberFormat="1" applyFont="1" applyFill="1" applyBorder="1" applyAlignment="1">
      <alignment horizontal="center" vertical="top" wrapText="1"/>
    </xf>
    <xf numFmtId="0" fontId="43" fillId="34" borderId="10" xfId="0" applyFont="1" applyFill="1" applyBorder="1" applyAlignment="1">
      <alignment vertical="center" wrapText="1"/>
    </xf>
    <xf numFmtId="0" fontId="43" fillId="34" borderId="46" xfId="0" applyFont="1" applyFill="1" applyBorder="1" applyAlignment="1">
      <alignment vertical="center" wrapText="1"/>
    </xf>
    <xf numFmtId="0" fontId="43" fillId="34" borderId="24" xfId="0" applyFont="1" applyFill="1" applyBorder="1"/>
    <xf numFmtId="0" fontId="52" fillId="34" borderId="24" xfId="0" applyFont="1" applyFill="1" applyBorder="1"/>
    <xf numFmtId="177" fontId="43" fillId="34" borderId="24" xfId="0" applyNumberFormat="1" applyFont="1" applyFill="1" applyBorder="1"/>
    <xf numFmtId="0" fontId="52" fillId="34" borderId="69" xfId="0" applyFont="1" applyFill="1" applyBorder="1" applyAlignment="1">
      <alignment horizontal="left" indent="1"/>
    </xf>
    <xf numFmtId="0" fontId="52" fillId="34" borderId="3" xfId="0" applyFont="1" applyFill="1" applyBorder="1" applyAlignment="1">
      <alignment horizontal="left" indent="1"/>
    </xf>
    <xf numFmtId="0" fontId="52" fillId="34" borderId="43" xfId="0" applyFont="1" applyFill="1" applyBorder="1" applyAlignment="1">
      <alignment horizontal="left" indent="1"/>
    </xf>
    <xf numFmtId="0" fontId="52" fillId="34" borderId="60" xfId="0" applyFont="1" applyFill="1" applyBorder="1" applyAlignment="1">
      <alignment wrapText="1"/>
    </xf>
    <xf numFmtId="0" fontId="52" fillId="34" borderId="61" xfId="0" applyFont="1" applyFill="1" applyBorder="1" applyAlignment="1">
      <alignment wrapText="1"/>
    </xf>
    <xf numFmtId="0" fontId="52" fillId="34" borderId="62" xfId="0" applyFont="1" applyFill="1" applyBorder="1" applyAlignment="1">
      <alignment wrapText="1"/>
    </xf>
    <xf numFmtId="0" fontId="43" fillId="34" borderId="89" xfId="0" applyFont="1" applyFill="1" applyBorder="1" applyAlignment="1">
      <alignment horizontal="left" indent="3"/>
    </xf>
    <xf numFmtId="0" fontId="115" fillId="34" borderId="68" xfId="0" applyFont="1" applyFill="1" applyBorder="1" applyAlignment="1">
      <alignment horizontal="left" indent="2"/>
    </xf>
    <xf numFmtId="2" fontId="115" fillId="34" borderId="54" xfId="0" applyNumberFormat="1" applyFont="1" applyFill="1" applyBorder="1" applyAlignment="1">
      <alignment wrapText="1"/>
    </xf>
    <xf numFmtId="2" fontId="115" fillId="34" borderId="72" xfId="0" applyNumberFormat="1" applyFont="1" applyFill="1" applyBorder="1" applyAlignment="1">
      <alignment wrapText="1"/>
    </xf>
    <xf numFmtId="181" fontId="115" fillId="34" borderId="69" xfId="0" applyNumberFormat="1" applyFont="1" applyFill="1" applyBorder="1" applyAlignment="1">
      <alignment horizontal="right"/>
    </xf>
    <xf numFmtId="181" fontId="115" fillId="34" borderId="38" xfId="0" applyNumberFormat="1" applyFont="1" applyFill="1" applyBorder="1" applyAlignment="1">
      <alignment horizontal="right"/>
    </xf>
    <xf numFmtId="181" fontId="133" fillId="34" borderId="54" xfId="0" applyNumberFormat="1" applyFont="1" applyFill="1" applyBorder="1" applyAlignment="1">
      <alignment horizontal="right"/>
    </xf>
    <xf numFmtId="181" fontId="43" fillId="34" borderId="45" xfId="0" applyNumberFormat="1" applyFont="1" applyFill="1" applyBorder="1" applyAlignment="1">
      <alignment horizontal="right"/>
    </xf>
    <xf numFmtId="181" fontId="43" fillId="34" borderId="46" xfId="0" applyNumberFormat="1" applyFont="1" applyFill="1" applyBorder="1" applyAlignment="1">
      <alignment horizontal="right"/>
    </xf>
    <xf numFmtId="2" fontId="155" fillId="34" borderId="130" xfId="116" applyNumberFormat="1" applyFont="1" applyFill="1" applyBorder="1" applyAlignment="1">
      <alignment horizontal="right"/>
    </xf>
    <xf numFmtId="0" fontId="51" fillId="34" borderId="24" xfId="116" applyFont="1" applyFill="1" applyBorder="1"/>
    <xf numFmtId="0" fontId="136" fillId="34" borderId="6" xfId="116" applyFont="1" applyFill="1" applyBorder="1" applyAlignment="1">
      <alignment horizontal="center" vertical="center" wrapText="1"/>
    </xf>
    <xf numFmtId="0" fontId="155" fillId="34" borderId="35" xfId="116" applyFont="1" applyFill="1" applyBorder="1"/>
    <xf numFmtId="187" fontId="155" fillId="34" borderId="35" xfId="116" applyNumberFormat="1" applyFont="1" applyFill="1" applyBorder="1" applyAlignment="1">
      <alignment horizontal="right"/>
    </xf>
    <xf numFmtId="187" fontId="155" fillId="34" borderId="35" xfId="116" applyNumberFormat="1" applyFont="1" applyFill="1" applyBorder="1" applyAlignment="1">
      <alignment horizontal="center"/>
    </xf>
    <xf numFmtId="2" fontId="155" fillId="34" borderId="146" xfId="116" applyNumberFormat="1" applyFont="1" applyFill="1" applyBorder="1" applyAlignment="1">
      <alignment horizontal="right"/>
    </xf>
    <xf numFmtId="2" fontId="155" fillId="34" borderId="32" xfId="116" applyNumberFormat="1" applyFont="1" applyFill="1" applyBorder="1" applyAlignment="1">
      <alignment horizontal="right"/>
    </xf>
    <xf numFmtId="0" fontId="155" fillId="0" borderId="128" xfId="116" applyFont="1" applyBorder="1" applyAlignment="1">
      <alignment horizontal="left" vertical="center" wrapText="1" indent="1"/>
    </xf>
    <xf numFmtId="2" fontId="155" fillId="0" borderId="128" xfId="116" applyNumberFormat="1" applyFont="1" applyBorder="1"/>
    <xf numFmtId="2" fontId="155" fillId="0" borderId="128" xfId="116" applyNumberFormat="1" applyFont="1" applyBorder="1" applyAlignment="1">
      <alignment horizontal="right"/>
    </xf>
    <xf numFmtId="0" fontId="155" fillId="0" borderId="111" xfId="116" applyFont="1" applyBorder="1" applyAlignment="1">
      <alignment horizontal="left" vertical="center" wrapText="1" indent="1"/>
    </xf>
    <xf numFmtId="0" fontId="43" fillId="0" borderId="0" xfId="0" applyFont="1" applyAlignment="1">
      <alignment horizontal="left" wrapText="1"/>
    </xf>
    <xf numFmtId="0" fontId="248" fillId="0" borderId="0" xfId="0" applyFont="1" applyAlignment="1">
      <alignment horizontal="center" vertical="center" wrapText="1"/>
    </xf>
    <xf numFmtId="4" fontId="43" fillId="0" borderId="1" xfId="0" applyNumberFormat="1" applyFont="1" applyBorder="1" applyAlignment="1">
      <alignment horizontal="center"/>
    </xf>
    <xf numFmtId="4" fontId="220" fillId="0" borderId="1" xfId="0" applyNumberFormat="1" applyFont="1" applyBorder="1" applyAlignment="1">
      <alignment horizontal="center"/>
    </xf>
    <xf numFmtId="9" fontId="43" fillId="0" borderId="7" xfId="0" applyNumberFormat="1" applyFont="1" applyBorder="1"/>
    <xf numFmtId="9" fontId="43" fillId="0" borderId="1" xfId="0" applyNumberFormat="1" applyFont="1" applyBorder="1"/>
    <xf numFmtId="9" fontId="43" fillId="0" borderId="1" xfId="558" applyFont="1" applyFill="1" applyBorder="1"/>
    <xf numFmtId="0" fontId="214" fillId="0" borderId="7" xfId="0" applyFont="1" applyBorder="1" applyAlignment="1">
      <alignment vertical="center" wrapText="1"/>
    </xf>
    <xf numFmtId="9" fontId="220" fillId="0" borderId="1" xfId="558" applyFont="1" applyFill="1" applyBorder="1"/>
    <xf numFmtId="9" fontId="104" fillId="0" borderId="1" xfId="558" applyFont="1" applyBorder="1" applyAlignment="1">
      <alignment horizontal="center"/>
    </xf>
    <xf numFmtId="4" fontId="42" fillId="0" borderId="1" xfId="0" applyNumberFormat="1" applyFont="1" applyBorder="1" applyAlignment="1">
      <alignment horizontal="center"/>
    </xf>
    <xf numFmtId="0" fontId="43" fillId="34" borderId="0" xfId="0" applyFont="1" applyFill="1" applyAlignment="1">
      <alignment horizontal="center" vertical="center"/>
    </xf>
    <xf numFmtId="2" fontId="133" fillId="0" borderId="67" xfId="0" applyNumberFormat="1" applyFont="1" applyBorder="1" applyAlignment="1">
      <alignment horizontal="center"/>
    </xf>
    <xf numFmtId="0" fontId="154" fillId="34" borderId="0" xfId="0" applyFont="1" applyFill="1"/>
    <xf numFmtId="4" fontId="246" fillId="0" borderId="58" xfId="0" applyNumberFormat="1" applyFont="1" applyBorder="1" applyAlignment="1">
      <alignment horizontal="center" vertical="center" wrapText="1"/>
    </xf>
    <xf numFmtId="4" fontId="246" fillId="0" borderId="59" xfId="0" applyNumberFormat="1" applyFont="1" applyBorder="1" applyAlignment="1">
      <alignment horizontal="center" vertical="center" wrapText="1"/>
    </xf>
    <xf numFmtId="4" fontId="131" fillId="0" borderId="58" xfId="0" applyNumberFormat="1" applyFont="1" applyBorder="1" applyAlignment="1">
      <alignment horizontal="center" vertical="center" wrapText="1"/>
    </xf>
    <xf numFmtId="4" fontId="131" fillId="0" borderId="59" xfId="0" applyNumberFormat="1" applyFont="1" applyBorder="1" applyAlignment="1">
      <alignment horizontal="center" vertical="center" wrapText="1"/>
    </xf>
    <xf numFmtId="2" fontId="133" fillId="34" borderId="0" xfId="0" applyNumberFormat="1" applyFont="1" applyFill="1" applyAlignment="1">
      <alignment horizontal="right"/>
    </xf>
    <xf numFmtId="2" fontId="145" fillId="34" borderId="0" xfId="0" applyNumberFormat="1" applyFont="1" applyFill="1" applyAlignment="1">
      <alignment horizontal="right"/>
    </xf>
    <xf numFmtId="4" fontId="44" fillId="0" borderId="32" xfId="0" applyNumberFormat="1" applyFont="1" applyBorder="1" applyAlignment="1">
      <alignment horizontal="center"/>
    </xf>
    <xf numFmtId="195" fontId="44" fillId="0" borderId="32" xfId="0" applyNumberFormat="1" applyFont="1" applyBorder="1" applyAlignment="1">
      <alignment horizontal="center"/>
    </xf>
    <xf numFmtId="9" fontId="44" fillId="0" borderId="32" xfId="0" applyNumberFormat="1" applyFont="1" applyBorder="1" applyAlignment="1">
      <alignment horizontal="center"/>
    </xf>
    <xf numFmtId="0" fontId="105" fillId="34" borderId="0" xfId="0" applyFont="1" applyFill="1"/>
    <xf numFmtId="0" fontId="285" fillId="0" borderId="0" xfId="239" applyFont="1"/>
    <xf numFmtId="0" fontId="112" fillId="0" borderId="0" xfId="0" applyFont="1"/>
    <xf numFmtId="4" fontId="286" fillId="34" borderId="0" xfId="116" applyNumberFormat="1" applyFont="1" applyFill="1" applyAlignment="1">
      <alignment horizontal="left"/>
    </xf>
    <xf numFmtId="4" fontId="287" fillId="34" borderId="0" xfId="116" applyNumberFormat="1" applyFont="1" applyFill="1" applyAlignment="1">
      <alignment horizontal="left"/>
    </xf>
    <xf numFmtId="0" fontId="246" fillId="0" borderId="1" xfId="0" applyFont="1" applyBorder="1" applyAlignment="1">
      <alignment vertical="center" wrapText="1"/>
    </xf>
    <xf numFmtId="0" fontId="131" fillId="0" borderId="1" xfId="0" applyFont="1" applyBorder="1" applyAlignment="1">
      <alignment vertical="center" wrapText="1"/>
    </xf>
    <xf numFmtId="0" fontId="1" fillId="0" borderId="0" xfId="6" applyFont="1"/>
    <xf numFmtId="0" fontId="289" fillId="34" borderId="1" xfId="240" applyFont="1" applyFill="1" applyBorder="1" applyAlignment="1">
      <alignment horizontal="center" vertical="center" wrapText="1"/>
    </xf>
    <xf numFmtId="0" fontId="155" fillId="34" borderId="114" xfId="116" applyFont="1" applyFill="1" applyBorder="1" applyAlignment="1">
      <alignment horizontal="left" vertical="justify" wrapText="1" indent="1"/>
    </xf>
    <xf numFmtId="0" fontId="155" fillId="34" borderId="147" xfId="116" applyFont="1" applyFill="1" applyBorder="1" applyAlignment="1">
      <alignment horizontal="left" vertical="justify" wrapText="1" indent="1"/>
    </xf>
    <xf numFmtId="2" fontId="155" fillId="34" borderId="148" xfId="116" applyNumberFormat="1" applyFont="1" applyFill="1" applyBorder="1" applyAlignment="1">
      <alignment horizontal="right"/>
    </xf>
    <xf numFmtId="0" fontId="52" fillId="0" borderId="97" xfId="6" applyFont="1" applyBorder="1" applyAlignment="1">
      <alignment horizontal="left" vertical="center" wrapText="1"/>
    </xf>
    <xf numFmtId="0" fontId="43" fillId="0" borderId="92" xfId="6" applyFont="1" applyBorder="1" applyAlignment="1">
      <alignment horizontal="center" vertical="center" wrapText="1"/>
    </xf>
    <xf numFmtId="177" fontId="52" fillId="0" borderId="71" xfId="6" applyNumberFormat="1" applyFont="1" applyBorder="1" applyAlignment="1">
      <alignment horizontal="center" vertical="center" wrapText="1"/>
    </xf>
    <xf numFmtId="2" fontId="52" fillId="0" borderId="71" xfId="6" applyNumberFormat="1" applyFont="1" applyBorder="1" applyAlignment="1">
      <alignment horizontal="center" vertical="center" wrapText="1"/>
    </xf>
    <xf numFmtId="2" fontId="43" fillId="0" borderId="71" xfId="6" applyNumberFormat="1" applyFont="1" applyBorder="1" applyAlignment="1">
      <alignment horizontal="center" vertical="center" wrapText="1"/>
    </xf>
    <xf numFmtId="0" fontId="43" fillId="0" borderId="77" xfId="6" applyFont="1" applyBorder="1" applyAlignment="1">
      <alignment horizontal="center" vertical="center" wrapText="1"/>
    </xf>
    <xf numFmtId="0" fontId="43" fillId="0" borderId="25" xfId="6" applyFont="1" applyBorder="1" applyAlignment="1">
      <alignment horizontal="left" vertical="center" wrapText="1" indent="1"/>
    </xf>
    <xf numFmtId="0" fontId="43" fillId="0" borderId="10" xfId="6" applyFont="1" applyBorder="1" applyAlignment="1">
      <alignment horizontal="left" vertical="center" wrapText="1" indent="1"/>
    </xf>
    <xf numFmtId="0" fontId="43" fillId="0" borderId="37" xfId="6" applyFont="1" applyBorder="1" applyAlignment="1">
      <alignment horizontal="center" vertical="center" wrapText="1"/>
    </xf>
    <xf numFmtId="177" fontId="43" fillId="0" borderId="89" xfId="6" applyNumberFormat="1" applyFont="1" applyBorder="1" applyAlignment="1">
      <alignment horizontal="center" vertical="center" wrapText="1"/>
    </xf>
    <xf numFmtId="2" fontId="43" fillId="0" borderId="89" xfId="6" applyNumberFormat="1" applyFont="1" applyBorder="1" applyAlignment="1">
      <alignment horizontal="center" vertical="center" wrapText="1"/>
    </xf>
    <xf numFmtId="0" fontId="43" fillId="0" borderId="5" xfId="6" applyFont="1" applyBorder="1" applyAlignment="1">
      <alignment horizontal="center" vertical="center" wrapText="1"/>
    </xf>
    <xf numFmtId="0" fontId="43" fillId="0" borderId="3" xfId="6" applyFont="1" applyBorder="1" applyAlignment="1">
      <alignment horizontal="center" vertical="center" wrapText="1"/>
    </xf>
    <xf numFmtId="0" fontId="52" fillId="34" borderId="6" xfId="6" applyFont="1" applyFill="1" applyBorder="1" applyAlignment="1">
      <alignment horizontal="center" vertical="center" wrapText="1"/>
    </xf>
    <xf numFmtId="0" fontId="43" fillId="34" borderId="6" xfId="6" applyFont="1" applyFill="1" applyBorder="1" applyAlignment="1">
      <alignment horizontal="center" vertical="center" wrapText="1"/>
    </xf>
    <xf numFmtId="0" fontId="43" fillId="34" borderId="36" xfId="6" applyFont="1" applyFill="1" applyBorder="1" applyAlignment="1">
      <alignment horizontal="center" vertical="center" wrapText="1"/>
    </xf>
    <xf numFmtId="0" fontId="52" fillId="34" borderId="1" xfId="6" applyFont="1" applyFill="1" applyBorder="1" applyAlignment="1">
      <alignment horizontal="left" vertical="center" wrapText="1"/>
    </xf>
    <xf numFmtId="2" fontId="34" fillId="34" borderId="24" xfId="6" applyNumberFormat="1" applyFill="1" applyBorder="1" applyAlignment="1">
      <alignment horizontal="center" vertical="center" wrapText="1"/>
    </xf>
    <xf numFmtId="2" fontId="34" fillId="34" borderId="0" xfId="6" applyNumberFormat="1" applyFill="1" applyAlignment="1">
      <alignment horizontal="center" vertical="center" wrapText="1"/>
    </xf>
    <xf numFmtId="2" fontId="43" fillId="34" borderId="4" xfId="6" applyNumberFormat="1" applyFont="1" applyFill="1" applyBorder="1" applyAlignment="1">
      <alignment horizontal="center" vertical="center" wrapText="1"/>
    </xf>
    <xf numFmtId="2" fontId="43" fillId="34" borderId="0" xfId="6" applyNumberFormat="1" applyFont="1" applyFill="1" applyAlignment="1">
      <alignment horizontal="center" vertical="center" wrapText="1"/>
    </xf>
    <xf numFmtId="2" fontId="133" fillId="34" borderId="32" xfId="6" applyNumberFormat="1" applyFont="1" applyFill="1" applyBorder="1" applyAlignment="1">
      <alignment horizontal="center" vertical="center" wrapText="1"/>
    </xf>
    <xf numFmtId="2" fontId="43" fillId="34" borderId="32" xfId="6" applyNumberFormat="1" applyFont="1" applyFill="1" applyBorder="1" applyAlignment="1">
      <alignment horizontal="center" vertical="center" wrapText="1"/>
    </xf>
    <xf numFmtId="177" fontId="43" fillId="34" borderId="32" xfId="6" applyNumberFormat="1" applyFont="1" applyFill="1" applyBorder="1" applyAlignment="1">
      <alignment horizontal="center" vertical="center" wrapText="1"/>
    </xf>
    <xf numFmtId="183" fontId="43" fillId="34" borderId="32" xfId="6" applyNumberFormat="1" applyFont="1" applyFill="1" applyBorder="1" applyAlignment="1">
      <alignment horizontal="center" vertical="center" wrapText="1"/>
    </xf>
    <xf numFmtId="183" fontId="43" fillId="34" borderId="28" xfId="6" applyNumberFormat="1" applyFont="1" applyFill="1" applyBorder="1" applyAlignment="1">
      <alignment horizontal="center" vertical="center" wrapText="1"/>
    </xf>
    <xf numFmtId="183" fontId="43" fillId="34" borderId="4" xfId="558" applyNumberFormat="1" applyFont="1" applyFill="1" applyBorder="1" applyAlignment="1">
      <alignment horizontal="center" vertical="center" wrapText="1"/>
    </xf>
    <xf numFmtId="183" fontId="43" fillId="34" borderId="0" xfId="558" applyNumberFormat="1" applyFont="1" applyFill="1" applyAlignment="1">
      <alignment horizontal="center" vertical="center" wrapText="1"/>
    </xf>
    <xf numFmtId="183" fontId="43" fillId="34" borderId="3" xfId="558" applyNumberFormat="1" applyFont="1" applyFill="1" applyBorder="1" applyAlignment="1">
      <alignment horizontal="center" vertical="center" wrapText="1"/>
    </xf>
    <xf numFmtId="0" fontId="42" fillId="34" borderId="89" xfId="6" applyFont="1" applyFill="1" applyBorder="1" applyAlignment="1">
      <alignment wrapText="1"/>
    </xf>
    <xf numFmtId="0" fontId="42" fillId="34" borderId="37" xfId="6" applyFont="1" applyFill="1" applyBorder="1" applyAlignment="1">
      <alignment horizontal="center"/>
    </xf>
    <xf numFmtId="2" fontId="42" fillId="34" borderId="89" xfId="6" applyNumberFormat="1" applyFont="1" applyFill="1" applyBorder="1"/>
    <xf numFmtId="2" fontId="42" fillId="34" borderId="69" xfId="6" applyNumberFormat="1" applyFont="1" applyFill="1" applyBorder="1"/>
    <xf numFmtId="2" fontId="42" fillId="34" borderId="3" xfId="6" applyNumberFormat="1" applyFont="1" applyFill="1" applyBorder="1"/>
    <xf numFmtId="2" fontId="42" fillId="34" borderId="43" xfId="6" applyNumberFormat="1" applyFont="1" applyFill="1" applyBorder="1"/>
    <xf numFmtId="0" fontId="42" fillId="34" borderId="67" xfId="6" applyFont="1" applyFill="1" applyBorder="1" applyAlignment="1">
      <alignment horizontal="left" indent="1"/>
    </xf>
    <xf numFmtId="0" fontId="42" fillId="34" borderId="52" xfId="6" applyFont="1" applyFill="1" applyBorder="1" applyAlignment="1">
      <alignment horizontal="center"/>
    </xf>
    <xf numFmtId="4" fontId="42" fillId="34" borderId="67" xfId="6" applyNumberFormat="1" applyFont="1" applyFill="1" applyBorder="1"/>
    <xf numFmtId="2" fontId="42" fillId="34" borderId="40" xfId="6" applyNumberFormat="1" applyFont="1" applyFill="1" applyBorder="1" applyAlignment="1">
      <alignment horizontal="center" vertical="center"/>
    </xf>
    <xf numFmtId="2" fontId="42" fillId="34" borderId="7" xfId="6" applyNumberFormat="1" applyFont="1" applyFill="1" applyBorder="1"/>
    <xf numFmtId="0" fontId="42" fillId="34" borderId="52" xfId="6" applyFont="1" applyFill="1" applyBorder="1"/>
    <xf numFmtId="2" fontId="42" fillId="34" borderId="1" xfId="6" applyNumberFormat="1" applyFont="1" applyFill="1" applyBorder="1"/>
    <xf numFmtId="2" fontId="42" fillId="34" borderId="40" xfId="6" applyNumberFormat="1" applyFont="1" applyFill="1" applyBorder="1"/>
    <xf numFmtId="0" fontId="42" fillId="34" borderId="67" xfId="6" applyFont="1" applyFill="1" applyBorder="1" applyAlignment="1">
      <alignment horizontal="left" wrapText="1" indent="1"/>
    </xf>
    <xf numFmtId="0" fontId="42" fillId="34" borderId="52" xfId="6" applyFont="1" applyFill="1" applyBorder="1" applyAlignment="1">
      <alignment horizontal="center" wrapText="1"/>
    </xf>
    <xf numFmtId="0" fontId="42" fillId="34" borderId="58" xfId="6" applyFont="1" applyFill="1" applyBorder="1" applyAlignment="1">
      <alignment horizontal="center" vertical="center" wrapText="1"/>
    </xf>
    <xf numFmtId="0" fontId="42" fillId="34" borderId="39" xfId="6" applyFont="1" applyFill="1" applyBorder="1" applyAlignment="1">
      <alignment horizontal="center" vertical="center"/>
    </xf>
    <xf numFmtId="0" fontId="42" fillId="34" borderId="40" xfId="6" applyFont="1" applyFill="1" applyBorder="1" applyAlignment="1">
      <alignment horizontal="center" vertical="center" wrapText="1"/>
    </xf>
    <xf numFmtId="0" fontId="42" fillId="34" borderId="39" xfId="6" applyFont="1" applyFill="1" applyBorder="1" applyAlignment="1">
      <alignment vertical="center" wrapText="1"/>
    </xf>
    <xf numFmtId="0" fontId="42" fillId="34" borderId="39" xfId="6" applyFont="1" applyFill="1" applyBorder="1" applyAlignment="1">
      <alignment horizontal="left" vertical="center" wrapText="1" indent="1"/>
    </xf>
    <xf numFmtId="2" fontId="43" fillId="34" borderId="1" xfId="0" applyNumberFormat="1" applyFont="1" applyFill="1" applyBorder="1" applyAlignment="1">
      <alignment horizontal="center" vertical="center"/>
    </xf>
    <xf numFmtId="0" fontId="42" fillId="34" borderId="39" xfId="6" applyFont="1" applyFill="1" applyBorder="1" applyAlignment="1">
      <alignment horizontal="left" vertical="center" wrapText="1"/>
    </xf>
    <xf numFmtId="175" fontId="50" fillId="34" borderId="40" xfId="6" applyNumberFormat="1" applyFont="1" applyFill="1" applyBorder="1" applyAlignment="1">
      <alignment horizontal="center" vertical="center" wrapText="1"/>
    </xf>
    <xf numFmtId="2" fontId="50" fillId="34" borderId="40" xfId="6" applyNumberFormat="1" applyFont="1" applyFill="1" applyBorder="1" applyAlignment="1">
      <alignment horizontal="center" vertical="center" wrapText="1"/>
    </xf>
    <xf numFmtId="0" fontId="50" fillId="34" borderId="40" xfId="6" applyFont="1" applyFill="1" applyBorder="1" applyAlignment="1">
      <alignment horizontal="center" vertical="center"/>
    </xf>
    <xf numFmtId="2" fontId="50" fillId="34" borderId="40" xfId="6" applyNumberFormat="1" applyFont="1" applyFill="1" applyBorder="1" applyAlignment="1">
      <alignment horizontal="center" vertical="center"/>
    </xf>
    <xf numFmtId="179" fontId="50" fillId="34" borderId="40" xfId="6" applyNumberFormat="1" applyFont="1" applyFill="1" applyBorder="1" applyAlignment="1">
      <alignment horizontal="center" vertical="center"/>
    </xf>
    <xf numFmtId="0" fontId="42" fillId="34" borderId="44" xfId="6" applyFont="1" applyFill="1" applyBorder="1" applyAlignment="1">
      <alignment vertical="center" wrapText="1"/>
    </xf>
    <xf numFmtId="0" fontId="42" fillId="34" borderId="45" xfId="6" applyFont="1" applyFill="1" applyBorder="1" applyAlignment="1">
      <alignment horizontal="center" vertical="center" wrapText="1"/>
    </xf>
    <xf numFmtId="2" fontId="42" fillId="34" borderId="45" xfId="6" applyNumberFormat="1" applyFont="1" applyFill="1" applyBorder="1" applyAlignment="1">
      <alignment horizontal="center" vertical="center"/>
    </xf>
    <xf numFmtId="2" fontId="42" fillId="34" borderId="46" xfId="6" applyNumberFormat="1" applyFont="1" applyFill="1" applyBorder="1" applyAlignment="1">
      <alignment horizontal="center" vertical="center"/>
    </xf>
    <xf numFmtId="0" fontId="133" fillId="34" borderId="0" xfId="0" applyFont="1" applyFill="1"/>
    <xf numFmtId="2" fontId="43" fillId="34" borderId="0" xfId="0" applyNumberFormat="1" applyFont="1" applyFill="1"/>
    <xf numFmtId="0" fontId="44" fillId="0" borderId="0" xfId="0" applyFont="1" applyAlignment="1">
      <alignment vertical="top"/>
    </xf>
    <xf numFmtId="2" fontId="101" fillId="34" borderId="0" xfId="0" applyNumberFormat="1" applyFont="1" applyFill="1" applyAlignment="1">
      <alignment horizontal="right"/>
    </xf>
    <xf numFmtId="2" fontId="44" fillId="0" borderId="0" xfId="0" applyNumberFormat="1" applyFont="1" applyAlignment="1">
      <alignment horizontal="right"/>
    </xf>
    <xf numFmtId="0" fontId="133" fillId="0" borderId="32" xfId="0" applyFont="1" applyBorder="1" applyAlignment="1">
      <alignment horizontal="left" wrapText="1"/>
    </xf>
    <xf numFmtId="0" fontId="43" fillId="0" borderId="32" xfId="0" applyFont="1" applyBorder="1" applyAlignment="1">
      <alignment horizontal="center" wrapText="1"/>
    </xf>
    <xf numFmtId="0" fontId="42" fillId="0" borderId="0" xfId="0" applyFont="1" applyAlignment="1">
      <alignment horizontal="center" vertical="center"/>
    </xf>
    <xf numFmtId="0" fontId="44" fillId="0" borderId="77" xfId="0" applyFont="1" applyBorder="1" applyAlignment="1">
      <alignment horizontal="center" vertical="center"/>
    </xf>
    <xf numFmtId="0" fontId="104" fillId="0" borderId="0" xfId="0" applyFont="1" applyAlignment="1">
      <alignment horizontal="left" vertical="center"/>
    </xf>
    <xf numFmtId="0" fontId="44" fillId="0" borderId="0" xfId="0" applyFont="1" applyAlignment="1">
      <alignment horizontal="left" vertical="center"/>
    </xf>
    <xf numFmtId="0" fontId="42" fillId="0" borderId="0" xfId="0" applyFont="1" applyAlignment="1">
      <alignment horizontal="center" vertical="center" wrapText="1"/>
    </xf>
    <xf numFmtId="0" fontId="44" fillId="0" borderId="0" xfId="0" applyFont="1" applyAlignment="1">
      <alignment horizontal="left" vertical="center" wrapText="1"/>
    </xf>
    <xf numFmtId="0" fontId="112" fillId="0" borderId="0" xfId="0" applyFont="1" applyAlignment="1">
      <alignment horizontal="left" vertical="center"/>
    </xf>
    <xf numFmtId="0" fontId="111" fillId="0" borderId="0" xfId="0" applyFont="1" applyAlignment="1">
      <alignment horizontal="center" vertical="center"/>
    </xf>
    <xf numFmtId="0" fontId="179" fillId="0" borderId="0" xfId="0" applyFont="1" applyAlignment="1">
      <alignment horizontal="left" vertical="center" wrapText="1"/>
    </xf>
    <xf numFmtId="0" fontId="44" fillId="0" borderId="5" xfId="0" applyFont="1" applyBorder="1" applyAlignment="1">
      <alignment horizontal="left" wrapText="1"/>
    </xf>
    <xf numFmtId="0" fontId="44" fillId="0" borderId="5" xfId="0" applyFont="1" applyBorder="1" applyAlignment="1">
      <alignment horizontal="center" vertical="center" wrapText="1"/>
    </xf>
    <xf numFmtId="0" fontId="42" fillId="0" borderId="77" xfId="0" applyFont="1" applyBorder="1" applyAlignment="1">
      <alignment horizontal="center" vertical="center"/>
    </xf>
    <xf numFmtId="0" fontId="44" fillId="0" borderId="5" xfId="0" applyFont="1" applyBorder="1" applyAlignment="1">
      <alignment horizontal="left" vertical="center" wrapText="1"/>
    </xf>
    <xf numFmtId="0" fontId="51" fillId="0" borderId="0" xfId="0" applyFont="1" applyAlignment="1">
      <alignment horizontal="center" vertical="center"/>
    </xf>
    <xf numFmtId="0" fontId="112" fillId="0" borderId="0" xfId="0" applyFont="1" applyAlignment="1">
      <alignment horizontal="left" vertical="center" wrapText="1"/>
    </xf>
    <xf numFmtId="0" fontId="44" fillId="0" borderId="0" xfId="0" applyFont="1" applyAlignment="1">
      <alignment horizontal="right" vertical="center"/>
    </xf>
    <xf numFmtId="0" fontId="0" fillId="34" borderId="0" xfId="0" applyFill="1" applyAlignment="1">
      <alignment horizontal="center" vertical="center"/>
    </xf>
    <xf numFmtId="0" fontId="0" fillId="0" borderId="33" xfId="0" applyBorder="1" applyAlignment="1">
      <alignment horizontal="center" vertical="center"/>
    </xf>
    <xf numFmtId="0" fontId="0" fillId="0" borderId="23"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58" xfId="0" applyBorder="1" applyAlignment="1">
      <alignment horizontal="center" vertical="center"/>
    </xf>
    <xf numFmtId="0" fontId="0" fillId="0" borderId="58" xfId="0" applyBorder="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0" fillId="0" borderId="1" xfId="0" applyBorder="1" applyAlignment="1">
      <alignment horizontal="center"/>
    </xf>
    <xf numFmtId="0" fontId="0" fillId="59" borderId="48" xfId="0" applyFill="1" applyBorder="1" applyAlignment="1">
      <alignment horizontal="center" vertical="center"/>
    </xf>
    <xf numFmtId="0" fontId="0" fillId="59" borderId="42" xfId="0" applyFill="1" applyBorder="1" applyAlignment="1">
      <alignment horizontal="center" vertical="center"/>
    </xf>
    <xf numFmtId="0" fontId="0" fillId="0" borderId="58" xfId="0" applyBorder="1" applyAlignment="1">
      <alignment horizontal="center" wrapText="1"/>
    </xf>
    <xf numFmtId="0" fontId="0" fillId="78" borderId="26" xfId="0" applyFill="1" applyBorder="1" applyAlignment="1">
      <alignment horizontal="center" vertical="center"/>
    </xf>
    <xf numFmtId="0" fontId="0" fillId="78" borderId="29" xfId="0" applyFill="1" applyBorder="1" applyAlignment="1">
      <alignment horizontal="center" vertical="center"/>
    </xf>
    <xf numFmtId="0" fontId="219" fillId="0" borderId="1" xfId="0" applyFont="1" applyBorder="1" applyAlignment="1">
      <alignment horizontal="center" vertical="center"/>
    </xf>
    <xf numFmtId="0" fontId="44" fillId="34" borderId="0" xfId="240" applyFont="1" applyFill="1" applyAlignment="1">
      <alignment horizontal="center" vertical="top" wrapText="1"/>
    </xf>
    <xf numFmtId="0" fontId="52" fillId="34" borderId="0" xfId="240" applyFont="1" applyFill="1" applyAlignment="1">
      <alignment horizontal="center"/>
    </xf>
    <xf numFmtId="0" fontId="145" fillId="34" borderId="0" xfId="240" applyFont="1" applyFill="1" applyAlignment="1">
      <alignment horizontal="center"/>
    </xf>
    <xf numFmtId="0" fontId="43" fillId="34" borderId="0" xfId="240" applyFont="1" applyFill="1" applyAlignment="1">
      <alignment horizontal="right"/>
    </xf>
    <xf numFmtId="49" fontId="41" fillId="0" borderId="8" xfId="240" applyNumberFormat="1" applyFont="1" applyBorder="1" applyAlignment="1">
      <alignment vertical="center" wrapText="1"/>
    </xf>
    <xf numFmtId="49" fontId="41" fillId="34" borderId="48" xfId="240" applyNumberFormat="1" applyFont="1" applyFill="1" applyBorder="1" applyAlignment="1">
      <alignment horizontal="center" vertical="center" wrapText="1"/>
    </xf>
    <xf numFmtId="49" fontId="41" fillId="34" borderId="51" xfId="240" applyNumberFormat="1" applyFont="1" applyFill="1" applyBorder="1" applyAlignment="1">
      <alignment horizontal="center" vertical="center" wrapText="1"/>
    </xf>
    <xf numFmtId="49" fontId="41" fillId="34" borderId="42" xfId="240" applyNumberFormat="1" applyFont="1" applyFill="1" applyBorder="1" applyAlignment="1">
      <alignment horizontal="center" vertical="center" wrapText="1"/>
    </xf>
    <xf numFmtId="0" fontId="44" fillId="34" borderId="49" xfId="240" applyFont="1" applyFill="1" applyBorder="1" applyAlignment="1">
      <alignment horizontal="center" vertical="center" wrapText="1"/>
    </xf>
    <xf numFmtId="0" fontId="44" fillId="34" borderId="4" xfId="240" applyFont="1" applyFill="1" applyBorder="1" applyAlignment="1">
      <alignment horizontal="center" vertical="center" wrapText="1"/>
    </xf>
    <xf numFmtId="0" fontId="44" fillId="34" borderId="3" xfId="240" applyFont="1" applyFill="1" applyBorder="1" applyAlignment="1">
      <alignment horizontal="center" vertical="center" wrapText="1"/>
    </xf>
    <xf numFmtId="0" fontId="42" fillId="34" borderId="50" xfId="240" applyFont="1" applyFill="1" applyBorder="1" applyAlignment="1">
      <alignment horizontal="center" vertical="center" wrapText="1"/>
    </xf>
    <xf numFmtId="0" fontId="42" fillId="34" borderId="25" xfId="240" applyFont="1" applyFill="1" applyBorder="1" applyAlignment="1">
      <alignment horizontal="center" vertical="center" wrapText="1"/>
    </xf>
    <xf numFmtId="0" fontId="42" fillId="34" borderId="10" xfId="240" applyFont="1" applyFill="1" applyBorder="1" applyAlignment="1">
      <alignment horizontal="center" vertical="center" wrapText="1"/>
    </xf>
    <xf numFmtId="0" fontId="42" fillId="34" borderId="48" xfId="240" applyFont="1" applyFill="1" applyBorder="1" applyAlignment="1">
      <alignment horizontal="center" vertical="center" wrapText="1"/>
    </xf>
    <xf numFmtId="0" fontId="42" fillId="34" borderId="49" xfId="240" applyFont="1" applyFill="1" applyBorder="1" applyAlignment="1">
      <alignment horizontal="center" vertical="center" wrapText="1"/>
    </xf>
    <xf numFmtId="0" fontId="42" fillId="34" borderId="124" xfId="240" applyFont="1" applyFill="1" applyBorder="1" applyAlignment="1">
      <alignment horizontal="center" vertical="center" wrapText="1"/>
    </xf>
    <xf numFmtId="0" fontId="42" fillId="34" borderId="42" xfId="240" applyFont="1" applyFill="1" applyBorder="1" applyAlignment="1">
      <alignment horizontal="center" vertical="center" wrapText="1"/>
    </xf>
    <xf numFmtId="0" fontId="42" fillId="34" borderId="3" xfId="240" applyFont="1" applyFill="1" applyBorder="1" applyAlignment="1">
      <alignment horizontal="center" vertical="center" wrapText="1"/>
    </xf>
    <xf numFmtId="0" fontId="42" fillId="34" borderId="43" xfId="240" applyFont="1" applyFill="1" applyBorder="1" applyAlignment="1">
      <alignment horizontal="center" vertical="center" wrapText="1"/>
    </xf>
    <xf numFmtId="0" fontId="40" fillId="34" borderId="0" xfId="240" applyFont="1" applyFill="1" applyAlignment="1">
      <alignment horizontal="left" wrapText="1"/>
    </xf>
    <xf numFmtId="0" fontId="44" fillId="34" borderId="0" xfId="240" applyFont="1" applyFill="1" applyAlignment="1">
      <alignment horizontal="center"/>
    </xf>
    <xf numFmtId="0" fontId="44" fillId="34" borderId="0" xfId="240" applyFont="1" applyFill="1" applyAlignment="1">
      <alignment horizontal="left" vertical="top" wrapText="1"/>
    </xf>
    <xf numFmtId="0" fontId="41" fillId="34" borderId="0" xfId="240" applyFont="1" applyFill="1" applyAlignment="1">
      <alignment horizontal="left" vertical="center" wrapText="1"/>
    </xf>
    <xf numFmtId="0" fontId="41" fillId="34" borderId="0" xfId="240" applyFont="1" applyFill="1" applyAlignment="1">
      <alignment horizontal="left" vertical="top" wrapText="1"/>
    </xf>
    <xf numFmtId="0" fontId="44" fillId="34" borderId="0" xfId="240" applyFont="1" applyFill="1"/>
    <xf numFmtId="0" fontId="44" fillId="34" borderId="0" xfId="0" applyFont="1" applyFill="1"/>
    <xf numFmtId="0" fontId="45" fillId="34" borderId="5" xfId="240" applyFont="1" applyFill="1" applyBorder="1" applyAlignment="1">
      <alignment horizontal="right"/>
    </xf>
    <xf numFmtId="0" fontId="42" fillId="34" borderId="0" xfId="240" applyFont="1" applyFill="1" applyAlignment="1">
      <alignment horizontal="center" vertical="top" wrapText="1"/>
    </xf>
    <xf numFmtId="49" fontId="41" fillId="34" borderId="79" xfId="240" applyNumberFormat="1" applyFont="1" applyFill="1" applyBorder="1" applyAlignment="1">
      <alignment horizontal="center" vertical="center" wrapText="1"/>
    </xf>
    <xf numFmtId="49" fontId="41" fillId="34" borderId="4" xfId="240" applyNumberFormat="1" applyFont="1" applyFill="1" applyBorder="1" applyAlignment="1">
      <alignment horizontal="center" vertical="center" wrapText="1"/>
    </xf>
    <xf numFmtId="49" fontId="41" fillId="34" borderId="3" xfId="240" applyNumberFormat="1" applyFont="1" applyFill="1" applyBorder="1" applyAlignment="1">
      <alignment horizontal="center" vertical="center" wrapText="1"/>
    </xf>
    <xf numFmtId="0" fontId="43" fillId="34" borderId="79" xfId="240" applyFont="1" applyFill="1" applyBorder="1" applyAlignment="1">
      <alignment horizontal="center" vertical="center" wrapText="1"/>
    </xf>
    <xf numFmtId="0" fontId="43" fillId="34" borderId="4" xfId="240" applyFont="1" applyFill="1" applyBorder="1" applyAlignment="1">
      <alignment horizontal="center" vertical="center" wrapText="1"/>
    </xf>
    <xf numFmtId="0" fontId="43" fillId="34" borderId="3" xfId="240" applyFont="1" applyFill="1" applyBorder="1" applyAlignment="1">
      <alignment horizontal="center" vertical="center" wrapText="1"/>
    </xf>
    <xf numFmtId="0" fontId="41" fillId="34" borderId="79" xfId="240" applyFont="1" applyFill="1" applyBorder="1" applyAlignment="1">
      <alignment horizontal="center" vertical="center" wrapText="1"/>
    </xf>
    <xf numFmtId="0" fontId="41" fillId="34" borderId="4" xfId="240" applyFont="1" applyFill="1" applyBorder="1" applyAlignment="1">
      <alignment horizontal="center" vertical="center" wrapText="1"/>
    </xf>
    <xf numFmtId="0" fontId="41" fillId="34" borderId="3" xfId="240" applyFont="1" applyFill="1" applyBorder="1" applyAlignment="1">
      <alignment horizontal="center" vertical="center" wrapText="1"/>
    </xf>
    <xf numFmtId="0" fontId="42" fillId="34" borderId="8" xfId="240" applyFont="1" applyFill="1" applyBorder="1" applyAlignment="1">
      <alignment horizontal="center" vertical="center" wrapText="1"/>
    </xf>
    <xf numFmtId="0" fontId="42" fillId="34" borderId="9" xfId="240" applyFont="1" applyFill="1" applyBorder="1" applyAlignment="1">
      <alignment horizontal="center" vertical="center" wrapText="1"/>
    </xf>
    <xf numFmtId="0" fontId="41" fillId="34" borderId="1" xfId="240" applyFont="1" applyFill="1" applyBorder="1" applyAlignment="1">
      <alignment horizontal="center" vertical="center" wrapText="1"/>
    </xf>
    <xf numFmtId="0" fontId="42" fillId="34" borderId="0" xfId="240" applyFont="1" applyFill="1" applyAlignment="1" applyProtection="1">
      <alignment horizontal="center" vertical="top" wrapText="1"/>
      <protection locked="0"/>
    </xf>
    <xf numFmtId="0" fontId="43" fillId="34" borderId="0" xfId="0" applyFont="1" applyFill="1" applyAlignment="1">
      <alignment horizontal="center" vertical="top" wrapText="1"/>
    </xf>
    <xf numFmtId="0" fontId="42" fillId="34" borderId="0" xfId="240" applyFont="1" applyFill="1" applyAlignment="1" applyProtection="1">
      <alignment horizontal="center"/>
      <protection locked="0"/>
    </xf>
    <xf numFmtId="0" fontId="43" fillId="34" borderId="0" xfId="0" applyFont="1" applyFill="1" applyAlignment="1">
      <alignment horizontal="center"/>
    </xf>
    <xf numFmtId="0" fontId="103" fillId="34" borderId="0" xfId="240" applyFont="1" applyFill="1" applyAlignment="1" applyProtection="1">
      <alignment horizontal="center" wrapText="1"/>
      <protection locked="0"/>
    </xf>
    <xf numFmtId="0" fontId="41" fillId="34" borderId="0" xfId="240" applyFont="1" applyFill="1" applyAlignment="1">
      <alignment horizontal="center" vertical="top"/>
    </xf>
    <xf numFmtId="0" fontId="41" fillId="34" borderId="8" xfId="240" applyFont="1" applyFill="1" applyBorder="1" applyAlignment="1">
      <alignment horizontal="center" vertical="center" wrapText="1"/>
    </xf>
    <xf numFmtId="0" fontId="41" fillId="34" borderId="9" xfId="240" applyFont="1" applyFill="1" applyBorder="1" applyAlignment="1">
      <alignment horizontal="center" vertical="center" wrapText="1"/>
    </xf>
    <xf numFmtId="0" fontId="41" fillId="34" borderId="7" xfId="240" applyFont="1" applyFill="1" applyBorder="1" applyAlignment="1">
      <alignment horizontal="center" vertical="center" wrapText="1"/>
    </xf>
    <xf numFmtId="0" fontId="52" fillId="34" borderId="5" xfId="240" applyFont="1" applyFill="1" applyBorder="1" applyAlignment="1">
      <alignment horizontal="right"/>
    </xf>
    <xf numFmtId="0" fontId="40" fillId="34" borderId="0" xfId="240" applyFont="1" applyFill="1" applyAlignment="1">
      <alignment horizontal="center" vertical="top" wrapText="1"/>
    </xf>
    <xf numFmtId="0" fontId="42" fillId="0" borderId="1" xfId="240" applyFont="1" applyBorder="1" applyAlignment="1">
      <alignment horizontal="center" vertical="center" wrapText="1"/>
    </xf>
    <xf numFmtId="0" fontId="40" fillId="34" borderId="0" xfId="240" applyFont="1" applyFill="1" applyAlignment="1" applyProtection="1">
      <alignment horizontal="center" wrapText="1"/>
      <protection locked="0"/>
    </xf>
    <xf numFmtId="0" fontId="52" fillId="34" borderId="0" xfId="240" applyFont="1" applyFill="1" applyAlignment="1">
      <alignment horizontal="center" wrapText="1"/>
    </xf>
    <xf numFmtId="0" fontId="52" fillId="34" borderId="5" xfId="0" applyFont="1" applyFill="1" applyBorder="1"/>
    <xf numFmtId="0" fontId="42" fillId="34" borderId="1" xfId="240" applyFont="1" applyFill="1" applyBorder="1" applyAlignment="1">
      <alignment horizontal="center" vertical="center" wrapText="1"/>
    </xf>
    <xf numFmtId="0" fontId="42" fillId="34" borderId="0" xfId="0" applyFont="1" applyFill="1" applyAlignment="1">
      <alignment horizontal="center" vertical="top" wrapText="1"/>
    </xf>
    <xf numFmtId="0" fontId="42" fillId="34" borderId="0" xfId="240" applyFont="1" applyFill="1" applyAlignment="1">
      <alignment horizontal="left" vertical="top" wrapText="1"/>
    </xf>
    <xf numFmtId="0" fontId="40" fillId="34" borderId="0" xfId="240" applyFont="1" applyFill="1" applyAlignment="1">
      <alignment horizontal="left" vertical="top" wrapText="1"/>
    </xf>
    <xf numFmtId="0" fontId="43" fillId="34" borderId="0" xfId="240" applyFont="1" applyFill="1" applyAlignment="1">
      <alignment horizontal="center"/>
    </xf>
    <xf numFmtId="0" fontId="40" fillId="34" borderId="0" xfId="240" applyFont="1" applyFill="1" applyAlignment="1">
      <alignment horizontal="center" vertical="center" wrapText="1"/>
    </xf>
    <xf numFmtId="0" fontId="40" fillId="34" borderId="5" xfId="240" applyFont="1" applyFill="1" applyBorder="1" applyAlignment="1">
      <alignment horizontal="right"/>
    </xf>
    <xf numFmtId="0" fontId="40" fillId="34" borderId="5" xfId="0" applyFont="1" applyFill="1" applyBorder="1"/>
    <xf numFmtId="0" fontId="43" fillId="34" borderId="1" xfId="240" applyFont="1" applyFill="1" applyBorder="1" applyAlignment="1">
      <alignment horizontal="center" vertical="center" wrapText="1"/>
    </xf>
    <xf numFmtId="0" fontId="114" fillId="0" borderId="25" xfId="240" applyFont="1" applyBorder="1" applyAlignment="1">
      <alignment horizontal="left" wrapText="1"/>
    </xf>
    <xf numFmtId="0" fontId="114" fillId="0" borderId="0" xfId="240" applyFont="1" applyAlignment="1">
      <alignment horizontal="left" wrapText="1"/>
    </xf>
    <xf numFmtId="0" fontId="42" fillId="34" borderId="0" xfId="240" applyFont="1" applyFill="1" applyAlignment="1">
      <alignment horizontal="center" wrapText="1"/>
    </xf>
    <xf numFmtId="0" fontId="103" fillId="34" borderId="0" xfId="240" applyFont="1" applyFill="1" applyAlignment="1">
      <alignment horizontal="center" wrapText="1"/>
    </xf>
    <xf numFmtId="0" fontId="51" fillId="34" borderId="0" xfId="240" applyFont="1" applyFill="1" applyAlignment="1">
      <alignment horizontal="center" wrapText="1"/>
    </xf>
    <xf numFmtId="0" fontId="197" fillId="34" borderId="0" xfId="240" applyFont="1" applyFill="1" applyAlignment="1">
      <alignment horizontal="center" wrapText="1"/>
    </xf>
    <xf numFmtId="0" fontId="51" fillId="34" borderId="0" xfId="240" applyFont="1" applyFill="1" applyAlignment="1">
      <alignment horizontal="center" vertical="top" wrapText="1"/>
    </xf>
    <xf numFmtId="0" fontId="54" fillId="34" borderId="0" xfId="240" applyFont="1" applyFill="1" applyAlignment="1">
      <alignment horizontal="center" vertical="top"/>
    </xf>
    <xf numFmtId="0" fontId="162" fillId="34" borderId="5" xfId="240" applyFont="1" applyFill="1" applyBorder="1" applyAlignment="1">
      <alignment horizontal="right"/>
    </xf>
    <xf numFmtId="0" fontId="162" fillId="34" borderId="5" xfId="0" applyFont="1" applyFill="1" applyBorder="1"/>
    <xf numFmtId="0" fontId="54" fillId="34" borderId="1" xfId="240" applyFont="1" applyFill="1" applyBorder="1" applyAlignment="1">
      <alignment horizontal="center" vertical="center" wrapText="1"/>
    </xf>
    <xf numFmtId="0" fontId="133" fillId="34" borderId="1" xfId="240" applyFont="1" applyFill="1" applyBorder="1" applyAlignment="1">
      <alignment horizontal="center" vertical="center" wrapText="1"/>
    </xf>
    <xf numFmtId="0" fontId="162" fillId="34" borderId="0" xfId="240" applyFont="1" applyFill="1" applyAlignment="1">
      <alignment horizontal="left" vertical="top" wrapText="1"/>
    </xf>
    <xf numFmtId="0" fontId="145" fillId="34" borderId="0" xfId="240" applyFont="1" applyFill="1" applyAlignment="1">
      <alignment horizontal="center" wrapText="1"/>
    </xf>
    <xf numFmtId="0" fontId="43"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79" xfId="0" applyFont="1" applyBorder="1" applyAlignment="1">
      <alignment horizontal="center" vertical="center" wrapText="1"/>
    </xf>
    <xf numFmtId="0" fontId="43" fillId="0" borderId="4" xfId="0" applyFont="1" applyBorder="1" applyAlignment="1">
      <alignment horizontal="center" vertical="center" wrapText="1"/>
    </xf>
    <xf numFmtId="0" fontId="52" fillId="0" borderId="0" xfId="5" applyFont="1" applyAlignment="1">
      <alignment horizontal="center"/>
    </xf>
    <xf numFmtId="0" fontId="103" fillId="3" borderId="0" xfId="5" applyFont="1" applyFill="1" applyAlignment="1">
      <alignment horizontal="center" vertical="top" wrapText="1"/>
    </xf>
    <xf numFmtId="0" fontId="42" fillId="0" borderId="0" xfId="5" applyFont="1" applyAlignment="1">
      <alignment horizontal="center" vertical="top" wrapText="1"/>
    </xf>
    <xf numFmtId="0" fontId="43"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52" fillId="31" borderId="0" xfId="5" applyFont="1" applyFill="1" applyAlignment="1">
      <alignment horizontal="center"/>
    </xf>
    <xf numFmtId="0" fontId="43" fillId="3" borderId="5" xfId="5" applyFont="1" applyFill="1" applyBorder="1" applyAlignment="1">
      <alignment horizontal="center"/>
    </xf>
    <xf numFmtId="0" fontId="43" fillId="31" borderId="0" xfId="5" applyFont="1" applyFill="1" applyAlignment="1">
      <alignment horizontal="center"/>
    </xf>
    <xf numFmtId="0" fontId="43" fillId="31" borderId="0" xfId="0" applyFont="1" applyFill="1" applyAlignment="1">
      <alignment vertical="top" wrapText="1"/>
    </xf>
    <xf numFmtId="0" fontId="43" fillId="3" borderId="5" xfId="0" applyFont="1" applyFill="1" applyBorder="1" applyAlignment="1">
      <alignment horizontal="left" wrapText="1"/>
    </xf>
    <xf numFmtId="49" fontId="43" fillId="3" borderId="5" xfId="5" applyNumberFormat="1" applyFont="1" applyFill="1" applyBorder="1" applyAlignment="1">
      <alignment horizontal="center" wrapText="1"/>
    </xf>
    <xf numFmtId="0" fontId="188" fillId="60" borderId="0" xfId="0" applyFont="1" applyFill="1" applyAlignment="1">
      <alignment horizontal="center"/>
    </xf>
    <xf numFmtId="0" fontId="188" fillId="0" borderId="8" xfId="0" applyFont="1" applyBorder="1" applyAlignment="1">
      <alignment horizontal="center" vertical="center" wrapText="1"/>
    </xf>
    <xf numFmtId="0" fontId="188" fillId="0" borderId="7" xfId="0" applyFont="1" applyBorder="1" applyAlignment="1">
      <alignment horizontal="center" vertical="center" wrapText="1"/>
    </xf>
    <xf numFmtId="0" fontId="198" fillId="0" borderId="8" xfId="0" applyFont="1" applyBorder="1" applyAlignment="1">
      <alignment horizontal="center" vertical="center" wrapText="1"/>
    </xf>
    <xf numFmtId="0" fontId="198" fillId="0" borderId="9" xfId="0" applyFont="1" applyBorder="1" applyAlignment="1">
      <alignment horizontal="center" vertical="center" wrapText="1"/>
    </xf>
    <xf numFmtId="0" fontId="198" fillId="0" borderId="141" xfId="0" applyFont="1" applyBorder="1" applyAlignment="1">
      <alignment horizontal="center" vertical="center" wrapText="1"/>
    </xf>
    <xf numFmtId="0" fontId="198" fillId="60" borderId="77" xfId="0" applyFont="1" applyFill="1" applyBorder="1" applyAlignment="1">
      <alignment horizontal="center"/>
    </xf>
    <xf numFmtId="0" fontId="188" fillId="0" borderId="0" xfId="0" applyFont="1" applyAlignment="1">
      <alignment horizontal="center"/>
    </xf>
    <xf numFmtId="0" fontId="198" fillId="0" borderId="79" xfId="0" applyFont="1" applyBorder="1" applyAlignment="1">
      <alignment horizontal="center" vertical="center" wrapText="1"/>
    </xf>
    <xf numFmtId="0" fontId="198" fillId="0" borderId="3" xfId="0" applyFont="1" applyBorder="1" applyAlignment="1">
      <alignment horizontal="center" vertical="center" wrapText="1"/>
    </xf>
    <xf numFmtId="0" fontId="198" fillId="0" borderId="140" xfId="0" applyFont="1" applyBorder="1" applyAlignment="1">
      <alignment horizontal="center" vertical="center" wrapText="1"/>
    </xf>
    <xf numFmtId="0" fontId="198" fillId="0" borderId="7" xfId="0" applyFont="1" applyBorder="1" applyAlignment="1">
      <alignment horizontal="center" vertical="center" wrapText="1"/>
    </xf>
    <xf numFmtId="49" fontId="54" fillId="34" borderId="49" xfId="5" applyNumberFormat="1" applyFont="1" applyFill="1" applyBorder="1" applyAlignment="1">
      <alignment horizontal="center" vertical="center" wrapText="1"/>
    </xf>
    <xf numFmtId="49" fontId="54" fillId="34" borderId="4" xfId="5" applyNumberFormat="1" applyFont="1" applyFill="1" applyBorder="1" applyAlignment="1">
      <alignment horizontal="center" vertical="center" wrapText="1"/>
    </xf>
    <xf numFmtId="49" fontId="54" fillId="34" borderId="3" xfId="5" applyNumberFormat="1" applyFont="1" applyFill="1" applyBorder="1" applyAlignment="1">
      <alignment horizontal="center" vertical="center" wrapText="1"/>
    </xf>
    <xf numFmtId="49" fontId="54" fillId="34" borderId="58" xfId="5" applyNumberFormat="1" applyFont="1" applyFill="1" applyBorder="1" applyAlignment="1">
      <alignment horizontal="center" vertical="center" wrapText="1"/>
    </xf>
    <xf numFmtId="49" fontId="54" fillId="34" borderId="1" xfId="5" applyNumberFormat="1" applyFont="1" applyFill="1" applyBorder="1" applyAlignment="1">
      <alignment horizontal="center" vertical="center" wrapText="1"/>
    </xf>
    <xf numFmtId="0" fontId="41" fillId="34" borderId="0" xfId="5" applyFont="1" applyFill="1" applyAlignment="1">
      <alignment horizontal="center" vertical="top" wrapText="1"/>
    </xf>
    <xf numFmtId="0" fontId="47" fillId="34" borderId="0" xfId="5" applyFont="1" applyFill="1" applyProtection="1">
      <protection locked="0"/>
    </xf>
    <xf numFmtId="0" fontId="42" fillId="34" borderId="0" xfId="5" applyFont="1" applyFill="1" applyAlignment="1" applyProtection="1">
      <alignment horizontal="center"/>
      <protection locked="0"/>
    </xf>
    <xf numFmtId="0" fontId="40" fillId="34" borderId="0" xfId="0" applyFont="1" applyFill="1" applyAlignment="1">
      <alignment horizontal="left" vertical="top" wrapText="1"/>
    </xf>
    <xf numFmtId="0" fontId="44" fillId="34" borderId="0" xfId="5" applyFont="1" applyFill="1" applyAlignment="1">
      <alignment horizontal="center"/>
    </xf>
    <xf numFmtId="0" fontId="44" fillId="34" borderId="0" xfId="0" applyFont="1" applyFill="1" applyAlignment="1">
      <alignment horizontal="center"/>
    </xf>
    <xf numFmtId="0" fontId="44" fillId="34" borderId="0" xfId="5" applyFont="1" applyFill="1" applyAlignment="1">
      <alignment horizontal="left"/>
    </xf>
    <xf numFmtId="0" fontId="44" fillId="34" borderId="0" xfId="0" applyFont="1" applyFill="1" applyAlignment="1">
      <alignment horizontal="left"/>
    </xf>
    <xf numFmtId="0" fontId="44" fillId="34" borderId="0" xfId="5" applyFont="1" applyFill="1"/>
    <xf numFmtId="0" fontId="104" fillId="34" borderId="0" xfId="5" applyFont="1" applyFill="1"/>
    <xf numFmtId="0" fontId="104" fillId="34" borderId="0" xfId="0" applyFont="1" applyFill="1"/>
    <xf numFmtId="0" fontId="51" fillId="34" borderId="64" xfId="5" applyFont="1" applyFill="1" applyBorder="1" applyAlignment="1">
      <alignment horizontal="center" vertical="center"/>
    </xf>
    <xf numFmtId="0" fontId="51" fillId="34" borderId="93" xfId="5" applyFont="1" applyFill="1" applyBorder="1" applyAlignment="1">
      <alignment horizontal="center" vertical="center"/>
    </xf>
    <xf numFmtId="0" fontId="51" fillId="34" borderId="90" xfId="5" applyFont="1" applyFill="1" applyBorder="1" applyAlignment="1">
      <alignment horizontal="center" vertical="center"/>
    </xf>
    <xf numFmtId="49" fontId="103" fillId="34" borderId="0" xfId="5" applyNumberFormat="1" applyFont="1" applyFill="1" applyAlignment="1">
      <alignment horizontal="center" vertical="center" wrapText="1"/>
    </xf>
    <xf numFmtId="0" fontId="40" fillId="0" borderId="0" xfId="0" applyFont="1" applyAlignment="1">
      <alignment horizontal="left" vertical="top" wrapText="1"/>
    </xf>
    <xf numFmtId="0" fontId="43" fillId="34" borderId="0" xfId="6" applyFont="1" applyFill="1" applyAlignment="1">
      <alignment horizontal="center" vertical="center" wrapText="1"/>
    </xf>
    <xf numFmtId="0" fontId="42" fillId="0" borderId="0" xfId="0" applyFont="1" applyAlignment="1">
      <alignment horizontal="left" vertical="top" wrapText="1"/>
    </xf>
    <xf numFmtId="0" fontId="52" fillId="0" borderId="0" xfId="6" applyFont="1" applyAlignment="1">
      <alignment horizontal="center"/>
    </xf>
    <xf numFmtId="0" fontId="52" fillId="0" borderId="0" xfId="6" applyFont="1" applyAlignment="1">
      <alignment horizontal="center" vertical="center" wrapText="1"/>
    </xf>
    <xf numFmtId="0" fontId="92" fillId="0" borderId="0" xfId="0" applyFont="1" applyAlignment="1">
      <alignment horizontal="center" vertical="center" wrapText="1"/>
    </xf>
    <xf numFmtId="0" fontId="40" fillId="0" borderId="0" xfId="6" applyFont="1" applyAlignment="1">
      <alignment horizontal="right"/>
    </xf>
    <xf numFmtId="0" fontId="186" fillId="0" borderId="0" xfId="0" applyFont="1" applyAlignment="1">
      <alignment horizontal="right"/>
    </xf>
    <xf numFmtId="0" fontId="43" fillId="0" borderId="0" xfId="6" applyFont="1" applyAlignment="1">
      <alignment horizontal="center" vertical="center" wrapText="1"/>
    </xf>
    <xf numFmtId="0" fontId="47" fillId="0" borderId="30" xfId="6" applyFont="1" applyBorder="1" applyAlignment="1">
      <alignment horizontal="center" vertical="center" wrapText="1"/>
    </xf>
    <xf numFmtId="0" fontId="47" fillId="0" borderId="36" xfId="6" applyFont="1" applyBorder="1" applyAlignment="1">
      <alignment horizontal="center" vertical="center" wrapText="1"/>
    </xf>
    <xf numFmtId="0" fontId="47" fillId="0" borderId="31" xfId="6" applyFont="1" applyBorder="1" applyAlignment="1">
      <alignment horizontal="center" vertical="center" wrapText="1"/>
    </xf>
    <xf numFmtId="0" fontId="42" fillId="34" borderId="0" xfId="6" applyFont="1" applyFill="1" applyAlignment="1">
      <alignment horizontal="center" vertical="center" wrapText="1"/>
    </xf>
    <xf numFmtId="0" fontId="42" fillId="0" borderId="0" xfId="6" applyFont="1" applyAlignment="1">
      <alignment horizontal="center" vertical="center" wrapText="1"/>
    </xf>
    <xf numFmtId="0" fontId="103" fillId="34" borderId="0" xfId="6" applyFont="1" applyFill="1" applyAlignment="1">
      <alignment horizontal="center" vertical="center" wrapText="1"/>
    </xf>
    <xf numFmtId="0" fontId="47" fillId="0" borderId="26" xfId="6" applyFont="1" applyBorder="1" applyAlignment="1">
      <alignment horizontal="center" vertical="center" wrapText="1"/>
    </xf>
    <xf numFmtId="0" fontId="47" fillId="0" borderId="34" xfId="6" applyFont="1" applyBorder="1" applyAlignment="1">
      <alignment horizontal="center" vertical="center" wrapText="1"/>
    </xf>
    <xf numFmtId="0" fontId="42" fillId="31" borderId="1" xfId="6" applyFont="1" applyFill="1" applyBorder="1" applyAlignment="1">
      <alignment horizontal="center" vertical="center" wrapText="1"/>
    </xf>
    <xf numFmtId="0" fontId="43" fillId="31" borderId="1" xfId="0" applyFont="1" applyFill="1" applyBorder="1"/>
    <xf numFmtId="0" fontId="42" fillId="2" borderId="1" xfId="6" applyFont="1" applyFill="1" applyBorder="1" applyAlignment="1">
      <alignment horizontal="center" vertical="center" wrapText="1"/>
    </xf>
    <xf numFmtId="0" fontId="43" fillId="2" borderId="1" xfId="0" applyFont="1" applyFill="1" applyBorder="1"/>
    <xf numFmtId="0" fontId="43" fillId="0" borderId="26" xfId="6" applyFont="1" applyBorder="1" applyAlignment="1">
      <alignment horizontal="center" vertical="center"/>
    </xf>
    <xf numFmtId="0" fontId="43" fillId="0" borderId="27" xfId="6" applyFont="1" applyBorder="1" applyAlignment="1">
      <alignment horizontal="center" vertical="center"/>
    </xf>
    <xf numFmtId="0" fontId="43" fillId="0" borderId="29" xfId="6" applyFont="1" applyBorder="1" applyAlignment="1">
      <alignment horizontal="center" vertical="center"/>
    </xf>
    <xf numFmtId="0" fontId="43" fillId="0" borderId="56" xfId="6" applyFont="1" applyBorder="1" applyAlignment="1">
      <alignment horizontal="center" vertical="center"/>
    </xf>
    <xf numFmtId="0" fontId="42" fillId="34" borderId="52" xfId="6" applyFont="1" applyFill="1" applyBorder="1" applyAlignment="1">
      <alignment horizontal="center" wrapText="1"/>
    </xf>
    <xf numFmtId="0" fontId="42" fillId="34" borderId="58" xfId="6" applyFont="1" applyFill="1" applyBorder="1" applyAlignment="1">
      <alignment horizontal="center" vertical="center" wrapText="1"/>
    </xf>
    <xf numFmtId="0" fontId="43" fillId="34" borderId="1" xfId="0" applyFont="1" applyFill="1" applyBorder="1"/>
    <xf numFmtId="0" fontId="42" fillId="34" borderId="59" xfId="6" applyFont="1" applyFill="1" applyBorder="1" applyAlignment="1">
      <alignment horizontal="center" vertical="center" wrapText="1"/>
    </xf>
    <xf numFmtId="0" fontId="43" fillId="34" borderId="40" xfId="0" applyFont="1" applyFill="1" applyBorder="1"/>
    <xf numFmtId="0" fontId="43" fillId="0" borderId="0" xfId="0" applyFont="1" applyAlignment="1">
      <alignment horizontal="center"/>
    </xf>
    <xf numFmtId="0" fontId="93" fillId="0" borderId="0" xfId="6" applyFont="1" applyAlignment="1">
      <alignment horizontal="center"/>
    </xf>
    <xf numFmtId="0" fontId="42" fillId="0" borderId="0" xfId="6" applyFont="1" applyAlignment="1">
      <alignment horizontal="right"/>
    </xf>
    <xf numFmtId="0" fontId="42" fillId="0" borderId="0" xfId="0" applyFont="1" applyAlignment="1">
      <alignment horizontal="right"/>
    </xf>
    <xf numFmtId="0" fontId="42" fillId="34" borderId="57" xfId="6" applyFont="1" applyFill="1" applyBorder="1" applyAlignment="1">
      <alignment horizontal="center" vertical="center" wrapText="1"/>
    </xf>
    <xf numFmtId="0" fontId="42" fillId="34" borderId="39" xfId="6" applyFont="1" applyFill="1" applyBorder="1" applyAlignment="1">
      <alignment horizontal="center" vertical="center" wrapText="1"/>
    </xf>
    <xf numFmtId="0" fontId="42" fillId="34" borderId="1" xfId="6" applyFont="1" applyFill="1" applyBorder="1" applyAlignment="1">
      <alignment horizontal="center" vertical="center" wrapText="1"/>
    </xf>
    <xf numFmtId="0" fontId="42" fillId="34" borderId="0" xfId="0" applyFont="1" applyFill="1" applyAlignment="1">
      <alignment horizontal="left" vertical="top" wrapText="1"/>
    </xf>
    <xf numFmtId="0" fontId="52" fillId="34" borderId="0" xfId="6" applyFont="1" applyFill="1" applyAlignment="1">
      <alignment horizontal="center"/>
    </xf>
    <xf numFmtId="0" fontId="42" fillId="34" borderId="5" xfId="6" applyFont="1" applyFill="1" applyBorder="1" applyAlignment="1">
      <alignment horizontal="right"/>
    </xf>
    <xf numFmtId="0" fontId="42" fillId="34" borderId="5" xfId="0" applyFont="1" applyFill="1" applyBorder="1" applyAlignment="1">
      <alignment horizontal="right"/>
    </xf>
    <xf numFmtId="0" fontId="42" fillId="34" borderId="79" xfId="6" applyFont="1" applyFill="1" applyBorder="1" applyAlignment="1">
      <alignment horizontal="center" vertical="center" wrapText="1"/>
    </xf>
    <xf numFmtId="0" fontId="42" fillId="34" borderId="3" xfId="6" applyFont="1" applyFill="1" applyBorder="1" applyAlignment="1">
      <alignment horizontal="center" vertical="center" wrapText="1"/>
    </xf>
    <xf numFmtId="0" fontId="44" fillId="0" borderId="0" xfId="6" applyFont="1" applyAlignment="1">
      <alignment horizontal="center" wrapText="1"/>
    </xf>
    <xf numFmtId="0" fontId="42" fillId="0" borderId="33" xfId="6" applyFont="1" applyBorder="1" applyAlignment="1">
      <alignment horizontal="center" vertical="center" wrapText="1"/>
    </xf>
    <xf numFmtId="0" fontId="42" fillId="0" borderId="23" xfId="6" applyFont="1" applyBorder="1" applyAlignment="1">
      <alignment horizontal="center" vertical="center" wrapText="1"/>
    </xf>
    <xf numFmtId="0" fontId="51" fillId="0" borderId="91" xfId="124" applyFont="1" applyBorder="1" applyAlignment="1">
      <alignment horizontal="center" vertical="center" wrapText="1"/>
    </xf>
    <xf numFmtId="0" fontId="51" fillId="0" borderId="86" xfId="124" applyFont="1" applyBorder="1" applyAlignment="1">
      <alignment horizontal="center" vertical="center" wrapText="1"/>
    </xf>
    <xf numFmtId="0" fontId="51" fillId="0" borderId="64" xfId="124" applyFont="1" applyBorder="1" applyAlignment="1">
      <alignment horizontal="center" wrapText="1"/>
    </xf>
    <xf numFmtId="0" fontId="51" fillId="0" borderId="93" xfId="124" applyFont="1" applyBorder="1" applyAlignment="1">
      <alignment horizontal="center" wrapText="1"/>
    </xf>
    <xf numFmtId="0" fontId="51" fillId="0" borderId="90" xfId="124" applyFont="1" applyBorder="1" applyAlignment="1">
      <alignment horizontal="center" wrapText="1"/>
    </xf>
    <xf numFmtId="0" fontId="47" fillId="34" borderId="8" xfId="6" applyFont="1" applyFill="1" applyBorder="1" applyAlignment="1">
      <alignment horizontal="center" vertical="center" wrapText="1"/>
    </xf>
    <xf numFmtId="0" fontId="47" fillId="34" borderId="9" xfId="6" applyFont="1" applyFill="1" applyBorder="1" applyAlignment="1">
      <alignment horizontal="center" vertical="center" wrapText="1"/>
    </xf>
    <xf numFmtId="0" fontId="47" fillId="34" borderId="7" xfId="6" applyFont="1" applyFill="1" applyBorder="1" applyAlignment="1">
      <alignment horizontal="center" vertical="center" wrapText="1"/>
    </xf>
    <xf numFmtId="0" fontId="47" fillId="34" borderId="8" xfId="6" applyFont="1" applyFill="1" applyBorder="1" applyAlignment="1">
      <alignment horizontal="center" vertical="center"/>
    </xf>
    <xf numFmtId="0" fontId="47" fillId="34" borderId="9" xfId="6" applyFont="1" applyFill="1" applyBorder="1" applyAlignment="1">
      <alignment horizontal="center" vertical="center"/>
    </xf>
    <xf numFmtId="0" fontId="47" fillId="34" borderId="7" xfId="6" applyFont="1" applyFill="1" applyBorder="1" applyAlignment="1">
      <alignment horizontal="center" vertical="center"/>
    </xf>
    <xf numFmtId="0" fontId="42" fillId="34" borderId="0" xfId="6" applyFont="1" applyFill="1" applyAlignment="1">
      <alignment horizontal="center" vertical="center"/>
    </xf>
    <xf numFmtId="0" fontId="43" fillId="34" borderId="0" xfId="0" applyFont="1" applyFill="1" applyAlignment="1">
      <alignment horizontal="center" vertical="center"/>
    </xf>
    <xf numFmtId="0" fontId="103" fillId="34" borderId="0" xfId="6" applyFont="1" applyFill="1" applyAlignment="1">
      <alignment horizontal="center" vertical="center"/>
    </xf>
    <xf numFmtId="0" fontId="47" fillId="0" borderId="33" xfId="6" applyFont="1" applyBorder="1" applyAlignment="1">
      <alignment horizontal="center" vertical="center" wrapText="1"/>
    </xf>
    <xf numFmtId="0" fontId="47" fillId="0" borderId="23" xfId="6" applyFont="1" applyBorder="1" applyAlignment="1">
      <alignment horizontal="center" vertical="center" wrapText="1"/>
    </xf>
    <xf numFmtId="0" fontId="52" fillId="34" borderId="1" xfId="6" applyFont="1" applyFill="1" applyBorder="1" applyAlignment="1">
      <alignment horizontal="center" vertical="center" wrapText="1"/>
    </xf>
    <xf numFmtId="0" fontId="52" fillId="34" borderId="2" xfId="6" applyFont="1" applyFill="1" applyBorder="1" applyAlignment="1">
      <alignment horizontal="center" vertical="center" wrapText="1"/>
    </xf>
    <xf numFmtId="0" fontId="103" fillId="34" borderId="0" xfId="6" applyFont="1" applyFill="1" applyAlignment="1">
      <alignment horizontal="center" wrapText="1"/>
    </xf>
    <xf numFmtId="0" fontId="43" fillId="34" borderId="0" xfId="6" applyFont="1" applyFill="1" applyAlignment="1">
      <alignment horizontal="center" vertical="top" wrapText="1"/>
    </xf>
    <xf numFmtId="0" fontId="52" fillId="34" borderId="0" xfId="6" applyFont="1" applyFill="1" applyAlignment="1">
      <alignment horizontal="center" wrapText="1"/>
    </xf>
    <xf numFmtId="0" fontId="52" fillId="34" borderId="0" xfId="6" applyFont="1" applyFill="1" applyAlignment="1">
      <alignment horizontal="center" vertical="top" wrapText="1"/>
    </xf>
    <xf numFmtId="0" fontId="94" fillId="34" borderId="5" xfId="0" applyFont="1" applyFill="1" applyBorder="1" applyAlignment="1">
      <alignment horizontal="right"/>
    </xf>
    <xf numFmtId="49" fontId="42" fillId="34" borderId="2" xfId="6" applyNumberFormat="1" applyFont="1" applyFill="1" applyBorder="1" applyAlignment="1">
      <alignment horizontal="center" vertical="center" wrapText="1"/>
    </xf>
    <xf numFmtId="49" fontId="42" fillId="34" borderId="3" xfId="6" applyNumberFormat="1" applyFont="1" applyFill="1" applyBorder="1" applyAlignment="1">
      <alignment horizontal="center" vertical="center" wrapText="1"/>
    </xf>
    <xf numFmtId="0" fontId="43" fillId="34" borderId="2" xfId="6" applyFont="1" applyFill="1" applyBorder="1" applyAlignment="1">
      <alignment horizontal="center" vertical="center" wrapText="1"/>
    </xf>
    <xf numFmtId="0" fontId="43" fillId="34" borderId="3" xfId="6" applyFont="1" applyFill="1" applyBorder="1" applyAlignment="1">
      <alignment horizontal="center" vertical="center" wrapText="1"/>
    </xf>
    <xf numFmtId="0" fontId="42" fillId="34" borderId="2" xfId="6" applyFont="1" applyFill="1" applyBorder="1" applyAlignment="1">
      <alignment horizontal="center" vertical="center" wrapText="1"/>
    </xf>
    <xf numFmtId="0" fontId="43" fillId="0" borderId="0" xfId="0" applyFont="1" applyAlignment="1">
      <alignment vertical="top" wrapText="1"/>
    </xf>
    <xf numFmtId="49" fontId="52" fillId="0" borderId="1" xfId="0" applyNumberFormat="1" applyFont="1" applyBorder="1" applyAlignment="1">
      <alignment horizontal="center" vertical="center" wrapText="1"/>
    </xf>
    <xf numFmtId="0" fontId="43" fillId="31" borderId="0" xfId="0" applyFont="1" applyFill="1" applyAlignment="1">
      <alignment vertical="top"/>
    </xf>
    <xf numFmtId="49" fontId="52" fillId="31" borderId="0" xfId="0" applyNumberFormat="1" applyFont="1" applyFill="1" applyAlignment="1">
      <alignment horizontal="center"/>
    </xf>
    <xf numFmtId="0" fontId="52" fillId="31" borderId="0" xfId="0" applyFont="1" applyFill="1" applyAlignment="1">
      <alignment horizontal="center"/>
    </xf>
    <xf numFmtId="49" fontId="52" fillId="0" borderId="0" xfId="0" applyNumberFormat="1" applyFont="1" applyAlignment="1">
      <alignment horizontal="center"/>
    </xf>
    <xf numFmtId="0" fontId="52" fillId="0" borderId="0" xfId="0" applyFont="1" applyAlignment="1">
      <alignment horizontal="center"/>
    </xf>
    <xf numFmtId="2" fontId="103" fillId="31" borderId="0" xfId="0" applyNumberFormat="1" applyFont="1" applyFill="1" applyAlignment="1">
      <alignment horizontal="center"/>
    </xf>
    <xf numFmtId="49" fontId="43" fillId="0" borderId="0" xfId="0" applyNumberFormat="1" applyFont="1" applyAlignment="1">
      <alignment horizontal="center" vertical="top"/>
    </xf>
    <xf numFmtId="0" fontId="43" fillId="0" borderId="0" xfId="0" applyFont="1" applyAlignment="1">
      <alignment horizontal="center" vertical="top"/>
    </xf>
    <xf numFmtId="0" fontId="44" fillId="34" borderId="0" xfId="0" applyFont="1" applyFill="1" applyAlignment="1">
      <alignment horizontal="left" wrapText="1"/>
    </xf>
    <xf numFmtId="0" fontId="276" fillId="34" borderId="0" xfId="240" applyFont="1" applyFill="1" applyAlignment="1">
      <alignment horizontal="center" wrapText="1"/>
    </xf>
    <xf numFmtId="0" fontId="104" fillId="34" borderId="0" xfId="0" applyFont="1" applyFill="1" applyAlignment="1">
      <alignment horizontal="center"/>
    </xf>
    <xf numFmtId="49" fontId="43" fillId="34" borderId="0" xfId="0" applyNumberFormat="1" applyFont="1" applyFill="1" applyAlignment="1">
      <alignment horizontal="center"/>
    </xf>
    <xf numFmtId="0" fontId="43" fillId="34" borderId="58" xfId="0" applyFont="1" applyFill="1" applyBorder="1" applyAlignment="1">
      <alignment horizontal="center" vertical="center" wrapText="1"/>
    </xf>
    <xf numFmtId="0" fontId="43" fillId="34" borderId="59" xfId="0" applyFont="1" applyFill="1" applyBorder="1" applyAlignment="1">
      <alignment horizontal="center" vertical="center" wrapText="1"/>
    </xf>
    <xf numFmtId="0" fontId="43" fillId="34" borderId="39" xfId="0" applyFont="1" applyFill="1" applyBorder="1" applyAlignment="1">
      <alignment horizontal="center" vertical="center" wrapText="1"/>
    </xf>
    <xf numFmtId="0" fontId="43" fillId="34" borderId="1" xfId="0" applyFont="1" applyFill="1" applyBorder="1" applyAlignment="1">
      <alignment horizontal="center" vertical="center" wrapText="1"/>
    </xf>
    <xf numFmtId="0" fontId="43" fillId="34" borderId="40" xfId="0" applyFont="1" applyFill="1" applyBorder="1" applyAlignment="1">
      <alignment horizontal="center" vertical="center" wrapText="1"/>
    </xf>
    <xf numFmtId="2" fontId="43" fillId="34" borderId="44" xfId="0" applyNumberFormat="1" applyFont="1" applyFill="1" applyBorder="1" applyAlignment="1">
      <alignment horizontal="center" vertical="center" wrapText="1"/>
    </xf>
    <xf numFmtId="2" fontId="43" fillId="34" borderId="45" xfId="0" applyNumberFormat="1" applyFont="1" applyFill="1" applyBorder="1" applyAlignment="1">
      <alignment horizontal="center" vertical="center" wrapText="1"/>
    </xf>
    <xf numFmtId="2" fontId="43" fillId="34" borderId="46" xfId="0" applyNumberFormat="1" applyFont="1" applyFill="1" applyBorder="1" applyAlignment="1">
      <alignment horizontal="center" vertical="center" wrapText="1"/>
    </xf>
    <xf numFmtId="170" fontId="43" fillId="34" borderId="44" xfId="0" applyNumberFormat="1" applyFont="1" applyFill="1" applyBorder="1" applyAlignment="1">
      <alignment horizontal="center" vertical="center" wrapText="1"/>
    </xf>
    <xf numFmtId="170" fontId="43" fillId="34" borderId="45" xfId="0" applyNumberFormat="1" applyFont="1" applyFill="1" applyBorder="1" applyAlignment="1">
      <alignment horizontal="center" vertical="center" wrapText="1"/>
    </xf>
    <xf numFmtId="170" fontId="43" fillId="34" borderId="46" xfId="0" applyNumberFormat="1" applyFont="1" applyFill="1" applyBorder="1" applyAlignment="1">
      <alignment horizontal="center" vertical="center" wrapText="1"/>
    </xf>
    <xf numFmtId="49" fontId="43" fillId="34" borderId="57" xfId="0" applyNumberFormat="1" applyFont="1" applyFill="1" applyBorder="1" applyAlignment="1">
      <alignment horizontal="center" vertical="center" wrapText="1"/>
    </xf>
    <xf numFmtId="49" fontId="43" fillId="34" borderId="39" xfId="0" applyNumberFormat="1" applyFont="1" applyFill="1" applyBorder="1" applyAlignment="1">
      <alignment horizontal="center" vertical="center" wrapText="1"/>
    </xf>
    <xf numFmtId="0" fontId="43" fillId="34" borderId="64" xfId="0" applyFont="1" applyFill="1" applyBorder="1" applyAlignment="1">
      <alignment horizontal="center" vertical="center" wrapText="1"/>
    </xf>
    <xf numFmtId="0" fontId="43" fillId="34" borderId="8" xfId="0" applyFont="1" applyFill="1" applyBorder="1" applyAlignment="1">
      <alignment horizontal="center" vertical="center" wrapText="1"/>
    </xf>
    <xf numFmtId="0" fontId="43" fillId="34" borderId="42" xfId="0" applyFont="1" applyFill="1" applyBorder="1" applyAlignment="1">
      <alignment horizontal="center" vertical="center" wrapText="1"/>
    </xf>
    <xf numFmtId="0" fontId="43" fillId="34" borderId="3" xfId="0" applyFont="1" applyFill="1" applyBorder="1" applyAlignment="1">
      <alignment horizontal="center" vertical="center" wrapText="1"/>
    </xf>
    <xf numFmtId="0" fontId="43" fillId="34" borderId="43" xfId="0" applyFont="1" applyFill="1" applyBorder="1" applyAlignment="1">
      <alignment horizontal="center" vertical="center" wrapText="1"/>
    </xf>
    <xf numFmtId="170" fontId="43" fillId="34" borderId="39" xfId="0" applyNumberFormat="1" applyFont="1" applyFill="1" applyBorder="1" applyAlignment="1">
      <alignment horizontal="center" vertical="center" wrapText="1"/>
    </xf>
    <xf numFmtId="170" fontId="43" fillId="34" borderId="1" xfId="0" applyNumberFormat="1" applyFont="1" applyFill="1" applyBorder="1" applyAlignment="1">
      <alignment horizontal="center" vertical="center" wrapText="1"/>
    </xf>
    <xf numFmtId="170" fontId="43" fillId="34" borderId="40" xfId="0" applyNumberFormat="1" applyFont="1" applyFill="1" applyBorder="1" applyAlignment="1">
      <alignment horizontal="center" vertical="center" wrapText="1"/>
    </xf>
    <xf numFmtId="49" fontId="52" fillId="34" borderId="0" xfId="0" applyNumberFormat="1" applyFont="1" applyFill="1" applyAlignment="1">
      <alignment horizontal="center"/>
    </xf>
    <xf numFmtId="49" fontId="103" fillId="34" borderId="0" xfId="0" applyNumberFormat="1" applyFont="1" applyFill="1" applyAlignment="1">
      <alignment horizontal="center" wrapText="1"/>
    </xf>
    <xf numFmtId="49" fontId="52" fillId="34" borderId="0" xfId="0" applyNumberFormat="1" applyFont="1" applyFill="1" applyAlignment="1">
      <alignment horizontal="center" wrapText="1"/>
    </xf>
    <xf numFmtId="2" fontId="43" fillId="34" borderId="42" xfId="0" applyNumberFormat="1" applyFont="1" applyFill="1" applyBorder="1" applyAlignment="1">
      <alignment horizontal="center" vertical="center" wrapText="1"/>
    </xf>
    <xf numFmtId="2" fontId="43" fillId="34" borderId="3" xfId="0" applyNumberFormat="1" applyFont="1" applyFill="1" applyBorder="1" applyAlignment="1">
      <alignment horizontal="center" vertical="center" wrapText="1"/>
    </xf>
    <xf numFmtId="2" fontId="43" fillId="34" borderId="43" xfId="0" applyNumberFormat="1" applyFont="1" applyFill="1" applyBorder="1" applyAlignment="1">
      <alignment horizontal="center" vertical="center" wrapText="1"/>
    </xf>
    <xf numFmtId="0" fontId="42" fillId="0" borderId="0" xfId="0" applyFont="1" applyAlignment="1">
      <alignment vertical="top" wrapText="1"/>
    </xf>
    <xf numFmtId="0" fontId="103" fillId="31" borderId="0" xfId="0" applyFont="1" applyFill="1" applyAlignment="1">
      <alignment horizontal="center"/>
    </xf>
    <xf numFmtId="0" fontId="43" fillId="0" borderId="0" xfId="0" applyFont="1" applyAlignment="1">
      <alignment wrapText="1"/>
    </xf>
    <xf numFmtId="0" fontId="31" fillId="0" borderId="1" xfId="0" applyFont="1" applyBorder="1" applyAlignment="1">
      <alignment vertical="top" wrapText="1"/>
    </xf>
    <xf numFmtId="0" fontId="99" fillId="0" borderId="0" xfId="0" applyFont="1" applyAlignment="1">
      <alignment vertical="center" wrapText="1"/>
    </xf>
    <xf numFmtId="0" fontId="0" fillId="0" borderId="0" xfId="0" applyAlignment="1">
      <alignment wrapText="1"/>
    </xf>
    <xf numFmtId="49" fontId="99" fillId="0" borderId="1" xfId="0" applyNumberFormat="1" applyFont="1" applyBorder="1" applyAlignment="1">
      <alignment horizontal="center" vertical="center" wrapText="1"/>
    </xf>
    <xf numFmtId="0" fontId="99" fillId="0" borderId="1" xfId="0" applyFont="1" applyBorder="1" applyAlignment="1">
      <alignment horizontal="center" vertical="center" wrapText="1"/>
    </xf>
    <xf numFmtId="49" fontId="52" fillId="31" borderId="0" xfId="0" applyNumberFormat="1" applyFont="1" applyFill="1" applyAlignment="1">
      <alignment horizontal="center" wrapText="1"/>
    </xf>
    <xf numFmtId="0" fontId="92" fillId="31" borderId="0" xfId="0" applyFont="1" applyFill="1" applyAlignment="1">
      <alignment horizontal="center" wrapText="1"/>
    </xf>
    <xf numFmtId="49" fontId="52" fillId="0" borderId="0" xfId="0" applyNumberFormat="1" applyFont="1" applyAlignment="1">
      <alignment horizontal="center" wrapText="1"/>
    </xf>
    <xf numFmtId="0" fontId="92" fillId="0" borderId="0" xfId="0" applyFont="1" applyAlignment="1">
      <alignment horizontal="center" wrapText="1"/>
    </xf>
    <xf numFmtId="49" fontId="43" fillId="0" borderId="0" xfId="0" applyNumberFormat="1" applyFont="1" applyAlignment="1">
      <alignment horizontal="center"/>
    </xf>
    <xf numFmtId="0" fontId="43" fillId="0" borderId="0" xfId="0" applyFont="1" applyAlignment="1">
      <alignment vertical="top"/>
    </xf>
    <xf numFmtId="0" fontId="0" fillId="0" borderId="0" xfId="0" applyAlignment="1">
      <alignment vertical="top"/>
    </xf>
    <xf numFmtId="0" fontId="52" fillId="0" borderId="0" xfId="0" applyFont="1" applyAlignment="1">
      <alignment horizontal="center" vertical="top"/>
    </xf>
    <xf numFmtId="0" fontId="92" fillId="0" borderId="0" xfId="0" applyFont="1" applyAlignment="1">
      <alignment horizontal="center" vertical="top"/>
    </xf>
    <xf numFmtId="0" fontId="159" fillId="0" borderId="0" xfId="124" applyFont="1" applyAlignment="1">
      <alignment horizontal="center"/>
    </xf>
    <xf numFmtId="0" fontId="153" fillId="34" borderId="1" xfId="124" applyFont="1" applyFill="1" applyBorder="1" applyAlignment="1">
      <alignment horizontal="center"/>
    </xf>
    <xf numFmtId="0" fontId="153" fillId="0" borderId="1" xfId="124" applyFont="1" applyBorder="1" applyAlignment="1">
      <alignment horizontal="center"/>
    </xf>
    <xf numFmtId="0" fontId="133" fillId="0" borderId="1" xfId="124" applyFont="1" applyBorder="1" applyAlignment="1">
      <alignment horizontal="center" wrapText="1"/>
    </xf>
    <xf numFmtId="177" fontId="133" fillId="34" borderId="79" xfId="124" applyNumberFormat="1" applyFont="1" applyFill="1" applyBorder="1" applyAlignment="1">
      <alignment horizontal="right"/>
    </xf>
    <xf numFmtId="177" fontId="133" fillId="34" borderId="3" xfId="124" applyNumberFormat="1" applyFont="1" applyFill="1" applyBorder="1" applyAlignment="1">
      <alignment horizontal="right"/>
    </xf>
    <xf numFmtId="1" fontId="133" fillId="34" borderId="79" xfId="124" applyNumberFormat="1" applyFont="1" applyFill="1" applyBorder="1" applyAlignment="1">
      <alignment horizontal="right"/>
    </xf>
    <xf numFmtId="1" fontId="133" fillId="34" borderId="3" xfId="124" applyNumberFormat="1" applyFont="1" applyFill="1" applyBorder="1" applyAlignment="1">
      <alignment horizontal="right"/>
    </xf>
    <xf numFmtId="0" fontId="120" fillId="0" borderId="0" xfId="124" applyFont="1" applyAlignment="1">
      <alignment horizontal="center"/>
    </xf>
    <xf numFmtId="0" fontId="133" fillId="0" borderId="8" xfId="124" applyFont="1" applyBorder="1" applyAlignment="1">
      <alignment horizontal="center" wrapText="1"/>
    </xf>
    <xf numFmtId="0" fontId="133" fillId="0" borderId="9" xfId="124" applyFont="1" applyBorder="1" applyAlignment="1">
      <alignment horizontal="center" wrapText="1"/>
    </xf>
    <xf numFmtId="0" fontId="133" fillId="0" borderId="7" xfId="124" applyFont="1" applyBorder="1" applyAlignment="1">
      <alignment horizontal="center" wrapText="1"/>
    </xf>
    <xf numFmtId="2" fontId="133" fillId="34" borderId="79" xfId="124" applyNumberFormat="1" applyFont="1" applyFill="1" applyBorder="1" applyAlignment="1">
      <alignment horizontal="center" vertical="center"/>
    </xf>
    <xf numFmtId="2" fontId="133" fillId="34" borderId="3" xfId="124" applyNumberFormat="1" applyFont="1" applyFill="1" applyBorder="1" applyAlignment="1">
      <alignment horizontal="center" vertical="center"/>
    </xf>
    <xf numFmtId="2" fontId="266" fillId="34" borderId="79" xfId="124" applyNumberFormat="1" applyFont="1" applyFill="1" applyBorder="1" applyAlignment="1">
      <alignment horizontal="right"/>
    </xf>
    <xf numFmtId="2" fontId="266" fillId="34" borderId="3" xfId="124" applyNumberFormat="1" applyFont="1" applyFill="1" applyBorder="1" applyAlignment="1">
      <alignment horizontal="right"/>
    </xf>
    <xf numFmtId="0" fontId="133" fillId="34" borderId="55" xfId="124" applyFont="1" applyFill="1" applyBorder="1" applyAlignment="1">
      <alignment horizontal="center"/>
    </xf>
    <xf numFmtId="0" fontId="133" fillId="34" borderId="80" xfId="124" applyFont="1" applyFill="1" applyBorder="1" applyAlignment="1">
      <alignment horizontal="center"/>
    </xf>
    <xf numFmtId="0" fontId="133" fillId="34" borderId="58" xfId="124" applyFont="1" applyFill="1" applyBorder="1" applyAlignment="1">
      <alignment horizontal="center"/>
    </xf>
    <xf numFmtId="0" fontId="133" fillId="34" borderId="58" xfId="124" applyFont="1" applyFill="1" applyBorder="1" applyAlignment="1">
      <alignment horizontal="center" wrapText="1"/>
    </xf>
    <xf numFmtId="0" fontId="133" fillId="34" borderId="59" xfId="124" applyFont="1" applyFill="1" applyBorder="1" applyAlignment="1">
      <alignment horizontal="center" wrapText="1"/>
    </xf>
    <xf numFmtId="179" fontId="266" fillId="34" borderId="47" xfId="124" applyNumberFormat="1" applyFont="1" applyFill="1" applyBorder="1" applyAlignment="1">
      <alignment horizontal="right"/>
    </xf>
    <xf numFmtId="179" fontId="266" fillId="34" borderId="43" xfId="124" applyNumberFormat="1" applyFont="1" applyFill="1" applyBorder="1" applyAlignment="1">
      <alignment horizontal="right"/>
    </xf>
    <xf numFmtId="0" fontId="134" fillId="34" borderId="5" xfId="0" applyFont="1" applyFill="1" applyBorder="1" applyAlignment="1">
      <alignment horizontal="center"/>
    </xf>
    <xf numFmtId="0" fontId="101" fillId="34" borderId="0" xfId="0" applyFont="1" applyFill="1" applyAlignment="1">
      <alignment horizontal="center" vertical="top" wrapText="1"/>
    </xf>
    <xf numFmtId="0" fontId="101" fillId="34" borderId="1" xfId="0" applyFont="1" applyFill="1" applyBorder="1" applyAlignment="1">
      <alignment horizontal="center"/>
    </xf>
    <xf numFmtId="0" fontId="159" fillId="34" borderId="26" xfId="116" applyFont="1" applyFill="1" applyBorder="1" applyAlignment="1">
      <alignment horizontal="center" vertical="center"/>
    </xf>
    <xf numFmtId="0" fontId="159" fillId="34" borderId="29" xfId="116" applyFont="1" applyFill="1" applyBorder="1" applyAlignment="1">
      <alignment horizontal="center" vertical="center"/>
    </xf>
    <xf numFmtId="0" fontId="159" fillId="34" borderId="30" xfId="116" applyFont="1" applyFill="1" applyBorder="1" applyAlignment="1">
      <alignment horizontal="center" vertical="center" wrapText="1"/>
    </xf>
    <xf numFmtId="0" fontId="159" fillId="34" borderId="36" xfId="116" applyFont="1" applyFill="1" applyBorder="1" applyAlignment="1">
      <alignment horizontal="center" vertical="center" wrapText="1"/>
    </xf>
    <xf numFmtId="0" fontId="159" fillId="34" borderId="31" xfId="116" applyFont="1" applyFill="1" applyBorder="1" applyAlignment="1">
      <alignment horizontal="center" vertical="center" wrapText="1"/>
    </xf>
    <xf numFmtId="2" fontId="150" fillId="34" borderId="5" xfId="506" applyNumberFormat="1" applyFont="1" applyFill="1" applyBorder="1" applyAlignment="1" applyProtection="1">
      <alignment horizontal="center" vertical="center" wrapText="1"/>
      <protection hidden="1"/>
    </xf>
    <xf numFmtId="0" fontId="150" fillId="34" borderId="0" xfId="506" applyFont="1" applyFill="1" applyAlignment="1">
      <alignment horizontal="center" vertical="top"/>
    </xf>
    <xf numFmtId="0" fontId="150" fillId="34" borderId="77" xfId="506" applyFont="1" applyFill="1" applyBorder="1" applyAlignment="1">
      <alignment horizontal="center" vertical="top"/>
    </xf>
    <xf numFmtId="0" fontId="185" fillId="34" borderId="0" xfId="116" applyFont="1" applyFill="1" applyAlignment="1">
      <alignment horizontal="center"/>
    </xf>
    <xf numFmtId="0" fontId="136" fillId="34" borderId="30" xfId="116" applyFont="1" applyFill="1" applyBorder="1" applyAlignment="1">
      <alignment horizontal="center" vertical="center" wrapText="1"/>
    </xf>
    <xf numFmtId="0" fontId="136" fillId="34" borderId="31" xfId="116" applyFont="1" applyFill="1" applyBorder="1" applyAlignment="1">
      <alignment horizontal="center" vertical="center" wrapText="1"/>
    </xf>
    <xf numFmtId="0" fontId="101" fillId="0" borderId="1" xfId="0" applyFont="1" applyBorder="1" applyAlignment="1">
      <alignment horizontal="center"/>
    </xf>
    <xf numFmtId="0" fontId="101" fillId="0" borderId="0" xfId="0" applyFont="1" applyAlignment="1">
      <alignment horizontal="center" vertical="top" wrapText="1"/>
    </xf>
    <xf numFmtId="0" fontId="134" fillId="0" borderId="5" xfId="0" applyFont="1" applyBorder="1" applyAlignment="1">
      <alignment horizontal="center"/>
    </xf>
    <xf numFmtId="4" fontId="286" fillId="0" borderId="0" xfId="116" applyNumberFormat="1" applyFont="1" applyAlignment="1">
      <alignment horizontal="center"/>
    </xf>
    <xf numFmtId="0" fontId="159" fillId="32" borderId="26" xfId="116" applyFont="1" applyFill="1" applyBorder="1" applyAlignment="1">
      <alignment horizontal="center" vertical="center"/>
    </xf>
    <xf numFmtId="0" fontId="159" fillId="32" borderId="29" xfId="116" applyFont="1" applyFill="1" applyBorder="1" applyAlignment="1">
      <alignment horizontal="center" vertical="center"/>
    </xf>
    <xf numFmtId="0" fontId="159" fillId="32" borderId="30" xfId="116" applyFont="1" applyFill="1" applyBorder="1" applyAlignment="1">
      <alignment horizontal="center" vertical="center" wrapText="1"/>
    </xf>
    <xf numFmtId="0" fontId="159" fillId="32" borderId="36" xfId="116" applyFont="1" applyFill="1" applyBorder="1" applyAlignment="1">
      <alignment horizontal="center" vertical="center" wrapText="1"/>
    </xf>
    <xf numFmtId="0" fontId="159" fillId="32" borderId="31" xfId="116" applyFont="1" applyFill="1" applyBorder="1" applyAlignment="1">
      <alignment horizontal="center" vertical="center" wrapText="1"/>
    </xf>
    <xf numFmtId="4" fontId="162" fillId="0" borderId="0" xfId="116" applyNumberFormat="1" applyFont="1" applyAlignment="1">
      <alignment horizontal="left"/>
    </xf>
    <xf numFmtId="0" fontId="43" fillId="0" borderId="33" xfId="0" applyFont="1" applyBorder="1" applyAlignment="1">
      <alignment horizontal="center"/>
    </xf>
    <xf numFmtId="0" fontId="43" fillId="0" borderId="23" xfId="0" applyFont="1" applyBorder="1" applyAlignment="1">
      <alignment horizontal="center"/>
    </xf>
    <xf numFmtId="0" fontId="43" fillId="0" borderId="33" xfId="0" applyFont="1" applyBorder="1" applyAlignment="1">
      <alignment horizontal="center" wrapText="1"/>
    </xf>
    <xf numFmtId="0" fontId="43" fillId="0" borderId="23" xfId="0" applyFont="1" applyBorder="1" applyAlignment="1">
      <alignment horizontal="center" wrapText="1"/>
    </xf>
    <xf numFmtId="2" fontId="152" fillId="34" borderId="5" xfId="506" applyNumberFormat="1" applyFont="1" applyFill="1" applyBorder="1" applyAlignment="1" applyProtection="1">
      <alignment horizontal="center" vertical="center" wrapText="1"/>
      <protection hidden="1"/>
    </xf>
    <xf numFmtId="0" fontId="152" fillId="34" borderId="77" xfId="506" applyFont="1" applyFill="1" applyBorder="1" applyAlignment="1">
      <alignment horizontal="center" vertical="top"/>
    </xf>
    <xf numFmtId="0" fontId="43" fillId="0" borderId="30" xfId="0" applyFont="1" applyBorder="1" applyAlignment="1">
      <alignment horizontal="center"/>
    </xf>
    <xf numFmtId="0" fontId="43" fillId="0" borderId="36" xfId="0" applyFont="1" applyBorder="1" applyAlignment="1">
      <alignment horizontal="center"/>
    </xf>
    <xf numFmtId="0" fontId="43" fillId="0" borderId="31" xfId="0" applyFont="1" applyBorder="1" applyAlignment="1">
      <alignment horizontal="center"/>
    </xf>
    <xf numFmtId="0" fontId="51" fillId="0" borderId="0" xfId="556" applyFont="1" applyAlignment="1">
      <alignment horizontal="left" vertical="center"/>
    </xf>
    <xf numFmtId="0" fontId="136" fillId="0" borderId="0" xfId="556" applyFont="1" applyAlignment="1">
      <alignment vertical="center"/>
    </xf>
    <xf numFmtId="0" fontId="136" fillId="0" borderId="58" xfId="556" applyFont="1" applyBorder="1" applyAlignment="1">
      <alignment horizontal="center" vertical="center" wrapText="1"/>
    </xf>
    <xf numFmtId="0" fontId="136" fillId="0" borderId="59" xfId="556" applyFont="1" applyBorder="1" applyAlignment="1">
      <alignment horizontal="center" vertical="center" wrapText="1"/>
    </xf>
    <xf numFmtId="0" fontId="101" fillId="0" borderId="1" xfId="556" applyFont="1" applyBorder="1" applyAlignment="1">
      <alignment horizontal="center" vertical="center" wrapText="1"/>
    </xf>
    <xf numFmtId="0" fontId="101" fillId="0" borderId="40" xfId="556" applyFont="1" applyBorder="1" applyAlignment="1">
      <alignment horizontal="center" vertical="center" wrapText="1"/>
    </xf>
    <xf numFmtId="0" fontId="101" fillId="34" borderId="8" xfId="556" applyFont="1" applyFill="1" applyBorder="1" applyAlignment="1">
      <alignment horizontal="center" vertical="center" wrapText="1"/>
    </xf>
    <xf numFmtId="0" fontId="101" fillId="34" borderId="9" xfId="556" applyFont="1" applyFill="1" applyBorder="1" applyAlignment="1">
      <alignment horizontal="center" vertical="center" wrapText="1"/>
    </xf>
    <xf numFmtId="0" fontId="101" fillId="34" borderId="73" xfId="556" applyFont="1" applyFill="1" applyBorder="1" applyAlignment="1">
      <alignment horizontal="center" vertical="center" wrapText="1"/>
    </xf>
    <xf numFmtId="49" fontId="136" fillId="0" borderId="57" xfId="556" applyNumberFormat="1" applyFont="1" applyBorder="1" applyAlignment="1">
      <alignment horizontal="center" vertical="center" wrapText="1"/>
    </xf>
    <xf numFmtId="49" fontId="136" fillId="0" borderId="39" xfId="556" applyNumberFormat="1" applyFont="1" applyBorder="1" applyAlignment="1">
      <alignment horizontal="center" vertical="center" wrapText="1"/>
    </xf>
    <xf numFmtId="0" fontId="101" fillId="0" borderId="79" xfId="556" applyFont="1" applyBorder="1" applyAlignment="1">
      <alignment horizontal="center" vertical="center" wrapText="1"/>
    </xf>
    <xf numFmtId="0" fontId="101" fillId="0" borderId="4" xfId="556" applyFont="1" applyBorder="1" applyAlignment="1">
      <alignment horizontal="center" vertical="center" wrapText="1"/>
    </xf>
    <xf numFmtId="0" fontId="101" fillId="0" borderId="3" xfId="556" applyFont="1" applyBorder="1" applyAlignment="1">
      <alignment horizontal="center" vertical="center" wrapText="1"/>
    </xf>
    <xf numFmtId="0" fontId="51" fillId="0" borderId="0" xfId="556" applyFont="1" applyAlignment="1">
      <alignment horizontal="center" vertical="center"/>
    </xf>
    <xf numFmtId="0" fontId="192" fillId="34" borderId="0" xfId="556" applyFont="1" applyFill="1" applyAlignment="1">
      <alignment horizontal="center" vertical="center"/>
    </xf>
    <xf numFmtId="0" fontId="44" fillId="0" borderId="0" xfId="556" applyFont="1" applyAlignment="1">
      <alignment vertical="center" wrapText="1"/>
    </xf>
    <xf numFmtId="0" fontId="43" fillId="34" borderId="0" xfId="557" applyFont="1" applyFill="1" applyAlignment="1">
      <alignment horizontal="left" vertical="top" wrapText="1"/>
    </xf>
    <xf numFmtId="0" fontId="101" fillId="34" borderId="0" xfId="556" applyFont="1" applyFill="1" applyAlignment="1">
      <alignment vertical="top" wrapText="1"/>
    </xf>
    <xf numFmtId="0" fontId="101" fillId="34" borderId="0" xfId="556" applyFont="1" applyFill="1" applyAlignment="1">
      <alignment horizontal="left" vertical="center" wrapText="1"/>
    </xf>
    <xf numFmtId="0" fontId="191" fillId="34" borderId="0" xfId="556" applyFont="1" applyFill="1" applyAlignment="1">
      <alignment horizontal="center" vertical="center"/>
    </xf>
    <xf numFmtId="0" fontId="191" fillId="34" borderId="0" xfId="556" applyFont="1" applyFill="1" applyAlignment="1">
      <alignment horizontal="center" vertical="center" wrapText="1"/>
    </xf>
    <xf numFmtId="0" fontId="136" fillId="0" borderId="1" xfId="556" applyFont="1" applyBorder="1" applyAlignment="1">
      <alignment horizontal="center" vertical="center" wrapText="1"/>
    </xf>
    <xf numFmtId="0" fontId="136" fillId="34" borderId="58" xfId="556" applyFont="1" applyFill="1" applyBorder="1" applyAlignment="1">
      <alignment horizontal="center" vertical="center" wrapText="1"/>
    </xf>
    <xf numFmtId="0" fontId="136" fillId="34" borderId="1" xfId="556" applyFont="1" applyFill="1" applyBorder="1" applyAlignment="1">
      <alignment horizontal="center" vertical="center" wrapText="1"/>
    </xf>
    <xf numFmtId="0" fontId="44" fillId="31" borderId="0" xfId="0" applyFont="1" applyFill="1" applyAlignment="1">
      <alignment horizontal="center" vertical="center"/>
    </xf>
    <xf numFmtId="0" fontId="43" fillId="0" borderId="0" xfId="0" applyFont="1" applyAlignment="1">
      <alignment horizontal="left" wrapText="1"/>
    </xf>
    <xf numFmtId="0" fontId="52" fillId="0" borderId="0" xfId="0" applyFont="1" applyAlignment="1">
      <alignment horizontal="center" wrapText="1"/>
    </xf>
    <xf numFmtId="0" fontId="43" fillId="0" borderId="66" xfId="0" applyFont="1" applyBorder="1" applyAlignment="1">
      <alignment horizontal="center" vertical="center" wrapText="1"/>
    </xf>
    <xf numFmtId="0" fontId="43" fillId="0" borderId="71"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91"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124" xfId="0" applyFont="1" applyBorder="1" applyAlignment="1">
      <alignment horizontal="center" vertical="center" wrapText="1"/>
    </xf>
    <xf numFmtId="0" fontId="52" fillId="0" borderId="30" xfId="0" applyFont="1" applyBorder="1" applyAlignment="1">
      <alignment horizontal="center" vertical="center"/>
    </xf>
    <xf numFmtId="0" fontId="52" fillId="0" borderId="34" xfId="0" applyFont="1" applyBorder="1" applyAlignment="1">
      <alignment horizontal="center" vertical="center"/>
    </xf>
    <xf numFmtId="0" fontId="52" fillId="0" borderId="27" xfId="0" applyFont="1" applyBorder="1" applyAlignment="1">
      <alignment horizontal="center" vertical="center"/>
    </xf>
    <xf numFmtId="0" fontId="52" fillId="0" borderId="35" xfId="0" applyFont="1" applyBorder="1" applyAlignment="1">
      <alignment horizontal="center" vertical="center"/>
    </xf>
    <xf numFmtId="0" fontId="52" fillId="0" borderId="56" xfId="0" applyFont="1" applyBorder="1" applyAlignment="1">
      <alignment horizontal="center" vertical="center"/>
    </xf>
    <xf numFmtId="0" fontId="52" fillId="0" borderId="36" xfId="0" applyFont="1" applyBorder="1" applyAlignment="1">
      <alignment horizontal="center" vertical="center"/>
    </xf>
    <xf numFmtId="0" fontId="52" fillId="0" borderId="31" xfId="0" applyFont="1" applyBorder="1" applyAlignment="1">
      <alignment horizontal="center" vertical="center"/>
    </xf>
    <xf numFmtId="0" fontId="52" fillId="0" borderId="30"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1" xfId="0" applyFont="1" applyBorder="1" applyAlignment="1">
      <alignment horizontal="center" vertical="center" wrapText="1"/>
    </xf>
    <xf numFmtId="0" fontId="43" fillId="0" borderId="0" xfId="0" applyFont="1" applyAlignment="1">
      <alignment horizontal="center" wrapText="1"/>
    </xf>
    <xf numFmtId="0" fontId="247" fillId="0" borderId="0" xfId="0" applyFont="1" applyAlignment="1">
      <alignment horizontal="center"/>
    </xf>
    <xf numFmtId="0" fontId="248" fillId="0" borderId="0" xfId="0" applyFont="1" applyAlignment="1">
      <alignment horizontal="center"/>
    </xf>
    <xf numFmtId="0" fontId="248" fillId="0" borderId="0" xfId="0" applyFont="1" applyAlignment="1">
      <alignment horizontal="center" wrapText="1"/>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7" xfId="0" applyFont="1" applyBorder="1" applyAlignment="1">
      <alignment horizontal="center" vertical="center"/>
    </xf>
    <xf numFmtId="0" fontId="131" fillId="0" borderId="5" xfId="0" applyFont="1" applyBorder="1" applyAlignment="1">
      <alignment horizontal="center" vertical="center" wrapText="1"/>
    </xf>
    <xf numFmtId="0" fontId="246" fillId="0" borderId="0" xfId="0" applyFont="1" applyAlignment="1">
      <alignment horizontal="center" vertical="center"/>
    </xf>
    <xf numFmtId="0" fontId="42" fillId="0" borderId="79" xfId="0" applyFont="1" applyBorder="1" applyAlignment="1">
      <alignment horizontal="center" vertical="center" wrapText="1"/>
    </xf>
    <xf numFmtId="0" fontId="42" fillId="0" borderId="3" xfId="0" applyFont="1" applyBorder="1" applyAlignment="1">
      <alignment horizontal="center" vertical="center" wrapText="1"/>
    </xf>
    <xf numFmtId="0" fontId="41" fillId="0" borderId="79" xfId="0" applyFont="1" applyBorder="1" applyAlignment="1">
      <alignment horizontal="center" vertical="center"/>
    </xf>
    <xf numFmtId="0" fontId="41" fillId="0" borderId="3" xfId="0" applyFont="1" applyBorder="1" applyAlignment="1">
      <alignment horizontal="center" vertical="center"/>
    </xf>
    <xf numFmtId="0" fontId="42" fillId="0" borderId="1" xfId="0" applyFont="1" applyBorder="1" applyAlignment="1">
      <alignment horizont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7" xfId="0" applyFont="1" applyBorder="1" applyAlignment="1">
      <alignment horizontal="center"/>
    </xf>
    <xf numFmtId="0" fontId="44" fillId="0" borderId="0" xfId="0" applyFont="1" applyAlignment="1">
      <alignment horizontal="right"/>
    </xf>
    <xf numFmtId="0" fontId="43" fillId="0" borderId="1" xfId="0" applyFont="1" applyBorder="1" applyAlignment="1">
      <alignment horizontal="center" vertical="center"/>
    </xf>
    <xf numFmtId="0" fontId="43" fillId="0" borderId="79" xfId="0" applyFont="1" applyBorder="1" applyAlignment="1">
      <alignment horizontal="center" vertical="center"/>
    </xf>
    <xf numFmtId="0" fontId="181" fillId="0" borderId="1" xfId="0" applyFont="1" applyBorder="1" applyAlignment="1">
      <alignment horizontal="center" vertical="center"/>
    </xf>
    <xf numFmtId="0" fontId="181" fillId="0" borderId="97" xfId="0" applyFont="1" applyBorder="1" applyAlignment="1">
      <alignment horizontal="center" vertical="center"/>
    </xf>
    <xf numFmtId="0" fontId="181" fillId="0" borderId="9" xfId="0" applyFont="1" applyBorder="1" applyAlignment="1">
      <alignment horizontal="center" vertical="center"/>
    </xf>
    <xf numFmtId="0" fontId="181" fillId="0" borderId="7" xfId="0" applyFont="1" applyBorder="1" applyAlignment="1">
      <alignment horizontal="center" vertical="center"/>
    </xf>
    <xf numFmtId="0" fontId="42" fillId="0" borderId="79" xfId="0" applyFont="1" applyBorder="1" applyAlignment="1">
      <alignment horizontal="center" vertical="center"/>
    </xf>
    <xf numFmtId="0" fontId="42" fillId="0" borderId="3" xfId="0" applyFont="1" applyBorder="1" applyAlignment="1">
      <alignment horizontal="center" vertical="center"/>
    </xf>
    <xf numFmtId="0" fontId="42" fillId="0" borderId="79" xfId="0" applyFont="1" applyBorder="1" applyAlignment="1">
      <alignment vertical="top" wrapText="1"/>
    </xf>
    <xf numFmtId="0" fontId="42" fillId="0" borderId="3" xfId="0" applyFont="1" applyBorder="1" applyAlignment="1">
      <alignment vertical="top" wrapText="1"/>
    </xf>
    <xf numFmtId="0" fontId="131" fillId="0" borderId="1" xfId="0" applyFont="1" applyBorder="1" applyAlignment="1">
      <alignment horizontal="left" vertical="center" wrapText="1"/>
    </xf>
    <xf numFmtId="0" fontId="131" fillId="0" borderId="0" xfId="0" applyFont="1" applyAlignment="1">
      <alignment horizontal="center" vertical="center" wrapText="1"/>
    </xf>
    <xf numFmtId="0" fontId="245" fillId="0" borderId="8" xfId="0" applyFont="1" applyBorder="1" applyAlignment="1">
      <alignment wrapText="1"/>
    </xf>
    <xf numFmtId="0" fontId="245" fillId="0" borderId="9" xfId="0" applyFont="1" applyBorder="1" applyAlignment="1">
      <alignment wrapText="1"/>
    </xf>
    <xf numFmtId="0" fontId="245" fillId="0" borderId="7" xfId="0" applyFont="1" applyBorder="1" applyAlignment="1">
      <alignment wrapText="1"/>
    </xf>
    <xf numFmtId="0" fontId="246" fillId="0" borderId="1" xfId="0" applyFont="1" applyBorder="1" applyAlignment="1">
      <alignment horizontal="left" vertical="center" wrapText="1"/>
    </xf>
    <xf numFmtId="0" fontId="245" fillId="0" borderId="1" xfId="0" applyFont="1" applyBorder="1" applyAlignment="1">
      <alignment wrapText="1"/>
    </xf>
    <xf numFmtId="0" fontId="93" fillId="0" borderId="5" xfId="0" applyFont="1" applyBorder="1" applyAlignment="1">
      <alignment horizontal="center"/>
    </xf>
    <xf numFmtId="0" fontId="41" fillId="0" borderId="77" xfId="0" applyFont="1" applyBorder="1" applyAlignment="1">
      <alignment horizontal="center" vertical="top"/>
    </xf>
    <xf numFmtId="0" fontId="44" fillId="0" borderId="0" xfId="0" applyFont="1" applyAlignment="1">
      <alignment horizontal="center"/>
    </xf>
    <xf numFmtId="0" fontId="44" fillId="0" borderId="0" xfId="0" applyFont="1" applyAlignment="1">
      <alignment horizontal="center" vertical="top" wrapText="1"/>
    </xf>
    <xf numFmtId="0" fontId="265" fillId="0" borderId="0" xfId="0" applyFont="1" applyAlignment="1">
      <alignment horizontal="center"/>
    </xf>
    <xf numFmtId="0" fontId="93" fillId="0" borderId="0" xfId="0" applyFont="1" applyAlignment="1">
      <alignment horizontal="center"/>
    </xf>
    <xf numFmtId="0" fontId="93" fillId="0" borderId="5" xfId="0" applyFont="1" applyBorder="1" applyAlignment="1">
      <alignment horizontal="center" wrapText="1"/>
    </xf>
    <xf numFmtId="0" fontId="184" fillId="0" borderId="0" xfId="0" applyFont="1" applyAlignment="1">
      <alignment horizontal="center"/>
    </xf>
    <xf numFmtId="49" fontId="136" fillId="0" borderId="57" xfId="0" applyNumberFormat="1" applyFont="1" applyBorder="1" applyAlignment="1">
      <alignment horizontal="center" vertical="center" wrapText="1"/>
    </xf>
    <xf numFmtId="49" fontId="136" fillId="0" borderId="48" xfId="0" applyNumberFormat="1" applyFont="1" applyBorder="1" applyAlignment="1">
      <alignment horizontal="center" vertical="center" wrapText="1"/>
    </xf>
    <xf numFmtId="49" fontId="136" fillId="0" borderId="60" xfId="0" applyNumberFormat="1" applyFont="1" applyBorder="1" applyAlignment="1">
      <alignment horizontal="center" vertical="center" wrapText="1"/>
    </xf>
    <xf numFmtId="0" fontId="136" fillId="0" borderId="58" xfId="0" applyFont="1" applyBorder="1" applyAlignment="1">
      <alignment horizontal="center" vertical="center" wrapText="1"/>
    </xf>
    <xf numFmtId="0" fontId="136" fillId="0" borderId="49" xfId="0" applyFont="1" applyBorder="1" applyAlignment="1">
      <alignment horizontal="center" vertical="center" wrapText="1"/>
    </xf>
    <xf numFmtId="0" fontId="136" fillId="0" borderId="61" xfId="0" applyFont="1" applyBorder="1" applyAlignment="1">
      <alignment horizontal="center" vertical="center" wrapText="1"/>
    </xf>
    <xf numFmtId="0" fontId="136" fillId="0" borderId="64" xfId="0" applyFont="1" applyBorder="1" applyAlignment="1">
      <alignment horizontal="center" vertical="center" wrapText="1"/>
    </xf>
    <xf numFmtId="0" fontId="136" fillId="0" borderId="93"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1" xfId="0" applyFont="1" applyBorder="1" applyAlignment="1">
      <alignment horizontal="center" vertical="center" wrapText="1"/>
    </xf>
    <xf numFmtId="0" fontId="136" fillId="0" borderId="8" xfId="0" applyFont="1" applyBorder="1" applyAlignment="1">
      <alignment horizontal="center" vertical="center" wrapText="1"/>
    </xf>
    <xf numFmtId="0" fontId="136" fillId="0" borderId="7" xfId="0" applyFont="1" applyBorder="1" applyAlignment="1">
      <alignment horizontal="center" vertical="center" wrapText="1"/>
    </xf>
    <xf numFmtId="0" fontId="206" fillId="0" borderId="79" xfId="0" applyFont="1" applyBorder="1" applyAlignment="1">
      <alignment horizontal="center" vertical="center"/>
    </xf>
    <xf numFmtId="0" fontId="206" fillId="0" borderId="3" xfId="0" applyFont="1" applyBorder="1" applyAlignment="1">
      <alignment horizontal="center" vertical="center"/>
    </xf>
    <xf numFmtId="0" fontId="137" fillId="31" borderId="7" xfId="448" applyFont="1" applyFill="1" applyBorder="1" applyAlignment="1">
      <alignment horizontal="center" vertical="center"/>
    </xf>
    <xf numFmtId="0" fontId="137" fillId="31" borderId="1" xfId="448" applyFont="1" applyFill="1" applyBorder="1" applyAlignment="1">
      <alignment horizontal="center" vertical="center"/>
    </xf>
    <xf numFmtId="0" fontId="137" fillId="31" borderId="1" xfId="448" applyFont="1" applyFill="1" applyBorder="1" applyAlignment="1">
      <alignment vertical="center"/>
    </xf>
    <xf numFmtId="0" fontId="138" fillId="31" borderId="79" xfId="448" applyFont="1" applyFill="1" applyBorder="1" applyAlignment="1">
      <alignment horizontal="center" vertical="center" wrapText="1"/>
    </xf>
    <xf numFmtId="0" fontId="138" fillId="31" borderId="4" xfId="448" applyFont="1" applyFill="1" applyBorder="1" applyAlignment="1">
      <alignment horizontal="center" vertical="center" wrapText="1"/>
    </xf>
    <xf numFmtId="0" fontId="138" fillId="31" borderId="3" xfId="448" applyFont="1" applyFill="1" applyBorder="1" applyAlignment="1">
      <alignment horizontal="center" vertical="center" wrapText="1"/>
    </xf>
    <xf numFmtId="0" fontId="137" fillId="31" borderId="78" xfId="448" applyFont="1" applyFill="1" applyBorder="1" applyAlignment="1">
      <alignment horizontal="center" vertical="center" wrapText="1"/>
    </xf>
    <xf numFmtId="0" fontId="137" fillId="31" borderId="86" xfId="448" applyFont="1" applyFill="1" applyBorder="1" applyAlignment="1">
      <alignment horizontal="center" vertical="center" wrapText="1"/>
    </xf>
    <xf numFmtId="0" fontId="137" fillId="31" borderId="79" xfId="448" applyFont="1" applyFill="1" applyBorder="1" applyAlignment="1">
      <alignment horizontal="center" vertical="center" wrapText="1"/>
    </xf>
    <xf numFmtId="0" fontId="137" fillId="31" borderId="94" xfId="448" applyFont="1" applyFill="1" applyBorder="1" applyAlignment="1">
      <alignment horizontal="center" vertical="center" wrapText="1"/>
    </xf>
    <xf numFmtId="0" fontId="137" fillId="31" borderId="1" xfId="448" applyFont="1" applyFill="1" applyBorder="1" applyAlignment="1">
      <alignment horizontal="center" vertical="center" wrapText="1"/>
    </xf>
    <xf numFmtId="0" fontId="137" fillId="31" borderId="45" xfId="448" applyFont="1" applyFill="1" applyBorder="1" applyAlignment="1">
      <alignment horizontal="center" vertical="center" wrapText="1"/>
    </xf>
    <xf numFmtId="0" fontId="137" fillId="31" borderId="8" xfId="448" applyFont="1" applyFill="1" applyBorder="1" applyAlignment="1">
      <alignment horizontal="center" vertical="center" wrapText="1"/>
    </xf>
    <xf numFmtId="0" fontId="137" fillId="31" borderId="55" xfId="448" applyFont="1" applyFill="1" applyBorder="1" applyAlignment="1">
      <alignment horizontal="center" vertical="center" wrapText="1"/>
    </xf>
    <xf numFmtId="0" fontId="137" fillId="31" borderId="69" xfId="448" applyFont="1" applyFill="1" applyBorder="1" applyAlignment="1">
      <alignment horizontal="center" vertical="center" wrapText="1"/>
    </xf>
    <xf numFmtId="0" fontId="137" fillId="31" borderId="3" xfId="448" applyFont="1" applyFill="1" applyBorder="1" applyAlignment="1">
      <alignment horizontal="center" vertical="center" wrapText="1"/>
    </xf>
    <xf numFmtId="2" fontId="153" fillId="3" borderId="5" xfId="506" applyNumberFormat="1" applyFont="1" applyFill="1" applyBorder="1" applyAlignment="1" applyProtection="1">
      <alignment horizontal="center" vertical="center" wrapText="1"/>
      <protection hidden="1"/>
    </xf>
    <xf numFmtId="0" fontId="153" fillId="0" borderId="77" xfId="506" applyFont="1" applyBorder="1" applyAlignment="1">
      <alignment horizontal="center" vertical="top"/>
    </xf>
    <xf numFmtId="0" fontId="133" fillId="34" borderId="35" xfId="448" applyFont="1" applyFill="1" applyBorder="1" applyAlignment="1">
      <alignment horizontal="right" vertical="center"/>
    </xf>
    <xf numFmtId="0" fontId="137" fillId="31" borderId="48" xfId="448" applyFont="1" applyFill="1" applyBorder="1" applyAlignment="1">
      <alignment horizontal="center" vertical="center" wrapText="1"/>
    </xf>
    <xf numFmtId="0" fontId="137" fillId="31" borderId="51" xfId="448" applyFont="1" applyFill="1" applyBorder="1" applyAlignment="1">
      <alignment horizontal="center" vertical="center" wrapText="1"/>
    </xf>
    <xf numFmtId="0" fontId="137" fillId="31" borderId="95" xfId="448" applyFont="1" applyFill="1" applyBorder="1" applyAlignment="1">
      <alignment horizontal="center" vertical="center" wrapText="1"/>
    </xf>
    <xf numFmtId="4" fontId="137" fillId="31" borderId="58" xfId="449" applyNumberFormat="1" applyFont="1" applyFill="1" applyBorder="1" applyAlignment="1">
      <alignment horizontal="center" vertical="center" wrapText="1"/>
    </xf>
    <xf numFmtId="4" fontId="137" fillId="31" borderId="1" xfId="449" applyNumberFormat="1" applyFont="1" applyFill="1" applyBorder="1" applyAlignment="1">
      <alignment horizontal="center" vertical="center" wrapText="1"/>
    </xf>
    <xf numFmtId="4" fontId="137" fillId="31" borderId="45" xfId="449" applyNumberFormat="1" applyFont="1" applyFill="1" applyBorder="1" applyAlignment="1">
      <alignment horizontal="center" vertical="center" wrapText="1"/>
    </xf>
    <xf numFmtId="4" fontId="137" fillId="31" borderId="50" xfId="449" applyNumberFormat="1" applyFont="1" applyFill="1" applyBorder="1" applyAlignment="1">
      <alignment horizontal="center" vertical="center" wrapText="1"/>
    </xf>
    <xf numFmtId="4" fontId="137" fillId="31" borderId="25" xfId="449" applyNumberFormat="1" applyFont="1" applyFill="1" applyBorder="1" applyAlignment="1">
      <alignment horizontal="center" vertical="center" wrapText="1"/>
    </xf>
    <xf numFmtId="4" fontId="137" fillId="31" borderId="116" xfId="449" applyNumberFormat="1" applyFont="1" applyFill="1" applyBorder="1" applyAlignment="1">
      <alignment horizontal="center" vertical="center" wrapText="1"/>
    </xf>
    <xf numFmtId="4" fontId="137" fillId="31" borderId="66" xfId="449" applyNumberFormat="1" applyFont="1" applyFill="1" applyBorder="1" applyAlignment="1">
      <alignment horizontal="center" vertical="center" wrapText="1"/>
    </xf>
    <xf numFmtId="4" fontId="137" fillId="31" borderId="67" xfId="449" applyNumberFormat="1" applyFont="1" applyFill="1" applyBorder="1" applyAlignment="1">
      <alignment horizontal="center" vertical="center" wrapText="1"/>
    </xf>
    <xf numFmtId="4" fontId="137" fillId="31" borderId="68" xfId="449" applyNumberFormat="1" applyFont="1" applyFill="1" applyBorder="1" applyAlignment="1">
      <alignment horizontal="center" vertical="center" wrapText="1"/>
    </xf>
    <xf numFmtId="0" fontId="137" fillId="31" borderId="65" xfId="448" applyFont="1" applyFill="1" applyBorder="1" applyAlignment="1">
      <alignment horizontal="center" vertical="center"/>
    </xf>
    <xf numFmtId="0" fontId="137" fillId="31" borderId="58" xfId="448" applyFont="1" applyFill="1" applyBorder="1" applyAlignment="1">
      <alignment horizontal="center" vertical="center"/>
    </xf>
    <xf numFmtId="0" fontId="137" fillId="31" borderId="64" xfId="448" applyFont="1" applyFill="1" applyBorder="1" applyAlignment="1">
      <alignment vertical="center"/>
    </xf>
    <xf numFmtId="0" fontId="138" fillId="31" borderId="33" xfId="448" applyFont="1" applyFill="1" applyBorder="1" applyAlignment="1">
      <alignment horizontal="center" vertical="center" wrapText="1"/>
    </xf>
    <xf numFmtId="0" fontId="138" fillId="31" borderId="32" xfId="448" applyFont="1" applyFill="1" applyBorder="1" applyAlignment="1">
      <alignment horizontal="center" vertical="center" wrapText="1"/>
    </xf>
    <xf numFmtId="0" fontId="138" fillId="31" borderId="23" xfId="448" applyFont="1" applyFill="1" applyBorder="1" applyAlignment="1">
      <alignment horizontal="center" vertical="center" wrapText="1"/>
    </xf>
    <xf numFmtId="0" fontId="136" fillId="34" borderId="0" xfId="448" applyFont="1" applyFill="1" applyAlignment="1">
      <alignment horizontal="center" wrapText="1"/>
    </xf>
    <xf numFmtId="0" fontId="101" fillId="3" borderId="0" xfId="448" applyFont="1" applyFill="1" applyAlignment="1">
      <alignment horizontal="center"/>
    </xf>
    <xf numFmtId="0" fontId="42" fillId="0" borderId="0" xfId="506" applyFont="1" applyAlignment="1">
      <alignment horizontal="center" vertical="center" wrapText="1"/>
    </xf>
    <xf numFmtId="0" fontId="43" fillId="0" borderId="0" xfId="506" applyFont="1" applyAlignment="1">
      <alignment horizontal="left" vertical="center" wrapText="1"/>
    </xf>
    <xf numFmtId="0" fontId="52" fillId="0" borderId="0" xfId="506" applyFont="1" applyAlignment="1" applyProtection="1">
      <alignment horizontal="center" vertical="center" wrapText="1"/>
      <protection locked="0"/>
    </xf>
    <xf numFmtId="0" fontId="52" fillId="3" borderId="0" xfId="506" applyFont="1" applyFill="1" applyAlignment="1" applyProtection="1">
      <alignment horizontal="center" vertical="center" wrapText="1"/>
      <protection locked="0"/>
    </xf>
    <xf numFmtId="0" fontId="146" fillId="66" borderId="1" xfId="506" applyFont="1" applyFill="1" applyBorder="1" applyAlignment="1">
      <alignment horizontal="center" vertical="center" wrapText="1"/>
    </xf>
    <xf numFmtId="0" fontId="152" fillId="3" borderId="0" xfId="506" applyFont="1" applyFill="1" applyAlignment="1">
      <alignment horizontal="center" vertical="center"/>
    </xf>
    <xf numFmtId="0" fontId="198" fillId="0" borderId="0" xfId="506" applyFont="1" applyAlignment="1">
      <alignment horizontal="center" vertical="center" wrapText="1"/>
    </xf>
    <xf numFmtId="0" fontId="43" fillId="0" borderId="0" xfId="506" applyFont="1" applyAlignment="1">
      <alignment horizontal="center" vertical="center" wrapText="1"/>
    </xf>
    <xf numFmtId="175" fontId="93" fillId="0" borderId="25" xfId="506" applyNumberFormat="1" applyFont="1" applyBorder="1" applyAlignment="1">
      <alignment horizontal="center"/>
    </xf>
    <xf numFmtId="175" fontId="93" fillId="0" borderId="0" xfId="506" applyNumberFormat="1" applyFont="1" applyAlignment="1">
      <alignment horizontal="center"/>
    </xf>
    <xf numFmtId="2" fontId="44" fillId="0" borderId="45" xfId="506" applyNumberFormat="1" applyFont="1" applyBorder="1" applyAlignment="1">
      <alignment horizontal="right"/>
    </xf>
    <xf numFmtId="2" fontId="44" fillId="0" borderId="46" xfId="506" applyNumberFormat="1" applyFont="1" applyBorder="1" applyAlignment="1">
      <alignment horizontal="right"/>
    </xf>
    <xf numFmtId="2" fontId="44" fillId="0" borderId="80" xfId="506" applyNumberFormat="1" applyFont="1" applyBorder="1" applyAlignment="1">
      <alignment horizontal="right"/>
    </xf>
    <xf numFmtId="2" fontId="44" fillId="0" borderId="54" xfId="506" applyNumberFormat="1" applyFont="1" applyBorder="1" applyAlignment="1">
      <alignment horizontal="right"/>
    </xf>
    <xf numFmtId="2" fontId="44" fillId="0" borderId="55" xfId="506" applyNumberFormat="1" applyFont="1" applyBorder="1" applyAlignment="1">
      <alignment horizontal="right"/>
    </xf>
    <xf numFmtId="0" fontId="44" fillId="0" borderId="58" xfId="506" applyFont="1" applyBorder="1" applyAlignment="1">
      <alignment horizontal="center"/>
    </xf>
    <xf numFmtId="0" fontId="44" fillId="0" borderId="59" xfId="506" applyFont="1" applyBorder="1" applyAlignment="1">
      <alignment horizontal="center"/>
    </xf>
    <xf numFmtId="0" fontId="110" fillId="0" borderId="0" xfId="0" applyFont="1" applyAlignment="1">
      <alignment horizontal="center" vertical="top" wrapText="1"/>
    </xf>
    <xf numFmtId="0" fontId="52" fillId="31" borderId="63" xfId="0" applyFont="1" applyFill="1" applyBorder="1" applyAlignment="1">
      <alignment horizontal="center"/>
    </xf>
    <xf numFmtId="0" fontId="52" fillId="31" borderId="98" xfId="0" applyFont="1" applyFill="1" applyBorder="1" applyAlignment="1">
      <alignment horizontal="center"/>
    </xf>
    <xf numFmtId="0" fontId="52" fillId="31" borderId="30" xfId="0" applyFont="1" applyFill="1" applyBorder="1" applyAlignment="1">
      <alignment horizontal="center"/>
    </xf>
    <xf numFmtId="0" fontId="52" fillId="31" borderId="36" xfId="0" applyFont="1" applyFill="1" applyBorder="1" applyAlignment="1">
      <alignment horizontal="center"/>
    </xf>
    <xf numFmtId="0" fontId="52" fillId="31" borderId="31" xfId="0" applyFont="1" applyFill="1" applyBorder="1" applyAlignment="1">
      <alignment horizontal="center"/>
    </xf>
    <xf numFmtId="4" fontId="93" fillId="0" borderId="80" xfId="506" applyNumberFormat="1" applyFont="1" applyBorder="1" applyAlignment="1">
      <alignment horizontal="right" vertical="center"/>
    </xf>
    <xf numFmtId="4" fontId="93" fillId="0" borderId="54" xfId="506" applyNumberFormat="1" applyFont="1" applyBorder="1" applyAlignment="1">
      <alignment horizontal="right" vertical="center"/>
    </xf>
    <xf numFmtId="4" fontId="93" fillId="0" borderId="55" xfId="506" applyNumberFormat="1" applyFont="1" applyBorder="1" applyAlignment="1">
      <alignment horizontal="right" vertical="center"/>
    </xf>
    <xf numFmtId="4" fontId="93" fillId="0" borderId="72" xfId="506" applyNumberFormat="1" applyFont="1" applyBorder="1" applyAlignment="1">
      <alignment horizontal="right" vertical="center"/>
    </xf>
    <xf numFmtId="0" fontId="44" fillId="0" borderId="41" xfId="506" applyFont="1" applyBorder="1" applyAlignment="1">
      <alignment horizontal="center" vertical="center"/>
    </xf>
    <xf numFmtId="0" fontId="44" fillId="0" borderId="42" xfId="506" applyFont="1" applyBorder="1" applyAlignment="1">
      <alignment horizontal="center" vertical="center"/>
    </xf>
    <xf numFmtId="0" fontId="44" fillId="0" borderId="48" xfId="0" applyFont="1" applyBorder="1" applyAlignment="1">
      <alignment horizontal="center" vertical="center"/>
    </xf>
    <xf numFmtId="0" fontId="44" fillId="0" borderId="95" xfId="0" applyFont="1" applyBorder="1" applyAlignment="1">
      <alignment horizontal="center" vertical="center"/>
    </xf>
    <xf numFmtId="2" fontId="44" fillId="0" borderId="80" xfId="0" applyNumberFormat="1" applyFont="1" applyBorder="1" applyAlignment="1">
      <alignment horizontal="right" vertical="center"/>
    </xf>
    <xf numFmtId="2" fontId="44" fillId="0" borderId="54" xfId="0" applyNumberFormat="1" applyFont="1" applyBorder="1" applyAlignment="1">
      <alignment horizontal="right" vertical="center"/>
    </xf>
    <xf numFmtId="2" fontId="44" fillId="0" borderId="45" xfId="0" applyNumberFormat="1" applyFont="1" applyBorder="1" applyAlignment="1">
      <alignment horizontal="right" vertical="center"/>
    </xf>
    <xf numFmtId="2" fontId="44" fillId="0" borderId="46" xfId="0" applyNumberFormat="1" applyFont="1" applyBorder="1" applyAlignment="1">
      <alignment horizontal="right" vertical="center"/>
    </xf>
    <xf numFmtId="2" fontId="93" fillId="0" borderId="36" xfId="0" applyNumberFormat="1" applyFont="1" applyBorder="1" applyAlignment="1">
      <alignment horizontal="right" vertical="center"/>
    </xf>
    <xf numFmtId="0" fontId="93" fillId="0" borderId="63" xfId="0" applyFont="1" applyBorder="1" applyAlignment="1">
      <alignment horizontal="right" vertical="center"/>
    </xf>
    <xf numFmtId="0" fontId="44" fillId="0" borderId="51" xfId="0" applyFont="1" applyBorder="1" applyAlignment="1">
      <alignment horizontal="center" vertical="center"/>
    </xf>
    <xf numFmtId="4" fontId="93" fillId="0" borderId="98" xfId="506" applyNumberFormat="1" applyFont="1" applyBorder="1" applyAlignment="1">
      <alignment horizontal="right" vertical="center"/>
    </xf>
    <xf numFmtId="4" fontId="93" fillId="0" borderId="63" xfId="506" applyNumberFormat="1" applyFont="1" applyBorder="1" applyAlignment="1">
      <alignment horizontal="right" vertical="center"/>
    </xf>
    <xf numFmtId="2" fontId="93" fillId="0" borderId="98" xfId="0" applyNumberFormat="1" applyFont="1" applyBorder="1" applyAlignment="1">
      <alignment horizontal="right" vertical="center"/>
    </xf>
    <xf numFmtId="0" fontId="93" fillId="0" borderId="31" xfId="0" applyFont="1" applyBorder="1" applyAlignment="1">
      <alignment horizontal="right" vertical="center"/>
    </xf>
    <xf numFmtId="0" fontId="44" fillId="0" borderId="63" xfId="0" applyFont="1" applyBorder="1" applyAlignment="1">
      <alignment horizontal="center" vertical="center"/>
    </xf>
    <xf numFmtId="0" fontId="44" fillId="0" borderId="124" xfId="0" applyFont="1" applyBorder="1" applyAlignment="1">
      <alignment horizontal="center" vertical="center"/>
    </xf>
    <xf numFmtId="0" fontId="44" fillId="0" borderId="60" xfId="0" applyFont="1" applyBorder="1" applyAlignment="1">
      <alignment horizontal="center" vertical="center"/>
    </xf>
    <xf numFmtId="0" fontId="44" fillId="0" borderId="62" xfId="0" applyFont="1" applyBorder="1" applyAlignment="1">
      <alignment horizontal="center" vertical="center"/>
    </xf>
    <xf numFmtId="4" fontId="93" fillId="0" borderId="36" xfId="506" applyNumberFormat="1" applyFont="1" applyBorder="1" applyAlignment="1">
      <alignment horizontal="right" vertical="center"/>
    </xf>
    <xf numFmtId="0" fontId="44" fillId="0" borderId="60" xfId="0" applyFont="1" applyBorder="1" applyAlignment="1">
      <alignment horizontal="center"/>
    </xf>
    <xf numFmtId="0" fontId="44" fillId="0" borderId="62" xfId="0" applyFont="1" applyBorder="1" applyAlignment="1">
      <alignment horizontal="center"/>
    </xf>
    <xf numFmtId="0" fontId="93" fillId="0" borderId="0" xfId="506" applyFont="1" applyAlignment="1">
      <alignment horizontal="center" vertical="center" wrapText="1"/>
    </xf>
    <xf numFmtId="0" fontId="44" fillId="0" borderId="33" xfId="0" applyFont="1" applyBorder="1" applyAlignment="1">
      <alignment horizontal="center" vertical="center"/>
    </xf>
    <xf numFmtId="0" fontId="44" fillId="0" borderId="23" xfId="0" applyFont="1" applyBorder="1" applyAlignment="1">
      <alignment horizontal="center" vertical="center"/>
    </xf>
    <xf numFmtId="0" fontId="44" fillId="0" borderId="33" xfId="0" applyFont="1" applyBorder="1" applyAlignment="1">
      <alignment horizontal="center" vertical="center" wrapText="1"/>
    </xf>
    <xf numFmtId="0" fontId="44" fillId="0" borderId="23" xfId="0" applyFont="1" applyBorder="1" applyAlignment="1">
      <alignment horizontal="center" vertical="center" wrapText="1"/>
    </xf>
    <xf numFmtId="4" fontId="44" fillId="0" borderId="9" xfId="0" applyNumberFormat="1" applyFont="1" applyBorder="1" applyAlignment="1">
      <alignment horizontal="right" vertical="center"/>
    </xf>
    <xf numFmtId="4" fontId="44" fillId="0" borderId="7" xfId="0" applyNumberFormat="1" applyFont="1" applyBorder="1" applyAlignment="1">
      <alignment horizontal="right" vertical="center"/>
    </xf>
    <xf numFmtId="4" fontId="44" fillId="0" borderId="9" xfId="506" applyNumberFormat="1" applyFont="1" applyBorder="1" applyAlignment="1">
      <alignment horizontal="right" vertical="center"/>
    </xf>
    <xf numFmtId="4" fontId="44" fillId="0" borderId="73" xfId="506" applyNumberFormat="1" applyFont="1" applyBorder="1" applyAlignment="1">
      <alignment horizontal="right" vertical="center"/>
    </xf>
    <xf numFmtId="4" fontId="44" fillId="0" borderId="77" xfId="506" applyNumberFormat="1" applyFont="1" applyBorder="1" applyAlignment="1">
      <alignment horizontal="right" vertical="center"/>
    </xf>
    <xf numFmtId="4" fontId="44" fillId="0" borderId="78" xfId="506" applyNumberFormat="1" applyFont="1" applyBorder="1" applyAlignment="1">
      <alignment horizontal="right" vertical="center"/>
    </xf>
    <xf numFmtId="4" fontId="44" fillId="0" borderId="126" xfId="506" applyNumberFormat="1" applyFont="1" applyBorder="1" applyAlignment="1">
      <alignment horizontal="right" vertical="center"/>
    </xf>
    <xf numFmtId="4" fontId="44" fillId="0" borderId="7" xfId="506" applyNumberFormat="1" applyFont="1" applyBorder="1" applyAlignment="1">
      <alignment horizontal="right" vertical="center"/>
    </xf>
    <xf numFmtId="0" fontId="44" fillId="0" borderId="51" xfId="506" applyFont="1" applyBorder="1" applyAlignment="1">
      <alignment horizontal="center" vertical="center"/>
    </xf>
    <xf numFmtId="0" fontId="44" fillId="0" borderId="47" xfId="506" applyFont="1" applyBorder="1" applyAlignment="1">
      <alignment horizontal="left" vertical="top" wrapText="1"/>
    </xf>
    <xf numFmtId="0" fontId="44" fillId="0" borderId="43" xfId="506" applyFont="1" applyBorder="1" applyAlignment="1">
      <alignment horizontal="left" vertical="top" wrapText="1"/>
    </xf>
    <xf numFmtId="0" fontId="44" fillId="0" borderId="0" xfId="506" applyFont="1" applyAlignment="1">
      <alignment horizontal="left" vertical="center" wrapText="1"/>
    </xf>
    <xf numFmtId="0" fontId="93" fillId="32" borderId="57" xfId="506" applyFont="1" applyFill="1" applyBorder="1" applyAlignment="1">
      <alignment horizontal="center" vertical="center"/>
    </xf>
    <xf numFmtId="0" fontId="93" fillId="32" borderId="59" xfId="506" applyFont="1" applyFill="1" applyBorder="1" applyAlignment="1">
      <alignment horizontal="center" vertical="center"/>
    </xf>
    <xf numFmtId="0" fontId="93" fillId="0" borderId="0" xfId="506" applyFont="1" applyAlignment="1">
      <alignment horizontal="center" vertical="center"/>
    </xf>
    <xf numFmtId="4" fontId="93" fillId="32" borderId="30" xfId="506" applyNumberFormat="1" applyFont="1" applyFill="1" applyBorder="1" applyAlignment="1">
      <alignment horizontal="center" vertical="center"/>
    </xf>
    <xf numFmtId="4" fontId="93" fillId="32" borderId="31" xfId="506" applyNumberFormat="1" applyFont="1" applyFill="1" applyBorder="1" applyAlignment="1">
      <alignment horizontal="center" vertical="center"/>
    </xf>
    <xf numFmtId="0" fontId="44" fillId="0" borderId="49" xfId="506" applyFont="1" applyBorder="1" applyAlignment="1">
      <alignment horizontal="center" vertical="center"/>
    </xf>
    <xf numFmtId="0" fontId="44" fillId="0" borderId="50" xfId="506" applyFont="1" applyBorder="1" applyAlignment="1">
      <alignment horizontal="center" vertical="center"/>
    </xf>
    <xf numFmtId="0" fontId="93" fillId="0" borderId="57" xfId="506" applyFont="1" applyBorder="1" applyAlignment="1">
      <alignment horizontal="center" vertical="center"/>
    </xf>
    <xf numFmtId="0" fontId="93" fillId="0" borderId="44" xfId="506" applyFont="1" applyBorder="1" applyAlignment="1">
      <alignment horizontal="center" vertical="center"/>
    </xf>
    <xf numFmtId="0" fontId="93" fillId="0" borderId="64" xfId="506" applyFont="1" applyBorder="1" applyAlignment="1">
      <alignment horizontal="center" vertical="center" wrapText="1"/>
    </xf>
    <xf numFmtId="0" fontId="93" fillId="0" borderId="55" xfId="506" applyFont="1" applyBorder="1" applyAlignment="1">
      <alignment horizontal="center" vertical="center" wrapText="1"/>
    </xf>
    <xf numFmtId="0" fontId="93" fillId="0" borderId="59" xfId="506" applyFont="1" applyBorder="1" applyAlignment="1">
      <alignment horizontal="center" vertical="center"/>
    </xf>
    <xf numFmtId="0" fontId="93" fillId="0" borderId="64" xfId="506" applyFont="1" applyBorder="1" applyAlignment="1">
      <alignment horizontal="center" vertical="center"/>
    </xf>
    <xf numFmtId="0" fontId="93" fillId="0" borderId="65" xfId="506" applyFont="1" applyBorder="1" applyAlignment="1">
      <alignment horizontal="center" vertical="center"/>
    </xf>
    <xf numFmtId="0" fontId="44" fillId="0" borderId="48" xfId="506" applyFont="1" applyBorder="1" applyAlignment="1">
      <alignment horizontal="center" vertical="center"/>
    </xf>
    <xf numFmtId="0" fontId="44" fillId="0" borderId="95" xfId="506" applyFont="1" applyBorder="1" applyAlignment="1">
      <alignment horizontal="center" vertical="center"/>
    </xf>
    <xf numFmtId="0" fontId="44" fillId="0" borderId="124" xfId="506" applyFont="1" applyBorder="1" applyAlignment="1">
      <alignment horizontal="center" vertical="top" wrapText="1"/>
    </xf>
    <xf numFmtId="0" fontId="44" fillId="0" borderId="125" xfId="506" applyFont="1" applyBorder="1" applyAlignment="1">
      <alignment horizontal="center" vertical="top" wrapText="1"/>
    </xf>
    <xf numFmtId="0" fontId="44" fillId="0" borderId="91" xfId="506" applyFont="1" applyBorder="1" applyAlignment="1">
      <alignment horizontal="center" vertical="center"/>
    </xf>
    <xf numFmtId="2" fontId="44" fillId="0" borderId="77" xfId="0" applyNumberFormat="1" applyFont="1" applyBorder="1" applyAlignment="1">
      <alignment horizontal="right" vertical="center"/>
    </xf>
    <xf numFmtId="2" fontId="44" fillId="0" borderId="78" xfId="0" applyNumberFormat="1" applyFont="1" applyBorder="1" applyAlignment="1">
      <alignment horizontal="right" vertical="center"/>
    </xf>
    <xf numFmtId="0" fontId="44" fillId="0" borderId="0" xfId="506" applyFont="1" applyAlignment="1">
      <alignment horizontal="left" vertical="top" wrapText="1"/>
    </xf>
    <xf numFmtId="0" fontId="44" fillId="0" borderId="70" xfId="506" applyFont="1" applyBorder="1" applyAlignment="1">
      <alignment horizontal="center" vertical="top" wrapText="1"/>
    </xf>
    <xf numFmtId="0" fontId="44" fillId="0" borderId="0" xfId="506" applyFont="1" applyAlignment="1">
      <alignment horizontal="center" vertical="center" wrapText="1"/>
    </xf>
    <xf numFmtId="0" fontId="44" fillId="0" borderId="28" xfId="506" applyFont="1" applyBorder="1" applyAlignment="1">
      <alignment horizontal="center" vertical="center"/>
    </xf>
    <xf numFmtId="0" fontId="44" fillId="0" borderId="29" xfId="506" applyFont="1" applyBorder="1" applyAlignment="1">
      <alignment horizontal="center" vertical="center"/>
    </xf>
    <xf numFmtId="0" fontId="44" fillId="0" borderId="39" xfId="506" applyFont="1" applyBorder="1" applyAlignment="1">
      <alignment horizontal="center" vertical="center"/>
    </xf>
    <xf numFmtId="0" fontId="152" fillId="34" borderId="0" xfId="506" applyFont="1" applyFill="1" applyAlignment="1">
      <alignment horizontal="center" vertical="top"/>
    </xf>
    <xf numFmtId="0" fontId="156" fillId="34" borderId="0" xfId="533" applyFont="1" applyFill="1" applyAlignment="1">
      <alignment horizontal="left" vertical="center"/>
    </xf>
    <xf numFmtId="0" fontId="183" fillId="0" borderId="0" xfId="533" applyFont="1" applyAlignment="1">
      <alignment horizontal="center" vertical="center" wrapText="1"/>
    </xf>
    <xf numFmtId="0" fontId="288" fillId="34" borderId="0" xfId="533" applyFont="1" applyFill="1" applyAlignment="1">
      <alignment horizontal="center" wrapText="1"/>
    </xf>
    <xf numFmtId="0" fontId="101" fillId="34" borderId="33" xfId="533" applyFont="1" applyFill="1" applyBorder="1" applyAlignment="1">
      <alignment horizontal="center" vertical="center" wrapText="1"/>
    </xf>
    <xf numFmtId="0" fontId="101" fillId="34" borderId="23" xfId="533" applyFont="1" applyFill="1" applyBorder="1" applyAlignment="1">
      <alignment horizontal="center" vertical="center" wrapText="1"/>
    </xf>
    <xf numFmtId="0" fontId="136" fillId="34" borderId="6" xfId="533" applyFont="1" applyFill="1" applyBorder="1" applyAlignment="1">
      <alignment horizontal="center" vertical="center" wrapText="1"/>
    </xf>
    <xf numFmtId="0" fontId="156" fillId="34" borderId="0" xfId="533" applyFont="1" applyFill="1" applyAlignment="1">
      <alignment horizontal="center"/>
    </xf>
    <xf numFmtId="2" fontId="151" fillId="0" borderId="1" xfId="506" applyNumberFormat="1" applyFont="1" applyBorder="1" applyAlignment="1" applyProtection="1">
      <alignment horizontal="center" vertical="center" wrapText="1"/>
      <protection hidden="1"/>
    </xf>
    <xf numFmtId="2" fontId="158" fillId="31" borderId="1" xfId="506" applyNumberFormat="1" applyFont="1" applyFill="1" applyBorder="1" applyAlignment="1" applyProtection="1">
      <alignment horizontal="center" vertical="center" wrapText="1"/>
      <protection hidden="1"/>
    </xf>
    <xf numFmtId="0" fontId="164" fillId="0" borderId="5" xfId="506" applyFont="1" applyBorder="1" applyAlignment="1" applyProtection="1">
      <alignment horizontal="center" vertical="center" wrapText="1"/>
      <protection locked="0"/>
    </xf>
    <xf numFmtId="0" fontId="151" fillId="0" borderId="1" xfId="506" applyFont="1" applyBorder="1" applyAlignment="1" applyProtection="1">
      <alignment horizontal="center" vertical="center" wrapText="1"/>
      <protection hidden="1"/>
    </xf>
    <xf numFmtId="0" fontId="44" fillId="0" borderId="1" xfId="506" applyFont="1" applyBorder="1" applyAlignment="1" applyProtection="1">
      <alignment horizontal="center" vertical="center" wrapText="1"/>
      <protection hidden="1"/>
    </xf>
    <xf numFmtId="0" fontId="151" fillId="0" borderId="97" xfId="506" applyFont="1" applyBorder="1" applyAlignment="1" applyProtection="1">
      <alignment horizontal="center" vertical="center" wrapText="1"/>
      <protection hidden="1"/>
    </xf>
    <xf numFmtId="0" fontId="151" fillId="0" borderId="78" xfId="506" applyFont="1" applyBorder="1" applyAlignment="1" applyProtection="1">
      <alignment horizontal="center" vertical="center" wrapText="1"/>
      <protection hidden="1"/>
    </xf>
    <xf numFmtId="2" fontId="151" fillId="75" borderId="10" xfId="506" applyNumberFormat="1" applyFont="1" applyFill="1" applyBorder="1" applyAlignment="1" applyProtection="1">
      <alignment horizontal="center" vertical="center" wrapText="1"/>
      <protection hidden="1"/>
    </xf>
    <xf numFmtId="2" fontId="151" fillId="75" borderId="69" xfId="506" applyNumberFormat="1" applyFont="1" applyFill="1" applyBorder="1" applyAlignment="1" applyProtection="1">
      <alignment horizontal="center" vertical="center" wrapText="1"/>
      <protection hidden="1"/>
    </xf>
    <xf numFmtId="0" fontId="164" fillId="0" borderId="0" xfId="506" applyFont="1" applyAlignment="1" applyProtection="1">
      <alignment horizontal="center" vertical="center" wrapText="1"/>
      <protection locked="0"/>
    </xf>
    <xf numFmtId="0" fontId="164" fillId="3" borderId="0" xfId="506" applyFont="1" applyFill="1" applyAlignment="1" applyProtection="1">
      <alignment horizontal="left" vertical="center" wrapText="1"/>
      <protection locked="0"/>
    </xf>
    <xf numFmtId="0" fontId="164" fillId="0" borderId="0" xfId="506" applyFont="1" applyAlignment="1" applyProtection="1">
      <alignment horizontal="left" vertical="center" wrapText="1"/>
      <protection locked="0"/>
    </xf>
    <xf numFmtId="2" fontId="152" fillId="3" borderId="5" xfId="506" applyNumberFormat="1" applyFont="1" applyFill="1" applyBorder="1" applyAlignment="1" applyProtection="1">
      <alignment horizontal="center" vertical="center" wrapText="1"/>
      <protection hidden="1"/>
    </xf>
    <xf numFmtId="0" fontId="152" fillId="0" borderId="77" xfId="506" applyFont="1" applyBorder="1" applyAlignment="1">
      <alignment horizontal="center" vertical="top"/>
    </xf>
    <xf numFmtId="0" fontId="44" fillId="0" borderId="79" xfId="506" applyFont="1" applyBorder="1" applyAlignment="1" applyProtection="1">
      <alignment horizontal="center" vertical="center" textRotation="90" wrapText="1"/>
      <protection hidden="1"/>
    </xf>
    <xf numFmtId="0" fontId="44" fillId="0" borderId="3" xfId="506" applyFont="1" applyBorder="1" applyAlignment="1" applyProtection="1">
      <alignment horizontal="center" vertical="center" textRotation="90" wrapText="1"/>
      <protection hidden="1"/>
    </xf>
    <xf numFmtId="2" fontId="44" fillId="0" borderId="1" xfId="506" applyNumberFormat="1" applyFont="1" applyBorder="1" applyAlignment="1" applyProtection="1">
      <alignment horizontal="center" vertical="center" wrapText="1"/>
      <protection hidden="1"/>
    </xf>
    <xf numFmtId="2" fontId="93" fillId="0" borderId="1" xfId="506" applyNumberFormat="1" applyFont="1" applyBorder="1" applyAlignment="1" applyProtection="1">
      <alignment horizontal="center" vertical="center" textRotation="90" wrapText="1"/>
      <protection hidden="1"/>
    </xf>
    <xf numFmtId="0" fontId="44" fillId="0" borderId="0" xfId="546" applyFont="1" applyAlignment="1">
      <alignment horizontal="center" vertical="center" wrapText="1"/>
    </xf>
    <xf numFmtId="0" fontId="44" fillId="3" borderId="0" xfId="546" applyFont="1" applyFill="1" applyAlignment="1">
      <alignment horizontal="center" vertical="center" wrapText="1"/>
    </xf>
    <xf numFmtId="0" fontId="93" fillId="0" borderId="0" xfId="546" applyFont="1" applyAlignment="1">
      <alignment horizontal="center" vertical="center" wrapText="1"/>
    </xf>
    <xf numFmtId="0" fontId="93" fillId="3" borderId="0" xfId="546" applyFont="1" applyFill="1" applyAlignment="1">
      <alignment horizontal="center" vertical="center" wrapText="1"/>
    </xf>
    <xf numFmtId="0" fontId="101" fillId="0" borderId="33" xfId="551" applyFont="1" applyBorder="1" applyAlignment="1">
      <alignment horizontal="center" vertical="center"/>
    </xf>
    <xf numFmtId="0" fontId="101" fillId="0" borderId="23" xfId="551" applyFont="1" applyBorder="1" applyAlignment="1">
      <alignment horizontal="center" vertical="center"/>
    </xf>
    <xf numFmtId="0" fontId="44" fillId="0" borderId="58" xfId="551" applyFont="1" applyBorder="1" applyAlignment="1">
      <alignment horizontal="center" vertical="center"/>
    </xf>
    <xf numFmtId="0" fontId="43" fillId="0" borderId="48" xfId="551" applyFont="1" applyBorder="1" applyAlignment="1">
      <alignment horizontal="center" vertical="center"/>
    </xf>
    <xf numFmtId="0" fontId="43" fillId="0" borderId="95" xfId="551" applyFont="1" applyBorder="1" applyAlignment="1">
      <alignment horizontal="center" vertical="center"/>
    </xf>
    <xf numFmtId="0" fontId="43" fillId="0" borderId="49" xfId="551" applyFont="1" applyBorder="1" applyAlignment="1">
      <alignment horizontal="center" vertical="center"/>
    </xf>
    <xf numFmtId="0" fontId="43" fillId="0" borderId="94" xfId="551" applyFont="1" applyBorder="1" applyAlignment="1">
      <alignment vertical="center"/>
    </xf>
    <xf numFmtId="4" fontId="44" fillId="0" borderId="8" xfId="551" applyNumberFormat="1" applyFont="1" applyBorder="1" applyAlignment="1">
      <alignment horizontal="right" vertical="center"/>
    </xf>
    <xf numFmtId="4" fontId="44" fillId="0" borderId="7" xfId="551" applyNumberFormat="1" applyFont="1" applyBorder="1" applyAlignment="1">
      <alignment horizontal="right" vertical="center"/>
    </xf>
    <xf numFmtId="0" fontId="95" fillId="0" borderId="0" xfId="551" applyFont="1" applyAlignment="1">
      <alignment horizontal="center" wrapText="1"/>
    </xf>
    <xf numFmtId="0" fontId="44" fillId="0" borderId="64" xfId="551" applyFont="1" applyBorder="1" applyAlignment="1">
      <alignment horizontal="center" vertical="center"/>
    </xf>
    <xf numFmtId="0" fontId="43" fillId="34" borderId="51" xfId="551" applyFont="1" applyFill="1" applyBorder="1" applyAlignment="1">
      <alignment horizontal="center" vertical="center"/>
    </xf>
    <xf numFmtId="0" fontId="43" fillId="34" borderId="42" xfId="551" applyFont="1" applyFill="1" applyBorder="1" applyAlignment="1">
      <alignment horizontal="center" vertical="center"/>
    </xf>
    <xf numFmtId="0" fontId="43" fillId="34" borderId="4" xfId="551" applyFont="1" applyFill="1" applyBorder="1" applyAlignment="1">
      <alignment horizontal="center" vertical="center" wrapText="1"/>
    </xf>
    <xf numFmtId="0" fontId="43" fillId="34" borderId="3" xfId="551" applyFont="1" applyFill="1" applyBorder="1" applyAlignment="1">
      <alignment horizontal="center" vertical="center" wrapText="1"/>
    </xf>
    <xf numFmtId="0" fontId="43" fillId="34" borderId="41" xfId="551" applyFont="1" applyFill="1" applyBorder="1" applyAlignment="1">
      <alignment horizontal="center" vertical="center"/>
    </xf>
    <xf numFmtId="4" fontId="44" fillId="0" borderId="9" xfId="551" applyNumberFormat="1" applyFont="1" applyBorder="1" applyAlignment="1">
      <alignment horizontal="right" vertical="center"/>
    </xf>
    <xf numFmtId="0" fontId="43" fillId="0" borderId="41" xfId="551" applyFont="1" applyBorder="1" applyAlignment="1">
      <alignment horizontal="center" vertical="center"/>
    </xf>
    <xf numFmtId="0" fontId="43" fillId="0" borderId="42" xfId="551" applyFont="1" applyBorder="1" applyAlignment="1">
      <alignment horizontal="center" vertical="center"/>
    </xf>
    <xf numFmtId="4" fontId="93" fillId="63" borderId="55" xfId="551" applyNumberFormat="1" applyFont="1" applyFill="1" applyBorder="1" applyAlignment="1">
      <alignment horizontal="right" vertical="center"/>
    </xf>
    <xf numFmtId="4" fontId="93" fillId="63" borderId="54" xfId="551" applyNumberFormat="1" applyFont="1" applyFill="1" applyBorder="1" applyAlignment="1">
      <alignment horizontal="right" vertical="center"/>
    </xf>
    <xf numFmtId="4" fontId="93" fillId="63" borderId="80" xfId="551" applyNumberFormat="1" applyFont="1" applyFill="1" applyBorder="1" applyAlignment="1">
      <alignment horizontal="right" vertical="center"/>
    </xf>
    <xf numFmtId="0" fontId="52" fillId="0" borderId="58" xfId="552" applyFont="1" applyBorder="1" applyAlignment="1">
      <alignment horizontal="center" vertical="center"/>
    </xf>
    <xf numFmtId="0" fontId="52" fillId="0" borderId="64" xfId="552" applyFont="1" applyBorder="1" applyAlignment="1">
      <alignment horizontal="center" vertical="center"/>
    </xf>
    <xf numFmtId="0" fontId="163" fillId="62" borderId="0" xfId="552" applyFont="1" applyFill="1" applyAlignment="1">
      <alignment horizontal="center" wrapText="1"/>
    </xf>
    <xf numFmtId="0" fontId="99" fillId="62" borderId="66" xfId="552" applyFont="1" applyFill="1" applyBorder="1" applyAlignment="1">
      <alignment horizontal="center" vertical="center"/>
    </xf>
    <xf numFmtId="0" fontId="99" fillId="62" borderId="68" xfId="552" applyFont="1" applyFill="1" applyBorder="1" applyAlignment="1">
      <alignment horizontal="center" vertical="center"/>
    </xf>
    <xf numFmtId="0" fontId="99" fillId="62" borderId="65" xfId="552" applyFont="1" applyFill="1" applyBorder="1"/>
    <xf numFmtId="0" fontId="99" fillId="62" borderId="54" xfId="552" applyFont="1" applyFill="1" applyBorder="1"/>
    <xf numFmtId="0" fontId="182" fillId="62" borderId="0" xfId="552" applyFont="1" applyFill="1" applyAlignment="1">
      <alignment horizontal="center" wrapText="1"/>
    </xf>
    <xf numFmtId="4" fontId="52" fillId="0" borderId="61" xfId="552" applyNumberFormat="1" applyFont="1" applyBorder="1" applyAlignment="1">
      <alignment horizontal="center" vertical="center"/>
    </xf>
    <xf numFmtId="4" fontId="52" fillId="0" borderId="98" xfId="552" applyNumberFormat="1" applyFont="1" applyBorder="1" applyAlignment="1">
      <alignment horizontal="center" vertical="center"/>
    </xf>
    <xf numFmtId="0" fontId="110" fillId="62" borderId="48" xfId="0" applyFont="1" applyFill="1" applyBorder="1" applyAlignment="1">
      <alignment horizontal="center" vertical="center" wrapText="1"/>
    </xf>
    <xf numFmtId="0" fontId="110" fillId="62" borderId="95" xfId="0" applyFont="1" applyFill="1" applyBorder="1" applyAlignment="1">
      <alignment horizontal="center" vertical="center" wrapText="1"/>
    </xf>
    <xf numFmtId="0" fontId="110" fillId="62" borderId="58" xfId="0" applyFont="1" applyFill="1" applyBorder="1" applyAlignment="1">
      <alignment horizontal="center" vertical="center"/>
    </xf>
    <xf numFmtId="0" fontId="110" fillId="62" borderId="45" xfId="0" applyFont="1" applyFill="1" applyBorder="1" applyAlignment="1">
      <alignment horizontal="center" vertical="center"/>
    </xf>
    <xf numFmtId="0" fontId="93" fillId="0" borderId="58" xfId="0" applyFont="1" applyBorder="1" applyAlignment="1">
      <alignment horizontal="center" vertical="center"/>
    </xf>
    <xf numFmtId="0" fontId="93" fillId="0" borderId="64" xfId="0" applyFont="1" applyBorder="1" applyAlignment="1">
      <alignment horizontal="center" vertical="center"/>
    </xf>
    <xf numFmtId="0" fontId="52" fillId="0" borderId="0" xfId="0" applyFont="1" applyAlignment="1">
      <alignment horizontal="center" vertical="center"/>
    </xf>
    <xf numFmtId="0" fontId="152" fillId="0" borderId="48" xfId="552" applyFont="1" applyBorder="1" applyAlignment="1">
      <alignment horizontal="center" wrapText="1"/>
    </xf>
    <xf numFmtId="0" fontId="152" fillId="0" borderId="42" xfId="552" applyFont="1" applyBorder="1" applyAlignment="1">
      <alignment horizontal="center" wrapText="1"/>
    </xf>
    <xf numFmtId="0" fontId="152" fillId="0" borderId="64" xfId="552" applyFont="1" applyBorder="1" applyAlignment="1">
      <alignment horizontal="center"/>
    </xf>
    <xf numFmtId="0" fontId="152" fillId="0" borderId="93" xfId="552" applyFont="1" applyBorder="1" applyAlignment="1">
      <alignment horizontal="center"/>
    </xf>
    <xf numFmtId="0" fontId="152" fillId="0" borderId="65" xfId="552" applyFont="1" applyBorder="1" applyAlignment="1">
      <alignment horizontal="center"/>
    </xf>
    <xf numFmtId="0" fontId="152" fillId="0" borderId="49" xfId="552" applyFont="1" applyBorder="1" applyAlignment="1">
      <alignment horizontal="center" vertical="center" textRotation="90" wrapText="1"/>
    </xf>
    <xf numFmtId="0" fontId="152" fillId="0" borderId="3" xfId="552" applyFont="1" applyBorder="1" applyAlignment="1">
      <alignment horizontal="center" vertical="center" textRotation="90" wrapText="1"/>
    </xf>
    <xf numFmtId="0" fontId="152" fillId="0" borderId="49" xfId="552" applyFont="1" applyBorder="1" applyAlignment="1">
      <alignment horizontal="center" wrapText="1"/>
    </xf>
    <xf numFmtId="0" fontId="152" fillId="0" borderId="3" xfId="552" applyFont="1" applyBorder="1" applyAlignment="1">
      <alignment horizontal="center" wrapText="1"/>
    </xf>
    <xf numFmtId="0" fontId="152" fillId="0" borderId="8" xfId="552" applyFont="1" applyBorder="1" applyAlignment="1">
      <alignment horizontal="center"/>
    </xf>
    <xf numFmtId="0" fontId="152" fillId="0" borderId="9" xfId="552" applyFont="1" applyBorder="1" applyAlignment="1">
      <alignment horizontal="center"/>
    </xf>
    <xf numFmtId="0" fontId="152" fillId="0" borderId="7" xfId="552" applyFont="1" applyBorder="1" applyAlignment="1">
      <alignment horizontal="center"/>
    </xf>
    <xf numFmtId="0" fontId="152" fillId="0" borderId="50" xfId="552" applyFont="1" applyBorder="1" applyAlignment="1">
      <alignment horizontal="center" vertical="center" wrapText="1"/>
    </xf>
    <xf numFmtId="0" fontId="152" fillId="0" borderId="10" xfId="552" applyFont="1" applyBorder="1" applyAlignment="1">
      <alignment horizontal="center" vertical="center" wrapText="1"/>
    </xf>
    <xf numFmtId="0" fontId="164" fillId="0" borderId="33" xfId="552" applyFont="1" applyBorder="1" applyAlignment="1">
      <alignment horizontal="center" vertical="center" wrapText="1"/>
    </xf>
    <xf numFmtId="0" fontId="164" fillId="0" borderId="89" xfId="552" applyFont="1" applyBorder="1" applyAlignment="1">
      <alignment horizontal="center" vertical="center" wrapText="1"/>
    </xf>
    <xf numFmtId="0" fontId="164" fillId="0" borderId="8" xfId="552" applyFont="1" applyBorder="1" applyAlignment="1">
      <alignment horizontal="center"/>
    </xf>
    <xf numFmtId="0" fontId="164" fillId="0" borderId="9" xfId="552" applyFont="1" applyBorder="1" applyAlignment="1">
      <alignment horizontal="center"/>
    </xf>
    <xf numFmtId="0" fontId="164" fillId="0" borderId="7" xfId="552" applyFont="1" applyBorder="1" applyAlignment="1">
      <alignment horizontal="center"/>
    </xf>
    <xf numFmtId="0" fontId="152" fillId="0" borderId="50" xfId="552" applyFont="1" applyBorder="1" applyAlignment="1">
      <alignment horizontal="center" wrapText="1"/>
    </xf>
    <xf numFmtId="0" fontId="152" fillId="0" borderId="10" xfId="552" applyFont="1" applyBorder="1" applyAlignment="1">
      <alignment horizontal="center" wrapText="1"/>
    </xf>
    <xf numFmtId="0" fontId="152" fillId="0" borderId="58" xfId="552" applyFont="1" applyBorder="1" applyAlignment="1">
      <alignment horizontal="center" wrapText="1"/>
    </xf>
    <xf numFmtId="0" fontId="152" fillId="0" borderId="1" xfId="552" applyFont="1" applyBorder="1" applyAlignment="1">
      <alignment horizontal="center" wrapText="1"/>
    </xf>
    <xf numFmtId="0" fontId="152" fillId="0" borderId="77" xfId="552" applyFont="1" applyBorder="1" applyAlignment="1">
      <alignment horizontal="center"/>
    </xf>
    <xf numFmtId="0" fontId="152" fillId="0" borderId="0" xfId="552" applyFont="1" applyAlignment="1">
      <alignment horizontal="left"/>
    </xf>
    <xf numFmtId="0" fontId="226" fillId="0" borderId="28" xfId="0" applyFont="1" applyBorder="1" applyAlignment="1">
      <alignment horizontal="center"/>
    </xf>
    <xf numFmtId="0" fontId="226" fillId="0" borderId="0" xfId="0" applyFont="1" applyAlignment="1">
      <alignment horizontal="center"/>
    </xf>
    <xf numFmtId="0" fontId="226" fillId="0" borderId="24" xfId="0" applyFont="1" applyBorder="1" applyAlignment="1">
      <alignment horizontal="center"/>
    </xf>
    <xf numFmtId="0" fontId="152" fillId="0" borderId="1" xfId="552" applyFont="1" applyBorder="1" applyAlignment="1">
      <alignment horizontal="center"/>
    </xf>
    <xf numFmtId="0" fontId="164" fillId="0" borderId="45" xfId="552" applyFont="1" applyBorder="1" applyAlignment="1">
      <alignment horizontal="center"/>
    </xf>
    <xf numFmtId="0" fontId="152" fillId="0" borderId="3" xfId="552" applyFont="1" applyBorder="1" applyAlignment="1">
      <alignment horizontal="center"/>
    </xf>
    <xf numFmtId="0" fontId="51" fillId="0" borderId="0" xfId="0" quotePrefix="1" applyFont="1" applyAlignment="1">
      <alignment vertical="top" wrapText="1"/>
    </xf>
    <xf numFmtId="0" fontId="51" fillId="0" borderId="0" xfId="0" applyFont="1" applyAlignment="1">
      <alignment vertical="top" wrapText="1"/>
    </xf>
    <xf numFmtId="0" fontId="136" fillId="0" borderId="0" xfId="0" applyFont="1" applyAlignment="1">
      <alignment vertical="top" wrapText="1"/>
    </xf>
    <xf numFmtId="0" fontId="93" fillId="0" borderId="0" xfId="0" applyFont="1" applyAlignment="1">
      <alignment wrapText="1"/>
    </xf>
    <xf numFmtId="49" fontId="136" fillId="0" borderId="33" xfId="0" applyNumberFormat="1" applyFont="1" applyBorder="1" applyAlignment="1">
      <alignment horizontal="center" vertical="center" wrapText="1"/>
    </xf>
    <xf numFmtId="49" fontId="136" fillId="0" borderId="32" xfId="0" applyNumberFormat="1" applyFont="1" applyBorder="1" applyAlignment="1">
      <alignment horizontal="center" vertical="center" wrapText="1"/>
    </xf>
    <xf numFmtId="49" fontId="136" fillId="0" borderId="23" xfId="0" applyNumberFormat="1" applyFont="1" applyBorder="1" applyAlignment="1">
      <alignment horizontal="center" vertical="center" wrapText="1"/>
    </xf>
    <xf numFmtId="0" fontId="136" fillId="0" borderId="33" xfId="0" applyFont="1" applyBorder="1" applyAlignment="1">
      <alignment horizontal="center" vertical="center" wrapText="1"/>
    </xf>
    <xf numFmtId="0" fontId="136" fillId="0" borderId="32" xfId="0" applyFont="1" applyBorder="1" applyAlignment="1">
      <alignment horizontal="center" vertical="center" wrapText="1"/>
    </xf>
    <xf numFmtId="0" fontId="136" fillId="0" borderId="23" xfId="0" applyFont="1" applyBorder="1" applyAlignment="1">
      <alignment horizontal="center" vertical="center" wrapText="1"/>
    </xf>
    <xf numFmtId="0" fontId="136" fillId="0" borderId="34" xfId="0" applyFont="1" applyBorder="1" applyAlignment="1">
      <alignment horizontal="center" vertical="center" wrapText="1"/>
    </xf>
    <xf numFmtId="0" fontId="136" fillId="0" borderId="0" xfId="0" applyFont="1" applyAlignment="1">
      <alignment horizontal="center" vertical="center" wrapText="1"/>
    </xf>
    <xf numFmtId="0" fontId="136" fillId="0" borderId="35" xfId="0" applyFont="1" applyBorder="1" applyAlignment="1">
      <alignment horizontal="center" vertical="center" wrapText="1"/>
    </xf>
    <xf numFmtId="0" fontId="136" fillId="0" borderId="26" xfId="0" applyFont="1" applyBorder="1" applyAlignment="1">
      <alignment horizontal="center" vertical="center" wrapText="1"/>
    </xf>
    <xf numFmtId="0" fontId="136" fillId="0" borderId="28" xfId="0" applyFont="1" applyBorder="1" applyAlignment="1">
      <alignment horizontal="center" vertical="center" wrapText="1"/>
    </xf>
    <xf numFmtId="0" fontId="136" fillId="0" borderId="29" xfId="0" applyFont="1" applyBorder="1" applyAlignment="1">
      <alignment horizontal="center" vertical="center" wrapText="1"/>
    </xf>
    <xf numFmtId="0" fontId="136" fillId="0" borderId="27" xfId="0" applyFont="1" applyBorder="1" applyAlignment="1">
      <alignment horizontal="center" vertical="center" wrapText="1"/>
    </xf>
    <xf numFmtId="0" fontId="136" fillId="0" borderId="24" xfId="0" applyFont="1" applyBorder="1" applyAlignment="1">
      <alignment horizontal="center" vertical="center" wrapText="1"/>
    </xf>
    <xf numFmtId="0" fontId="136" fillId="0" borderId="56" xfId="0" applyFont="1" applyBorder="1" applyAlignment="1">
      <alignment horizontal="center" vertical="center" wrapText="1"/>
    </xf>
    <xf numFmtId="0" fontId="93" fillId="0" borderId="33" xfId="0" applyFont="1" applyBorder="1" applyAlignment="1">
      <alignment horizontal="center" vertical="center" wrapText="1"/>
    </xf>
    <xf numFmtId="0" fontId="93" fillId="0" borderId="32" xfId="0" applyFont="1" applyBorder="1" applyAlignment="1">
      <alignment horizontal="center" vertical="center" wrapText="1"/>
    </xf>
    <xf numFmtId="0" fontId="93" fillId="0" borderId="23" xfId="0" applyFont="1" applyBorder="1" applyAlignment="1">
      <alignment horizontal="center" vertical="center" wrapText="1"/>
    </xf>
    <xf numFmtId="0" fontId="234" fillId="0" borderId="0" xfId="0" applyFont="1" applyAlignment="1">
      <alignment horizontal="left" wrapText="1"/>
    </xf>
    <xf numFmtId="0" fontId="0" fillId="0" borderId="79"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4" fillId="0" borderId="0" xfId="0" applyFont="1" applyAlignment="1">
      <alignment horizontal="center" wrapText="1"/>
    </xf>
    <xf numFmtId="0" fontId="44" fillId="0" borderId="79"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8" xfId="0" applyFont="1" applyBorder="1" applyAlignment="1">
      <alignment horizontal="center" wrapText="1"/>
    </xf>
    <xf numFmtId="0" fontId="44" fillId="0" borderId="7" xfId="0" applyFont="1" applyBorder="1" applyAlignment="1">
      <alignment horizontal="center" wrapText="1"/>
    </xf>
    <xf numFmtId="0" fontId="44" fillId="0" borderId="4"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xf>
    <xf numFmtId="0" fontId="44" fillId="0" borderId="7" xfId="0" applyFont="1" applyBorder="1" applyAlignment="1">
      <alignment horizontal="center" vertical="center"/>
    </xf>
    <xf numFmtId="0" fontId="258" fillId="0" borderId="8" xfId="0" applyFont="1" applyBorder="1" applyAlignment="1">
      <alignment horizontal="center" vertical="center" wrapText="1"/>
    </xf>
    <xf numFmtId="0" fontId="258" fillId="0" borderId="7" xfId="0" applyFont="1" applyBorder="1" applyAlignment="1">
      <alignment horizontal="center" vertical="center" wrapText="1"/>
    </xf>
    <xf numFmtId="0" fontId="259" fillId="0" borderId="8" xfId="0" applyFont="1" applyBorder="1" applyAlignment="1">
      <alignment horizontal="center" vertical="center"/>
    </xf>
    <xf numFmtId="0" fontId="259" fillId="0" borderId="7" xfId="0" applyFont="1" applyBorder="1" applyAlignment="1">
      <alignment horizontal="center" vertical="center"/>
    </xf>
    <xf numFmtId="0" fontId="93" fillId="2" borderId="0" xfId="0" applyFont="1" applyFill="1" applyAlignment="1">
      <alignment horizontal="center"/>
    </xf>
    <xf numFmtId="0" fontId="259" fillId="0" borderId="1" xfId="0" applyFont="1" applyBorder="1" applyAlignment="1">
      <alignment horizontal="center" vertical="center" wrapText="1"/>
    </xf>
    <xf numFmtId="4" fontId="101" fillId="62" borderId="1" xfId="0" applyNumberFormat="1" applyFont="1" applyFill="1" applyBorder="1" applyAlignment="1">
      <alignment horizontal="center" vertical="center" wrapText="1"/>
    </xf>
    <xf numFmtId="0" fontId="257" fillId="0" borderId="1" xfId="0" applyFont="1" applyBorder="1" applyAlignment="1">
      <alignment horizontal="center" vertical="center"/>
    </xf>
    <xf numFmtId="0" fontId="258" fillId="0" borderId="1" xfId="0" applyFont="1" applyBorder="1" applyAlignment="1">
      <alignment horizontal="center" vertical="center" wrapText="1"/>
    </xf>
    <xf numFmtId="0" fontId="258" fillId="0" borderId="8" xfId="0" applyFont="1" applyBorder="1" applyAlignment="1">
      <alignment horizontal="center" vertical="center"/>
    </xf>
    <xf numFmtId="0" fontId="258" fillId="0" borderId="7" xfId="0" applyFont="1" applyBorder="1" applyAlignment="1">
      <alignment horizontal="center" vertical="center"/>
    </xf>
    <xf numFmtId="0" fontId="42" fillId="0" borderId="8" xfId="0" applyFont="1" applyBorder="1" applyAlignment="1">
      <alignment horizontal="center" vertical="center" wrapText="1"/>
    </xf>
    <xf numFmtId="0" fontId="42" fillId="0" borderId="7" xfId="0" applyFont="1" applyBorder="1" applyAlignment="1">
      <alignment horizontal="center" vertical="center" wrapText="1"/>
    </xf>
    <xf numFmtId="0" fontId="256" fillId="0" borderId="0" xfId="0" applyFont="1" applyAlignment="1">
      <alignment horizontal="center" vertical="center" wrapText="1"/>
    </xf>
    <xf numFmtId="0" fontId="93" fillId="0" borderId="1" xfId="0" applyFont="1" applyBorder="1" applyAlignment="1">
      <alignment horizontal="center" vertical="center" wrapText="1"/>
    </xf>
    <xf numFmtId="0" fontId="257" fillId="0" borderId="8" xfId="0" applyFont="1" applyBorder="1" applyAlignment="1">
      <alignment horizontal="center" vertical="center"/>
    </xf>
    <xf numFmtId="0" fontId="257" fillId="0" borderId="7" xfId="0" applyFont="1" applyBorder="1" applyAlignment="1">
      <alignment horizontal="center" vertical="center"/>
    </xf>
    <xf numFmtId="0" fontId="44" fillId="0" borderId="0" xfId="0" applyFont="1" applyAlignment="1">
      <alignment horizontal="left" wrapText="1"/>
    </xf>
    <xf numFmtId="0" fontId="104" fillId="0" borderId="8" xfId="0" applyFont="1" applyBorder="1" applyAlignment="1">
      <alignment horizontal="center" vertical="center" wrapText="1"/>
    </xf>
    <xf numFmtId="0" fontId="104" fillId="0" borderId="9" xfId="0" applyFont="1" applyBorder="1" applyAlignment="1">
      <alignment horizontal="center" vertical="center" wrapText="1"/>
    </xf>
    <xf numFmtId="0" fontId="104" fillId="0" borderId="7" xfId="0" applyFont="1" applyBorder="1" applyAlignment="1">
      <alignment horizontal="center" vertical="center" wrapText="1"/>
    </xf>
    <xf numFmtId="0" fontId="44" fillId="0" borderId="1" xfId="0" applyFont="1" applyBorder="1" applyAlignment="1">
      <alignment horizontal="center"/>
    </xf>
    <xf numFmtId="0" fontId="44" fillId="0" borderId="1" xfId="0" applyFont="1" applyBorder="1" applyAlignment="1">
      <alignment horizontal="center" vertical="center" wrapText="1"/>
    </xf>
    <xf numFmtId="2" fontId="273" fillId="0" borderId="1" xfId="0" applyNumberFormat="1" applyFont="1" applyBorder="1" applyAlignment="1">
      <alignment horizontal="center" vertical="center" wrapText="1"/>
    </xf>
    <xf numFmtId="0" fontId="273" fillId="0" borderId="1" xfId="0" applyFont="1" applyBorder="1" applyAlignment="1">
      <alignment horizontal="center" vertical="center" wrapText="1"/>
    </xf>
    <xf numFmtId="0" fontId="44" fillId="0" borderId="97" xfId="0" applyFont="1" applyBorder="1" applyAlignment="1">
      <alignment horizontal="center" vertical="center" wrapText="1"/>
    </xf>
    <xf numFmtId="0" fontId="44" fillId="0" borderId="77" xfId="0" applyFont="1" applyBorder="1" applyAlignment="1">
      <alignment horizontal="center" vertical="center" wrapText="1"/>
    </xf>
    <xf numFmtId="0" fontId="44" fillId="0" borderId="78"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69" xfId="0" applyFont="1" applyBorder="1" applyAlignment="1">
      <alignment horizontal="center" vertical="center" wrapText="1"/>
    </xf>
    <xf numFmtId="0" fontId="43" fillId="0" borderId="8" xfId="0" applyFont="1" applyBorder="1" applyAlignment="1">
      <alignment horizontal="center" vertical="center"/>
    </xf>
    <xf numFmtId="0" fontId="43" fillId="0" borderId="9" xfId="0" applyFont="1" applyBorder="1" applyAlignment="1">
      <alignment horizontal="center" vertical="center"/>
    </xf>
    <xf numFmtId="0" fontId="43" fillId="0" borderId="7" xfId="0" applyFont="1" applyBorder="1" applyAlignment="1">
      <alignment horizontal="center" vertical="center"/>
    </xf>
    <xf numFmtId="4" fontId="275" fillId="0" borderId="8" xfId="0" applyNumberFormat="1" applyFont="1" applyBorder="1" applyAlignment="1">
      <alignment horizontal="center"/>
    </xf>
    <xf numFmtId="4" fontId="275" fillId="0" borderId="9" xfId="0" applyNumberFormat="1" applyFont="1" applyBorder="1" applyAlignment="1">
      <alignment horizontal="center"/>
    </xf>
    <xf numFmtId="4" fontId="275" fillId="0" borderId="7" xfId="0" applyNumberFormat="1" applyFont="1" applyBorder="1" applyAlignment="1">
      <alignment horizontal="center"/>
    </xf>
    <xf numFmtId="4" fontId="273" fillId="0" borderId="1" xfId="0" applyNumberFormat="1"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274" fillId="0" borderId="7" xfId="0" applyFont="1" applyBorder="1" applyAlignment="1">
      <alignment horizontal="center" vertical="center" wrapText="1"/>
    </xf>
    <xf numFmtId="0" fontId="271" fillId="0" borderId="8" xfId="0" applyFont="1" applyBorder="1" applyAlignment="1">
      <alignment horizontal="center" vertical="center" wrapText="1"/>
    </xf>
    <xf numFmtId="0" fontId="271" fillId="0" borderId="9" xfId="0" applyFont="1" applyBorder="1" applyAlignment="1">
      <alignment horizontal="center" vertical="center" wrapText="1"/>
    </xf>
    <xf numFmtId="0" fontId="271" fillId="0" borderId="7" xfId="0" applyFont="1" applyBorder="1" applyAlignment="1">
      <alignment horizontal="center" vertical="center" wrapText="1"/>
    </xf>
    <xf numFmtId="0" fontId="220" fillId="0" borderId="5" xfId="0" applyFont="1" applyBorder="1" applyAlignment="1">
      <alignment horizontal="left" wrapText="1"/>
    </xf>
    <xf numFmtId="0" fontId="133" fillId="0" borderId="79" xfId="0" applyFont="1" applyBorder="1" applyAlignment="1">
      <alignment horizontal="center" vertical="center" wrapText="1"/>
    </xf>
    <xf numFmtId="0" fontId="133" fillId="0" borderId="3" xfId="0" applyFont="1" applyBorder="1" applyAlignment="1">
      <alignment horizontal="center" vertical="center" wrapText="1"/>
    </xf>
    <xf numFmtId="4" fontId="133" fillId="0" borderId="8" xfId="0" applyNumberFormat="1" applyFont="1" applyBorder="1" applyAlignment="1">
      <alignment horizontal="center" vertical="center" wrapText="1"/>
    </xf>
    <xf numFmtId="4" fontId="133" fillId="0" borderId="9" xfId="0" applyNumberFormat="1" applyFont="1" applyBorder="1" applyAlignment="1">
      <alignment horizontal="center" vertical="center" wrapText="1"/>
    </xf>
    <xf numFmtId="4" fontId="133" fillId="0" borderId="7" xfId="0" applyNumberFormat="1" applyFont="1" applyBorder="1" applyAlignment="1">
      <alignment horizontal="center" vertical="center" wrapText="1"/>
    </xf>
    <xf numFmtId="0" fontId="242" fillId="0" borderId="10" xfId="0" applyFont="1" applyBorder="1" applyAlignment="1">
      <alignment horizontal="left" vertical="center" wrapText="1"/>
    </xf>
    <xf numFmtId="0" fontId="242" fillId="0" borderId="5" xfId="0" applyFont="1" applyBorder="1" applyAlignment="1">
      <alignment horizontal="left" vertical="center" wrapText="1"/>
    </xf>
    <xf numFmtId="0" fontId="282" fillId="0" borderId="0" xfId="0" applyFont="1" applyAlignment="1">
      <alignment horizontal="center" vertical="center" wrapText="1"/>
    </xf>
    <xf numFmtId="0" fontId="282" fillId="34" borderId="0" xfId="0" applyFont="1" applyFill="1" applyAlignment="1">
      <alignment horizontal="center" vertical="center" wrapText="1"/>
    </xf>
    <xf numFmtId="0" fontId="282" fillId="34" borderId="0" xfId="0" applyFont="1" applyFill="1" applyAlignment="1">
      <alignment horizontal="center" wrapText="1"/>
    </xf>
    <xf numFmtId="0" fontId="282" fillId="0" borderId="0" xfId="0" applyFont="1" applyAlignment="1">
      <alignment horizontal="center" wrapText="1"/>
    </xf>
    <xf numFmtId="0" fontId="42" fillId="0" borderId="4" xfId="0" applyFont="1" applyBorder="1" applyAlignment="1">
      <alignment horizontal="center" vertical="center" wrapText="1"/>
    </xf>
    <xf numFmtId="0" fontId="43" fillId="0" borderId="8" xfId="0" applyFont="1" applyBorder="1" applyAlignment="1">
      <alignment horizontal="center"/>
    </xf>
    <xf numFmtId="0" fontId="43" fillId="0" borderId="9" xfId="0" applyFont="1" applyBorder="1" applyAlignment="1">
      <alignment horizontal="center"/>
    </xf>
    <xf numFmtId="4" fontId="133" fillId="0" borderId="8" xfId="0" applyNumberFormat="1" applyFont="1" applyBorder="1" applyAlignment="1">
      <alignment horizontal="center"/>
    </xf>
    <xf numFmtId="4" fontId="133" fillId="0" borderId="7" xfId="0" applyNumberFormat="1" applyFont="1" applyBorder="1" applyAlignment="1">
      <alignment horizontal="center"/>
    </xf>
    <xf numFmtId="0" fontId="42" fillId="0" borderId="97"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5" xfId="0" applyFont="1" applyBorder="1" applyAlignment="1">
      <alignment horizontal="center" vertical="center" wrapText="1"/>
    </xf>
    <xf numFmtId="0" fontId="43" fillId="0" borderId="79" xfId="0" applyFont="1" applyBorder="1" applyAlignment="1">
      <alignment horizontal="center" vertical="top"/>
    </xf>
    <xf numFmtId="0" fontId="43" fillId="0" borderId="4" xfId="0" applyFont="1" applyBorder="1" applyAlignment="1">
      <alignment horizontal="center" vertical="top"/>
    </xf>
    <xf numFmtId="0" fontId="43" fillId="0" borderId="3" xfId="0" applyFont="1" applyBorder="1" applyAlignment="1">
      <alignment horizontal="center" vertical="top"/>
    </xf>
    <xf numFmtId="0" fontId="42" fillId="0" borderId="1" xfId="0" applyFont="1" applyBorder="1" applyAlignment="1">
      <alignment horizontal="center" vertical="center" wrapText="1"/>
    </xf>
    <xf numFmtId="0" fontId="214" fillId="0" borderId="8" xfId="0" applyFont="1" applyBorder="1" applyAlignment="1">
      <alignment horizontal="center" vertical="center" wrapText="1"/>
    </xf>
    <xf numFmtId="0" fontId="214" fillId="0" borderId="9" xfId="0" applyFont="1" applyBorder="1" applyAlignment="1">
      <alignment horizontal="center" vertical="center" wrapText="1"/>
    </xf>
    <xf numFmtId="4" fontId="43" fillId="0" borderId="8" xfId="0" applyNumberFormat="1" applyFont="1" applyBorder="1" applyAlignment="1">
      <alignment horizontal="center"/>
    </xf>
    <xf numFmtId="4" fontId="43" fillId="0" borderId="7" xfId="0" applyNumberFormat="1" applyFont="1" applyBorder="1" applyAlignment="1">
      <alignment horizontal="center"/>
    </xf>
    <xf numFmtId="0" fontId="43" fillId="0" borderId="79" xfId="0" applyFont="1" applyBorder="1" applyAlignment="1">
      <alignment horizontal="center" vertical="top" wrapText="1"/>
    </xf>
    <xf numFmtId="0" fontId="43" fillId="0" borderId="4" xfId="0" applyFont="1" applyBorder="1" applyAlignment="1">
      <alignment horizontal="center" vertical="top" wrapText="1"/>
    </xf>
    <xf numFmtId="0" fontId="43" fillId="0" borderId="3" xfId="0" applyFont="1" applyBorder="1" applyAlignment="1">
      <alignment horizontal="center" vertical="top" wrapText="1"/>
    </xf>
    <xf numFmtId="4" fontId="220" fillId="0" borderId="8" xfId="0" applyNumberFormat="1" applyFont="1" applyBorder="1" applyAlignment="1">
      <alignment horizontal="center"/>
    </xf>
    <xf numFmtId="4" fontId="220" fillId="0" borderId="7" xfId="0" applyNumberFormat="1" applyFont="1" applyBorder="1" applyAlignment="1">
      <alignment horizontal="center"/>
    </xf>
    <xf numFmtId="0" fontId="42" fillId="0" borderId="0" xfId="0" applyFont="1" applyAlignment="1">
      <alignment horizontal="left" wrapText="1"/>
    </xf>
    <xf numFmtId="0" fontId="95" fillId="0" borderId="5" xfId="0" applyFont="1" applyBorder="1" applyAlignment="1">
      <alignment horizontal="center"/>
    </xf>
    <xf numFmtId="0" fontId="95" fillId="0" borderId="5" xfId="0" applyFont="1" applyBorder="1" applyAlignment="1">
      <alignment horizontal="center" wrapText="1"/>
    </xf>
    <xf numFmtId="0" fontId="45" fillId="0" borderId="0" xfId="0" applyFont="1" applyAlignment="1">
      <alignment horizontal="left" vertical="center" wrapText="1"/>
    </xf>
    <xf numFmtId="49" fontId="52" fillId="0" borderId="0" xfId="240" applyNumberFormat="1" applyFont="1" applyAlignment="1">
      <alignment horizontal="center"/>
    </xf>
    <xf numFmtId="49" fontId="41" fillId="0" borderId="88" xfId="240" applyNumberFormat="1" applyFont="1" applyBorder="1" applyAlignment="1">
      <alignment horizontal="center" vertical="center" wrapText="1"/>
    </xf>
    <xf numFmtId="49" fontId="41" fillId="0" borderId="52" xfId="240" applyNumberFormat="1" applyFont="1" applyBorder="1" applyAlignment="1">
      <alignment horizontal="center" vertical="center" wrapText="1"/>
    </xf>
    <xf numFmtId="49" fontId="41" fillId="0" borderId="53" xfId="240" applyNumberFormat="1" applyFont="1" applyBorder="1" applyAlignment="1">
      <alignment horizontal="center" vertical="center" wrapText="1"/>
    </xf>
    <xf numFmtId="0" fontId="44" fillId="0" borderId="1" xfId="240" applyFont="1" applyBorder="1" applyAlignment="1">
      <alignment horizontal="center" vertical="center" wrapText="1"/>
    </xf>
    <xf numFmtId="0" fontId="0" fillId="76"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130" fillId="0" borderId="9" xfId="0" applyFont="1" applyBorder="1" applyAlignment="1">
      <alignment horizontal="center" vertical="center"/>
    </xf>
    <xf numFmtId="0" fontId="43" fillId="0" borderId="9" xfId="240" applyFont="1" applyBorder="1" applyAlignment="1">
      <alignment horizontal="center" vertical="center" wrapText="1"/>
    </xf>
    <xf numFmtId="0" fontId="43" fillId="0" borderId="1" xfId="0" applyFont="1" applyBorder="1" applyAlignment="1">
      <alignment horizontal="center"/>
    </xf>
    <xf numFmtId="0" fontId="52" fillId="0" borderId="1" xfId="0" applyFont="1" applyBorder="1" applyAlignment="1">
      <alignment horizontal="center"/>
    </xf>
    <xf numFmtId="0" fontId="130" fillId="0" borderId="7" xfId="0" applyFont="1" applyBorder="1" applyAlignment="1">
      <alignment horizontal="center" vertical="center"/>
    </xf>
    <xf numFmtId="0" fontId="93" fillId="0" borderId="0" xfId="0" applyFont="1" applyAlignment="1">
      <alignment horizontal="center" wrapText="1"/>
    </xf>
    <xf numFmtId="0" fontId="136" fillId="0" borderId="33" xfId="0" applyFont="1" applyBorder="1" applyAlignment="1">
      <alignment vertical="center" wrapText="1"/>
    </xf>
    <xf numFmtId="0" fontId="136" fillId="0" borderId="32" xfId="0" applyFont="1" applyBorder="1" applyAlignment="1">
      <alignment vertical="center" wrapText="1"/>
    </xf>
    <xf numFmtId="0" fontId="136" fillId="0" borderId="23" xfId="0" applyFont="1" applyBorder="1" applyAlignment="1">
      <alignment vertical="center" wrapText="1"/>
    </xf>
    <xf numFmtId="0" fontId="136" fillId="0" borderId="1" xfId="116" applyFont="1" applyBorder="1" applyAlignment="1">
      <alignment horizontal="center" vertical="center"/>
    </xf>
    <xf numFmtId="0" fontId="93" fillId="0" borderId="7" xfId="0" applyFont="1" applyBorder="1" applyAlignment="1">
      <alignment horizontal="center"/>
    </xf>
    <xf numFmtId="0" fontId="93" fillId="0" borderId="1" xfId="0" applyFont="1" applyBorder="1" applyAlignment="1">
      <alignment horizontal="center"/>
    </xf>
    <xf numFmtId="0" fontId="93" fillId="0" borderId="1" xfId="0" applyFont="1" applyBorder="1" applyAlignment="1">
      <alignment horizontal="center" vertical="center"/>
    </xf>
    <xf numFmtId="0" fontId="136" fillId="0" borderId="79" xfId="116" applyFont="1" applyBorder="1" applyAlignment="1">
      <alignment horizontal="center" vertical="center" wrapText="1"/>
    </xf>
    <xf numFmtId="0" fontId="136" fillId="0" borderId="4" xfId="116" applyFont="1" applyBorder="1" applyAlignment="1">
      <alignment horizontal="center" vertical="center" wrapText="1"/>
    </xf>
    <xf numFmtId="0" fontId="136" fillId="0" borderId="3" xfId="116" applyFont="1" applyBorder="1" applyAlignment="1">
      <alignment horizontal="center" vertical="center" wrapText="1"/>
    </xf>
    <xf numFmtId="0" fontId="52" fillId="0" borderId="33" xfId="0" applyFont="1" applyBorder="1" applyAlignment="1">
      <alignment horizontal="center" vertical="center" wrapText="1"/>
    </xf>
    <xf numFmtId="0" fontId="52" fillId="0" borderId="32" xfId="0" applyFont="1" applyBorder="1" applyAlignment="1">
      <alignment horizontal="center" vertical="center" wrapText="1"/>
    </xf>
    <xf numFmtId="0" fontId="52" fillId="0" borderId="23" xfId="0" applyFont="1" applyBorder="1" applyAlignment="1">
      <alignment horizontal="center" vertical="center" wrapText="1"/>
    </xf>
    <xf numFmtId="0" fontId="93" fillId="0" borderId="30" xfId="0" applyFont="1" applyBorder="1" applyAlignment="1">
      <alignment horizontal="center" vertical="center" wrapText="1"/>
    </xf>
    <xf numFmtId="0" fontId="93" fillId="0" borderId="31" xfId="0" applyFont="1" applyBorder="1" applyAlignment="1">
      <alignment horizontal="center" vertical="center" wrapText="1"/>
    </xf>
    <xf numFmtId="0" fontId="51" fillId="0" borderId="0" xfId="0" quotePrefix="1" applyFont="1" applyAlignment="1">
      <alignment horizontal="left" vertical="top" wrapText="1"/>
    </xf>
    <xf numFmtId="0" fontId="51" fillId="0" borderId="0" xfId="0" applyFont="1" applyAlignment="1">
      <alignment horizontal="left" vertical="top" wrapText="1"/>
    </xf>
    <xf numFmtId="0" fontId="136" fillId="0" borderId="0" xfId="0" applyFont="1" applyAlignment="1">
      <alignment horizontal="center" vertical="top" wrapText="1"/>
    </xf>
    <xf numFmtId="0" fontId="43" fillId="0" borderId="1" xfId="552" applyFont="1" applyBorder="1" applyAlignment="1">
      <alignment horizontal="center"/>
    </xf>
    <xf numFmtId="0" fontId="43" fillId="0" borderId="8" xfId="552" applyFont="1" applyBorder="1" applyAlignment="1">
      <alignment horizontal="center"/>
    </xf>
    <xf numFmtId="0" fontId="43" fillId="0" borderId="7" xfId="552" applyFont="1" applyBorder="1" applyAlignment="1">
      <alignment horizontal="center"/>
    </xf>
    <xf numFmtId="0" fontId="43" fillId="0" borderId="0" xfId="552" applyFont="1" applyAlignment="1">
      <alignment horizontal="center"/>
    </xf>
    <xf numFmtId="2" fontId="52" fillId="0" borderId="98" xfId="552" applyNumberFormat="1" applyFont="1" applyBorder="1" applyAlignment="1">
      <alignment horizontal="center"/>
    </xf>
    <xf numFmtId="2" fontId="52" fillId="0" borderId="63" xfId="552" applyNumberFormat="1" applyFont="1" applyBorder="1" applyAlignment="1">
      <alignment horizontal="center"/>
    </xf>
    <xf numFmtId="2" fontId="52" fillId="0" borderId="31" xfId="552" applyNumberFormat="1" applyFont="1" applyBorder="1" applyAlignment="1">
      <alignment horizontal="center"/>
    </xf>
    <xf numFmtId="2" fontId="52" fillId="0" borderId="30" xfId="552" applyNumberFormat="1" applyFont="1" applyBorder="1" applyAlignment="1">
      <alignment horizontal="center"/>
    </xf>
    <xf numFmtId="4" fontId="206" fillId="0" borderId="5" xfId="0" applyNumberFormat="1" applyFont="1" applyBorder="1" applyAlignment="1">
      <alignment horizontal="center"/>
    </xf>
    <xf numFmtId="0" fontId="44" fillId="0" borderId="5" xfId="0" applyFont="1" applyBorder="1" applyAlignment="1">
      <alignment horizontal="center" wrapText="1"/>
    </xf>
    <xf numFmtId="0" fontId="44" fillId="0" borderId="8" xfId="0" applyFont="1" applyBorder="1" applyAlignment="1">
      <alignment horizontal="center"/>
    </xf>
    <xf numFmtId="0" fontId="44" fillId="0" borderId="9" xfId="0" applyFont="1" applyBorder="1" applyAlignment="1">
      <alignment horizontal="center"/>
    </xf>
    <xf numFmtId="0" fontId="44" fillId="0" borderId="7" xfId="0" applyFont="1" applyBorder="1" applyAlignment="1">
      <alignment horizontal="center"/>
    </xf>
    <xf numFmtId="0" fontId="44" fillId="0" borderId="1" xfId="546" applyFont="1" applyBorder="1" applyAlignment="1">
      <alignment horizontal="center" vertical="center"/>
    </xf>
    <xf numFmtId="0" fontId="44" fillId="3" borderId="0" xfId="546" applyFont="1" applyFill="1" applyAlignment="1">
      <alignment horizontal="left" vertical="center" wrapText="1"/>
    </xf>
    <xf numFmtId="0" fontId="44" fillId="0" borderId="48" xfId="546" applyFont="1" applyBorder="1" applyAlignment="1">
      <alignment horizontal="center" vertical="center"/>
    </xf>
    <xf numFmtId="0" fontId="44" fillId="0" borderId="95" xfId="546" applyFont="1" applyBorder="1" applyAlignment="1">
      <alignment horizontal="center" vertical="center"/>
    </xf>
    <xf numFmtId="0" fontId="44" fillId="0" borderId="49" xfId="546" applyFont="1" applyBorder="1" applyAlignment="1">
      <alignment horizontal="center" vertical="center"/>
    </xf>
    <xf numFmtId="0" fontId="44" fillId="0" borderId="94" xfId="546" applyFont="1" applyBorder="1" applyAlignment="1">
      <alignment horizontal="center" vertical="center"/>
    </xf>
    <xf numFmtId="0" fontId="44" fillId="0" borderId="50" xfId="546" applyFont="1" applyBorder="1" applyAlignment="1">
      <alignment horizontal="center" vertical="center"/>
    </xf>
    <xf numFmtId="0" fontId="44" fillId="0" borderId="116" xfId="546" applyFont="1" applyBorder="1" applyAlignment="1">
      <alignment horizontal="center" vertical="center"/>
    </xf>
    <xf numFmtId="0" fontId="166" fillId="0" borderId="0" xfId="546" applyFont="1" applyAlignment="1">
      <alignment horizontal="center" vertical="center"/>
    </xf>
    <xf numFmtId="0" fontId="52" fillId="0" borderId="0" xfId="546" applyFont="1" applyAlignment="1">
      <alignment horizontal="center"/>
    </xf>
    <xf numFmtId="0" fontId="176" fillId="0" borderId="5" xfId="0" applyFont="1" applyBorder="1" applyAlignment="1">
      <alignment horizontal="right"/>
    </xf>
    <xf numFmtId="0" fontId="44" fillId="0" borderId="0" xfId="546" applyFont="1" applyAlignment="1">
      <alignment horizontal="center"/>
    </xf>
    <xf numFmtId="0" fontId="0" fillId="0" borderId="0" xfId="0" applyAlignment="1">
      <alignment horizontal="left" wrapText="1"/>
    </xf>
    <xf numFmtId="0" fontId="51" fillId="0" borderId="0" xfId="134" applyFont="1" applyAlignment="1">
      <alignment horizontal="center"/>
    </xf>
    <xf numFmtId="0" fontId="137" fillId="0" borderId="0" xfId="134" applyFont="1" applyAlignment="1">
      <alignment horizontal="center"/>
    </xf>
    <xf numFmtId="188" fontId="51" fillId="0" borderId="0" xfId="134" applyNumberFormat="1" applyFont="1" applyAlignment="1">
      <alignment horizontal="center"/>
    </xf>
    <xf numFmtId="16" fontId="162" fillId="64" borderId="71" xfId="134" applyNumberFormat="1" applyFont="1" applyFill="1" applyBorder="1" applyAlignment="1">
      <alignment horizontal="center" vertical="center" wrapText="1"/>
    </xf>
    <xf numFmtId="16" fontId="162" fillId="64" borderId="32" xfId="134" applyNumberFormat="1" applyFont="1" applyFill="1" applyBorder="1" applyAlignment="1">
      <alignment horizontal="center" vertical="center" wrapText="1"/>
    </xf>
    <xf numFmtId="16" fontId="162" fillId="64" borderId="89" xfId="134" applyNumberFormat="1" applyFont="1" applyFill="1" applyBorder="1" applyAlignment="1">
      <alignment horizontal="center" vertical="center" wrapText="1"/>
    </xf>
    <xf numFmtId="0" fontId="162" fillId="0" borderId="57" xfId="134" applyFont="1" applyBorder="1" applyAlignment="1">
      <alignment horizontal="center" vertical="center" wrapText="1"/>
    </xf>
    <xf numFmtId="0" fontId="162" fillId="0" borderId="59" xfId="134" applyFont="1" applyBorder="1" applyAlignment="1">
      <alignment horizontal="center" vertical="center" wrapText="1"/>
    </xf>
    <xf numFmtId="0" fontId="162" fillId="0" borderId="57" xfId="549" applyFont="1" applyBorder="1" applyAlignment="1">
      <alignment horizontal="center" vertical="center" wrapText="1"/>
    </xf>
    <xf numFmtId="0" fontId="162" fillId="0" borderId="59" xfId="549" applyFont="1" applyBorder="1" applyAlignment="1">
      <alignment horizontal="center" vertical="center" wrapText="1"/>
    </xf>
    <xf numFmtId="0" fontId="51" fillId="0" borderId="57" xfId="134" applyFont="1" applyBorder="1" applyAlignment="1">
      <alignment horizontal="center" vertical="center"/>
    </xf>
    <xf numFmtId="0" fontId="51" fillId="0" borderId="39" xfId="134" applyFont="1" applyBorder="1" applyAlignment="1">
      <alignment horizontal="center" vertical="center"/>
    </xf>
    <xf numFmtId="0" fontId="51" fillId="0" borderId="44" xfId="134" applyFont="1" applyBorder="1" applyAlignment="1">
      <alignment horizontal="center" vertical="center"/>
    </xf>
    <xf numFmtId="0" fontId="133" fillId="0" borderId="58" xfId="134" applyFont="1" applyBorder="1" applyAlignment="1">
      <alignment horizontal="center" vertical="center"/>
    </xf>
    <xf numFmtId="0" fontId="133" fillId="0" borderId="1" xfId="134" applyFont="1" applyBorder="1" applyAlignment="1">
      <alignment horizontal="center" vertical="center"/>
    </xf>
    <xf numFmtId="0" fontId="133" fillId="0" borderId="45" xfId="134" applyFont="1" applyBorder="1" applyAlignment="1">
      <alignment horizontal="center" vertical="center"/>
    </xf>
    <xf numFmtId="0" fontId="170" fillId="0" borderId="59" xfId="134" applyFont="1" applyBorder="1" applyAlignment="1">
      <alignment horizontal="center" textRotation="90" wrapText="1"/>
    </xf>
    <xf numFmtId="0" fontId="170" fillId="0" borderId="40" xfId="134" applyFont="1" applyBorder="1" applyAlignment="1">
      <alignment horizontal="center" textRotation="90" wrapText="1"/>
    </xf>
    <xf numFmtId="0" fontId="170" fillId="0" borderId="46" xfId="134" applyFont="1" applyBorder="1" applyAlignment="1">
      <alignment horizontal="center" textRotation="90" wrapText="1"/>
    </xf>
    <xf numFmtId="0" fontId="162" fillId="0" borderId="57" xfId="134" applyFont="1" applyBorder="1" applyAlignment="1">
      <alignment horizontal="center"/>
    </xf>
    <xf numFmtId="0" fontId="162" fillId="0" borderId="59" xfId="134" applyFont="1" applyBorder="1" applyAlignment="1">
      <alignment horizontal="center"/>
    </xf>
    <xf numFmtId="0" fontId="162" fillId="0" borderId="60" xfId="134" applyFont="1" applyBorder="1" applyAlignment="1">
      <alignment horizontal="center"/>
    </xf>
    <xf numFmtId="0" fontId="162" fillId="0" borderId="61" xfId="134" applyFont="1" applyBorder="1" applyAlignment="1">
      <alignment horizontal="center"/>
    </xf>
    <xf numFmtId="0" fontId="162" fillId="0" borderId="62" xfId="134" applyFont="1" applyBorder="1" applyAlignment="1">
      <alignment horizontal="center"/>
    </xf>
    <xf numFmtId="0" fontId="162" fillId="0" borderId="39" xfId="134" applyFont="1" applyBorder="1" applyAlignment="1">
      <alignment horizontal="center" vertical="center" wrapText="1"/>
    </xf>
    <xf numFmtId="0" fontId="162" fillId="0" borderId="40" xfId="134" applyFont="1" applyBorder="1" applyAlignment="1">
      <alignment horizontal="center" vertical="center" wrapText="1"/>
    </xf>
    <xf numFmtId="0" fontId="162" fillId="0" borderId="57" xfId="134" applyFont="1" applyBorder="1" applyAlignment="1">
      <alignment horizontal="center" vertical="center"/>
    </xf>
    <xf numFmtId="0" fontId="162" fillId="0" borderId="59" xfId="134" applyFont="1" applyBorder="1" applyAlignment="1">
      <alignment horizontal="center" vertical="center"/>
    </xf>
    <xf numFmtId="0" fontId="137" fillId="67" borderId="28" xfId="134" applyFont="1" applyFill="1" applyBorder="1" applyAlignment="1">
      <alignment horizontal="right"/>
    </xf>
    <xf numFmtId="0" fontId="137" fillId="67" borderId="0" xfId="134" applyFont="1" applyFill="1" applyAlignment="1">
      <alignment horizontal="right"/>
    </xf>
    <xf numFmtId="0" fontId="216" fillId="0" borderId="10" xfId="134" applyFont="1" applyBorder="1" applyAlignment="1">
      <alignment horizontal="center" vertical="center"/>
    </xf>
    <xf numFmtId="0" fontId="216" fillId="0" borderId="5" xfId="134" applyFont="1" applyBorder="1" applyAlignment="1">
      <alignment horizontal="center" vertical="center"/>
    </xf>
    <xf numFmtId="0" fontId="216" fillId="0" borderId="9" xfId="134" applyFont="1" applyBorder="1" applyAlignment="1">
      <alignment horizontal="center" vertical="center"/>
    </xf>
    <xf numFmtId="0" fontId="216" fillId="0" borderId="7" xfId="134" applyFont="1" applyBorder="1" applyAlignment="1">
      <alignment horizontal="center" vertical="center"/>
    </xf>
    <xf numFmtId="0" fontId="216" fillId="0" borderId="8" xfId="134" applyFont="1" applyBorder="1" applyAlignment="1">
      <alignment horizontal="center" vertical="center"/>
    </xf>
    <xf numFmtId="0" fontId="137" fillId="67" borderId="97" xfId="134" applyFont="1" applyFill="1" applyBorder="1" applyAlignment="1">
      <alignment horizontal="center"/>
    </xf>
    <xf numFmtId="0" fontId="137" fillId="67" borderId="77" xfId="134" applyFont="1" applyFill="1" applyBorder="1" applyAlignment="1">
      <alignment horizontal="center"/>
    </xf>
    <xf numFmtId="0" fontId="137" fillId="67" borderId="0" xfId="134" applyFont="1" applyFill="1" applyAlignment="1">
      <alignment horizontal="center"/>
    </xf>
    <xf numFmtId="0" fontId="155" fillId="71" borderId="52" xfId="134" applyFont="1" applyFill="1" applyBorder="1" applyAlignment="1">
      <alignment horizontal="center" vertical="center"/>
    </xf>
    <xf numFmtId="0" fontId="155" fillId="71" borderId="73" xfId="134" applyFont="1" applyFill="1" applyBorder="1" applyAlignment="1">
      <alignment horizontal="center" vertical="center"/>
    </xf>
    <xf numFmtId="0" fontId="137" fillId="34" borderId="28" xfId="134" applyFont="1" applyFill="1" applyBorder="1" applyAlignment="1">
      <alignment horizontal="left"/>
    </xf>
    <xf numFmtId="0" fontId="137" fillId="34" borderId="0" xfId="134" applyFont="1" applyFill="1" applyAlignment="1">
      <alignment horizontal="left"/>
    </xf>
    <xf numFmtId="4" fontId="155" fillId="71" borderId="88" xfId="134" applyNumberFormat="1" applyFont="1" applyFill="1" applyBorder="1" applyAlignment="1">
      <alignment horizontal="center" vertical="center"/>
    </xf>
    <xf numFmtId="0" fontId="155" fillId="71" borderId="90" xfId="134" applyFont="1" applyFill="1" applyBorder="1" applyAlignment="1">
      <alignment horizontal="center" vertical="center"/>
    </xf>
    <xf numFmtId="0" fontId="51" fillId="64" borderId="0" xfId="134" applyFont="1" applyFill="1" applyAlignment="1">
      <alignment horizontal="left" wrapText="1"/>
    </xf>
    <xf numFmtId="0" fontId="51" fillId="64" borderId="87" xfId="134" applyFont="1" applyFill="1" applyBorder="1" applyAlignment="1">
      <alignment horizontal="left" wrapText="1"/>
    </xf>
    <xf numFmtId="4" fontId="155" fillId="71" borderId="52" xfId="134" applyNumberFormat="1" applyFont="1" applyFill="1" applyBorder="1" applyAlignment="1">
      <alignment horizontal="center" vertical="center"/>
    </xf>
    <xf numFmtId="0" fontId="155" fillId="71" borderId="53" xfId="134" applyFont="1" applyFill="1" applyBorder="1" applyAlignment="1">
      <alignment horizontal="center" vertical="center"/>
    </xf>
    <xf numFmtId="0" fontId="155" fillId="71" borderId="72" xfId="134" applyFont="1" applyFill="1" applyBorder="1" applyAlignment="1">
      <alignment horizontal="center" vertical="center"/>
    </xf>
    <xf numFmtId="3" fontId="155" fillId="71" borderId="52" xfId="134" applyNumberFormat="1" applyFont="1" applyFill="1" applyBorder="1" applyAlignment="1">
      <alignment horizontal="center" vertical="center"/>
    </xf>
    <xf numFmtId="3" fontId="155" fillId="71" borderId="73" xfId="134" applyNumberFormat="1" applyFont="1" applyFill="1" applyBorder="1" applyAlignment="1">
      <alignment horizontal="center" vertical="center"/>
    </xf>
    <xf numFmtId="0" fontId="42" fillId="0" borderId="0" xfId="547" applyFont="1" applyAlignment="1">
      <alignment horizontal="center" wrapText="1"/>
    </xf>
    <xf numFmtId="0" fontId="44" fillId="0" borderId="0" xfId="547" applyFont="1" applyAlignment="1">
      <alignment horizontal="center" wrapText="1"/>
    </xf>
    <xf numFmtId="0" fontId="43" fillId="0" borderId="57" xfId="547" applyFont="1" applyBorder="1" applyAlignment="1">
      <alignment horizontal="center" vertical="center" wrapText="1"/>
    </xf>
    <xf numFmtId="0" fontId="43" fillId="0" borderId="39" xfId="547" applyFont="1" applyBorder="1" applyAlignment="1">
      <alignment horizontal="center" vertical="center" wrapText="1"/>
    </xf>
    <xf numFmtId="0" fontId="43" fillId="0" borderId="44" xfId="547" applyFont="1" applyBorder="1" applyAlignment="1">
      <alignment horizontal="center" vertical="center" wrapText="1"/>
    </xf>
    <xf numFmtId="0" fontId="43" fillId="0" borderId="49" xfId="547" applyFont="1" applyBorder="1" applyAlignment="1">
      <alignment horizontal="center" vertical="center" wrapText="1"/>
    </xf>
    <xf numFmtId="0" fontId="43" fillId="0" borderId="4" xfId="547" applyFont="1" applyBorder="1" applyAlignment="1">
      <alignment horizontal="center" vertical="center" wrapText="1"/>
    </xf>
    <xf numFmtId="0" fontId="43" fillId="0" borderId="94" xfId="547" applyFont="1" applyBorder="1" applyAlignment="1">
      <alignment horizontal="center" vertical="center" wrapText="1"/>
    </xf>
    <xf numFmtId="0" fontId="43" fillId="0" borderId="58" xfId="547" applyFont="1" applyBorder="1" applyAlignment="1">
      <alignment horizontal="center" vertical="center" wrapText="1"/>
    </xf>
    <xf numFmtId="0" fontId="43" fillId="0" borderId="1" xfId="547" applyFont="1" applyBorder="1" applyAlignment="1">
      <alignment horizontal="center" vertical="center" wrapText="1"/>
    </xf>
    <xf numFmtId="0" fontId="43" fillId="0" borderId="45" xfId="547" applyFont="1" applyBorder="1" applyAlignment="1">
      <alignment horizontal="center" vertical="center" wrapText="1"/>
    </xf>
    <xf numFmtId="0" fontId="43" fillId="0" borderId="58" xfId="547" applyFont="1" applyBorder="1" applyAlignment="1">
      <alignment horizontal="center" vertical="center" textRotation="90" wrapText="1"/>
    </xf>
    <xf numFmtId="0" fontId="43" fillId="0" borderId="1" xfId="547" applyFont="1" applyBorder="1" applyAlignment="1">
      <alignment horizontal="center" vertical="center" textRotation="90" wrapText="1"/>
    </xf>
    <xf numFmtId="0" fontId="43" fillId="0" borderId="45" xfId="547" applyFont="1" applyBorder="1" applyAlignment="1">
      <alignment horizontal="center" vertical="center" textRotation="90" wrapText="1"/>
    </xf>
    <xf numFmtId="0" fontId="43" fillId="0" borderId="50" xfId="547" applyFont="1" applyBorder="1" applyAlignment="1">
      <alignment horizontal="center" vertical="center" wrapText="1"/>
    </xf>
    <xf numFmtId="0" fontId="43" fillId="0" borderId="25" xfId="547" applyFont="1" applyBorder="1" applyAlignment="1">
      <alignment horizontal="center" vertical="center" wrapText="1"/>
    </xf>
    <xf numFmtId="0" fontId="43" fillId="0" borderId="116" xfId="547" applyFont="1" applyBorder="1" applyAlignment="1">
      <alignment horizontal="center" vertical="center" wrapText="1"/>
    </xf>
    <xf numFmtId="0" fontId="44" fillId="3" borderId="0" xfId="547" applyFont="1" applyFill="1" applyAlignment="1">
      <alignment horizontal="center" wrapText="1"/>
    </xf>
    <xf numFmtId="0" fontId="43" fillId="0" borderId="64" xfId="547" applyFont="1" applyBorder="1" applyAlignment="1">
      <alignment horizontal="center" wrapText="1"/>
    </xf>
    <xf numFmtId="0" fontId="43" fillId="0" borderId="8" xfId="547" applyFont="1" applyBorder="1" applyAlignment="1">
      <alignment horizontal="center" wrapText="1"/>
    </xf>
    <xf numFmtId="0" fontId="43" fillId="0" borderId="55" xfId="547" applyFont="1" applyBorder="1" applyAlignment="1">
      <alignment horizontal="center" wrapText="1"/>
    </xf>
    <xf numFmtId="0" fontId="42" fillId="0" borderId="66" xfId="547" applyFont="1" applyBorder="1" applyAlignment="1">
      <alignment horizontal="center" vertical="center" wrapText="1"/>
    </xf>
    <xf numFmtId="0" fontId="42" fillId="0" borderId="67" xfId="547" applyFont="1" applyBorder="1" applyAlignment="1">
      <alignment horizontal="center" vertical="center" wrapText="1"/>
    </xf>
    <xf numFmtId="0" fontId="42" fillId="0" borderId="68" xfId="547" applyFont="1" applyBorder="1" applyAlignment="1">
      <alignment horizontal="center" vertical="center" wrapText="1"/>
    </xf>
    <xf numFmtId="0" fontId="43" fillId="0" borderId="0" xfId="0" applyFont="1" applyAlignment="1">
      <alignment horizontal="left" vertical="top" wrapText="1"/>
    </xf>
    <xf numFmtId="2" fontId="43" fillId="0" borderId="0" xfId="0" applyNumberFormat="1" applyFont="1" applyAlignment="1">
      <alignment horizontal="left"/>
    </xf>
    <xf numFmtId="0" fontId="248" fillId="0" borderId="0" xfId="0" applyFont="1" applyAlignment="1">
      <alignment horizontal="left" vertical="center" wrapText="1"/>
    </xf>
    <xf numFmtId="0" fontId="245" fillId="0" borderId="25" xfId="0" applyFont="1" applyBorder="1" applyAlignment="1">
      <alignment wrapText="1"/>
    </xf>
    <xf numFmtId="0" fontId="245" fillId="0" borderId="0" xfId="0" applyFont="1" applyAlignment="1">
      <alignment wrapText="1"/>
    </xf>
    <xf numFmtId="0" fontId="245" fillId="0" borderId="87" xfId="0" applyFont="1" applyBorder="1" applyAlignment="1">
      <alignment wrapText="1"/>
    </xf>
    <xf numFmtId="0" fontId="41" fillId="0" borderId="0" xfId="0" applyFont="1" applyAlignment="1">
      <alignment horizontal="center" vertical="top"/>
    </xf>
    <xf numFmtId="0" fontId="248" fillId="0" borderId="0" xfId="0" applyFont="1" applyAlignment="1">
      <alignment horizontal="left" wrapText="1"/>
    </xf>
    <xf numFmtId="49" fontId="93" fillId="0" borderId="0" xfId="0" applyNumberFormat="1" applyFont="1" applyAlignment="1">
      <alignment horizontal="center" vertical="center" wrapText="1"/>
    </xf>
  </cellXfs>
  <cellStyles count="560">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1" xr:uid="{00000000-0005-0000-0000-000008000000}"/>
    <cellStyle name="20% - Акцент1 2 3" xfId="452"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3" xr:uid="{00000000-0005-0000-0000-00000E000000}"/>
    <cellStyle name="20% - Акцент2 2 3" xfId="454"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5" xr:uid="{00000000-0005-0000-0000-000014000000}"/>
    <cellStyle name="20% - Акцент3 2 3" xfId="456"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7" xr:uid="{00000000-0005-0000-0000-00001A000000}"/>
    <cellStyle name="20% - Акцент4 2 3" xfId="458"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9" xr:uid="{00000000-0005-0000-0000-000020000000}"/>
    <cellStyle name="20% - Акцент5 2 3" xfId="460"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1" xr:uid="{00000000-0005-0000-0000-000026000000}"/>
    <cellStyle name="20% - Акцент6 2 3" xfId="462"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3" xr:uid="{00000000-0005-0000-0000-000038000000}"/>
    <cellStyle name="40% - Акцент1 2 3" xfId="464"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5" xr:uid="{00000000-0005-0000-0000-00003E000000}"/>
    <cellStyle name="40% - Акцент2 2 3" xfId="466"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7" xr:uid="{00000000-0005-0000-0000-000044000000}"/>
    <cellStyle name="40% - Акцент3 2 3" xfId="468"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9" xr:uid="{00000000-0005-0000-0000-00004A000000}"/>
    <cellStyle name="40% - Акцент4 2 3" xfId="470"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1" xr:uid="{00000000-0005-0000-0000-000050000000}"/>
    <cellStyle name="40% - Акцент5 2 3" xfId="472"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3" xr:uid="{00000000-0005-0000-0000-000056000000}"/>
    <cellStyle name="40% - Акцент6 2 3" xfId="474"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5"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6"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7" xr:uid="{00000000-0005-0000-0000-0000D1000000}"/>
    <cellStyle name="Heading1 1" xfId="478" xr:uid="{00000000-0005-0000-0000-0000D2000000}"/>
    <cellStyle name="Iau?iue" xfId="450"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9" xr:uid="{00000000-0005-0000-0000-0000DE000000}"/>
    <cellStyle name="Result 1" xfId="480" xr:uid="{00000000-0005-0000-0000-0000DF000000}"/>
    <cellStyle name="Result2" xfId="481" xr:uid="{00000000-0005-0000-0000-0000E0000000}"/>
    <cellStyle name="Result2 1" xfId="482"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3"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4" xr:uid="{00000000-0005-0000-0000-00000B010000}"/>
    <cellStyle name="Ввод  2_КВ Чхім 0108 вар3" xfId="399" xr:uid="{00000000-0005-0000-0000-00000C010000}"/>
    <cellStyle name="Ввод  3" xfId="400" xr:uid="{00000000-0005-0000-0000-00000D010000}"/>
    <cellStyle name="Відсотковий" xfId="558" builtinId="5"/>
    <cellStyle name="Відсотковий 2" xfId="76" xr:uid="{00000000-0005-0000-0000-00000E010000}"/>
    <cellStyle name="Відсотковий 3" xfId="485" xr:uid="{00000000-0005-0000-0000-00000F010000}"/>
    <cellStyle name="Відсотковий 3 2" xfId="486" xr:uid="{00000000-0005-0000-0000-000010010000}"/>
    <cellStyle name="Відсотковий 3 3" xfId="487" xr:uid="{00000000-0005-0000-0000-000011010000}"/>
    <cellStyle name="Вывод 2" xfId="77" xr:uid="{00000000-0005-0000-0000-000012010000}"/>
    <cellStyle name="Вывод 2 2" xfId="229" xr:uid="{00000000-0005-0000-0000-000013010000}"/>
    <cellStyle name="Вывод 2 3" xfId="488"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9" xr:uid="{00000000-0005-0000-0000-000019010000}"/>
    <cellStyle name="Вычисление 2_КВ Чхім 0108 вар3" xfId="403" xr:uid="{00000000-0005-0000-0000-00001A010000}"/>
    <cellStyle name="Вычисление 3" xfId="404" xr:uid="{00000000-0005-0000-0000-00001B010000}"/>
    <cellStyle name="Гиперссылка 2" xfId="490" xr:uid="{00000000-0005-0000-0000-00001D010000}"/>
    <cellStyle name="Гіперпосилання" xfId="239" builtinId="8"/>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1"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xfId="0" builtinId="0"/>
    <cellStyle name="Звичайний 2" xfId="7" xr:uid="{00000000-0005-0000-0000-00002D010000}"/>
    <cellStyle name="Звичайний 2 2" xfId="90" xr:uid="{00000000-0005-0000-0000-00002E010000}"/>
    <cellStyle name="Звичайний 2 3" xfId="492" xr:uid="{00000000-0005-0000-0000-00002F010000}"/>
    <cellStyle name="Звичайний 2 3 2" xfId="493" xr:uid="{00000000-0005-0000-0000-000030010000}"/>
    <cellStyle name="Звичайний 2 3 3" xfId="494" xr:uid="{00000000-0005-0000-0000-000031010000}"/>
    <cellStyle name="Звичайний 2 3 4" xfId="495"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6" xr:uid="{00000000-0005-0000-0000-000041010000}"/>
    <cellStyle name="Звичайний 6" xfId="220" xr:uid="{00000000-0005-0000-0000-000042010000}"/>
    <cellStyle name="Звичайний 6 2" xfId="497" xr:uid="{00000000-0005-0000-0000-000043010000}"/>
    <cellStyle name="Звичайний 6 3" xfId="498" xr:uid="{00000000-0005-0000-0000-000044010000}"/>
    <cellStyle name="Звичайний 7" xfId="221" xr:uid="{00000000-0005-0000-0000-000045010000}"/>
    <cellStyle name="Звичайний 7 2" xfId="499" xr:uid="{00000000-0005-0000-0000-000046010000}"/>
    <cellStyle name="Звичайний 7 3" xfId="500" xr:uid="{00000000-0005-0000-0000-000047010000}"/>
    <cellStyle name="Звичайний 8" xfId="222" xr:uid="{00000000-0005-0000-0000-000048010000}"/>
    <cellStyle name="Звичайний 8 2" xfId="501" xr:uid="{00000000-0005-0000-0000-000049010000}"/>
    <cellStyle name="Звичайний 8 3" xfId="502"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3" xr:uid="{00000000-0005-0000-0000-00004E010000}"/>
    <cellStyle name="Итог 2 3" xfId="504" xr:uid="{00000000-0005-0000-0000-00004F010000}"/>
    <cellStyle name="Итог 2 4" xfId="505"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6" xr:uid="{00000000-0005-0000-0000-000068010000}"/>
    <cellStyle name="Обычный 11 4" xfId="507" xr:uid="{00000000-0005-0000-0000-000069010000}"/>
    <cellStyle name="Обычный 11 5" xfId="508" xr:uid="{00000000-0005-0000-0000-00006A010000}"/>
    <cellStyle name="Обычный 12" xfId="116" xr:uid="{00000000-0005-0000-0000-00006B010000}"/>
    <cellStyle name="Обычный 12 2" xfId="509" xr:uid="{00000000-0005-0000-0000-00006C010000}"/>
    <cellStyle name="Обычный 12 3" xfId="510" xr:uid="{00000000-0005-0000-0000-00006D010000}"/>
    <cellStyle name="Обычный 13" xfId="117" xr:uid="{00000000-0005-0000-0000-00006E010000}"/>
    <cellStyle name="Обычный 13 2" xfId="511" xr:uid="{00000000-0005-0000-0000-00006F010000}"/>
    <cellStyle name="Обычный 13 2 2" xfId="512" xr:uid="{00000000-0005-0000-0000-000070010000}"/>
    <cellStyle name="Обычный 13 3" xfId="513" xr:uid="{00000000-0005-0000-0000-000071010000}"/>
    <cellStyle name="Обычный 13 3 2" xfId="514" xr:uid="{00000000-0005-0000-0000-000072010000}"/>
    <cellStyle name="Обычный 13 4" xfId="515" xr:uid="{00000000-0005-0000-0000-000073010000}"/>
    <cellStyle name="Обычный 13 5" xfId="516" xr:uid="{00000000-0005-0000-0000-000074010000}"/>
    <cellStyle name="Обычный 13 6" xfId="517" xr:uid="{00000000-0005-0000-0000-000075010000}"/>
    <cellStyle name="Обычный 14" xfId="118" xr:uid="{00000000-0005-0000-0000-000076010000}"/>
    <cellStyle name="Обычный 14 2" xfId="518" xr:uid="{00000000-0005-0000-0000-000077010000}"/>
    <cellStyle name="Обычный 14 3" xfId="519" xr:uid="{00000000-0005-0000-0000-000078010000}"/>
    <cellStyle name="Обычный 15" xfId="226" xr:uid="{00000000-0005-0000-0000-000079010000}"/>
    <cellStyle name="Обычный 15 2" xfId="520" xr:uid="{00000000-0005-0000-0000-00007A010000}"/>
    <cellStyle name="Обычный 16" xfId="241" xr:uid="{00000000-0005-0000-0000-00007B010000}"/>
    <cellStyle name="Обычный 17" xfId="448" xr:uid="{00000000-0005-0000-0000-00007C010000}"/>
    <cellStyle name="Обычный 17 2" xfId="521" xr:uid="{00000000-0005-0000-0000-00007D010000}"/>
    <cellStyle name="Обычный 18" xfId="522" xr:uid="{00000000-0005-0000-0000-00007E010000}"/>
    <cellStyle name="Обычный 19" xfId="523"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4" xr:uid="{00000000-0005-0000-0000-0000A7010000}"/>
    <cellStyle name="Обычный 21" xfId="525" xr:uid="{00000000-0005-0000-0000-0000A8010000}"/>
    <cellStyle name="Обычный 22" xfId="526" xr:uid="{00000000-0005-0000-0000-0000A9010000}"/>
    <cellStyle name="Обычный 23" xfId="527" xr:uid="{00000000-0005-0000-0000-0000AA010000}"/>
    <cellStyle name="Обычный 24" xfId="528" xr:uid="{00000000-0005-0000-0000-0000AB010000}"/>
    <cellStyle name="Обычный 25" xfId="529" xr:uid="{00000000-0005-0000-0000-0000AC010000}"/>
    <cellStyle name="Обычный 26" xfId="545" xr:uid="{00000000-0005-0000-0000-0000AD010000}"/>
    <cellStyle name="Обычный 27" xfId="546" xr:uid="{00000000-0005-0000-0000-0000AE010000}"/>
    <cellStyle name="Обычный 28" xfId="547" xr:uid="{00000000-0005-0000-0000-0000AF010000}"/>
    <cellStyle name="Обычный 29" xfId="549"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7"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1" xr:uid="{00000000-0005-0000-0000-0000C4010000}"/>
    <cellStyle name="Обычный 31" xfId="552" xr:uid="{00000000-0005-0000-0000-0000C5010000}"/>
    <cellStyle name="Обычный 32" xfId="553" xr:uid="{00000000-0005-0000-0000-0000C6010000}"/>
    <cellStyle name="Обычный 33" xfId="554" xr:uid="{00000000-0005-0000-0000-0000C7010000}"/>
    <cellStyle name="Обычный 33 2" xfId="556" xr:uid="{00000000-0005-0000-0000-0000C8010000}"/>
    <cellStyle name="Обычный 34" xfId="555"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30" xr:uid="{00000000-0005-0000-0000-0000D9010000}"/>
    <cellStyle name="Обычный 5 3 3" xfId="531" xr:uid="{00000000-0005-0000-0000-0000DA010000}"/>
    <cellStyle name="Обычный 5 4" xfId="234" xr:uid="{00000000-0005-0000-0000-0000DB010000}"/>
    <cellStyle name="Обычный 5 5" xfId="532"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3" xr:uid="{00000000-0005-0000-0000-0000E0010000}"/>
    <cellStyle name="Обычный 6 2 3" xfId="534" xr:uid="{00000000-0005-0000-0000-0000E1010000}"/>
    <cellStyle name="Обычный 6 3" xfId="179" xr:uid="{00000000-0005-0000-0000-0000E2010000}"/>
    <cellStyle name="Обычный 6 4" xfId="237" xr:uid="{00000000-0005-0000-0000-0000E3010000}"/>
    <cellStyle name="Обычный 6_Навчання_підписка (3) 2" xfId="535" xr:uid="{00000000-0005-0000-0000-0000E4010000}"/>
    <cellStyle name="Обычный 7" xfId="180" xr:uid="{00000000-0005-0000-0000-0000E5010000}"/>
    <cellStyle name="Обычный 7 2" xfId="181" xr:uid="{00000000-0005-0000-0000-0000E6010000}"/>
    <cellStyle name="Обычный 7 2 2" xfId="536" xr:uid="{00000000-0005-0000-0000-0000E7010000}"/>
    <cellStyle name="Обычный 7 2 3" xfId="537" xr:uid="{00000000-0005-0000-0000-0000E8010000}"/>
    <cellStyle name="Обычный 7 3" xfId="238" xr:uid="{00000000-0005-0000-0000-0000E9010000}"/>
    <cellStyle name="Обычный 7 4" xfId="538" xr:uid="{00000000-0005-0000-0000-0000EA010000}"/>
    <cellStyle name="Обычный 7_Навчання_підписка (3) 2" xfId="539"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40" xr:uid="{00000000-0005-0000-0000-0000EF010000}"/>
    <cellStyle name="Обычный 8 3" xfId="185" xr:uid="{00000000-0005-0000-0000-0000F0010000}"/>
    <cellStyle name="Обычный 8 4" xfId="186" xr:uid="{00000000-0005-0000-0000-0000F1010000}"/>
    <cellStyle name="Обычный 8_Навчання_підписка (3) 2" xfId="541" xr:uid="{00000000-0005-0000-0000-0000F2010000}"/>
    <cellStyle name="Обычный 9" xfId="187" xr:uid="{00000000-0005-0000-0000-0000F3010000}"/>
    <cellStyle name="Обычный 9 2" xfId="188" xr:uid="{00000000-0005-0000-0000-0000F4010000}"/>
    <cellStyle name="Обычный_акт моб.связи_10_11" xfId="449" xr:uid="{00000000-0005-0000-0000-0000F5010000}"/>
    <cellStyle name="Підсумок" xfId="427" xr:uid="{00000000-0005-0000-0000-0000F6010000}"/>
    <cellStyle name="Плохой 2" xfId="189" xr:uid="{00000000-0005-0000-0000-0000F7010000}"/>
    <cellStyle name="Плохой 2 2" xfId="428" xr:uid="{00000000-0005-0000-0000-0000F8010000}"/>
    <cellStyle name="Плохой 2_КВ Чхім 0108 вар3" xfId="429" xr:uid="{00000000-0005-0000-0000-0000F9010000}"/>
    <cellStyle name="Плохой 3" xfId="430" xr:uid="{00000000-0005-0000-0000-0000FA010000}"/>
    <cellStyle name="Поганий" xfId="431" xr:uid="{00000000-0005-0000-0000-0000FB010000}"/>
    <cellStyle name="Пояснение 2" xfId="190" xr:uid="{00000000-0005-0000-0000-0000FC010000}"/>
    <cellStyle name="Правка" xfId="550" xr:uid="{00000000-0005-0000-0000-0000FD010000}"/>
    <cellStyle name="Примечание 2" xfId="191" xr:uid="{00000000-0005-0000-0000-0000FE010000}"/>
    <cellStyle name="Примечание 2 2" xfId="235" xr:uid="{00000000-0005-0000-0000-0000FF010000}"/>
    <cellStyle name="Примечание 2 3" xfId="542" xr:uid="{00000000-0005-0000-0000-000000020000}"/>
    <cellStyle name="Примечание 2_КВ Чхім 0108 вар3" xfId="432" xr:uid="{00000000-0005-0000-0000-000001020000}"/>
    <cellStyle name="Примечание 3" xfId="433" xr:uid="{00000000-0005-0000-0000-000002020000}"/>
    <cellStyle name="Примітка" xfId="434" xr:uid="{00000000-0005-0000-0000-000003020000}"/>
    <cellStyle name="Процентный 2" xfId="8" xr:uid="{00000000-0005-0000-0000-000005020000}"/>
    <cellStyle name="Процентный 2 2" xfId="192" xr:uid="{00000000-0005-0000-0000-000006020000}"/>
    <cellStyle name="Процентный 2 2 2" xfId="193" xr:uid="{00000000-0005-0000-0000-000007020000}"/>
    <cellStyle name="Процентный 2 3" xfId="194" xr:uid="{00000000-0005-0000-0000-000008020000}"/>
    <cellStyle name="Процентный 3" xfId="195" xr:uid="{00000000-0005-0000-0000-000009020000}"/>
    <cellStyle name="Процентный 3 2" xfId="196" xr:uid="{00000000-0005-0000-0000-00000A020000}"/>
    <cellStyle name="Процентный 4" xfId="197" xr:uid="{00000000-0005-0000-0000-00000B020000}"/>
    <cellStyle name="Процентный 4 2" xfId="543" xr:uid="{00000000-0005-0000-0000-00000C020000}"/>
    <cellStyle name="Процентный 4 3" xfId="544" xr:uid="{00000000-0005-0000-0000-00000D020000}"/>
    <cellStyle name="Процентный 5" xfId="198" xr:uid="{00000000-0005-0000-0000-00000E020000}"/>
    <cellStyle name="Процентный 5 2" xfId="435" xr:uid="{00000000-0005-0000-0000-00000F020000}"/>
    <cellStyle name="Процентный 6" xfId="236" xr:uid="{00000000-0005-0000-0000-000010020000}"/>
    <cellStyle name="Процентный 7" xfId="548" xr:uid="{00000000-0005-0000-0000-000011020000}"/>
    <cellStyle name="Результат 1" xfId="436" xr:uid="{00000000-0005-0000-0000-000012020000}"/>
    <cellStyle name="Связанная ячейка 2" xfId="199" xr:uid="{00000000-0005-0000-0000-000013020000}"/>
    <cellStyle name="Связанная ячейка 3" xfId="437" xr:uid="{00000000-0005-0000-0000-000014020000}"/>
    <cellStyle name="Середній" xfId="438" xr:uid="{00000000-0005-0000-0000-000015020000}"/>
    <cellStyle name="Текст ведомостей" xfId="439" xr:uid="{00000000-0005-0000-0000-000016020000}"/>
    <cellStyle name="Текст попередження" xfId="440" xr:uid="{00000000-0005-0000-0000-000017020000}"/>
    <cellStyle name="Текст пояснення" xfId="441" xr:uid="{00000000-0005-0000-0000-000018020000}"/>
    <cellStyle name="Текст предупреждения 2" xfId="200" xr:uid="{00000000-0005-0000-0000-000019020000}"/>
    <cellStyle name="Тысячи [0]_D_Edit (2)" xfId="442" xr:uid="{00000000-0005-0000-0000-00001A020000}"/>
    <cellStyle name="Тысячи_D_Edit (2)" xfId="443" xr:uid="{00000000-0005-0000-0000-00001B020000}"/>
    <cellStyle name="Финансовый [0] 2" xfId="201" xr:uid="{00000000-0005-0000-0000-00001D020000}"/>
    <cellStyle name="Финансовый 2" xfId="3" xr:uid="{00000000-0005-0000-0000-00001E020000}"/>
    <cellStyle name="Финансовый 2 2" xfId="202" xr:uid="{00000000-0005-0000-0000-00001F020000}"/>
    <cellStyle name="Финансовый 2 2 2" xfId="203" xr:uid="{00000000-0005-0000-0000-000020020000}"/>
    <cellStyle name="Финансовый 2 3" xfId="204" xr:uid="{00000000-0005-0000-0000-000021020000}"/>
    <cellStyle name="Финансовый 2 4" xfId="205" xr:uid="{00000000-0005-0000-0000-000022020000}"/>
    <cellStyle name="Финансовый 2 5" xfId="206" xr:uid="{00000000-0005-0000-0000-000023020000}"/>
    <cellStyle name="Финансовый 2 6" xfId="207" xr:uid="{00000000-0005-0000-0000-000024020000}"/>
    <cellStyle name="Финансовый 3" xfId="4" xr:uid="{00000000-0005-0000-0000-000025020000}"/>
    <cellStyle name="Финансовый 3 2" xfId="208" xr:uid="{00000000-0005-0000-0000-000026020000}"/>
    <cellStyle name="Финансовый 3 3" xfId="209" xr:uid="{00000000-0005-0000-0000-000027020000}"/>
    <cellStyle name="Финансовый 3 4" xfId="210" xr:uid="{00000000-0005-0000-0000-000028020000}"/>
    <cellStyle name="Финансовый 4" xfId="211" xr:uid="{00000000-0005-0000-0000-000029020000}"/>
    <cellStyle name="Финансовый 4 2" xfId="444" xr:uid="{00000000-0005-0000-0000-00002A020000}"/>
    <cellStyle name="Фінансовий" xfId="559" builtinId="3"/>
    <cellStyle name="Фінансовий 2" xfId="212" xr:uid="{00000000-0005-0000-0000-00002B020000}"/>
    <cellStyle name="Хороший 2" xfId="213" xr:uid="{00000000-0005-0000-0000-00002C020000}"/>
    <cellStyle name="Хороший 2 2" xfId="445" xr:uid="{00000000-0005-0000-0000-00002D020000}"/>
    <cellStyle name="Хороший 2_КВ Чхім 0108 вар3" xfId="446" xr:uid="{00000000-0005-0000-0000-00002E020000}"/>
    <cellStyle name="Хороший 3" xfId="447" xr:uid="{00000000-0005-0000-0000-00002F020000}"/>
  </cellStyles>
  <dxfs count="47">
    <dxf>
      <font>
        <color theme="0" tint="-0.499984740745262"/>
      </font>
    </dxf>
    <dxf>
      <font>
        <b/>
        <i val="0"/>
      </font>
      <fill>
        <patternFill>
          <bgColor rgb="FFFF0000"/>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0000FF"/>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4.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externalLink" Target="externalLinks/externalLink39.xml"/><Relationship Id="rId128"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externalLink" Target="externalLinks/externalLink34.xml"/><Relationship Id="rId134" Type="http://schemas.openxmlformats.org/officeDocument/2006/relationships/externalLink" Target="externalLinks/externalLink50.xml"/><Relationship Id="rId139" Type="http://schemas.openxmlformats.org/officeDocument/2006/relationships/externalLink" Target="externalLinks/externalLink55.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24" Type="http://schemas.openxmlformats.org/officeDocument/2006/relationships/externalLink" Target="externalLinks/externalLink40.xml"/><Relationship Id="rId129" Type="http://schemas.openxmlformats.org/officeDocument/2006/relationships/externalLink" Target="externalLinks/externalLink4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externalLink" Target="externalLinks/externalLink3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130" Type="http://schemas.openxmlformats.org/officeDocument/2006/relationships/externalLink" Target="externalLinks/externalLink46.xml"/><Relationship Id="rId135" Type="http://schemas.openxmlformats.org/officeDocument/2006/relationships/externalLink" Target="externalLinks/externalLink5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externalLink" Target="externalLinks/externalLink36.xml"/><Relationship Id="rId125" Type="http://schemas.openxmlformats.org/officeDocument/2006/relationships/externalLink" Target="externalLinks/externalLink41.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131" Type="http://schemas.openxmlformats.org/officeDocument/2006/relationships/externalLink" Target="externalLinks/externalLink47.xml"/><Relationship Id="rId136" Type="http://schemas.openxmlformats.org/officeDocument/2006/relationships/externalLink" Target="externalLinks/externalLink5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26"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externalLink" Target="externalLinks/externalLink37.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137"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32" Type="http://schemas.openxmlformats.org/officeDocument/2006/relationships/externalLink" Target="externalLinks/externalLink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2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externalLink" Target="externalLinks/externalLink38.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33" Type="http://schemas.openxmlformats.org/officeDocument/2006/relationships/externalLink" Target="externalLinks/externalLink49.xml"/><Relationship Id="rId16" Type="http://schemas.openxmlformats.org/officeDocument/2006/relationships/worksheet" Target="worksheets/sheet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4724-4EA2-896A-283C952E127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8_Паливо'!$A$121:$A$124</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8_Паливо'!$B$121:$B$124</c:f>
              <c:numCache>
                <c:formatCode>0.00</c:formatCode>
                <c:ptCount val="4"/>
                <c:pt idx="0">
                  <c:v>52940.37</c:v>
                </c:pt>
                <c:pt idx="1">
                  <c:v>236.45</c:v>
                </c:pt>
                <c:pt idx="2">
                  <c:v>1454.22</c:v>
                </c:pt>
                <c:pt idx="3">
                  <c:v>2483.81</c:v>
                </c:pt>
              </c:numCache>
            </c:numRef>
          </c:val>
          <c:extLst>
            <c:ext xmlns:c16="http://schemas.microsoft.com/office/drawing/2014/chart" uri="{C3380CC4-5D6E-409C-BE32-E72D297353CC}">
              <c16:uniqueId val="{00000001-4724-4EA2-896A-283C952E127D}"/>
            </c:ext>
          </c:extLst>
        </c:ser>
        <c:ser>
          <c:idx val="1"/>
          <c:order val="1"/>
          <c:explosion val="25"/>
          <c:cat>
            <c:strRef>
              <c:f>'Д 8_Паливо'!$A$121:$A$124</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8_Паливо'!$C$121:$C$124</c:f>
              <c:numCache>
                <c:formatCode>0%</c:formatCode>
                <c:ptCount val="4"/>
                <c:pt idx="0">
                  <c:v>0.93</c:v>
                </c:pt>
                <c:pt idx="1">
                  <c:v>0</c:v>
                </c:pt>
                <c:pt idx="2">
                  <c:v>0.03</c:v>
                </c:pt>
                <c:pt idx="3">
                  <c:v>0.04</c:v>
                </c:pt>
              </c:numCache>
            </c:numRef>
          </c:val>
          <c:extLst>
            <c:ext xmlns:c16="http://schemas.microsoft.com/office/drawing/2014/chart" uri="{C3380CC4-5D6E-409C-BE32-E72D297353CC}">
              <c16:uniqueId val="{00000002-4724-4EA2-896A-283C952E127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Виробництво_Транспортування_1ст!$B$182:$B$190</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Виробництво_Транспортування_1ст!$C$182:$C$190</c:f>
              <c:numCache>
                <c:formatCode>0.00%</c:formatCode>
                <c:ptCount val="9"/>
                <c:pt idx="0">
                  <c:v>7.4499999999999997E-2</c:v>
                </c:pt>
                <c:pt idx="1">
                  <c:v>1.6400000000000001E-2</c:v>
                </c:pt>
                <c:pt idx="2">
                  <c:v>0.80910000000000004</c:v>
                </c:pt>
                <c:pt idx="3">
                  <c:v>6.8999999999999999E-3</c:v>
                </c:pt>
                <c:pt idx="4">
                  <c:v>5.9999999999999995E-4</c:v>
                </c:pt>
                <c:pt idx="5">
                  <c:v>3.3399999999999999E-2</c:v>
                </c:pt>
                <c:pt idx="6">
                  <c:v>4.7000000000000002E-3</c:v>
                </c:pt>
                <c:pt idx="7">
                  <c:v>1.0999999999999999E-2</c:v>
                </c:pt>
                <c:pt idx="8">
                  <c:v>4.3400000000000001E-2</c:v>
                </c:pt>
              </c:numCache>
            </c:numRef>
          </c:val>
          <c:extLst>
            <c:ext xmlns:c16="http://schemas.microsoft.com/office/drawing/2014/chart" uri="{C3380CC4-5D6E-409C-BE32-E72D297353CC}">
              <c16:uniqueId val="{00000000-30ED-4EA1-AAD8-66D98AB6C6BF}"/>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Виробництво_Транспортування_1ст!$B$182:$B$190</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Виробництво_Транспортування_1ст!$E$182:$E$190</c:f>
              <c:numCache>
                <c:formatCode>0.00%</c:formatCode>
                <c:ptCount val="9"/>
                <c:pt idx="0">
                  <c:v>0.1135</c:v>
                </c:pt>
                <c:pt idx="1">
                  <c:v>2.5000000000000001E-2</c:v>
                </c:pt>
                <c:pt idx="2">
                  <c:v>0.77329999999999999</c:v>
                </c:pt>
                <c:pt idx="3">
                  <c:v>1.1299999999999999E-2</c:v>
                </c:pt>
                <c:pt idx="4">
                  <c:v>8.0000000000000004E-4</c:v>
                </c:pt>
                <c:pt idx="5">
                  <c:v>5.3400000000000003E-2</c:v>
                </c:pt>
                <c:pt idx="6">
                  <c:v>0</c:v>
                </c:pt>
                <c:pt idx="7">
                  <c:v>1.77E-2</c:v>
                </c:pt>
                <c:pt idx="8">
                  <c:v>4.8999999999999998E-3</c:v>
                </c:pt>
              </c:numCache>
            </c:numRef>
          </c:val>
          <c:extLst>
            <c:ext xmlns:c16="http://schemas.microsoft.com/office/drawing/2014/chart" uri="{C3380CC4-5D6E-409C-BE32-E72D297353CC}">
              <c16:uniqueId val="{00000000-ED5C-4DBD-B729-2EAA9C96FC0C}"/>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6806590271687292E-2"/>
          <c:y val="2.7645716347209838E-2"/>
          <c:w val="0.69817124297651711"/>
          <c:h val="0.89147563290146503"/>
        </c:manualLayout>
      </c:layout>
      <c:bar3DChart>
        <c:barDir val="col"/>
        <c:grouping val="clustered"/>
        <c:varyColors val="0"/>
        <c:ser>
          <c:idx val="0"/>
          <c:order val="0"/>
          <c:tx>
            <c:strRef>
              <c:f>Виробництво_Транспортування_1ст!$B$198</c:f>
              <c:strCache>
                <c:ptCount val="1"/>
                <c:pt idx="0">
                  <c:v>Зарплата</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(Виробництво_Транспортування_1ст!$C$198,Виробництво_Транспортування_1ст!$E$198)</c:f>
              <c:numCache>
                <c:formatCode>0.00%</c:formatCode>
                <c:ptCount val="2"/>
                <c:pt idx="0">
                  <c:v>0.16889999999999999</c:v>
                </c:pt>
                <c:pt idx="1">
                  <c:v>0.45190000000000002</c:v>
                </c:pt>
              </c:numCache>
            </c:numRef>
          </c:val>
          <c:extLst>
            <c:ext xmlns:c16="http://schemas.microsoft.com/office/drawing/2014/chart" uri="{C3380CC4-5D6E-409C-BE32-E72D297353CC}">
              <c16:uniqueId val="{00000000-C644-4760-8DEA-D3396C8B2081}"/>
            </c:ext>
          </c:extLst>
        </c:ser>
        <c:ser>
          <c:idx val="2"/>
          <c:order val="1"/>
          <c:tx>
            <c:strRef>
              <c:f>Виробництво_Транспортування_1ст!$B$199</c:f>
              <c:strCache>
                <c:ptCount val="1"/>
                <c:pt idx="0">
                  <c:v>Відрахування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(Виробництво_Транспортування_1ст!$C$199,Виробництво_Транспортування_1ст!$E$199)</c:f>
              <c:numCache>
                <c:formatCode>0.00%</c:formatCode>
                <c:ptCount val="2"/>
                <c:pt idx="0">
                  <c:v>3.7199999999999997E-2</c:v>
                </c:pt>
                <c:pt idx="1">
                  <c:v>9.9400000000000002E-2</c:v>
                </c:pt>
              </c:numCache>
            </c:numRef>
          </c:val>
          <c:extLst>
            <c:ext xmlns:c16="http://schemas.microsoft.com/office/drawing/2014/chart" uri="{C3380CC4-5D6E-409C-BE32-E72D297353CC}">
              <c16:uniqueId val="{00000001-C644-4760-8DEA-D3396C8B2081}"/>
            </c:ext>
          </c:extLst>
        </c:ser>
        <c:ser>
          <c:idx val="1"/>
          <c:order val="2"/>
          <c:tx>
            <c:strRef>
              <c:f>Виробництво_Транспортування_1ст!$B$200</c:f>
              <c:strCache>
                <c:ptCount val="1"/>
                <c:pt idx="0">
                  <c:v>витрати на покриття втрат теплової енергії в теплових мережах</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(Виробництво_Транспортування_1ст!$C$200,Виробництво_Транспортування_1ст!$E$200)</c:f>
              <c:numCache>
                <c:formatCode>0.00%</c:formatCode>
                <c:ptCount val="2"/>
                <c:pt idx="0">
                  <c:v>0.48399999999999999</c:v>
                </c:pt>
                <c:pt idx="1">
                  <c:v>0</c:v>
                </c:pt>
              </c:numCache>
            </c:numRef>
          </c:val>
          <c:extLst>
            <c:ext xmlns:c16="http://schemas.microsoft.com/office/drawing/2014/chart" uri="{C3380CC4-5D6E-409C-BE32-E72D297353CC}">
              <c16:uniqueId val="{00000002-C644-4760-8DEA-D3396C8B2081}"/>
            </c:ext>
          </c:extLst>
        </c:ser>
        <c:ser>
          <c:idx val="3"/>
          <c:order val="3"/>
          <c:tx>
            <c:strRef>
              <c:f>Виробництво_Транспортування_1ст!$B$201</c:f>
              <c:strCache>
                <c:ptCount val="1"/>
                <c:pt idx="0">
                  <c:v>електроенергія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(Виробництво_Транспортування_1ст!$C$201,Виробництво_Транспортування_1ст!$E$201)</c:f>
              <c:numCache>
                <c:formatCode>0.00%</c:formatCode>
                <c:ptCount val="2"/>
                <c:pt idx="0">
                  <c:v>0.10979999999999999</c:v>
                </c:pt>
                <c:pt idx="1">
                  <c:v>0.31159999999999999</c:v>
                </c:pt>
              </c:numCache>
            </c:numRef>
          </c:val>
          <c:extLst>
            <c:ext xmlns:c16="http://schemas.microsoft.com/office/drawing/2014/chart" uri="{C3380CC4-5D6E-409C-BE32-E72D297353CC}">
              <c16:uniqueId val="{00000003-C644-4760-8DEA-D3396C8B2081}"/>
            </c:ext>
          </c:extLst>
        </c:ser>
        <c:ser>
          <c:idx val="4"/>
          <c:order val="4"/>
          <c:tx>
            <c:strRef>
              <c:f>Виробництво_Транспортування_1ст!$B$202</c:f>
              <c:strCache>
                <c:ptCount val="1"/>
                <c:pt idx="0">
                  <c:v>водопостачання, водовідведення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(Виробництво_Транспортування_1ст!$C$202,Виробництво_Транспортування_1ст!$E$202)</c:f>
              <c:numCache>
                <c:formatCode>0.00%</c:formatCode>
                <c:ptCount val="2"/>
                <c:pt idx="0">
                  <c:v>2.6499999999999999E-2</c:v>
                </c:pt>
                <c:pt idx="1">
                  <c:v>2.24E-2</c:v>
                </c:pt>
              </c:numCache>
            </c:numRef>
          </c:val>
          <c:extLst>
            <c:ext xmlns:c16="http://schemas.microsoft.com/office/drawing/2014/chart" uri="{C3380CC4-5D6E-409C-BE32-E72D297353CC}">
              <c16:uniqueId val="{00000004-C644-4760-8DEA-D3396C8B2081}"/>
            </c:ext>
          </c:extLst>
        </c:ser>
        <c:ser>
          <c:idx val="5"/>
          <c:order val="5"/>
          <c:tx>
            <c:strRef>
              <c:f>Виробництво_Транспортування_1ст!$B$203</c:f>
              <c:strCache>
                <c:ptCount val="1"/>
                <c:pt idx="0">
                  <c:v>амортизація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(Виробництво_Транспортування_1ст!$C$203,Виробництво_Транспортування_1ст!$E$203)</c:f>
              <c:numCache>
                <c:formatCode>0.00%</c:formatCode>
                <c:ptCount val="2"/>
                <c:pt idx="0">
                  <c:v>1.2699999999999999E-2</c:v>
                </c:pt>
                <c:pt idx="1">
                  <c:v>7.7200000000000005E-2</c:v>
                </c:pt>
              </c:numCache>
            </c:numRef>
          </c:val>
          <c:extLst>
            <c:ext xmlns:c16="http://schemas.microsoft.com/office/drawing/2014/chart" uri="{C3380CC4-5D6E-409C-BE32-E72D297353CC}">
              <c16:uniqueId val="{00000005-C644-4760-8DEA-D3396C8B2081}"/>
            </c:ext>
          </c:extLst>
        </c:ser>
        <c:ser>
          <c:idx val="6"/>
          <c:order val="6"/>
          <c:tx>
            <c:strRef>
              <c:f>Виробництво_Транспортування_1ст!$B$204</c:f>
              <c:strCache>
                <c:ptCount val="1"/>
                <c:pt idx="0">
                  <c:v>податки</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(Виробництво_Транспортування_1ст!$C$204,Виробництво_Транспортування_1ст!$E$204)</c:f>
              <c:numCache>
                <c:formatCode>0.00%</c:formatCode>
                <c:ptCount val="2"/>
                <c:pt idx="0">
                  <c:v>0</c:v>
                </c:pt>
                <c:pt idx="1">
                  <c:v>0</c:v>
                </c:pt>
              </c:numCache>
            </c:numRef>
          </c:val>
          <c:extLst>
            <c:ext xmlns:c16="http://schemas.microsoft.com/office/drawing/2014/chart" uri="{C3380CC4-5D6E-409C-BE32-E72D297353CC}">
              <c16:uniqueId val="{00000006-C644-4760-8DEA-D3396C8B2081}"/>
            </c:ext>
          </c:extLst>
        </c:ser>
        <c:ser>
          <c:idx val="7"/>
          <c:order val="7"/>
          <c:tx>
            <c:strRef>
              <c:f>Виробництво_Транспортування_1ст!$B$205</c:f>
              <c:strCache>
                <c:ptCount val="1"/>
                <c:pt idx="0">
                  <c:v>Ремонти</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(Виробництво_Транспортування_1ст!$C$205,Виробництво_Транспортування_1ст!$E$205)</c:f>
              <c:numCache>
                <c:formatCode>0.00%</c:formatCode>
                <c:ptCount val="2"/>
                <c:pt idx="0">
                  <c:v>0</c:v>
                </c:pt>
                <c:pt idx="1">
                  <c:v>0</c:v>
                </c:pt>
              </c:numCache>
            </c:numRef>
          </c:val>
          <c:extLst>
            <c:ext xmlns:c16="http://schemas.microsoft.com/office/drawing/2014/chart" uri="{C3380CC4-5D6E-409C-BE32-E72D297353CC}">
              <c16:uniqueId val="{00000007-C644-4760-8DEA-D3396C8B2081}"/>
            </c:ext>
          </c:extLst>
        </c:ser>
        <c:ser>
          <c:idx val="8"/>
          <c:order val="8"/>
          <c:tx>
            <c:strRef>
              <c:f>Виробництво_Транспортування_1ст!$B$206</c:f>
              <c:strCache>
                <c:ptCount val="1"/>
                <c:pt idx="0">
                  <c:v>інші</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(Виробництво_Транспортування_1ст!$C$206,Виробництво_Транспортування_1ст!$E$206)</c:f>
              <c:numCache>
                <c:formatCode>0.00%</c:formatCode>
                <c:ptCount val="2"/>
                <c:pt idx="0">
                  <c:v>0.16089999999999999</c:v>
                </c:pt>
                <c:pt idx="1">
                  <c:v>3.7499999999999999E-2</c:v>
                </c:pt>
              </c:numCache>
            </c:numRef>
          </c:val>
          <c:extLst>
            <c:ext xmlns:c16="http://schemas.microsoft.com/office/drawing/2014/chart" uri="{C3380CC4-5D6E-409C-BE32-E72D297353CC}">
              <c16:uniqueId val="{00000008-C644-4760-8DEA-D3396C8B2081}"/>
            </c:ext>
          </c:extLst>
        </c:ser>
        <c:dLbls>
          <c:showLegendKey val="0"/>
          <c:showVal val="0"/>
          <c:showCatName val="0"/>
          <c:showSerName val="0"/>
          <c:showPercent val="0"/>
          <c:showBubbleSize val="0"/>
        </c:dLbls>
        <c:gapWidth val="150"/>
        <c:shape val="box"/>
        <c:axId val="73588096"/>
        <c:axId val="73471104"/>
        <c:axId val="0"/>
      </c:bar3DChart>
      <c:catAx>
        <c:axId val="73588096"/>
        <c:scaling>
          <c:orientation val="minMax"/>
        </c:scaling>
        <c:delete val="0"/>
        <c:axPos val="b"/>
        <c:numFmt formatCode="General" sourceLinked="0"/>
        <c:majorTickMark val="out"/>
        <c:minorTickMark val="none"/>
        <c:tickLblPos val="nextTo"/>
        <c:crossAx val="73471104"/>
        <c:crosses val="autoZero"/>
        <c:auto val="1"/>
        <c:lblAlgn val="ctr"/>
        <c:lblOffset val="100"/>
        <c:noMultiLvlLbl val="0"/>
      </c:catAx>
      <c:valAx>
        <c:axId val="73471104"/>
        <c:scaling>
          <c:orientation val="minMax"/>
        </c:scaling>
        <c:delete val="0"/>
        <c:axPos val="l"/>
        <c:majorGridlines/>
        <c:numFmt formatCode="0.00%" sourceLinked="1"/>
        <c:majorTickMark val="out"/>
        <c:minorTickMark val="none"/>
        <c:tickLblPos val="nextTo"/>
        <c:crossAx val="73588096"/>
        <c:crosses val="autoZero"/>
        <c:crossBetween val="between"/>
      </c:valAx>
    </c:plotArea>
    <c:legend>
      <c:legendPos val="r"/>
      <c:layout>
        <c:manualLayout>
          <c:xMode val="edge"/>
          <c:yMode val="edge"/>
          <c:x val="0.81322752725064817"/>
          <c:y val="2.0054231891332267E-2"/>
          <c:w val="0.17606255842866642"/>
          <c:h val="0.9648716158986151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Постачання_1ст!$B$73:$B$82</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Постачання_1ст!$C$73:$C$82</c:f>
              <c:numCache>
                <c:formatCode>0.00%</c:formatCode>
                <c:ptCount val="10"/>
                <c:pt idx="0">
                  <c:v>0.66979999999999995</c:v>
                </c:pt>
                <c:pt idx="1">
                  <c:v>0.1474</c:v>
                </c:pt>
                <c:pt idx="2">
                  <c:v>0</c:v>
                </c:pt>
                <c:pt idx="3">
                  <c:v>0</c:v>
                </c:pt>
                <c:pt idx="4">
                  <c:v>0</c:v>
                </c:pt>
                <c:pt idx="5">
                  <c:v>0</c:v>
                </c:pt>
                <c:pt idx="6">
                  <c:v>0</c:v>
                </c:pt>
                <c:pt idx="7">
                  <c:v>0</c:v>
                </c:pt>
                <c:pt idx="8">
                  <c:v>0.18279999999999999</c:v>
                </c:pt>
                <c:pt idx="9">
                  <c:v>0</c:v>
                </c:pt>
              </c:numCache>
            </c:numRef>
          </c:val>
          <c:extLst>
            <c:ext xmlns:c16="http://schemas.microsoft.com/office/drawing/2014/chart" uri="{C3380CC4-5D6E-409C-BE32-E72D297353CC}">
              <c16:uniqueId val="{00000000-8677-4130-9130-07E2BA51A94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Постачання_1ст!$B$73:$B$82</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Постачання_1ст!$E$73:$E$82</c:f>
              <c:numCache>
                <c:formatCode>0.00%</c:formatCode>
                <c:ptCount val="10"/>
                <c:pt idx="0">
                  <c:v>0.78759999999999997</c:v>
                </c:pt>
                <c:pt idx="1">
                  <c:v>0.17319999999999999</c:v>
                </c:pt>
                <c:pt idx="2">
                  <c:v>0</c:v>
                </c:pt>
                <c:pt idx="3">
                  <c:v>0</c:v>
                </c:pt>
                <c:pt idx="4">
                  <c:v>0</c:v>
                </c:pt>
                <c:pt idx="5">
                  <c:v>3.5299999999999998E-2</c:v>
                </c:pt>
                <c:pt idx="6">
                  <c:v>0</c:v>
                </c:pt>
                <c:pt idx="7">
                  <c:v>0</c:v>
                </c:pt>
                <c:pt idx="8">
                  <c:v>3.8999999999999998E-3</c:v>
                </c:pt>
                <c:pt idx="9">
                  <c:v>0</c:v>
                </c:pt>
              </c:numCache>
            </c:numRef>
          </c:val>
          <c:extLst>
            <c:ext xmlns:c16="http://schemas.microsoft.com/office/drawing/2014/chart" uri="{C3380CC4-5D6E-409C-BE32-E72D297353CC}">
              <c16:uniqueId val="{00000000-F175-45A8-9B53-7481C1687B4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201683</xdr:colOff>
      <xdr:row>116</xdr:row>
      <xdr:rowOff>110573</xdr:rowOff>
    </xdr:from>
    <xdr:to>
      <xdr:col>8</xdr:col>
      <xdr:colOff>123826</xdr:colOff>
      <xdr:row>135</xdr:row>
      <xdr:rowOff>50938</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14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12007</xdr:colOff>
      <xdr:row>41</xdr:row>
      <xdr:rowOff>162357</xdr:rowOff>
    </xdr:from>
    <xdr:to>
      <xdr:col>11</xdr:col>
      <xdr:colOff>225719</xdr:colOff>
      <xdr:row>49</xdr:row>
      <xdr:rowOff>54117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flipV="1">
          <a:off x="4633797" y="10380084"/>
          <a:ext cx="2584138" cy="12772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40</xdr:row>
      <xdr:rowOff>76199</xdr:rowOff>
    </xdr:from>
    <xdr:to>
      <xdr:col>11</xdr:col>
      <xdr:colOff>226835</xdr:colOff>
      <xdr:row>44</xdr:row>
      <xdr:rowOff>104774</xdr:rowOff>
    </xdr:to>
    <xdr:sp macro="" textlink="">
      <xdr:nvSpPr>
        <xdr:cNvPr id="3" name="Стрелка вниз 2">
          <a:extLst>
            <a:ext uri="{FF2B5EF4-FFF2-40B4-BE49-F238E27FC236}">
              <a16:creationId xmlns:a16="http://schemas.microsoft.com/office/drawing/2014/main" id="{00000000-0008-0000-1800-000003000000}"/>
            </a:ext>
          </a:extLst>
        </xdr:cNvPr>
        <xdr:cNvSpPr/>
      </xdr:nvSpPr>
      <xdr:spPr>
        <a:xfrm rot="10800000">
          <a:off x="4676771" y="8753474"/>
          <a:ext cx="2550939" cy="7524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10</xdr:row>
      <xdr:rowOff>40822</xdr:rowOff>
    </xdr:from>
    <xdr:to>
      <xdr:col>25</xdr:col>
      <xdr:colOff>176892</xdr:colOff>
      <xdr:row>13</xdr:row>
      <xdr:rowOff>163286</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10</xdr:row>
      <xdr:rowOff>68037</xdr:rowOff>
    </xdr:from>
    <xdr:to>
      <xdr:col>18</xdr:col>
      <xdr:colOff>408214</xdr:colOff>
      <xdr:row>13</xdr:row>
      <xdr:rowOff>129269</xdr:rowOff>
    </xdr:to>
    <xdr:sp macro="" textlink="">
      <xdr:nvSpPr>
        <xdr:cNvPr id="5" name="Стрелка вниз 4">
          <a:extLst>
            <a:ext uri="{FF2B5EF4-FFF2-40B4-BE49-F238E27FC236}">
              <a16:creationId xmlns:a16="http://schemas.microsoft.com/office/drawing/2014/main" id="{00000000-0008-0000-18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314960</xdr:colOff>
      <xdr:row>180</xdr:row>
      <xdr:rowOff>20320</xdr:rowOff>
    </xdr:from>
    <xdr:to>
      <xdr:col>12</xdr:col>
      <xdr:colOff>0</xdr:colOff>
      <xdr:row>193</xdr:row>
      <xdr:rowOff>121920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345440</xdr:colOff>
      <xdr:row>195</xdr:row>
      <xdr:rowOff>60960</xdr:rowOff>
    </xdr:from>
    <xdr:to>
      <xdr:col>12</xdr:col>
      <xdr:colOff>30480</xdr:colOff>
      <xdr:row>208</xdr:row>
      <xdr:rowOff>142240</xdr:rowOff>
    </xdr:to>
    <xdr:graphicFrame macro="">
      <xdr:nvGraphicFramePr>
        <xdr:cNvPr id="3" name="Диаграмма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528320</xdr:colOff>
      <xdr:row>209</xdr:row>
      <xdr:rowOff>60960</xdr:rowOff>
    </xdr:from>
    <xdr:to>
      <xdr:col>6</xdr:col>
      <xdr:colOff>457200</xdr:colOff>
      <xdr:row>234</xdr:row>
      <xdr:rowOff>81280</xdr:rowOff>
    </xdr:to>
    <xdr:graphicFrame macro="">
      <xdr:nvGraphicFramePr>
        <xdr:cNvPr id="4" name="Диаграмма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558800</xdr:colOff>
      <xdr:row>84</xdr:row>
      <xdr:rowOff>40640</xdr:rowOff>
    </xdr:from>
    <xdr:to>
      <xdr:col>3</xdr:col>
      <xdr:colOff>20320</xdr:colOff>
      <xdr:row>97</xdr:row>
      <xdr:rowOff>142240</xdr:rowOff>
    </xdr:to>
    <xdr:graphicFrame macro="">
      <xdr:nvGraphicFramePr>
        <xdr:cNvPr id="2" name="Диаграмма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84</xdr:row>
      <xdr:rowOff>10160</xdr:rowOff>
    </xdr:from>
    <xdr:to>
      <xdr:col>9</xdr:col>
      <xdr:colOff>20320</xdr:colOff>
      <xdr:row>97</xdr:row>
      <xdr:rowOff>111760</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390525</xdr:colOff>
      <xdr:row>30</xdr:row>
      <xdr:rowOff>44823</xdr:rowOff>
    </xdr:from>
    <xdr:to>
      <xdr:col>29</xdr:col>
      <xdr:colOff>558193</xdr:colOff>
      <xdr:row>37</xdr:row>
      <xdr:rowOff>142874</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6562854" y="7010399"/>
          <a:ext cx="3977668" cy="20792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1058;&#1077;&#1087;&#1083;&#1086;%20&#1090;&#1072;&#1088;&#1080;&#1092;%202021-2022%20&#1088;&#1077;&#1083;&#1080;&#1075;&#1080;&#1103;%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2;&#1086;&#1076;&#107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5;&#1052;&#105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89;&#1087;&#1077;&#1094;&#1086;&#1076;&#1103;&#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4;&#105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0;&#1084;&#1086;&#1088;&#1090;&#1080;&#1079;&#1072;&#1094;&#1080;&#1103;%20&#1062;&#1077;&#1085;&#1090;&#1088;.%20&#1082;&#1086;&#1090;&#1077;&#1083;&#1100;&#1085;&#1072;&#1103;%20&#1053;&#105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8;&#105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4;&#1077;&#1088;&#1072;&#1090;&#1080;&#1079;&#1072;&#1094;&#1110;&#1103;,&#1076;&#1077;&#1079;&#1080;&#1085;&#1092;&#1077;&#1082;&#1094;&#1110;&#1103;,%20&#1074;&#1080;&#1074;&#1110;&#1079;%20&#1089;&#1084;&#1110;&#1090;&#1090;&#11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89;&#1090;&#1088;&#1072;&#1093;&#1091;&#1074;&#1072;&#1085;&#1085;&#1103;%20&#1084;&#1072;&#1081;&#1085;&#1072;%20&#1085;&#1072;%20&#1094;&#108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7;&#1074;&#1103;&#1079;&#1086;&#108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5;&#1086;&#1076;&#1072;&#1090;&#1082;&#1080;%20&#1090;&#1072;%20&#1079;&#1073;&#1086;&#1088;&#108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0;&#1084;&#1086;&#1088;&#1090;&#1080;&#1079;&#1072;&#1094;&#1080;&#1103;%20&#1090;&#1077;&#1087;&#1083;&#1086;&#1090;&#1088;&#1072;&#1089;&#1089;&#1072;%20&#1053;&#105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90;&#1088;&#1072;&#1089;&#1072;2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5;&#1056;&#1054;&#1044;&#1059;&#1050;&#1058;%20&#1058;&#1072;&#1088;&#1080;&#1092;_&#1050;&#1055;&#1063;&#1058;&#1045;_2021_2022%20&#1078;&#1086;&#1074;&#1090;&#1077;&#1085;&#1100;%20&#1053;%2010-7420%20&#1073;&#1102;&#1076;&#1078;%20&#1088;&#1077;&#1083;-16554%20&#1087;&#1088;%2024933%20&#1073;&#1077;&#1079;%20&#1043;&#1055;%20&#1073;&#1077;&#1079;%20&#1056;&#1058;_(&#1076;&#1083;&#1103;%20&#1088;&#1072;&#1073;&#1086;&#1090;&#1099;)%20&#8212;%20&#1082;&#1086;&#1087;&#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0;&#1091;&#1088;&#1099;%20202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42;&#1057;&#1045;%20&#1055;&#1056;&#1054;%20&#1058;&#1040;&#1056;&#1048;&#1060;%20&#1053;&#1040;%20&#1058;&#1045;&#1055;&#1051;&#1054;/&#1056;&#1086;&#1079;&#1088;&#1072;&#1093;&#1091;&#1085;&#1086;&#1082;%20&#1079;&#1072;&#1088;&#1087;&#1083;&#1072;&#1090;&#108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040;&#1052;&#1055;&#1059;%20&#1058;&#1040;&#1056;&#1048;&#1060;%20&#1058;&#1045;&#1055;&#1051;&#1054;/&#1056;&#1086;&#1079;&#1088;&#1072;&#1093;&#1091;&#1085;&#1086;&#1082;%20&#1079;&#1072;&#1088;&#1087;&#1083;&#1072;&#1090;&#108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1055;&#1083;&#1072;&#1090;&#1072;%20&#1040;&#1054;\&#1042;&#1053;&#1045;&#1057;&#1050;&#1048;+&#1040;&#1054;%202021-2022%20&#1055;&#1051;&#1040;&#105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1055;&#1083;&#1072;&#1090;&#1072;%20&#1040;&#1054;\&#1040;&#1073;&#1086;&#1085;&#1087;&#1083;&#1072;&#1090;&#1072;%202021%200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1042;&#1086;&#1076;&#1072;%20%20&#1058;&#1072;&#1088;&#1080;&#1092;%202021-2022%20%20&#1073;&#1077;&#1079;%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КОНТРОЛЬ"/>
      <sheetName val="Реестр прям.дог."/>
      <sheetName val="Реестр вед."/>
      <sheetName val="Реестр бюджет"/>
      <sheetName val="Реестр религия"/>
      <sheetName val="Реестр інші 21"/>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1"/>
      <sheetName val="Соотношение"/>
      <sheetName val="Абонплата"/>
      <sheetName val="Динаміка"/>
      <sheetName val="Сч.ЦТП"/>
      <sheetName val="Лист2"/>
      <sheetName val="Лист4"/>
      <sheetName val="Додаток 12"/>
      <sheetName val="Лист3"/>
      <sheetName val="Лист6"/>
      <sheetName val="Лист5"/>
      <sheetName val="Тепло тариф 2021-2022 религия +"/>
    </sheetNames>
    <sheetDataSet>
      <sheetData sheetId="0"/>
      <sheetData sheetId="1"/>
      <sheetData sheetId="2"/>
      <sheetData sheetId="3"/>
      <sheetData sheetId="4"/>
      <sheetData sheetId="5"/>
      <sheetData sheetId="6"/>
      <sheetData sheetId="7">
        <row r="436">
          <cell r="BF436">
            <v>1.6609087752817323E-3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G14">
            <v>2</v>
          </cell>
        </row>
        <row r="16">
          <cell r="G16">
            <v>0</v>
          </cell>
        </row>
        <row r="17">
          <cell r="G17">
            <v>0</v>
          </cell>
          <cell r="M17">
            <v>0</v>
          </cell>
          <cell r="P17">
            <v>0</v>
          </cell>
        </row>
        <row r="18">
          <cell r="M18">
            <v>0</v>
          </cell>
          <cell r="P18">
            <v>0</v>
          </cell>
        </row>
        <row r="20">
          <cell r="G20">
            <v>0</v>
          </cell>
        </row>
        <row r="21">
          <cell r="G21">
            <v>0</v>
          </cell>
        </row>
        <row r="22">
          <cell r="M22">
            <v>0</v>
          </cell>
          <cell r="P22">
            <v>0</v>
          </cell>
        </row>
        <row r="24">
          <cell r="G24">
            <v>0</v>
          </cell>
        </row>
        <row r="25">
          <cell r="G25">
            <v>0</v>
          </cell>
        </row>
        <row r="27">
          <cell r="G27">
            <v>0</v>
          </cell>
          <cell r="K27">
            <v>0</v>
          </cell>
          <cell r="L27">
            <v>0</v>
          </cell>
          <cell r="M27">
            <v>0</v>
          </cell>
        </row>
      </sheetData>
      <sheetData sheetId="23"/>
      <sheetData sheetId="24"/>
      <sheetData sheetId="25">
        <row r="4">
          <cell r="B4">
            <v>8.2398431070000004</v>
          </cell>
        </row>
      </sheetData>
      <sheetData sheetId="26">
        <row r="2039">
          <cell r="Q2039">
            <v>49.720426077615386</v>
          </cell>
        </row>
      </sheetData>
      <sheetData sheetId="27">
        <row r="54">
          <cell r="R54">
            <v>9.688709620754107</v>
          </cell>
        </row>
      </sheetData>
      <sheetData sheetId="28"/>
      <sheetData sheetId="29"/>
      <sheetData sheetId="30"/>
      <sheetData sheetId="31"/>
      <sheetData sheetId="32"/>
      <sheetData sheetId="33">
        <row r="99">
          <cell r="F99">
            <v>73.218445368369501</v>
          </cell>
        </row>
      </sheetData>
      <sheetData sheetId="34"/>
      <sheetData sheetId="35"/>
      <sheetData sheetId="36"/>
      <sheetData sheetId="37">
        <row r="27">
          <cell r="B27">
            <v>7.6285699999999999</v>
          </cell>
          <cell r="C27">
            <v>6.6293199999999999</v>
          </cell>
          <cell r="D27">
            <v>3.46</v>
          </cell>
          <cell r="E27">
            <v>0.42</v>
          </cell>
          <cell r="F27">
            <v>1.9191499999999999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1">
          <cell r="I11">
            <v>4278.3999999999996</v>
          </cell>
        </row>
        <row r="12">
          <cell r="D12">
            <v>23046</v>
          </cell>
          <cell r="F12">
            <v>1158.4000000000001</v>
          </cell>
          <cell r="G12">
            <v>1063.5999999999999</v>
          </cell>
          <cell r="H12">
            <v>21887.599999999999</v>
          </cell>
        </row>
        <row r="18">
          <cell r="F18">
            <v>152</v>
          </cell>
          <cell r="G18">
            <v>152</v>
          </cell>
          <cell r="H18">
            <v>24</v>
          </cell>
          <cell r="I18">
            <v>24</v>
          </cell>
        </row>
        <row r="21">
          <cell r="F21">
            <v>1310.4000000000001</v>
          </cell>
          <cell r="G21">
            <v>1215.5999999999999</v>
          </cell>
          <cell r="H21">
            <v>21911.599999999999</v>
          </cell>
          <cell r="I21">
            <v>4278.3999999999996</v>
          </cell>
          <cell r="K21">
            <v>8</v>
          </cell>
        </row>
        <row r="22">
          <cell r="F22">
            <v>18.45</v>
          </cell>
          <cell r="G22">
            <v>16.38</v>
          </cell>
          <cell r="H22">
            <v>18.45</v>
          </cell>
          <cell r="I22">
            <v>16.38</v>
          </cell>
        </row>
        <row r="23">
          <cell r="J23">
            <v>0.15</v>
          </cell>
          <cell r="K23">
            <v>0.13</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E4">
            <v>57103.199999999997</v>
          </cell>
        </row>
        <row r="5">
          <cell r="E5">
            <v>2310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ецодяг та СІЗ"/>
      <sheetName val="спецодяг та СІЗ (полное списан)"/>
      <sheetName val="матеріали на техніку безпеки"/>
      <sheetName val="Лист2"/>
      <sheetName val="Медогляд"/>
    </sheetNames>
    <sheetDataSet>
      <sheetData sheetId="0"/>
      <sheetData sheetId="1"/>
      <sheetData sheetId="2">
        <row r="9">
          <cell r="AL9">
            <v>9172.9081800000004</v>
          </cell>
        </row>
      </sheetData>
      <sheetData sheetId="3">
        <row r="11">
          <cell r="AH11">
            <v>23798.032320000002</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еріали на техніку безпеки"/>
      <sheetName val="Навчання"/>
      <sheetName val="Сантехнічні вироби"/>
      <sheetName val="Медогляд"/>
    </sheetNames>
    <sheetDataSet>
      <sheetData sheetId="0">
        <row r="11">
          <cell r="AL11">
            <v>502.79</v>
          </cell>
        </row>
        <row r="12">
          <cell r="AL12">
            <v>3263.0195199999998</v>
          </cell>
        </row>
      </sheetData>
      <sheetData sheetId="1">
        <row r="8">
          <cell r="E8">
            <v>845</v>
          </cell>
        </row>
      </sheetData>
      <sheetData sheetId="2">
        <row r="11">
          <cell r="AF11">
            <v>22408.77</v>
          </cell>
        </row>
        <row r="13">
          <cell r="AF13">
            <v>18500.11</v>
          </cell>
        </row>
        <row r="33">
          <cell r="AE33">
            <v>2926.56</v>
          </cell>
        </row>
      </sheetData>
      <sheetData sheetId="3">
        <row r="21">
          <cell r="I21">
            <v>13837.99806</v>
          </cell>
        </row>
        <row r="22">
          <cell r="I22">
            <v>8764.2505799999999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0">
          <cell r="AC10">
            <v>2255003.7600000002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нічне обслуговування"/>
      <sheetName val="ремонтні роботи"/>
      <sheetName val="послуги служби пожежної охорони"/>
    </sheetNames>
    <sheetDataSet>
      <sheetData sheetId="0">
        <row r="5">
          <cell r="E5">
            <v>163</v>
          </cell>
        </row>
        <row r="12">
          <cell r="E12">
            <v>13.8</v>
          </cell>
        </row>
        <row r="13">
          <cell r="E13">
            <v>740.1</v>
          </cell>
        </row>
      </sheetData>
      <sheetData sheetId="1"/>
      <sheetData sheetId="2">
        <row r="5">
          <cell r="B5">
            <v>231.28</v>
          </cell>
        </row>
        <row r="7">
          <cell r="B7">
            <v>107.43</v>
          </cell>
          <cell r="C7">
            <v>2.34</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F4">
            <v>0.61199999999999999</v>
          </cell>
        </row>
        <row r="7">
          <cell r="F7">
            <v>15.34</v>
          </cell>
        </row>
        <row r="14">
          <cell r="G14">
            <v>0.09</v>
          </cell>
        </row>
        <row r="18">
          <cell r="G18">
            <v>1.27</v>
          </cell>
        </row>
        <row r="19">
          <cell r="G19">
            <v>0.21</v>
          </cell>
        </row>
        <row r="24">
          <cell r="G24">
            <v>4.74</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34">
          <cell r="H34">
            <v>5700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4273.92</v>
          </cell>
        </row>
        <row r="8">
          <cell r="D8">
            <v>1251.24</v>
          </cell>
        </row>
        <row r="9">
          <cell r="D9">
            <v>2136.96</v>
          </cell>
        </row>
        <row r="12">
          <cell r="F12">
            <v>10.050000000000001</v>
          </cell>
        </row>
        <row r="16">
          <cell r="F16">
            <v>0.11559999999999999</v>
          </cell>
        </row>
        <row r="18">
          <cell r="F18">
            <v>0.17</v>
          </cell>
        </row>
        <row r="19">
          <cell r="F19">
            <v>1.7000000000000001E-2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6">
          <cell r="D6">
            <v>319.43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0">
          <cell r="AC10">
            <v>227880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9">
          <cell r="Y19">
            <v>4.2126000000000001</v>
          </cell>
        </row>
        <row r="46">
          <cell r="Y46">
            <v>223.66740000000001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КОНТРОЛЬ 2"/>
      <sheetName val="ТЕ_2ст_тариф_з ЦТП"/>
      <sheetName val="ТЕ_2ст_тариф_без ЦТП"/>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8">
          <cell r="H58">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1">
          <cell r="H11">
            <v>24.78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0">
          <cell r="C20">
            <v>23</v>
          </cell>
        </row>
        <row r="28">
          <cell r="C28">
            <v>17</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1">
          <cell r="U21">
            <v>5029512.2</v>
          </cell>
        </row>
        <row r="24">
          <cell r="W24">
            <v>120712.82</v>
          </cell>
        </row>
        <row r="25">
          <cell r="W25">
            <v>241425.64</v>
          </cell>
        </row>
        <row r="29">
          <cell r="U29">
            <v>3023129.02</v>
          </cell>
        </row>
        <row r="34">
          <cell r="U34">
            <v>612305.03</v>
          </cell>
        </row>
        <row r="74">
          <cell r="AE74">
            <v>2619764.48</v>
          </cell>
        </row>
        <row r="100">
          <cell r="AB100">
            <v>976614.82</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ні"/>
      <sheetName val="ВКО"/>
      <sheetName val="АО"/>
      <sheetName val="структура ВКО+АО"/>
      <sheetName val="амортиз"/>
      <sheetName val="банкам"/>
      <sheetName val="фоп"/>
      <sheetName val="вода"/>
      <sheetName val="ЕЕ"/>
      <sheetName val="повірка"/>
      <sheetName val="ТБ"/>
      <sheetName val="работи факт 2020"/>
      <sheetName val="перелік ВКО"/>
      <sheetName val="спецпит"/>
      <sheetName val="зв'язок"/>
      <sheetName val="статист"/>
      <sheetName val="обміний фонд"/>
      <sheetName val="оплата+нарах насел"/>
      <sheetName val="оплата+ нарах інші"/>
    </sheetNames>
    <sheetDataSet>
      <sheetData sheetId="0"/>
      <sheetData sheetId="1">
        <row r="5">
          <cell r="D5">
            <v>580.14566000000013</v>
          </cell>
          <cell r="E5">
            <v>1119.0635000000002</v>
          </cell>
          <cell r="F5">
            <v>2055.3156899999999</v>
          </cell>
          <cell r="G5">
            <v>2166.4285972935895</v>
          </cell>
        </row>
        <row r="6">
          <cell r="D6">
            <v>78.287910000000011</v>
          </cell>
          <cell r="E6">
            <v>92.435559999999995</v>
          </cell>
          <cell r="F6">
            <v>51.323249999999994</v>
          </cell>
          <cell r="G6">
            <v>87.735970309999999</v>
          </cell>
        </row>
        <row r="14">
          <cell r="D14">
            <v>367.40439000000003</v>
          </cell>
          <cell r="E14">
            <v>803.88669000000004</v>
          </cell>
          <cell r="F14">
            <v>1219.1129000000001</v>
          </cell>
        </row>
        <row r="17">
          <cell r="D17">
            <v>73.685980000000015</v>
          </cell>
          <cell r="E17">
            <v>148.97603000000001</v>
          </cell>
          <cell r="F17">
            <v>231.16956999999999</v>
          </cell>
        </row>
        <row r="18">
          <cell r="D18">
            <v>1.0371300000000001</v>
          </cell>
          <cell r="E18">
            <v>11.38326</v>
          </cell>
          <cell r="F18">
            <v>4.0729100000000003</v>
          </cell>
          <cell r="G18">
            <v>15.86242</v>
          </cell>
        </row>
        <row r="29">
          <cell r="G29">
            <v>40.833329999999997</v>
          </cell>
        </row>
      </sheetData>
      <sheetData sheetId="2">
        <row r="5">
          <cell r="D5">
            <v>807.07224999999994</v>
          </cell>
          <cell r="E5">
            <v>2034.7742816666666</v>
          </cell>
          <cell r="F5">
            <v>3204.2974699999995</v>
          </cell>
          <cell r="G5">
            <v>3441.6639611253713</v>
          </cell>
        </row>
        <row r="6">
          <cell r="D6">
            <v>36.007809999999999</v>
          </cell>
          <cell r="E6">
            <v>71.275361666666669</v>
          </cell>
          <cell r="F6">
            <v>78.303200000000004</v>
          </cell>
          <cell r="G6">
            <v>65.354310341666661</v>
          </cell>
        </row>
        <row r="17">
          <cell r="D17">
            <v>494.33675999999997</v>
          </cell>
          <cell r="E17">
            <v>1196.44625</v>
          </cell>
          <cell r="F17">
            <v>1860.4795999999999</v>
          </cell>
        </row>
        <row r="20">
          <cell r="D20">
            <v>97.560969999999998</v>
          </cell>
          <cell r="E20">
            <v>256.35195999999996</v>
          </cell>
          <cell r="F20">
            <v>401.08775000000003</v>
          </cell>
        </row>
        <row r="21">
          <cell r="D21">
            <v>4.2049500000000002</v>
          </cell>
          <cell r="E21">
            <v>10.09188</v>
          </cell>
          <cell r="F21">
            <v>12.589230000000001</v>
          </cell>
          <cell r="G21">
            <v>23.737419999999997</v>
          </cell>
        </row>
        <row r="40">
          <cell r="G40">
            <v>51</v>
          </cell>
        </row>
      </sheetData>
      <sheetData sheetId="3">
        <row r="9">
          <cell r="D9">
            <v>114.29572000000002</v>
          </cell>
          <cell r="E9">
            <v>163.71092166666665</v>
          </cell>
          <cell r="F9">
            <v>129.62645000000001</v>
          </cell>
          <cell r="G9">
            <v>153.09028065166666</v>
          </cell>
        </row>
        <row r="10">
          <cell r="D10">
            <v>861.74115000000006</v>
          </cell>
          <cell r="E10">
            <v>2000.33294</v>
          </cell>
          <cell r="F10">
            <v>3079.5924999999997</v>
          </cell>
          <cell r="G10">
            <v>3949.8928721999996</v>
          </cell>
        </row>
        <row r="12">
          <cell r="D12">
            <v>171.24695000000003</v>
          </cell>
          <cell r="E12">
            <v>405.32799</v>
          </cell>
          <cell r="F12">
            <v>632.25732000000005</v>
          </cell>
          <cell r="G12">
            <v>788.60740736651996</v>
          </cell>
        </row>
        <row r="13">
          <cell r="D13">
            <v>5.2420800000000005</v>
          </cell>
          <cell r="E13">
            <v>21.47514</v>
          </cell>
          <cell r="F13">
            <v>16.662140000000001</v>
          </cell>
          <cell r="G13">
            <v>39.59984</v>
          </cell>
        </row>
      </sheetData>
      <sheetData sheetId="4"/>
      <sheetData sheetId="5">
        <row r="52">
          <cell r="E52">
            <v>429.25623333333334</v>
          </cell>
        </row>
      </sheetData>
      <sheetData sheetId="6"/>
      <sheetData sheetId="7"/>
      <sheetData sheetId="8"/>
      <sheetData sheetId="9">
        <row r="426">
          <cell r="G426">
            <v>111499.13250000017</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Прямі"/>
      <sheetName val="ОП"/>
      <sheetName val="ЕЕ"/>
      <sheetName val="Структура"/>
      <sheetName val="розрахунок"/>
      <sheetName val="Банкам"/>
      <sheetName val="Гран розмір"/>
      <sheetName val="Утилізація"/>
      <sheetName val="ФОП"/>
      <sheetName val="Амортизація"/>
      <sheetName val="картридж"/>
      <sheetName val="командировки"/>
      <sheetName val="мин зпл"/>
      <sheetName val="матеріали"/>
      <sheetName val="Довідка"/>
      <sheetName val="Довідка 2"/>
      <sheetName val="Абонплата 2021 02"/>
    </sheetNames>
    <sheetDataSet>
      <sheetData sheetId="0"/>
      <sheetData sheetId="1">
        <row r="15">
          <cell r="G15">
            <v>78303.202929999999</v>
          </cell>
        </row>
        <row r="16">
          <cell r="G16">
            <v>1860479.5978000001</v>
          </cell>
        </row>
        <row r="19">
          <cell r="G19">
            <v>401087.75403099996</v>
          </cell>
        </row>
        <row r="25">
          <cell r="G25">
            <v>12589.230000000003</v>
          </cell>
        </row>
        <row r="67">
          <cell r="G67">
            <v>851837.67450492794</v>
          </cell>
        </row>
      </sheetData>
      <sheetData sheetId="2"/>
      <sheetData sheetId="3"/>
      <sheetData sheetId="4"/>
      <sheetData sheetId="5"/>
      <sheetData sheetId="6"/>
      <sheetData sheetId="7">
        <row r="4">
          <cell r="E4">
            <v>31.147308000000002</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даток + економ"/>
      <sheetName val="Душові сітки"/>
      <sheetName val="2. вода ГП"/>
      <sheetName val="3. Продувка ВК"/>
      <sheetName val="4. насып вес кат-т"/>
      <sheetName val="5. вода и фильтроцикл"/>
      <sheetName val="6. вода на реген. фил."/>
      <sheetName val="7. Вода та сіль Свод"/>
      <sheetName val="8. Пара"/>
      <sheetName val="2019-2020"/>
      <sheetName val="2017-2018"/>
      <sheetName val="2018-2019"/>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Тариф 2021-2022  без 2018"/>
    </sheetNames>
    <sheetDataSet>
      <sheetData sheetId="0">
        <row r="92">
          <cell r="J92">
            <v>0</v>
          </cell>
        </row>
        <row r="93">
          <cell r="J93">
            <v>0</v>
          </cell>
        </row>
        <row r="94">
          <cell r="J94">
            <v>0</v>
          </cell>
        </row>
        <row r="95">
          <cell r="J95">
            <v>0</v>
          </cell>
        </row>
      </sheetData>
      <sheetData sheetId="1">
        <row r="47">
          <cell r="E47">
            <v>232.25</v>
          </cell>
          <cell r="F47">
            <v>116</v>
          </cell>
        </row>
      </sheetData>
      <sheetData sheetId="2">
        <row r="92">
          <cell r="E92">
            <v>214.48750000000001</v>
          </cell>
          <cell r="F92">
            <v>293.91499999999996</v>
          </cell>
          <cell r="G92">
            <v>6.8100000000000005</v>
          </cell>
          <cell r="H92">
            <v>86.1</v>
          </cell>
          <cell r="I92">
            <v>51.075000000000003</v>
          </cell>
          <cell r="J92">
            <v>61.029999999999994</v>
          </cell>
          <cell r="K92">
            <v>41.61</v>
          </cell>
        </row>
      </sheetData>
      <sheetData sheetId="3"/>
      <sheetData sheetId="4"/>
      <sheetData sheetId="5"/>
      <sheetData sheetId="6"/>
      <sheetData sheetId="7">
        <row r="9">
          <cell r="N9">
            <v>27884.48450000001</v>
          </cell>
          <cell r="Q9">
            <v>4177.46</v>
          </cell>
          <cell r="AR9">
            <v>1618.3941408691476</v>
          </cell>
          <cell r="AY9">
            <v>2099.0099999999998</v>
          </cell>
        </row>
        <row r="10">
          <cell r="N10">
            <v>0.68088994036536077</v>
          </cell>
          <cell r="Q10">
            <v>7.7731300000000001</v>
          </cell>
        </row>
        <row r="75">
          <cell r="V75">
            <v>122.1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zakon2.rada.gov.ua/laws/show/z0643-16/prin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Q77"/>
  <sheetViews>
    <sheetView view="pageBreakPreview" zoomScaleNormal="100" zoomScaleSheetLayoutView="100" workbookViewId="0">
      <selection activeCell="F9" sqref="F9"/>
    </sheetView>
  </sheetViews>
  <sheetFormatPr defaultColWidth="9.140625" defaultRowHeight="15.75" outlineLevelRow="1" x14ac:dyDescent="0.25"/>
  <cols>
    <col min="1" max="1" width="2.42578125" style="58" customWidth="1"/>
    <col min="2" max="2" width="61.140625" style="58" customWidth="1"/>
    <col min="3" max="4" width="15.42578125" style="58" customWidth="1"/>
    <col min="5" max="5" width="23.42578125" style="58" customWidth="1"/>
    <col min="6" max="6" width="59.140625" style="58" customWidth="1"/>
    <col min="7" max="16384" width="9.140625" style="58"/>
  </cols>
  <sheetData>
    <row r="1" spans="2:9" x14ac:dyDescent="0.25">
      <c r="F1" s="2815" t="s">
        <v>3137</v>
      </c>
    </row>
    <row r="2" spans="2:9" x14ac:dyDescent="0.25">
      <c r="B2" s="2360" t="s">
        <v>3054</v>
      </c>
      <c r="C2" s="23" t="s">
        <v>557</v>
      </c>
      <c r="D2" s="23"/>
      <c r="E2" s="23"/>
      <c r="F2" s="18"/>
      <c r="G2" s="18"/>
      <c r="I2" s="18"/>
    </row>
    <row r="3" spans="2:9" ht="16.5" thickBot="1" x14ac:dyDescent="0.3">
      <c r="B3" s="57"/>
      <c r="C3" s="57"/>
      <c r="D3" s="57"/>
      <c r="E3" s="57"/>
    </row>
    <row r="4" spans="2:9" ht="48.75" customHeight="1" thickBot="1" x14ac:dyDescent="0.3">
      <c r="B4" s="1387" t="s">
        <v>431</v>
      </c>
      <c r="C4" s="59"/>
      <c r="D4" s="1189"/>
      <c r="E4" s="77"/>
      <c r="F4" s="1190" t="s">
        <v>3430</v>
      </c>
    </row>
    <row r="5" spans="2:9" ht="16.5" thickBot="1" x14ac:dyDescent="0.3">
      <c r="B5" s="1191" t="s">
        <v>922</v>
      </c>
      <c r="C5" s="1191"/>
      <c r="D5" s="1192"/>
      <c r="E5" s="324"/>
      <c r="F5" s="1190" t="s">
        <v>3138</v>
      </c>
    </row>
    <row r="6" spans="2:9" ht="22.5" customHeight="1" x14ac:dyDescent="0.25">
      <c r="B6" s="1193" t="s">
        <v>432</v>
      </c>
      <c r="C6" s="1193"/>
      <c r="D6" s="1192"/>
      <c r="E6" s="78"/>
      <c r="F6" s="1194" t="s">
        <v>3139</v>
      </c>
    </row>
    <row r="7" spans="2:9" x14ac:dyDescent="0.25">
      <c r="B7" s="68" t="s">
        <v>204</v>
      </c>
      <c r="C7" s="68"/>
      <c r="E7" s="75"/>
      <c r="F7" s="64">
        <v>2021</v>
      </c>
    </row>
    <row r="8" spans="2:9" x14ac:dyDescent="0.25">
      <c r="B8" s="1195" t="s">
        <v>433</v>
      </c>
      <c r="C8" s="1195"/>
      <c r="E8" s="106"/>
      <c r="F8" s="93">
        <v>2020</v>
      </c>
    </row>
    <row r="9" spans="2:9" ht="35.25" customHeight="1" thickBot="1" x14ac:dyDescent="0.3">
      <c r="B9" s="1195" t="s">
        <v>577</v>
      </c>
      <c r="C9" s="1195"/>
      <c r="E9" s="106"/>
      <c r="F9" s="2540" t="s">
        <v>3438</v>
      </c>
      <c r="G9" s="1898"/>
    </row>
    <row r="10" spans="2:9" ht="32.25" thickBot="1" x14ac:dyDescent="0.3">
      <c r="B10" s="1196" t="s">
        <v>640</v>
      </c>
      <c r="C10" s="1196"/>
      <c r="D10" s="1189"/>
      <c r="E10" s="165"/>
      <c r="F10" s="1197" t="s">
        <v>2246</v>
      </c>
    </row>
    <row r="11" spans="2:9" ht="16.5" thickBot="1" x14ac:dyDescent="0.3">
      <c r="B11" s="1198" t="s">
        <v>1584</v>
      </c>
      <c r="C11" s="1197" t="s">
        <v>3</v>
      </c>
      <c r="D11" s="1199" t="s">
        <v>2707</v>
      </c>
      <c r="E11" s="1197" t="s">
        <v>749</v>
      </c>
      <c r="F11" s="1200" t="s">
        <v>162</v>
      </c>
    </row>
    <row r="12" spans="2:9" ht="24" customHeight="1" x14ac:dyDescent="0.25">
      <c r="B12" s="1191" t="s">
        <v>434</v>
      </c>
      <c r="C12" s="1191"/>
      <c r="D12" s="1192"/>
      <c r="E12" s="78"/>
      <c r="F12" s="80"/>
    </row>
    <row r="13" spans="2:9" x14ac:dyDescent="0.25">
      <c r="B13" s="74" t="s">
        <v>3253</v>
      </c>
      <c r="C13" s="2506"/>
      <c r="D13" s="1898"/>
      <c r="E13" s="2507"/>
      <c r="F13" s="2812" t="s">
        <v>3167</v>
      </c>
    </row>
    <row r="14" spans="2:9" x14ac:dyDescent="0.25">
      <c r="B14" s="74" t="s">
        <v>3165</v>
      </c>
      <c r="C14" s="2506"/>
      <c r="D14" s="1898"/>
      <c r="E14" s="2507"/>
      <c r="F14" s="2812" t="s">
        <v>3170</v>
      </c>
    </row>
    <row r="15" spans="2:9" x14ac:dyDescent="0.25">
      <c r="B15" s="74" t="s">
        <v>3166</v>
      </c>
      <c r="C15" s="2506"/>
      <c r="D15" s="1898"/>
      <c r="E15" s="2507"/>
      <c r="F15" s="2812" t="s">
        <v>3168</v>
      </c>
    </row>
    <row r="16" spans="2:9" x14ac:dyDescent="0.25">
      <c r="B16" s="74" t="s">
        <v>436</v>
      </c>
      <c r="C16" s="2506"/>
      <c r="D16" s="1898"/>
      <c r="E16" s="2507"/>
      <c r="F16" s="2812" t="s">
        <v>3169</v>
      </c>
    </row>
    <row r="17" spans="2:17" hidden="1" x14ac:dyDescent="0.25">
      <c r="B17" s="74"/>
      <c r="C17" s="68"/>
      <c r="E17" s="75"/>
      <c r="F17" s="64"/>
    </row>
    <row r="18" spans="2:17" ht="16.5" thickBot="1" x14ac:dyDescent="0.3">
      <c r="B18" s="74" t="s">
        <v>3247</v>
      </c>
      <c r="C18" s="68"/>
      <c r="E18" s="75"/>
      <c r="F18" s="64" t="s">
        <v>3248</v>
      </c>
    </row>
    <row r="19" spans="2:17" ht="32.25" hidden="1" thickBot="1" x14ac:dyDescent="0.3">
      <c r="B19" s="69" t="s">
        <v>578</v>
      </c>
      <c r="C19" s="68"/>
      <c r="E19" s="75"/>
      <c r="F19" s="64" t="s">
        <v>579</v>
      </c>
    </row>
    <row r="20" spans="2:17" ht="32.25" thickBot="1" x14ac:dyDescent="0.3">
      <c r="B20" s="59" t="s">
        <v>440</v>
      </c>
      <c r="C20" s="61" t="s">
        <v>9</v>
      </c>
      <c r="D20" s="62" t="s">
        <v>441</v>
      </c>
      <c r="E20" s="62" t="s">
        <v>442</v>
      </c>
      <c r="F20" s="63" t="s">
        <v>3432</v>
      </c>
    </row>
    <row r="21" spans="2:17" ht="16.5" customHeight="1" x14ac:dyDescent="0.25">
      <c r="B21" s="92" t="s">
        <v>437</v>
      </c>
      <c r="C21" s="93" t="s">
        <v>438</v>
      </c>
      <c r="D21" s="60"/>
      <c r="E21" s="60"/>
      <c r="F21" s="60"/>
    </row>
    <row r="22" spans="2:17" s="57" customFormat="1" ht="16.5" customHeight="1" x14ac:dyDescent="0.25">
      <c r="B22" s="84" t="s">
        <v>3029</v>
      </c>
      <c r="C22" s="93" t="s">
        <v>438</v>
      </c>
      <c r="D22" s="98"/>
      <c r="E22" s="92"/>
      <c r="F22" s="2528"/>
      <c r="G22" s="58"/>
    </row>
    <row r="23" spans="2:17" ht="16.5" customHeight="1" x14ac:dyDescent="0.25">
      <c r="B23" s="84" t="s">
        <v>3240</v>
      </c>
      <c r="C23" s="93" t="s">
        <v>438</v>
      </c>
      <c r="D23" s="98"/>
      <c r="E23" s="92"/>
      <c r="F23" s="2528"/>
      <c r="H23" s="1540"/>
    </row>
    <row r="24" spans="2:17" ht="16.5" customHeight="1" x14ac:dyDescent="0.25">
      <c r="B24" s="84" t="s">
        <v>3241</v>
      </c>
      <c r="C24" s="93" t="s">
        <v>438</v>
      </c>
      <c r="D24" s="3562">
        <v>30579.98</v>
      </c>
      <c r="E24" s="92"/>
      <c r="F24" s="2528" t="s">
        <v>3443</v>
      </c>
      <c r="H24" s="1541"/>
    </row>
    <row r="25" spans="2:17" ht="16.5" customHeight="1" x14ac:dyDescent="0.25">
      <c r="B25" s="94" t="s">
        <v>818</v>
      </c>
      <c r="C25" s="93" t="s">
        <v>438</v>
      </c>
      <c r="D25" s="98">
        <v>136.58000000000001</v>
      </c>
      <c r="E25" s="92"/>
      <c r="F25" s="2528" t="s">
        <v>831</v>
      </c>
      <c r="H25" s="1541"/>
    </row>
    <row r="26" spans="2:17" ht="16.5" customHeight="1" x14ac:dyDescent="0.25">
      <c r="B26" s="94" t="s">
        <v>817</v>
      </c>
      <c r="C26" s="93" t="s">
        <v>438</v>
      </c>
      <c r="D26" s="98">
        <v>840</v>
      </c>
      <c r="E26" s="92"/>
      <c r="F26" s="2528" t="s">
        <v>2320</v>
      </c>
      <c r="H26" s="1541"/>
    </row>
    <row r="27" spans="2:17" ht="31.5" hidden="1" x14ac:dyDescent="0.25">
      <c r="B27" s="84" t="s">
        <v>2584</v>
      </c>
      <c r="C27" s="93"/>
      <c r="D27" s="98"/>
      <c r="E27" s="64"/>
      <c r="F27" s="1201"/>
      <c r="H27" s="1541"/>
    </row>
    <row r="28" spans="2:17" s="57" customFormat="1" ht="19.5" customHeight="1" x14ac:dyDescent="0.25">
      <c r="B28" s="96" t="s">
        <v>524</v>
      </c>
      <c r="C28" s="93"/>
      <c r="D28" s="92"/>
      <c r="E28" s="92"/>
      <c r="F28" s="92"/>
      <c r="G28" s="58"/>
      <c r="H28" s="1541"/>
    </row>
    <row r="29" spans="2:17" ht="24" customHeight="1" x14ac:dyDescent="0.25">
      <c r="B29" s="2529" t="s">
        <v>763</v>
      </c>
      <c r="C29" s="2530" t="s">
        <v>525</v>
      </c>
      <c r="D29" s="2531">
        <f>'Ціна ее'!C14</f>
        <v>2.2024400000000002</v>
      </c>
      <c r="E29" s="2532"/>
      <c r="F29" s="2533" t="s">
        <v>856</v>
      </c>
      <c r="H29" s="1412"/>
      <c r="P29" s="1127"/>
      <c r="Q29" s="1127"/>
    </row>
    <row r="30" spans="2:17" ht="35.25" customHeight="1" x14ac:dyDescent="0.25">
      <c r="B30" s="2529" t="s">
        <v>1911</v>
      </c>
      <c r="C30" s="2530" t="s">
        <v>525</v>
      </c>
      <c r="D30" s="2534">
        <f>'Ціна ее'!C13</f>
        <v>2.7050000000000001</v>
      </c>
      <c r="E30" s="2535" t="s">
        <v>3132</v>
      </c>
      <c r="F30" s="2533" t="s">
        <v>3242</v>
      </c>
      <c r="H30" s="1412"/>
      <c r="P30" s="1127"/>
      <c r="Q30" s="1127"/>
    </row>
    <row r="31" spans="2:17" ht="31.5" x14ac:dyDescent="0.25">
      <c r="B31" s="2529" t="s">
        <v>762</v>
      </c>
      <c r="C31" s="2530" t="s">
        <v>525</v>
      </c>
      <c r="D31" s="2531">
        <f>'Ціна ее'!D14</f>
        <v>1.02695</v>
      </c>
      <c r="E31" s="2532" t="s">
        <v>3131</v>
      </c>
      <c r="F31" s="2533" t="s">
        <v>2189</v>
      </c>
      <c r="H31" s="1412"/>
      <c r="P31" s="1127"/>
      <c r="Q31" s="1127"/>
    </row>
    <row r="32" spans="2:17" ht="9.75" customHeight="1" x14ac:dyDescent="0.25">
      <c r="B32" s="2529"/>
      <c r="C32" s="2530"/>
      <c r="D32" s="2531"/>
      <c r="E32" s="2532"/>
      <c r="F32" s="2533"/>
      <c r="H32" s="1412"/>
      <c r="P32" s="1127"/>
      <c r="Q32" s="1127"/>
    </row>
    <row r="33" spans="1:17" ht="30" customHeight="1" x14ac:dyDescent="0.25">
      <c r="A33" s="2498"/>
      <c r="B33" s="2529" t="s">
        <v>777</v>
      </c>
      <c r="C33" s="2536" t="s">
        <v>551</v>
      </c>
      <c r="D33" s="2537">
        <f>'Ціна ее'!E14</f>
        <v>6.096E-2</v>
      </c>
      <c r="E33" s="2538"/>
      <c r="F33" s="2539"/>
      <c r="H33" s="1412"/>
      <c r="P33" s="1127"/>
      <c r="Q33" s="1127"/>
    </row>
    <row r="34" spans="1:17" ht="31.5" x14ac:dyDescent="0.25">
      <c r="A34" s="2498"/>
      <c r="B34" s="2529" t="s">
        <v>1912</v>
      </c>
      <c r="C34" s="2536" t="s">
        <v>551</v>
      </c>
      <c r="D34" s="2537">
        <f>'Ціна ее'!E13</f>
        <v>4.5339999999999998E-2</v>
      </c>
      <c r="E34" s="2538"/>
      <c r="F34" s="2539"/>
      <c r="P34" s="1127"/>
      <c r="Q34" s="1127"/>
    </row>
    <row r="35" spans="1:17" ht="31.5" x14ac:dyDescent="0.25">
      <c r="B35" s="83" t="s">
        <v>778</v>
      </c>
      <c r="C35" s="1386" t="s">
        <v>551</v>
      </c>
      <c r="D35" s="3563">
        <v>0</v>
      </c>
      <c r="E35" s="1202"/>
      <c r="F35" s="1201"/>
    </row>
    <row r="36" spans="1:17" ht="31.5" x14ac:dyDescent="0.25">
      <c r="B36" s="83" t="s">
        <v>778</v>
      </c>
      <c r="C36" s="93" t="s">
        <v>551</v>
      </c>
      <c r="D36" s="3563">
        <v>0</v>
      </c>
      <c r="E36" s="1202"/>
      <c r="F36" s="1201"/>
    </row>
    <row r="37" spans="1:17" x14ac:dyDescent="0.25">
      <c r="B37" s="83" t="s">
        <v>552</v>
      </c>
      <c r="C37" s="93" t="s">
        <v>443</v>
      </c>
      <c r="D37" s="98">
        <f>18.45</f>
        <v>18.45</v>
      </c>
      <c r="E37" s="3644" t="s">
        <v>3444</v>
      </c>
      <c r="F37" s="3643" t="s">
        <v>3431</v>
      </c>
      <c r="G37" s="1898"/>
    </row>
    <row r="38" spans="1:17" x14ac:dyDescent="0.25">
      <c r="B38" s="83" t="s">
        <v>553</v>
      </c>
      <c r="C38" s="93" t="s">
        <v>443</v>
      </c>
      <c r="D38" s="98">
        <f>16.38</f>
        <v>16.38</v>
      </c>
      <c r="E38" s="3644"/>
      <c r="F38" s="3643"/>
      <c r="H38" s="1126"/>
      <c r="I38" s="1126"/>
      <c r="J38" s="1126"/>
    </row>
    <row r="39" spans="1:17" ht="31.5" hidden="1" x14ac:dyDescent="0.25">
      <c r="B39" s="83" t="s">
        <v>3171</v>
      </c>
      <c r="C39" s="93"/>
      <c r="D39" s="780">
        <v>0.29099999999999998</v>
      </c>
      <c r="E39" s="781"/>
      <c r="F39" s="782" t="s">
        <v>2102</v>
      </c>
    </row>
    <row r="40" spans="1:17" ht="31.5" hidden="1" x14ac:dyDescent="0.25">
      <c r="B40" s="83" t="s">
        <v>3164</v>
      </c>
      <c r="C40" s="93"/>
      <c r="D40" s="780">
        <v>1</v>
      </c>
      <c r="E40" s="781"/>
      <c r="F40" s="782" t="s">
        <v>2102</v>
      </c>
    </row>
    <row r="41" spans="1:17" ht="4.9000000000000004" customHeight="1" x14ac:dyDescent="0.25">
      <c r="B41" s="83"/>
      <c r="C41" s="93"/>
      <c r="D41" s="780"/>
      <c r="E41" s="781"/>
      <c r="F41" s="782"/>
    </row>
    <row r="42" spans="1:17" hidden="1" x14ac:dyDescent="0.25">
      <c r="B42" s="83" t="s">
        <v>1818</v>
      </c>
      <c r="C42" s="93"/>
      <c r="D42" s="98">
        <v>0</v>
      </c>
      <c r="E42" s="65"/>
      <c r="F42" s="83"/>
    </row>
    <row r="43" spans="1:17" ht="7.15" hidden="1" customHeight="1" x14ac:dyDescent="0.25">
      <c r="B43" s="83"/>
      <c r="C43" s="93"/>
      <c r="D43" s="65"/>
      <c r="E43" s="65"/>
      <c r="F43" s="65"/>
    </row>
    <row r="44" spans="1:17" ht="21.75" customHeight="1" x14ac:dyDescent="0.25">
      <c r="B44" s="94" t="s">
        <v>444</v>
      </c>
      <c r="C44" s="64" t="s">
        <v>4</v>
      </c>
      <c r="D44" s="3564">
        <v>0.22</v>
      </c>
      <c r="E44" s="65"/>
      <c r="F44" s="65"/>
    </row>
    <row r="45" spans="1:17" hidden="1" x14ac:dyDescent="0.25">
      <c r="B45" s="84" t="s">
        <v>445</v>
      </c>
      <c r="C45" s="64" t="s">
        <v>4</v>
      </c>
      <c r="D45" s="1203">
        <v>0</v>
      </c>
      <c r="E45" s="65"/>
      <c r="F45" s="65"/>
    </row>
    <row r="46" spans="1:17" ht="84.75" customHeight="1" x14ac:dyDescent="0.25">
      <c r="B46" s="84" t="s">
        <v>1904</v>
      </c>
      <c r="C46" s="64" t="s">
        <v>4</v>
      </c>
      <c r="D46" s="3564">
        <v>0.04</v>
      </c>
      <c r="E46" s="65"/>
      <c r="F46" s="65" t="s">
        <v>3437</v>
      </c>
      <c r="G46" s="1898"/>
    </row>
    <row r="47" spans="1:17" x14ac:dyDescent="0.25">
      <c r="B47" s="84" t="s">
        <v>1905</v>
      </c>
      <c r="C47" s="64" t="s">
        <v>4</v>
      </c>
      <c r="D47" s="3564">
        <v>0.18</v>
      </c>
      <c r="E47" s="65"/>
      <c r="F47" s="65"/>
    </row>
    <row r="48" spans="1:17" ht="16.5" thickBot="1" x14ac:dyDescent="0.3">
      <c r="B48" s="1204" t="s">
        <v>1965</v>
      </c>
      <c r="C48" s="64" t="s">
        <v>4</v>
      </c>
      <c r="D48" s="1205">
        <v>0.3</v>
      </c>
      <c r="E48" s="1206"/>
      <c r="F48" s="1206"/>
    </row>
    <row r="49" spans="2:7" s="57" customFormat="1" x14ac:dyDescent="0.25">
      <c r="B49" s="103" t="s">
        <v>492</v>
      </c>
      <c r="C49" s="82"/>
      <c r="D49" s="82"/>
      <c r="E49" s="82"/>
      <c r="F49" s="82"/>
      <c r="G49" s="58"/>
    </row>
    <row r="50" spans="2:7" x14ac:dyDescent="0.25">
      <c r="B50" s="83" t="s">
        <v>488</v>
      </c>
      <c r="C50" s="64" t="s">
        <v>468</v>
      </c>
      <c r="D50" s="98">
        <f>'Ср. за 5 лет'!P28</f>
        <v>152</v>
      </c>
      <c r="E50" s="65"/>
      <c r="F50" s="65" t="s">
        <v>3161</v>
      </c>
    </row>
    <row r="51" spans="2:7" x14ac:dyDescent="0.25">
      <c r="B51" s="84" t="s">
        <v>10</v>
      </c>
      <c r="C51" s="64" t="s">
        <v>468</v>
      </c>
      <c r="D51" s="98">
        <f>'Ср. за 5 лет'!E14</f>
        <v>31</v>
      </c>
      <c r="E51" s="65"/>
      <c r="F51" s="65" t="s">
        <v>535</v>
      </c>
    </row>
    <row r="52" spans="2:7" x14ac:dyDescent="0.25">
      <c r="B52" s="84" t="s">
        <v>11</v>
      </c>
      <c r="C52" s="64" t="s">
        <v>468</v>
      </c>
      <c r="D52" s="98">
        <f>'Ср. за 5 лет'!F28</f>
        <v>28</v>
      </c>
      <c r="E52" s="65"/>
      <c r="F52" s="65" t="s">
        <v>3442</v>
      </c>
    </row>
    <row r="53" spans="2:7" x14ac:dyDescent="0.25">
      <c r="B53" s="84" t="s">
        <v>12</v>
      </c>
      <c r="C53" s="64" t="s">
        <v>468</v>
      </c>
      <c r="D53" s="98">
        <f>'Ср. за 5 лет'!G28</f>
        <v>31</v>
      </c>
      <c r="E53" s="65"/>
      <c r="F53" s="65" t="s">
        <v>3161</v>
      </c>
    </row>
    <row r="54" spans="2:7" x14ac:dyDescent="0.25">
      <c r="B54" s="84" t="s">
        <v>13</v>
      </c>
      <c r="C54" s="64" t="s">
        <v>468</v>
      </c>
      <c r="D54" s="98">
        <f>'Ср. за 5 лет'!H28</f>
        <v>1</v>
      </c>
      <c r="E54" s="65"/>
      <c r="F54" s="65" t="s">
        <v>3161</v>
      </c>
    </row>
    <row r="55" spans="2:7" x14ac:dyDescent="0.25">
      <c r="B55" s="84" t="s">
        <v>19</v>
      </c>
      <c r="C55" s="64" t="s">
        <v>468</v>
      </c>
      <c r="D55" s="98">
        <f>D50-D51-D52-D53-D54-D56-D57</f>
        <v>0</v>
      </c>
      <c r="E55" s="65"/>
      <c r="F55" s="65" t="s">
        <v>3161</v>
      </c>
    </row>
    <row r="56" spans="2:7" x14ac:dyDescent="0.25">
      <c r="B56" s="84" t="s">
        <v>20</v>
      </c>
      <c r="C56" s="64" t="s">
        <v>468</v>
      </c>
      <c r="D56" s="98">
        <f>'Ср. за 5 лет'!C28</f>
        <v>30</v>
      </c>
      <c r="E56" s="65"/>
      <c r="F56" s="65" t="s">
        <v>535</v>
      </c>
    </row>
    <row r="57" spans="2:7" x14ac:dyDescent="0.25">
      <c r="B57" s="84" t="s">
        <v>21</v>
      </c>
      <c r="C57" s="64" t="s">
        <v>468</v>
      </c>
      <c r="D57" s="98">
        <f>'Ср. за 5 лет'!D14</f>
        <v>31</v>
      </c>
      <c r="E57" s="65"/>
      <c r="F57" s="65" t="s">
        <v>535</v>
      </c>
    </row>
    <row r="58" spans="2:7" ht="31.5" x14ac:dyDescent="0.25">
      <c r="B58" s="85" t="s">
        <v>490</v>
      </c>
      <c r="C58" s="64" t="s">
        <v>469</v>
      </c>
      <c r="D58" s="64">
        <v>-18</v>
      </c>
      <c r="E58" s="76"/>
      <c r="F58" s="65" t="s">
        <v>554</v>
      </c>
    </row>
    <row r="59" spans="2:7" ht="31.5" x14ac:dyDescent="0.25">
      <c r="B59" s="83" t="s">
        <v>491</v>
      </c>
      <c r="C59" s="64" t="s">
        <v>469</v>
      </c>
      <c r="D59" s="97">
        <f>'Ср. за 5 лет'!P29</f>
        <v>3.75</v>
      </c>
      <c r="E59" s="76"/>
      <c r="F59" s="65" t="s">
        <v>3161</v>
      </c>
    </row>
    <row r="60" spans="2:7" x14ac:dyDescent="0.25">
      <c r="B60" s="74" t="s">
        <v>10</v>
      </c>
      <c r="C60" s="64" t="s">
        <v>469</v>
      </c>
      <c r="D60" s="98">
        <f>'[36]Ср. за 5 лет'!$E$27</f>
        <v>0.42</v>
      </c>
      <c r="F60" s="65" t="s">
        <v>3161</v>
      </c>
    </row>
    <row r="61" spans="2:7" x14ac:dyDescent="0.25">
      <c r="B61" s="74" t="s">
        <v>11</v>
      </c>
      <c r="C61" s="64" t="s">
        <v>469</v>
      </c>
      <c r="D61" s="98">
        <f>'[36]Ср. за 5 лет'!$F$27</f>
        <v>1.92</v>
      </c>
      <c r="E61" s="76"/>
      <c r="F61" s="65" t="s">
        <v>3161</v>
      </c>
    </row>
    <row r="62" spans="2:7" x14ac:dyDescent="0.25">
      <c r="B62" s="74" t="s">
        <v>12</v>
      </c>
      <c r="C62" s="64" t="s">
        <v>469</v>
      </c>
      <c r="D62" s="98">
        <f>'Ср. за 5 лет'!G29</f>
        <v>4.1100000000000003</v>
      </c>
      <c r="E62" s="76"/>
      <c r="F62" s="65" t="s">
        <v>3161</v>
      </c>
    </row>
    <row r="63" spans="2:7" x14ac:dyDescent="0.25">
      <c r="B63" s="74" t="s">
        <v>13</v>
      </c>
      <c r="C63" s="64" t="s">
        <v>469</v>
      </c>
      <c r="D63" s="98">
        <f>'Ср. за 5 лет'!H29</f>
        <v>0.41</v>
      </c>
      <c r="E63" s="76"/>
      <c r="F63" s="65" t="s">
        <v>3161</v>
      </c>
    </row>
    <row r="64" spans="2:7" x14ac:dyDescent="0.25">
      <c r="B64" s="74" t="s">
        <v>139</v>
      </c>
      <c r="C64" s="64" t="s">
        <v>469</v>
      </c>
      <c r="D64" s="98">
        <f>'Ср. за 5 лет'!I29</f>
        <v>0</v>
      </c>
      <c r="F64" s="65" t="s">
        <v>3161</v>
      </c>
    </row>
    <row r="65" spans="2:7" x14ac:dyDescent="0.25">
      <c r="B65" s="74" t="s">
        <v>15</v>
      </c>
      <c r="C65" s="64" t="s">
        <v>469</v>
      </c>
      <c r="D65" s="98">
        <f>'Ср. за 5 лет'!J29</f>
        <v>0</v>
      </c>
      <c r="F65" s="65" t="s">
        <v>3161</v>
      </c>
    </row>
    <row r="66" spans="2:7" x14ac:dyDescent="0.25">
      <c r="B66" s="74" t="s">
        <v>16</v>
      </c>
      <c r="C66" s="64" t="s">
        <v>469</v>
      </c>
      <c r="D66" s="98">
        <f>'Ср. за 5 лет'!K29</f>
        <v>0</v>
      </c>
      <c r="F66" s="65" t="s">
        <v>3161</v>
      </c>
    </row>
    <row r="67" spans="2:7" x14ac:dyDescent="0.25">
      <c r="B67" s="74" t="s">
        <v>17</v>
      </c>
      <c r="C67" s="64" t="s">
        <v>469</v>
      </c>
      <c r="D67" s="98">
        <f>'Ср. за 5 лет'!L29</f>
        <v>0</v>
      </c>
      <c r="F67" s="65" t="s">
        <v>3161</v>
      </c>
    </row>
    <row r="68" spans="2:7" x14ac:dyDescent="0.25">
      <c r="B68" s="74" t="s">
        <v>18</v>
      </c>
      <c r="C68" s="64" t="s">
        <v>469</v>
      </c>
      <c r="D68" s="98">
        <f>'Ср. за 5 лет'!M29</f>
        <v>0</v>
      </c>
      <c r="F68" s="65" t="s">
        <v>3161</v>
      </c>
    </row>
    <row r="69" spans="2:7" x14ac:dyDescent="0.25">
      <c r="B69" s="74" t="s">
        <v>19</v>
      </c>
      <c r="C69" s="64" t="s">
        <v>469</v>
      </c>
      <c r="D69" s="98">
        <f>'[36]Ср. за 5 лет'!$B$27</f>
        <v>7.63</v>
      </c>
      <c r="F69" s="65" t="s">
        <v>3161</v>
      </c>
    </row>
    <row r="70" spans="2:7" x14ac:dyDescent="0.25">
      <c r="B70" s="74" t="s">
        <v>20</v>
      </c>
      <c r="C70" s="64" t="s">
        <v>469</v>
      </c>
      <c r="D70" s="98">
        <f>'[36]Ср. за 5 лет'!$C$27</f>
        <v>6.63</v>
      </c>
      <c r="E70" s="76"/>
      <c r="F70" s="65" t="s">
        <v>3161</v>
      </c>
    </row>
    <row r="71" spans="2:7" ht="16.5" thickBot="1" x14ac:dyDescent="0.3">
      <c r="B71" s="74" t="s">
        <v>21</v>
      </c>
      <c r="C71" s="64" t="s">
        <v>469</v>
      </c>
      <c r="D71" s="98">
        <f>'[36]Ср. за 5 лет'!$D$27</f>
        <v>3.46</v>
      </c>
      <c r="E71" s="76"/>
      <c r="F71" s="65" t="s">
        <v>3161</v>
      </c>
    </row>
    <row r="72" spans="2:7" hidden="1" outlineLevel="1" x14ac:dyDescent="0.25">
      <c r="B72" s="85" t="s">
        <v>523</v>
      </c>
      <c r="C72" s="64"/>
      <c r="D72" s="65"/>
      <c r="E72" s="65"/>
      <c r="F72" s="65"/>
    </row>
    <row r="73" spans="2:7" hidden="1" outlineLevel="1" x14ac:dyDescent="0.25">
      <c r="B73" s="85"/>
      <c r="C73" s="64" t="s">
        <v>469</v>
      </c>
      <c r="D73" s="1207">
        <v>10</v>
      </c>
      <c r="E73" s="65"/>
      <c r="F73" s="76"/>
    </row>
    <row r="74" spans="2:7" hidden="1" outlineLevel="1" x14ac:dyDescent="0.25">
      <c r="B74" s="84" t="s">
        <v>1644</v>
      </c>
      <c r="C74" s="64" t="s">
        <v>469</v>
      </c>
      <c r="D74" s="1207">
        <v>16</v>
      </c>
      <c r="E74" s="65"/>
      <c r="F74" s="76"/>
    </row>
    <row r="75" spans="2:7" ht="16.5" hidden="1" outlineLevel="1" thickBot="1" x14ac:dyDescent="0.3">
      <c r="B75" s="84" t="s">
        <v>1645</v>
      </c>
      <c r="C75" s="64" t="s">
        <v>469</v>
      </c>
      <c r="D75" s="1207">
        <v>18</v>
      </c>
      <c r="E75" s="65"/>
      <c r="F75" s="76" t="s">
        <v>493</v>
      </c>
    </row>
    <row r="76" spans="2:7" ht="16.5" collapsed="1" thickBot="1" x14ac:dyDescent="0.3">
      <c r="B76" s="1196" t="s">
        <v>522</v>
      </c>
      <c r="C76" s="1208" t="s">
        <v>4</v>
      </c>
      <c r="D76" s="2813">
        <v>8.0000000000000002E-3</v>
      </c>
      <c r="E76" s="2517"/>
      <c r="F76" s="1209"/>
      <c r="G76" s="3565" t="s">
        <v>3439</v>
      </c>
    </row>
    <row r="77" spans="2:7" s="1868" customFormat="1" ht="25.5" customHeight="1" thickBot="1" x14ac:dyDescent="0.3">
      <c r="B77" s="1927" t="s">
        <v>3433</v>
      </c>
      <c r="C77" s="1928"/>
      <c r="D77" s="2814">
        <v>1.0620000000000001</v>
      </c>
      <c r="E77" s="1929"/>
      <c r="F77" s="1930" t="s">
        <v>3440</v>
      </c>
    </row>
  </sheetData>
  <mergeCells count="2">
    <mergeCell ref="F37:F38"/>
    <mergeCell ref="E37:E38"/>
  </mergeCells>
  <pageMargins left="0.9055118110236221" right="0.59055118110236227" top="0.55118110236220474" bottom="0.51181102362204722" header="0.31496062992125984" footer="0.31496062992125984"/>
  <pageSetup paperSize="9" scale="49" fitToHeight="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J214"/>
  <sheetViews>
    <sheetView zoomScaleSheetLayoutView="100" workbookViewId="0">
      <selection activeCell="C1" sqref="C1"/>
    </sheetView>
  </sheetViews>
  <sheetFormatPr defaultRowHeight="15" x14ac:dyDescent="0.25"/>
  <cols>
    <col min="1" max="1" width="6.140625" style="18" customWidth="1"/>
    <col min="2" max="2" width="21.85546875" style="18" customWidth="1"/>
    <col min="3" max="3" width="18.42578125" style="18" customWidth="1"/>
    <col min="4" max="5" width="16.28515625" style="18" customWidth="1"/>
    <col min="6" max="6" width="20" style="18" customWidth="1"/>
    <col min="7" max="7" width="50.28515625" customWidth="1"/>
  </cols>
  <sheetData>
    <row r="1" spans="1:7" ht="48" customHeight="1" x14ac:dyDescent="0.25">
      <c r="D1" s="3771" t="s">
        <v>3423</v>
      </c>
      <c r="E1" s="3771"/>
      <c r="F1" s="3771"/>
      <c r="G1" s="166" t="s">
        <v>643</v>
      </c>
    </row>
    <row r="2" spans="1:7" x14ac:dyDescent="0.25">
      <c r="B2" s="18" t="s">
        <v>6</v>
      </c>
    </row>
    <row r="3" spans="1:7" ht="31.5" customHeight="1" x14ac:dyDescent="0.25">
      <c r="B3" s="3772" t="str">
        <f>'Вхідні дані'!F10</f>
        <v>Виконавчий комітет Чорноморської міської ради Одеського району Одеської області</v>
      </c>
      <c r="C3" s="3772"/>
    </row>
    <row r="4" spans="1:7" x14ac:dyDescent="0.25">
      <c r="B4" s="18" t="s">
        <v>265</v>
      </c>
    </row>
    <row r="5" spans="1:7" x14ac:dyDescent="0.25">
      <c r="F5" s="18" t="s">
        <v>2192</v>
      </c>
    </row>
    <row r="6" spans="1:7" hidden="1" x14ac:dyDescent="0.25">
      <c r="A6" s="3768" t="s">
        <v>450</v>
      </c>
      <c r="B6" s="3768"/>
      <c r="C6" s="3768"/>
      <c r="D6" s="3768"/>
      <c r="E6" s="3768"/>
      <c r="F6" s="3768"/>
      <c r="G6" s="166" t="s">
        <v>643</v>
      </c>
    </row>
    <row r="7" spans="1:7" hidden="1" x14ac:dyDescent="0.25">
      <c r="A7" s="3768" t="s">
        <v>641</v>
      </c>
      <c r="B7" s="3768"/>
      <c r="C7" s="3768"/>
      <c r="D7" s="3768"/>
      <c r="E7" s="3768"/>
      <c r="F7" s="3768"/>
      <c r="G7" s="166" t="s">
        <v>643</v>
      </c>
    </row>
    <row r="8" spans="1:7" hidden="1" x14ac:dyDescent="0.25">
      <c r="A8" s="3769"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8" s="3769"/>
      <c r="C8" s="3769"/>
      <c r="D8" s="3769"/>
      <c r="E8" s="3769"/>
      <c r="F8" s="3769"/>
      <c r="G8" s="166" t="s">
        <v>644</v>
      </c>
    </row>
    <row r="9" spans="1:7" hidden="1" x14ac:dyDescent="0.25">
      <c r="A9" s="3770" t="s">
        <v>642</v>
      </c>
      <c r="B9" s="3770"/>
      <c r="C9" s="3770"/>
      <c r="D9" s="3770"/>
      <c r="E9" s="3770"/>
      <c r="F9" s="3770"/>
      <c r="G9" s="166" t="s">
        <v>644</v>
      </c>
    </row>
    <row r="10" spans="1:7" hidden="1" x14ac:dyDescent="0.25">
      <c r="A10" s="3762" t="s">
        <v>645</v>
      </c>
      <c r="B10" s="3762"/>
      <c r="C10" s="3762"/>
      <c r="D10" s="3762"/>
      <c r="E10" s="3762"/>
      <c r="F10" s="3762"/>
    </row>
    <row r="11" spans="1:7" hidden="1" x14ac:dyDescent="0.25">
      <c r="A11" s="3762" t="s">
        <v>2191</v>
      </c>
      <c r="B11" s="3762"/>
      <c r="C11" s="3762"/>
      <c r="D11" s="3762"/>
      <c r="E11" s="3762"/>
      <c r="F11" s="3762"/>
    </row>
    <row r="12" spans="1:7" hidden="1" x14ac:dyDescent="0.25">
      <c r="A12" s="3762" t="s">
        <v>646</v>
      </c>
      <c r="B12" s="3762"/>
      <c r="C12" s="3762"/>
      <c r="D12" s="3762"/>
      <c r="E12" s="3762"/>
      <c r="F12" s="3762"/>
    </row>
    <row r="13" spans="1:7" hidden="1" x14ac:dyDescent="0.25"/>
    <row r="14" spans="1:7" hidden="1" x14ac:dyDescent="0.25">
      <c r="A14" s="3760" t="s">
        <v>7</v>
      </c>
      <c r="B14" s="3758" t="s">
        <v>260</v>
      </c>
      <c r="C14" s="3758" t="s">
        <v>261</v>
      </c>
      <c r="D14" s="3756" t="s">
        <v>258</v>
      </c>
      <c r="E14" s="3756"/>
      <c r="F14" s="3756"/>
    </row>
    <row r="15" spans="1:7" ht="60" hidden="1" x14ac:dyDescent="0.25">
      <c r="A15" s="3761"/>
      <c r="B15" s="3759"/>
      <c r="C15" s="3759"/>
      <c r="D15" s="10" t="s">
        <v>262</v>
      </c>
      <c r="E15" s="10" t="s">
        <v>263</v>
      </c>
      <c r="F15" s="10" t="s">
        <v>264</v>
      </c>
    </row>
    <row r="16" spans="1:7" s="1317" customFormat="1" ht="11.25" hidden="1" x14ac:dyDescent="0.2">
      <c r="A16" s="14">
        <v>1</v>
      </c>
      <c r="B16" s="14">
        <v>2</v>
      </c>
      <c r="C16" s="14">
        <v>3</v>
      </c>
      <c r="D16" s="14">
        <v>4</v>
      </c>
      <c r="E16" s="14">
        <v>5</v>
      </c>
      <c r="F16" s="14">
        <v>6</v>
      </c>
    </row>
    <row r="17" spans="1:10" ht="60" hidden="1" x14ac:dyDescent="0.25">
      <c r="A17" s="17">
        <v>1</v>
      </c>
      <c r="B17" s="1339" t="s">
        <v>2190</v>
      </c>
      <c r="C17" s="1340"/>
      <c r="D17" s="1340"/>
      <c r="E17" s="1340"/>
      <c r="F17" s="19"/>
    </row>
    <row r="18" spans="1:10" ht="30" hidden="1" x14ac:dyDescent="0.25">
      <c r="A18" s="17">
        <v>3</v>
      </c>
      <c r="B18" s="1318" t="s">
        <v>1833</v>
      </c>
      <c r="C18" s="1319"/>
      <c r="D18" s="1319"/>
      <c r="E18" s="1319"/>
      <c r="F18" s="19"/>
    </row>
    <row r="19" spans="1:10" ht="25.5" hidden="1" x14ac:dyDescent="0.25">
      <c r="A19" s="17"/>
      <c r="B19" s="1341" t="s">
        <v>87</v>
      </c>
      <c r="C19" s="1321"/>
      <c r="D19" s="1321"/>
      <c r="E19" s="1321"/>
      <c r="F19" s="19"/>
    </row>
    <row r="20" spans="1:10" hidden="1" x14ac:dyDescent="0.25">
      <c r="A20" s="17"/>
      <c r="B20" s="1320"/>
      <c r="C20" s="1321"/>
      <c r="D20" s="1321"/>
      <c r="E20" s="1321"/>
      <c r="F20" s="19"/>
    </row>
    <row r="21" spans="1:10" hidden="1" x14ac:dyDescent="0.25">
      <c r="A21" s="17"/>
      <c r="B21" s="19"/>
      <c r="C21" s="19"/>
      <c r="D21" s="19"/>
      <c r="E21" s="19"/>
      <c r="F21" s="19"/>
    </row>
    <row r="22" spans="1:10" hidden="1" x14ac:dyDescent="0.25">
      <c r="A22" s="17"/>
      <c r="B22" s="19"/>
      <c r="C22" s="19"/>
      <c r="D22" s="19"/>
      <c r="E22" s="19"/>
      <c r="F22" s="19"/>
    </row>
    <row r="23" spans="1:10" hidden="1" x14ac:dyDescent="0.25">
      <c r="A23" s="17"/>
      <c r="B23" s="19"/>
      <c r="C23" s="19"/>
      <c r="D23" s="19"/>
      <c r="E23" s="19"/>
      <c r="F23" s="19"/>
    </row>
    <row r="24" spans="1:10" hidden="1" x14ac:dyDescent="0.25">
      <c r="A24" s="3757" t="s">
        <v>259</v>
      </c>
      <c r="B24" s="3757"/>
      <c r="C24" s="19"/>
      <c r="D24" s="19"/>
      <c r="E24" s="19"/>
      <c r="F24" s="19"/>
    </row>
    <row r="25" spans="1:10" hidden="1" x14ac:dyDescent="0.25">
      <c r="C25" s="18">
        <f>SUM(C26:C36)</f>
        <v>2</v>
      </c>
    </row>
    <row r="26" spans="1:10" ht="15.75" hidden="1" x14ac:dyDescent="0.25">
      <c r="B26" s="21" t="s">
        <v>266</v>
      </c>
    </row>
    <row r="27" spans="1:10" hidden="1" x14ac:dyDescent="0.25"/>
    <row r="28" spans="1:10" ht="15.75" hidden="1" x14ac:dyDescent="0.25">
      <c r="A28" s="23"/>
      <c r="B28" s="22" t="s">
        <v>272</v>
      </c>
    </row>
    <row r="29" spans="1:10" hidden="1" x14ac:dyDescent="0.25"/>
    <row r="30" spans="1:10" ht="135" hidden="1" x14ac:dyDescent="0.25">
      <c r="B30" s="17" t="s">
        <v>268</v>
      </c>
      <c r="C30" s="17" t="s">
        <v>269</v>
      </c>
      <c r="D30" s="15" t="s">
        <v>267</v>
      </c>
      <c r="E30" s="17" t="s">
        <v>270</v>
      </c>
    </row>
    <row r="31" spans="1:10" ht="15.75" hidden="1" x14ac:dyDescent="0.25">
      <c r="B31" s="15">
        <v>1</v>
      </c>
      <c r="C31" s="15">
        <v>2</v>
      </c>
      <c r="D31" s="15">
        <v>3</v>
      </c>
      <c r="E31" s="15">
        <v>4</v>
      </c>
    </row>
    <row r="32" spans="1:10" ht="60" hidden="1" x14ac:dyDescent="0.25">
      <c r="B32" s="1339" t="s">
        <v>2190</v>
      </c>
      <c r="C32" s="1340"/>
      <c r="D32" s="1340"/>
      <c r="E32" s="1340"/>
      <c r="J32" t="s">
        <v>856</v>
      </c>
    </row>
    <row r="33" spans="2:5" ht="30" hidden="1" x14ac:dyDescent="0.25">
      <c r="B33" s="1318" t="s">
        <v>1833</v>
      </c>
      <c r="C33" s="1319"/>
      <c r="D33" s="1319"/>
      <c r="E33" s="1319"/>
    </row>
    <row r="34" spans="2:5" ht="25.5" hidden="1" x14ac:dyDescent="0.25">
      <c r="B34" s="1341" t="s">
        <v>87</v>
      </c>
      <c r="C34" s="1321"/>
      <c r="D34" s="1321"/>
      <c r="E34" s="1321"/>
    </row>
    <row r="35" spans="2:5" hidden="1" x14ac:dyDescent="0.25">
      <c r="B35" s="1320"/>
      <c r="C35" s="1321"/>
      <c r="D35" s="1321"/>
      <c r="E35" s="1321"/>
    </row>
    <row r="36" spans="2:5" hidden="1" x14ac:dyDescent="0.25"/>
    <row r="37" spans="2:5" ht="15.75" hidden="1" x14ac:dyDescent="0.25">
      <c r="B37" s="22" t="s">
        <v>271</v>
      </c>
    </row>
    <row r="38" spans="2:5" hidden="1" x14ac:dyDescent="0.25"/>
    <row r="39" spans="2:5" ht="82.5" hidden="1" customHeight="1" x14ac:dyDescent="0.25">
      <c r="B39" s="17" t="s">
        <v>274</v>
      </c>
      <c r="C39" s="3765" t="s">
        <v>273</v>
      </c>
      <c r="D39" s="3766"/>
      <c r="E39" s="3767"/>
    </row>
    <row r="40" spans="2:5" ht="50.25" hidden="1" customHeight="1" x14ac:dyDescent="0.25">
      <c r="B40" s="15"/>
      <c r="C40" s="17" t="s">
        <v>476</v>
      </c>
      <c r="D40" s="17" t="s">
        <v>477</v>
      </c>
      <c r="E40" s="17" t="s">
        <v>478</v>
      </c>
    </row>
    <row r="41" spans="2:5" ht="15.75" hidden="1" x14ac:dyDescent="0.25">
      <c r="B41" s="15">
        <v>1</v>
      </c>
      <c r="C41" s="15">
        <v>2</v>
      </c>
      <c r="D41" s="15">
        <v>3</v>
      </c>
      <c r="E41" s="15">
        <v>4</v>
      </c>
    </row>
    <row r="42" spans="2:5" ht="60" hidden="1" x14ac:dyDescent="0.25">
      <c r="B42" s="1339" t="s">
        <v>2190</v>
      </c>
      <c r="C42" s="1340"/>
      <c r="D42" s="1340"/>
      <c r="E42" s="1340"/>
    </row>
    <row r="43" spans="2:5" ht="30" hidden="1" x14ac:dyDescent="0.25">
      <c r="B43" s="1318" t="s">
        <v>1833</v>
      </c>
      <c r="C43" s="1319"/>
      <c r="D43" s="1319"/>
      <c r="E43" s="1319"/>
    </row>
    <row r="44" spans="2:5" ht="25.5" hidden="1" x14ac:dyDescent="0.25">
      <c r="B44" s="1341" t="s">
        <v>87</v>
      </c>
      <c r="C44" s="1321"/>
      <c r="D44" s="1321"/>
      <c r="E44" s="1321"/>
    </row>
    <row r="45" spans="2:5" hidden="1" x14ac:dyDescent="0.25">
      <c r="B45" s="1320"/>
      <c r="C45" s="1321"/>
      <c r="D45" s="1321"/>
      <c r="E45" s="1321"/>
    </row>
    <row r="46" spans="2:5" hidden="1" x14ac:dyDescent="0.25"/>
    <row r="47" spans="2:5" ht="60" hidden="1" x14ac:dyDescent="0.25">
      <c r="B47" s="109" t="str">
        <f>'Вхідні дані'!$B$13</f>
        <v>Начальник Адміністрації морського порту Чорноморськ</v>
      </c>
      <c r="C47" s="9" t="s">
        <v>275</v>
      </c>
      <c r="D47" s="3763" t="str">
        <f>'Вхідні дані'!$F$13</f>
        <v>Максим ШИРОКОВ</v>
      </c>
      <c r="E47" s="3763"/>
    </row>
    <row r="48" spans="2:5" hidden="1" x14ac:dyDescent="0.25">
      <c r="B48" s="9" t="s">
        <v>241</v>
      </c>
      <c r="C48" s="9" t="s">
        <v>276</v>
      </c>
      <c r="D48" s="3764" t="s">
        <v>239</v>
      </c>
      <c r="E48" s="3764"/>
    </row>
    <row r="49" spans="1:6" hidden="1" x14ac:dyDescent="0.25"/>
    <row r="50" spans="1:6" hidden="1" x14ac:dyDescent="0.25">
      <c r="B50" s="27"/>
    </row>
    <row r="51" spans="1:6" ht="51" hidden="1" customHeight="1" x14ac:dyDescent="0.25">
      <c r="A51" s="3768" t="s">
        <v>450</v>
      </c>
      <c r="B51" s="3768"/>
      <c r="C51" s="3768"/>
      <c r="D51" s="3768"/>
      <c r="E51" s="3768"/>
      <c r="F51" s="3768"/>
    </row>
    <row r="52" spans="1:6" hidden="1" x14ac:dyDescent="0.25">
      <c r="A52" s="3768" t="s">
        <v>641</v>
      </c>
      <c r="B52" s="3768"/>
      <c r="C52" s="3768"/>
      <c r="D52" s="3768"/>
      <c r="E52" s="3768"/>
      <c r="F52" s="3768"/>
    </row>
    <row r="53" spans="1:6" hidden="1" x14ac:dyDescent="0.25">
      <c r="A53" s="3769"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53" s="3769"/>
      <c r="C53" s="3769"/>
      <c r="D53" s="3769"/>
      <c r="E53" s="3769"/>
      <c r="F53" s="3769"/>
    </row>
    <row r="54" spans="1:6" hidden="1" x14ac:dyDescent="0.25">
      <c r="A54" s="3770" t="s">
        <v>642</v>
      </c>
      <c r="B54" s="3770"/>
      <c r="C54" s="3770"/>
      <c r="D54" s="3770"/>
      <c r="E54" s="3770"/>
      <c r="F54" s="3770"/>
    </row>
    <row r="55" spans="1:6" ht="16.899999999999999" hidden="1" customHeight="1" x14ac:dyDescent="0.25">
      <c r="A55" s="3762" t="s">
        <v>645</v>
      </c>
      <c r="B55" s="3762"/>
      <c r="C55" s="3762"/>
      <c r="D55" s="3762"/>
      <c r="E55" s="3762"/>
      <c r="F55" s="3762"/>
    </row>
    <row r="56" spans="1:6" hidden="1" x14ac:dyDescent="0.25">
      <c r="A56" s="3762" t="s">
        <v>2195</v>
      </c>
      <c r="B56" s="3762"/>
      <c r="C56" s="3762"/>
      <c r="D56" s="3762"/>
      <c r="E56" s="3762"/>
      <c r="F56" s="3762"/>
    </row>
    <row r="57" spans="1:6" hidden="1" x14ac:dyDescent="0.25">
      <c r="A57" s="3762" t="s">
        <v>646</v>
      </c>
      <c r="B57" s="3762"/>
      <c r="C57" s="3762"/>
      <c r="D57" s="3762"/>
      <c r="E57" s="3762"/>
      <c r="F57" s="3762"/>
    </row>
    <row r="58" spans="1:6" hidden="1" x14ac:dyDescent="0.25"/>
    <row r="59" spans="1:6" hidden="1" x14ac:dyDescent="0.25">
      <c r="A59" s="3760" t="s">
        <v>7</v>
      </c>
      <c r="B59" s="3758" t="s">
        <v>260</v>
      </c>
      <c r="C59" s="3758" t="s">
        <v>261</v>
      </c>
      <c r="D59" s="3756" t="s">
        <v>258</v>
      </c>
      <c r="E59" s="3756"/>
      <c r="F59" s="3756"/>
    </row>
    <row r="60" spans="1:6" ht="60" hidden="1" x14ac:dyDescent="0.25">
      <c r="A60" s="3761"/>
      <c r="B60" s="3759"/>
      <c r="C60" s="3759"/>
      <c r="D60" s="10" t="s">
        <v>262</v>
      </c>
      <c r="E60" s="10" t="s">
        <v>263</v>
      </c>
      <c r="F60" s="10" t="s">
        <v>264</v>
      </c>
    </row>
    <row r="61" spans="1:6" hidden="1" x14ac:dyDescent="0.25">
      <c r="A61" s="14">
        <v>1</v>
      </c>
      <c r="B61" s="14">
        <v>2</v>
      </c>
      <c r="C61" s="14">
        <v>3</v>
      </c>
      <c r="D61" s="14">
        <v>4</v>
      </c>
      <c r="E61" s="14">
        <v>5</v>
      </c>
      <c r="F61" s="14">
        <v>6</v>
      </c>
    </row>
    <row r="62" spans="1:6" ht="60" hidden="1" x14ac:dyDescent="0.25">
      <c r="A62" s="17">
        <v>1</v>
      </c>
      <c r="B62" s="1337" t="s">
        <v>2190</v>
      </c>
      <c r="C62" s="19"/>
      <c r="D62" s="19"/>
      <c r="E62" s="19"/>
      <c r="F62" s="19"/>
    </row>
    <row r="63" spans="1:6" ht="30" hidden="1" x14ac:dyDescent="0.25">
      <c r="A63" s="17">
        <v>2</v>
      </c>
      <c r="B63" s="19" t="s">
        <v>1833</v>
      </c>
      <c r="C63" s="19"/>
      <c r="D63" s="19"/>
      <c r="E63" s="19"/>
      <c r="F63" s="19"/>
    </row>
    <row r="64" spans="1:6" ht="25.5" hidden="1" x14ac:dyDescent="0.25">
      <c r="A64" s="17">
        <v>3</v>
      </c>
      <c r="B64" s="150" t="s">
        <v>87</v>
      </c>
      <c r="C64" s="19"/>
      <c r="D64" s="19"/>
      <c r="E64" s="19"/>
      <c r="F64" s="19"/>
    </row>
    <row r="65" spans="1:6" hidden="1" x14ac:dyDescent="0.25">
      <c r="A65" s="17"/>
      <c r="B65" s="19"/>
      <c r="C65" s="19"/>
      <c r="D65" s="19"/>
      <c r="E65" s="19"/>
      <c r="F65" s="19"/>
    </row>
    <row r="66" spans="1:6" hidden="1" x14ac:dyDescent="0.25">
      <c r="A66" s="17"/>
      <c r="B66" s="19"/>
      <c r="C66" s="19"/>
      <c r="D66" s="19"/>
      <c r="E66" s="19"/>
      <c r="F66" s="19"/>
    </row>
    <row r="67" spans="1:6" hidden="1" x14ac:dyDescent="0.25">
      <c r="A67" s="17"/>
      <c r="B67" s="19"/>
      <c r="C67" s="19"/>
      <c r="D67" s="19"/>
      <c r="E67" s="19"/>
      <c r="F67" s="19"/>
    </row>
    <row r="68" spans="1:6" hidden="1" x14ac:dyDescent="0.25">
      <c r="A68" s="17"/>
      <c r="B68" s="19"/>
      <c r="C68" s="19"/>
      <c r="D68" s="19"/>
      <c r="E68" s="19"/>
      <c r="F68" s="19"/>
    </row>
    <row r="69" spans="1:6" hidden="1" x14ac:dyDescent="0.25">
      <c r="A69" s="3757" t="s">
        <v>259</v>
      </c>
      <c r="B69" s="3757"/>
      <c r="C69" s="19"/>
      <c r="D69" s="19"/>
      <c r="E69" s="19"/>
      <c r="F69" s="19"/>
    </row>
    <row r="70" spans="1:6" hidden="1" x14ac:dyDescent="0.25">
      <c r="C70" s="18">
        <f>SUM(C71:C81)</f>
        <v>2</v>
      </c>
    </row>
    <row r="71" spans="1:6" ht="15.75" hidden="1" x14ac:dyDescent="0.25">
      <c r="B71" s="21" t="s">
        <v>266</v>
      </c>
    </row>
    <row r="72" spans="1:6" hidden="1" x14ac:dyDescent="0.25"/>
    <row r="73" spans="1:6" ht="15.75" hidden="1" x14ac:dyDescent="0.25">
      <c r="A73" s="23"/>
      <c r="B73" s="22" t="s">
        <v>272</v>
      </c>
    </row>
    <row r="74" spans="1:6" hidden="1" x14ac:dyDescent="0.25"/>
    <row r="75" spans="1:6" ht="135" hidden="1" x14ac:dyDescent="0.25">
      <c r="B75" s="17" t="s">
        <v>268</v>
      </c>
      <c r="C75" s="17" t="s">
        <v>269</v>
      </c>
      <c r="D75" s="15" t="s">
        <v>267</v>
      </c>
      <c r="E75" s="17" t="s">
        <v>270</v>
      </c>
    </row>
    <row r="76" spans="1:6" ht="15.75" hidden="1" x14ac:dyDescent="0.25">
      <c r="B76" s="15">
        <v>1</v>
      </c>
      <c r="C76" s="15">
        <v>2</v>
      </c>
      <c r="D76" s="15">
        <v>3</v>
      </c>
      <c r="E76" s="15">
        <v>4</v>
      </c>
    </row>
    <row r="77" spans="1:6" ht="60" hidden="1" x14ac:dyDescent="0.25">
      <c r="B77" s="1337" t="s">
        <v>2190</v>
      </c>
      <c r="C77" s="16"/>
      <c r="D77" s="16"/>
      <c r="E77" s="16"/>
    </row>
    <row r="78" spans="1:6" ht="30" hidden="1" x14ac:dyDescent="0.25">
      <c r="B78" s="19" t="s">
        <v>1833</v>
      </c>
      <c r="C78" s="16"/>
      <c r="D78" s="16"/>
      <c r="E78" s="16"/>
    </row>
    <row r="79" spans="1:6" ht="25.5" hidden="1" x14ac:dyDescent="0.25">
      <c r="B79" s="150" t="s">
        <v>87</v>
      </c>
      <c r="C79" s="20"/>
      <c r="D79" s="20"/>
      <c r="E79" s="20"/>
    </row>
    <row r="80" spans="1:6" hidden="1" x14ac:dyDescent="0.25">
      <c r="B80" s="20"/>
      <c r="C80" s="20"/>
      <c r="D80" s="20"/>
      <c r="E80" s="20"/>
    </row>
    <row r="81" spans="1:6" hidden="1" x14ac:dyDescent="0.25"/>
    <row r="82" spans="1:6" ht="15.75" hidden="1" x14ac:dyDescent="0.25">
      <c r="B82" s="22" t="s">
        <v>271</v>
      </c>
    </row>
    <row r="83" spans="1:6" hidden="1" x14ac:dyDescent="0.25"/>
    <row r="84" spans="1:6" ht="75" hidden="1" x14ac:dyDescent="0.25">
      <c r="B84" s="17" t="s">
        <v>274</v>
      </c>
      <c r="C84" s="3765" t="s">
        <v>273</v>
      </c>
      <c r="D84" s="3766"/>
      <c r="E84" s="3767"/>
    </row>
    <row r="85" spans="1:6" ht="45" hidden="1" x14ac:dyDescent="0.25">
      <c r="B85" s="15"/>
      <c r="C85" s="17" t="s">
        <v>476</v>
      </c>
      <c r="D85" s="17" t="s">
        <v>477</v>
      </c>
      <c r="E85" s="17" t="s">
        <v>478</v>
      </c>
    </row>
    <row r="86" spans="1:6" ht="15.75" hidden="1" x14ac:dyDescent="0.25">
      <c r="B86" s="15">
        <v>1</v>
      </c>
      <c r="C86" s="15">
        <v>2</v>
      </c>
      <c r="D86" s="15">
        <v>3</v>
      </c>
      <c r="E86" s="15">
        <v>4</v>
      </c>
    </row>
    <row r="87" spans="1:6" ht="60" hidden="1" x14ac:dyDescent="0.25">
      <c r="B87" s="1337" t="s">
        <v>2190</v>
      </c>
      <c r="C87" s="16"/>
      <c r="D87" s="16"/>
      <c r="E87" s="16"/>
    </row>
    <row r="88" spans="1:6" ht="30" hidden="1" x14ac:dyDescent="0.25">
      <c r="B88" s="19" t="s">
        <v>1833</v>
      </c>
      <c r="C88" s="16"/>
      <c r="D88" s="16"/>
      <c r="E88" s="16"/>
    </row>
    <row r="89" spans="1:6" ht="25.5" hidden="1" x14ac:dyDescent="0.25">
      <c r="B89" s="150" t="s">
        <v>87</v>
      </c>
      <c r="C89" s="20"/>
      <c r="D89" s="20"/>
      <c r="E89" s="20"/>
    </row>
    <row r="90" spans="1:6" hidden="1" x14ac:dyDescent="0.25">
      <c r="B90" s="20"/>
      <c r="C90" s="20"/>
      <c r="D90" s="20"/>
      <c r="E90" s="20"/>
    </row>
    <row r="91" spans="1:6" hidden="1" x14ac:dyDescent="0.25"/>
    <row r="92" spans="1:6" hidden="1" x14ac:dyDescent="0.25">
      <c r="A92" s="3768" t="s">
        <v>450</v>
      </c>
      <c r="B92" s="3768"/>
      <c r="C92" s="3768"/>
      <c r="D92" s="3768"/>
      <c r="E92" s="3768"/>
      <c r="F92" s="3768"/>
    </row>
    <row r="93" spans="1:6" hidden="1" x14ac:dyDescent="0.25">
      <c r="A93" s="3768" t="s">
        <v>641</v>
      </c>
      <c r="B93" s="3768"/>
      <c r="C93" s="3768"/>
      <c r="D93" s="3768"/>
      <c r="E93" s="3768"/>
      <c r="F93" s="3768"/>
    </row>
    <row r="94" spans="1:6" hidden="1" x14ac:dyDescent="0.25">
      <c r="A94" s="3769"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94" s="3769"/>
      <c r="C94" s="3769"/>
      <c r="D94" s="3769"/>
      <c r="E94" s="3769"/>
      <c r="F94" s="3769"/>
    </row>
    <row r="95" spans="1:6" hidden="1" x14ac:dyDescent="0.25">
      <c r="A95" s="3770" t="s">
        <v>642</v>
      </c>
      <c r="B95" s="3770"/>
      <c r="C95" s="3770"/>
      <c r="D95" s="3770"/>
      <c r="E95" s="3770"/>
      <c r="F95" s="3770"/>
    </row>
    <row r="96" spans="1:6" hidden="1" x14ac:dyDescent="0.25">
      <c r="A96" s="3762" t="s">
        <v>645</v>
      </c>
      <c r="B96" s="3762"/>
      <c r="C96" s="3762"/>
      <c r="D96" s="3762"/>
      <c r="E96" s="3762"/>
      <c r="F96" s="3762"/>
    </row>
    <row r="97" spans="1:6" hidden="1" x14ac:dyDescent="0.25">
      <c r="A97" s="3762" t="s">
        <v>2194</v>
      </c>
      <c r="B97" s="3762"/>
      <c r="C97" s="3762"/>
      <c r="D97" s="3762"/>
      <c r="E97" s="3762"/>
      <c r="F97" s="3762"/>
    </row>
    <row r="98" spans="1:6" hidden="1" x14ac:dyDescent="0.25">
      <c r="A98" s="3762" t="s">
        <v>646</v>
      </c>
      <c r="B98" s="3762"/>
      <c r="C98" s="3762"/>
      <c r="D98" s="3762"/>
      <c r="E98" s="3762"/>
      <c r="F98" s="3762"/>
    </row>
    <row r="99" spans="1:6" hidden="1" x14ac:dyDescent="0.25"/>
    <row r="100" spans="1:6" hidden="1" x14ac:dyDescent="0.25">
      <c r="A100" s="3760" t="s">
        <v>7</v>
      </c>
      <c r="B100" s="3758" t="s">
        <v>260</v>
      </c>
      <c r="C100" s="3758" t="s">
        <v>261</v>
      </c>
      <c r="D100" s="3756" t="s">
        <v>258</v>
      </c>
      <c r="E100" s="3756"/>
      <c r="F100" s="3756"/>
    </row>
    <row r="101" spans="1:6" ht="60" hidden="1" x14ac:dyDescent="0.25">
      <c r="A101" s="3761"/>
      <c r="B101" s="3759"/>
      <c r="C101" s="3759"/>
      <c r="D101" s="10" t="s">
        <v>262</v>
      </c>
      <c r="E101" s="10" t="s">
        <v>263</v>
      </c>
      <c r="F101" s="10" t="s">
        <v>264</v>
      </c>
    </row>
    <row r="102" spans="1:6" hidden="1" x14ac:dyDescent="0.25">
      <c r="A102" s="14">
        <v>1</v>
      </c>
      <c r="B102" s="14">
        <v>2</v>
      </c>
      <c r="C102" s="14">
        <v>3</v>
      </c>
      <c r="D102" s="14">
        <v>4</v>
      </c>
      <c r="E102" s="14">
        <v>5</v>
      </c>
      <c r="F102" s="14">
        <v>6</v>
      </c>
    </row>
    <row r="103" spans="1:6" ht="60" hidden="1" x14ac:dyDescent="0.25">
      <c r="A103" s="17">
        <v>1</v>
      </c>
      <c r="B103" s="1337" t="s">
        <v>2190</v>
      </c>
      <c r="C103" s="19"/>
      <c r="D103" s="19"/>
      <c r="E103" s="19"/>
      <c r="F103" s="19"/>
    </row>
    <row r="104" spans="1:6" ht="30" hidden="1" x14ac:dyDescent="0.25">
      <c r="A104" s="17">
        <v>3</v>
      </c>
      <c r="B104" s="19" t="s">
        <v>1833</v>
      </c>
      <c r="C104" s="19"/>
      <c r="D104" s="19"/>
      <c r="E104" s="19"/>
      <c r="F104" s="19"/>
    </row>
    <row r="105" spans="1:6" ht="25.5" hidden="1" x14ac:dyDescent="0.25">
      <c r="A105" s="17"/>
      <c r="B105" s="150" t="s">
        <v>87</v>
      </c>
      <c r="C105" s="19"/>
      <c r="D105" s="19"/>
      <c r="E105" s="19"/>
      <c r="F105" s="19"/>
    </row>
    <row r="106" spans="1:6" hidden="1" x14ac:dyDescent="0.25">
      <c r="A106" s="17"/>
      <c r="B106" s="19"/>
      <c r="C106" s="19"/>
      <c r="D106" s="19"/>
      <c r="E106" s="19"/>
      <c r="F106" s="19"/>
    </row>
    <row r="107" spans="1:6" hidden="1" x14ac:dyDescent="0.25">
      <c r="A107" s="17"/>
      <c r="B107" s="19"/>
      <c r="C107" s="19"/>
      <c r="D107" s="19"/>
      <c r="E107" s="19"/>
      <c r="F107" s="19"/>
    </row>
    <row r="108" spans="1:6" hidden="1" x14ac:dyDescent="0.25">
      <c r="A108" s="17"/>
      <c r="B108" s="19"/>
      <c r="C108" s="19"/>
      <c r="D108" s="19"/>
      <c r="E108" s="19"/>
      <c r="F108" s="19"/>
    </row>
    <row r="109" spans="1:6" hidden="1" x14ac:dyDescent="0.25">
      <c r="A109" s="17"/>
      <c r="B109" s="19"/>
      <c r="C109" s="19"/>
      <c r="D109" s="19"/>
      <c r="E109" s="19"/>
      <c r="F109" s="19"/>
    </row>
    <row r="110" spans="1:6" hidden="1" x14ac:dyDescent="0.25">
      <c r="A110" s="3757" t="s">
        <v>259</v>
      </c>
      <c r="B110" s="3757"/>
      <c r="C110" s="19"/>
      <c r="D110" s="19"/>
      <c r="E110" s="19"/>
      <c r="F110" s="19"/>
    </row>
    <row r="111" spans="1:6" hidden="1" x14ac:dyDescent="0.25">
      <c r="C111" s="18">
        <f>SUM(C112:C122)</f>
        <v>2</v>
      </c>
    </row>
    <row r="112" spans="1:6" ht="15.75" hidden="1" x14ac:dyDescent="0.25">
      <c r="B112" s="21" t="s">
        <v>266</v>
      </c>
    </row>
    <row r="113" spans="1:5" hidden="1" x14ac:dyDescent="0.25"/>
    <row r="114" spans="1:5" ht="15.75" hidden="1" x14ac:dyDescent="0.25">
      <c r="A114" s="23"/>
      <c r="B114" s="22" t="s">
        <v>272</v>
      </c>
    </row>
    <row r="115" spans="1:5" hidden="1" x14ac:dyDescent="0.25"/>
    <row r="116" spans="1:5" ht="135" hidden="1" x14ac:dyDescent="0.25">
      <c r="B116" s="17" t="s">
        <v>268</v>
      </c>
      <c r="C116" s="17" t="s">
        <v>269</v>
      </c>
      <c r="D116" s="15" t="s">
        <v>267</v>
      </c>
      <c r="E116" s="17" t="s">
        <v>270</v>
      </c>
    </row>
    <row r="117" spans="1:5" ht="15.75" hidden="1" x14ac:dyDescent="0.25">
      <c r="B117" s="15">
        <v>1</v>
      </c>
      <c r="C117" s="15">
        <v>2</v>
      </c>
      <c r="D117" s="15">
        <v>3</v>
      </c>
      <c r="E117" s="15">
        <v>4</v>
      </c>
    </row>
    <row r="118" spans="1:5" ht="60" hidden="1" x14ac:dyDescent="0.25">
      <c r="B118" s="1337" t="s">
        <v>2190</v>
      </c>
      <c r="C118" s="16"/>
      <c r="D118" s="16"/>
      <c r="E118" s="16"/>
    </row>
    <row r="119" spans="1:5" ht="30" hidden="1" x14ac:dyDescent="0.25">
      <c r="B119" s="19" t="s">
        <v>1833</v>
      </c>
      <c r="C119" s="16"/>
      <c r="D119" s="16"/>
      <c r="E119" s="16"/>
    </row>
    <row r="120" spans="1:5" ht="25.5" hidden="1" x14ac:dyDescent="0.25">
      <c r="B120" s="150" t="s">
        <v>87</v>
      </c>
      <c r="C120" s="20"/>
      <c r="D120" s="20"/>
      <c r="E120" s="20"/>
    </row>
    <row r="121" spans="1:5" hidden="1" x14ac:dyDescent="0.25">
      <c r="B121" s="20"/>
      <c r="C121" s="20"/>
      <c r="D121" s="20"/>
      <c r="E121" s="20"/>
    </row>
    <row r="122" spans="1:5" hidden="1" x14ac:dyDescent="0.25"/>
    <row r="123" spans="1:5" ht="15.75" hidden="1" x14ac:dyDescent="0.25">
      <c r="B123" s="22" t="s">
        <v>271</v>
      </c>
    </row>
    <row r="124" spans="1:5" hidden="1" x14ac:dyDescent="0.25"/>
    <row r="125" spans="1:5" ht="75" hidden="1" x14ac:dyDescent="0.25">
      <c r="B125" s="17" t="s">
        <v>274</v>
      </c>
      <c r="C125" s="3765" t="s">
        <v>273</v>
      </c>
      <c r="D125" s="3766"/>
      <c r="E125" s="3767"/>
    </row>
    <row r="126" spans="1:5" ht="45" hidden="1" x14ac:dyDescent="0.25">
      <c r="B126" s="15"/>
      <c r="C126" s="17" t="s">
        <v>476</v>
      </c>
      <c r="D126" s="17" t="s">
        <v>477</v>
      </c>
      <c r="E126" s="17" t="s">
        <v>478</v>
      </c>
    </row>
    <row r="127" spans="1:5" ht="15.75" hidden="1" x14ac:dyDescent="0.25">
      <c r="B127" s="15">
        <v>1</v>
      </c>
      <c r="C127" s="15">
        <v>2</v>
      </c>
      <c r="D127" s="15">
        <v>3</v>
      </c>
      <c r="E127" s="15">
        <v>4</v>
      </c>
    </row>
    <row r="128" spans="1:5" ht="60" hidden="1" x14ac:dyDescent="0.25">
      <c r="B128" s="1337" t="s">
        <v>2190</v>
      </c>
      <c r="C128" s="16">
        <v>0</v>
      </c>
      <c r="D128" s="16">
        <v>0</v>
      </c>
      <c r="E128" s="16">
        <v>0</v>
      </c>
    </row>
    <row r="129" spans="1:6" ht="30" hidden="1" x14ac:dyDescent="0.25">
      <c r="B129" s="19" t="s">
        <v>1833</v>
      </c>
      <c r="C129" s="16"/>
      <c r="D129" s="16"/>
      <c r="E129" s="16"/>
    </row>
    <row r="130" spans="1:6" ht="25.5" hidden="1" x14ac:dyDescent="0.25">
      <c r="B130" s="150" t="s">
        <v>87</v>
      </c>
      <c r="C130" s="20"/>
      <c r="D130" s="20"/>
      <c r="E130" s="20"/>
    </row>
    <row r="131" spans="1:6" hidden="1" x14ac:dyDescent="0.25">
      <c r="B131" s="1338"/>
    </row>
    <row r="132" spans="1:6" x14ac:dyDescent="0.25">
      <c r="B132" s="1338"/>
    </row>
    <row r="133" spans="1:6" x14ac:dyDescent="0.25">
      <c r="A133" s="3768" t="s">
        <v>450</v>
      </c>
      <c r="B133" s="3768"/>
      <c r="C133" s="3768"/>
      <c r="D133" s="3768"/>
      <c r="E133" s="3768"/>
      <c r="F133" s="3768"/>
    </row>
    <row r="134" spans="1:6" x14ac:dyDescent="0.25">
      <c r="A134" s="3768" t="s">
        <v>641</v>
      </c>
      <c r="B134" s="3768"/>
      <c r="C134" s="3768"/>
      <c r="D134" s="3768"/>
      <c r="E134" s="3768"/>
      <c r="F134" s="3768"/>
    </row>
    <row r="135" spans="1:6" ht="39.75" customHeight="1" x14ac:dyDescent="0.25">
      <c r="A135" s="3773"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135" s="3773"/>
      <c r="C135" s="3773"/>
      <c r="D135" s="3773"/>
      <c r="E135" s="3773"/>
      <c r="F135" s="3773"/>
    </row>
    <row r="136" spans="1:6" x14ac:dyDescent="0.25">
      <c r="A136" s="3770" t="s">
        <v>642</v>
      </c>
      <c r="B136" s="3770"/>
      <c r="C136" s="3770"/>
      <c r="D136" s="3770"/>
      <c r="E136" s="3770"/>
      <c r="F136" s="3770"/>
    </row>
    <row r="137" spans="1:6" x14ac:dyDescent="0.25">
      <c r="A137" s="3762" t="s">
        <v>645</v>
      </c>
      <c r="B137" s="3762"/>
      <c r="C137" s="3762"/>
      <c r="D137" s="3762"/>
      <c r="E137" s="3762"/>
      <c r="F137" s="3762"/>
    </row>
    <row r="138" spans="1:6" x14ac:dyDescent="0.25">
      <c r="A138" s="3762" t="s">
        <v>2193</v>
      </c>
      <c r="B138" s="3762"/>
      <c r="C138" s="3762"/>
      <c r="D138" s="3762"/>
      <c r="E138" s="3762"/>
      <c r="F138" s="3762"/>
    </row>
    <row r="139" spans="1:6" x14ac:dyDescent="0.25">
      <c r="A139" s="3762" t="s">
        <v>646</v>
      </c>
      <c r="B139" s="3762"/>
      <c r="C139" s="3762"/>
      <c r="D139" s="3762"/>
      <c r="E139" s="3762"/>
      <c r="F139" s="3762"/>
    </row>
    <row r="141" spans="1:6" x14ac:dyDescent="0.25">
      <c r="A141" s="3760" t="s">
        <v>7</v>
      </c>
      <c r="B141" s="3758" t="s">
        <v>260</v>
      </c>
      <c r="C141" s="3758" t="s">
        <v>261</v>
      </c>
      <c r="D141" s="3756" t="s">
        <v>258</v>
      </c>
      <c r="E141" s="3756"/>
      <c r="F141" s="3756"/>
    </row>
    <row r="142" spans="1:6" ht="60" x14ac:dyDescent="0.25">
      <c r="A142" s="3761"/>
      <c r="B142" s="3759"/>
      <c r="C142" s="3759"/>
      <c r="D142" s="10" t="s">
        <v>262</v>
      </c>
      <c r="E142" s="10" t="s">
        <v>263</v>
      </c>
      <c r="F142" s="10" t="s">
        <v>264</v>
      </c>
    </row>
    <row r="143" spans="1:6" x14ac:dyDescent="0.25">
      <c r="A143" s="14">
        <v>1</v>
      </c>
      <c r="B143" s="14">
        <v>2</v>
      </c>
      <c r="C143" s="14">
        <v>3</v>
      </c>
      <c r="D143" s="14">
        <v>4</v>
      </c>
      <c r="E143" s="14">
        <v>5</v>
      </c>
      <c r="F143" s="14">
        <v>6</v>
      </c>
    </row>
    <row r="144" spans="1:6" ht="60" x14ac:dyDescent="0.25">
      <c r="A144" s="17">
        <v>1</v>
      </c>
      <c r="B144" s="1337" t="s">
        <v>2190</v>
      </c>
      <c r="C144" s="19"/>
      <c r="D144" s="19"/>
      <c r="E144" s="19"/>
      <c r="F144" s="19"/>
    </row>
    <row r="145" spans="1:6" ht="30" x14ac:dyDescent="0.25">
      <c r="A145" s="17">
        <v>3</v>
      </c>
      <c r="B145" s="19" t="s">
        <v>1833</v>
      </c>
      <c r="C145" s="19"/>
      <c r="D145" s="19"/>
      <c r="E145" s="19"/>
      <c r="F145" s="19"/>
    </row>
    <row r="146" spans="1:6" ht="25.5" x14ac:dyDescent="0.25">
      <c r="A146" s="17"/>
      <c r="B146" s="150" t="s">
        <v>87</v>
      </c>
      <c r="C146" s="19"/>
      <c r="D146" s="19"/>
      <c r="E146" s="19"/>
      <c r="F146" s="19"/>
    </row>
    <row r="147" spans="1:6" x14ac:dyDescent="0.25">
      <c r="A147" s="17"/>
      <c r="B147" s="19"/>
      <c r="C147" s="19"/>
      <c r="D147" s="19"/>
      <c r="E147" s="19"/>
      <c r="F147" s="19"/>
    </row>
    <row r="148" spans="1:6" x14ac:dyDescent="0.25">
      <c r="A148" s="17"/>
      <c r="B148" s="19"/>
      <c r="C148" s="19"/>
      <c r="D148" s="19"/>
      <c r="E148" s="19"/>
      <c r="F148" s="19"/>
    </row>
    <row r="149" spans="1:6" x14ac:dyDescent="0.25">
      <c r="A149" s="17"/>
      <c r="B149" s="19"/>
      <c r="C149" s="19"/>
      <c r="D149" s="19"/>
      <c r="E149" s="19"/>
      <c r="F149" s="19"/>
    </row>
    <row r="150" spans="1:6" x14ac:dyDescent="0.25">
      <c r="A150" s="17"/>
      <c r="B150" s="19"/>
      <c r="C150" s="19"/>
      <c r="D150" s="19"/>
      <c r="E150" s="19"/>
      <c r="F150" s="19"/>
    </row>
    <row r="151" spans="1:6" x14ac:dyDescent="0.25">
      <c r="A151" s="3757" t="s">
        <v>259</v>
      </c>
      <c r="B151" s="3757"/>
      <c r="C151" s="19"/>
      <c r="D151" s="19"/>
      <c r="E151" s="19"/>
      <c r="F151" s="19"/>
    </row>
    <row r="152" spans="1:6" x14ac:dyDescent="0.25">
      <c r="C152" s="18">
        <f>SUM(C153:C163)</f>
        <v>2</v>
      </c>
    </row>
    <row r="153" spans="1:6" ht="15.75" x14ac:dyDescent="0.25">
      <c r="B153" s="21" t="s">
        <v>266</v>
      </c>
    </row>
    <row r="155" spans="1:6" ht="15.75" x14ac:dyDescent="0.25">
      <c r="A155" s="23"/>
      <c r="B155" s="22" t="s">
        <v>272</v>
      </c>
    </row>
    <row r="157" spans="1:6" ht="135" x14ac:dyDescent="0.25">
      <c r="B157" s="17" t="s">
        <v>268</v>
      </c>
      <c r="C157" s="17" t="s">
        <v>269</v>
      </c>
      <c r="D157" s="15" t="s">
        <v>267</v>
      </c>
      <c r="E157" s="17" t="s">
        <v>270</v>
      </c>
    </row>
    <row r="158" spans="1:6" ht="15.75" x14ac:dyDescent="0.25">
      <c r="B158" s="15">
        <v>1</v>
      </c>
      <c r="C158" s="15">
        <v>2</v>
      </c>
      <c r="D158" s="15">
        <v>3</v>
      </c>
      <c r="E158" s="15">
        <v>4</v>
      </c>
    </row>
    <row r="159" spans="1:6" ht="60" x14ac:dyDescent="0.25">
      <c r="B159" s="1337" t="s">
        <v>2190</v>
      </c>
      <c r="C159" s="16"/>
      <c r="D159" s="16"/>
      <c r="E159" s="16"/>
    </row>
    <row r="160" spans="1:6" ht="30" x14ac:dyDescent="0.25">
      <c r="B160" s="19" t="s">
        <v>1833</v>
      </c>
      <c r="C160" s="16"/>
      <c r="D160" s="16"/>
      <c r="E160" s="16"/>
    </row>
    <row r="161" spans="1:6" ht="25.5" x14ac:dyDescent="0.25">
      <c r="B161" s="150" t="s">
        <v>87</v>
      </c>
      <c r="C161" s="20"/>
      <c r="D161" s="20"/>
      <c r="E161" s="20"/>
    </row>
    <row r="162" spans="1:6" x14ac:dyDescent="0.25">
      <c r="B162" s="20"/>
      <c r="C162" s="20"/>
      <c r="D162" s="20"/>
      <c r="E162" s="20"/>
    </row>
    <row r="164" spans="1:6" ht="15.75" x14ac:dyDescent="0.25">
      <c r="B164" s="22" t="s">
        <v>271</v>
      </c>
    </row>
    <row r="166" spans="1:6" ht="75" x14ac:dyDescent="0.25">
      <c r="B166" s="17" t="s">
        <v>274</v>
      </c>
      <c r="C166" s="3765" t="s">
        <v>273</v>
      </c>
      <c r="D166" s="3766"/>
      <c r="E166" s="3767"/>
    </row>
    <row r="167" spans="1:6" ht="45" x14ac:dyDescent="0.25">
      <c r="B167" s="15"/>
      <c r="C167" s="17" t="s">
        <v>476</v>
      </c>
      <c r="D167" s="17" t="s">
        <v>477</v>
      </c>
      <c r="E167" s="17" t="s">
        <v>478</v>
      </c>
    </row>
    <row r="168" spans="1:6" ht="15.75" x14ac:dyDescent="0.25">
      <c r="B168" s="15">
        <v>1</v>
      </c>
      <c r="C168" s="15">
        <v>2</v>
      </c>
      <c r="D168" s="15">
        <v>3</v>
      </c>
      <c r="E168" s="15">
        <v>4</v>
      </c>
    </row>
    <row r="169" spans="1:6" ht="60" x14ac:dyDescent="0.25">
      <c r="B169" s="1337" t="s">
        <v>2190</v>
      </c>
      <c r="C169" s="16">
        <v>0</v>
      </c>
      <c r="D169" s="16">
        <v>0</v>
      </c>
      <c r="E169" s="16">
        <v>0</v>
      </c>
    </row>
    <row r="170" spans="1:6" ht="30" x14ac:dyDescent="0.25">
      <c r="B170" s="19" t="s">
        <v>1833</v>
      </c>
      <c r="C170" s="16">
        <v>0</v>
      </c>
      <c r="D170" s="16">
        <v>0</v>
      </c>
      <c r="E170" s="16">
        <v>0</v>
      </c>
    </row>
    <row r="171" spans="1:6" ht="25.5" x14ac:dyDescent="0.25">
      <c r="B171" s="150" t="s">
        <v>87</v>
      </c>
      <c r="C171" s="20"/>
      <c r="D171" s="20"/>
      <c r="E171" s="20"/>
    </row>
    <row r="176" spans="1:6" x14ac:dyDescent="0.25">
      <c r="A176" s="3774" t="s">
        <v>450</v>
      </c>
      <c r="B176" s="3774"/>
      <c r="C176" s="3774"/>
      <c r="D176" s="3774"/>
      <c r="E176" s="3774"/>
      <c r="F176" s="3774"/>
    </row>
    <row r="177" spans="1:6" x14ac:dyDescent="0.25">
      <c r="A177" s="3774" t="s">
        <v>641</v>
      </c>
      <c r="B177" s="3774"/>
      <c r="C177" s="3774"/>
      <c r="D177" s="3774"/>
      <c r="E177" s="3774"/>
      <c r="F177" s="3774"/>
    </row>
    <row r="178" spans="1:6" x14ac:dyDescent="0.25">
      <c r="A178" s="3769"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178" s="3769"/>
      <c r="C178" s="3769"/>
      <c r="D178" s="3769"/>
      <c r="E178" s="3769"/>
      <c r="F178" s="3769"/>
    </row>
    <row r="179" spans="1:6" x14ac:dyDescent="0.25">
      <c r="A179" s="3780" t="s">
        <v>642</v>
      </c>
      <c r="B179" s="3780"/>
      <c r="C179" s="3780"/>
      <c r="D179" s="3780"/>
      <c r="E179" s="3780"/>
      <c r="F179" s="3780"/>
    </row>
    <row r="180" spans="1:6" x14ac:dyDescent="0.25">
      <c r="A180" s="3781" t="s">
        <v>645</v>
      </c>
      <c r="B180" s="3781"/>
      <c r="C180" s="3781"/>
      <c r="D180" s="3781"/>
      <c r="E180" s="3781"/>
      <c r="F180" s="3781"/>
    </row>
    <row r="181" spans="1:6" x14ac:dyDescent="0.25">
      <c r="A181" s="3781" t="s">
        <v>2196</v>
      </c>
      <c r="B181" s="3781"/>
      <c r="C181" s="3781"/>
      <c r="D181" s="3781"/>
      <c r="E181" s="3781"/>
      <c r="F181" s="3781"/>
    </row>
    <row r="182" spans="1:6" x14ac:dyDescent="0.25">
      <c r="A182" s="3781" t="s">
        <v>646</v>
      </c>
      <c r="B182" s="3781"/>
      <c r="C182" s="3781"/>
      <c r="D182" s="3781"/>
      <c r="E182" s="3781"/>
      <c r="F182" s="3781"/>
    </row>
    <row r="183" spans="1:6" x14ac:dyDescent="0.25">
      <c r="A183" s="1251"/>
      <c r="B183" s="1251"/>
      <c r="C183" s="1251"/>
      <c r="D183" s="1251"/>
      <c r="E183" s="1251"/>
      <c r="F183" s="1251"/>
    </row>
    <row r="184" spans="1:6" x14ac:dyDescent="0.25">
      <c r="A184" s="3782" t="s">
        <v>7</v>
      </c>
      <c r="B184" s="3782" t="s">
        <v>260</v>
      </c>
      <c r="C184" s="3782" t="s">
        <v>261</v>
      </c>
      <c r="D184" s="3777" t="s">
        <v>258</v>
      </c>
      <c r="E184" s="3778"/>
      <c r="F184" s="3785"/>
    </row>
    <row r="185" spans="1:6" ht="60" x14ac:dyDescent="0.25">
      <c r="A185" s="3783"/>
      <c r="B185" s="3784"/>
      <c r="C185" s="3784"/>
      <c r="D185" s="1322" t="s">
        <v>262</v>
      </c>
      <c r="E185" s="1322" t="s">
        <v>263</v>
      </c>
      <c r="F185" s="1322" t="s">
        <v>264</v>
      </c>
    </row>
    <row r="186" spans="1:6" x14ac:dyDescent="0.25">
      <c r="A186" s="1323">
        <v>1</v>
      </c>
      <c r="B186" s="1324">
        <v>2</v>
      </c>
      <c r="C186" s="1324">
        <v>3</v>
      </c>
      <c r="D186" s="1324">
        <v>4</v>
      </c>
      <c r="E186" s="1324">
        <v>5</v>
      </c>
      <c r="F186" s="1324">
        <v>6</v>
      </c>
    </row>
    <row r="187" spans="1:6" ht="60" x14ac:dyDescent="0.25">
      <c r="A187" s="1329">
        <v>1</v>
      </c>
      <c r="B187" s="1335" t="s">
        <v>2190</v>
      </c>
      <c r="C187" s="1334"/>
      <c r="D187" s="1334"/>
      <c r="E187" s="1334"/>
      <c r="F187" s="1334"/>
    </row>
    <row r="188" spans="1:6" ht="30" x14ac:dyDescent="0.25">
      <c r="A188" s="1329">
        <v>2</v>
      </c>
      <c r="B188" s="1334" t="s">
        <v>1833</v>
      </c>
      <c r="C188" s="1334"/>
      <c r="D188" s="1334"/>
      <c r="E188" s="1334"/>
      <c r="F188" s="1334"/>
    </row>
    <row r="189" spans="1:6" ht="30" x14ac:dyDescent="0.25">
      <c r="A189" s="1329">
        <v>3</v>
      </c>
      <c r="B189" s="1334" t="s">
        <v>87</v>
      </c>
      <c r="C189" s="1334"/>
      <c r="D189" s="1334"/>
      <c r="E189" s="1334"/>
      <c r="F189" s="1334"/>
    </row>
    <row r="190" spans="1:6" x14ac:dyDescent="0.25">
      <c r="A190" s="1329"/>
      <c r="B190" s="1334"/>
      <c r="C190" s="1334"/>
      <c r="D190" s="1334"/>
      <c r="E190" s="1334"/>
      <c r="F190" s="1334"/>
    </row>
    <row r="191" spans="1:6" x14ac:dyDescent="0.25">
      <c r="A191" s="1329"/>
      <c r="B191" s="1334"/>
      <c r="C191" s="1334"/>
      <c r="D191" s="1334"/>
      <c r="E191" s="1334"/>
      <c r="F191" s="1334"/>
    </row>
    <row r="192" spans="1:6" x14ac:dyDescent="0.25">
      <c r="A192" s="1329"/>
      <c r="B192" s="1334"/>
      <c r="C192" s="1334"/>
      <c r="D192" s="1334"/>
      <c r="E192" s="1334"/>
      <c r="F192" s="1334"/>
    </row>
    <row r="193" spans="1:6" x14ac:dyDescent="0.25">
      <c r="A193" s="1329"/>
      <c r="B193" s="1334"/>
      <c r="C193" s="1334"/>
      <c r="D193" s="1334"/>
      <c r="E193" s="1334"/>
      <c r="F193" s="1334"/>
    </row>
    <row r="194" spans="1:6" x14ac:dyDescent="0.25">
      <c r="A194" s="3775" t="s">
        <v>259</v>
      </c>
      <c r="B194" s="3776"/>
      <c r="C194" s="1325"/>
      <c r="D194" s="1325"/>
      <c r="E194" s="1325"/>
      <c r="F194" s="1325"/>
    </row>
    <row r="195" spans="1:6" x14ac:dyDescent="0.25">
      <c r="A195" s="1251"/>
      <c r="B195" s="1251"/>
      <c r="C195" s="1251">
        <v>2</v>
      </c>
      <c r="D195" s="1251"/>
      <c r="E195" s="1251"/>
      <c r="F195" s="1251"/>
    </row>
    <row r="196" spans="1:6" ht="15.75" x14ac:dyDescent="0.25">
      <c r="A196" s="1251"/>
      <c r="B196" s="1326" t="s">
        <v>266</v>
      </c>
      <c r="C196" s="1326"/>
      <c r="D196" s="1251"/>
      <c r="E196" s="1251"/>
      <c r="F196" s="1251"/>
    </row>
    <row r="197" spans="1:6" x14ac:dyDescent="0.25">
      <c r="A197" s="1251"/>
      <c r="B197" s="1251"/>
      <c r="C197" s="1251"/>
      <c r="D197" s="1251"/>
      <c r="E197" s="1251"/>
      <c r="F197" s="1251"/>
    </row>
    <row r="198" spans="1:6" ht="15.75" x14ac:dyDescent="0.25">
      <c r="A198" s="1327"/>
      <c r="B198" s="1328" t="s">
        <v>272</v>
      </c>
      <c r="C198" s="1328"/>
      <c r="D198" s="1251"/>
      <c r="E198" s="1251"/>
      <c r="F198" s="1251"/>
    </row>
    <row r="199" spans="1:6" x14ac:dyDescent="0.25">
      <c r="A199" s="1251"/>
      <c r="B199" s="1251"/>
      <c r="C199" s="1251"/>
      <c r="D199" s="1251"/>
      <c r="E199" s="1251"/>
      <c r="F199" s="1251"/>
    </row>
    <row r="200" spans="1:6" ht="135" x14ac:dyDescent="0.25">
      <c r="A200" s="1251"/>
      <c r="B200" s="1329" t="s">
        <v>268</v>
      </c>
      <c r="C200" s="1330" t="s">
        <v>269</v>
      </c>
      <c r="D200" s="1331" t="s">
        <v>267</v>
      </c>
      <c r="E200" s="1330" t="s">
        <v>270</v>
      </c>
      <c r="F200" s="1251"/>
    </row>
    <row r="201" spans="1:6" ht="15.75" x14ac:dyDescent="0.25">
      <c r="A201" s="1251"/>
      <c r="B201" s="1332">
        <v>1</v>
      </c>
      <c r="C201" s="1333">
        <v>2</v>
      </c>
      <c r="D201" s="1333">
        <v>3</v>
      </c>
      <c r="E201" s="1333">
        <v>4</v>
      </c>
      <c r="F201" s="1251"/>
    </row>
    <row r="202" spans="1:6" ht="60" x14ac:dyDescent="0.25">
      <c r="A202" s="1251"/>
      <c r="B202" s="1335" t="s">
        <v>2190</v>
      </c>
      <c r="C202" s="1336"/>
      <c r="D202" s="1336"/>
      <c r="E202" s="1336"/>
      <c r="F202" s="1251"/>
    </row>
    <row r="203" spans="1:6" ht="30" x14ac:dyDescent="0.25">
      <c r="A203" s="1251"/>
      <c r="B203" s="1334" t="s">
        <v>1833</v>
      </c>
      <c r="C203" s="1336"/>
      <c r="D203" s="1336"/>
      <c r="E203" s="1336"/>
      <c r="F203" s="1251"/>
    </row>
    <row r="204" spans="1:6" ht="30" x14ac:dyDescent="0.25">
      <c r="A204" s="1251"/>
      <c r="B204" s="1334" t="s">
        <v>87</v>
      </c>
      <c r="C204" s="1342"/>
      <c r="D204" s="1342"/>
      <c r="E204" s="1342"/>
      <c r="F204" s="1251"/>
    </row>
    <row r="205" spans="1:6" x14ac:dyDescent="0.25">
      <c r="A205" s="1251"/>
      <c r="B205" s="1342"/>
      <c r="C205" s="1342"/>
      <c r="D205" s="1342"/>
      <c r="E205" s="1342"/>
      <c r="F205" s="1251"/>
    </row>
    <row r="206" spans="1:6" x14ac:dyDescent="0.25">
      <c r="A206" s="1251"/>
      <c r="B206" s="1251"/>
      <c r="C206" s="1251"/>
      <c r="D206" s="1251"/>
      <c r="E206" s="1251"/>
      <c r="F206" s="1251"/>
    </row>
    <row r="207" spans="1:6" ht="15.75" x14ac:dyDescent="0.25">
      <c r="A207" s="1251"/>
      <c r="B207" s="1328" t="s">
        <v>271</v>
      </c>
      <c r="C207" s="1328"/>
      <c r="D207" s="1328"/>
      <c r="E207" s="1328"/>
      <c r="F207" s="1251"/>
    </row>
    <row r="208" spans="1:6" x14ac:dyDescent="0.25">
      <c r="A208" s="1251"/>
      <c r="B208" s="1251"/>
      <c r="C208" s="1251"/>
      <c r="D208" s="1251"/>
      <c r="E208" s="1251"/>
      <c r="F208" s="1251"/>
    </row>
    <row r="209" spans="1:6" ht="75" x14ac:dyDescent="0.25">
      <c r="A209" s="1251"/>
      <c r="B209" s="1329" t="s">
        <v>274</v>
      </c>
      <c r="C209" s="3777" t="s">
        <v>273</v>
      </c>
      <c r="D209" s="3778"/>
      <c r="E209" s="3779"/>
      <c r="F209" s="1251"/>
    </row>
    <row r="210" spans="1:6" ht="45" x14ac:dyDescent="0.25">
      <c r="A210" s="1251"/>
      <c r="B210" s="1332"/>
      <c r="C210" s="1322" t="s">
        <v>476</v>
      </c>
      <c r="D210" s="1322" t="s">
        <v>477</v>
      </c>
      <c r="E210" s="1322" t="s">
        <v>478</v>
      </c>
      <c r="F210" s="1251"/>
    </row>
    <row r="211" spans="1:6" ht="15.75" x14ac:dyDescent="0.25">
      <c r="A211" s="1251"/>
      <c r="B211" s="1332">
        <v>1</v>
      </c>
      <c r="C211" s="1333">
        <v>2</v>
      </c>
      <c r="D211" s="1333">
        <v>3</v>
      </c>
      <c r="E211" s="1333">
        <v>4</v>
      </c>
      <c r="F211" s="1251"/>
    </row>
    <row r="212" spans="1:6" ht="60" x14ac:dyDescent="0.25">
      <c r="A212" s="1251"/>
      <c r="B212" s="1335" t="s">
        <v>2190</v>
      </c>
      <c r="C212" s="1336">
        <v>0</v>
      </c>
      <c r="D212" s="1336">
        <v>0</v>
      </c>
      <c r="E212" s="1336">
        <v>0</v>
      </c>
      <c r="F212" s="1251"/>
    </row>
    <row r="213" spans="1:6" ht="30" x14ac:dyDescent="0.25">
      <c r="A213" s="1251"/>
      <c r="B213" s="1334" t="s">
        <v>1833</v>
      </c>
      <c r="C213" s="1336"/>
      <c r="D213" s="1336"/>
      <c r="E213" s="1336"/>
      <c r="F213" s="1251"/>
    </row>
    <row r="214" spans="1:6" ht="30" x14ac:dyDescent="0.25">
      <c r="B214" s="1334" t="s">
        <v>87</v>
      </c>
      <c r="C214" s="20"/>
      <c r="D214" s="20"/>
      <c r="E214" s="20"/>
    </row>
  </sheetData>
  <mergeCells count="69">
    <mergeCell ref="A194:B194"/>
    <mergeCell ref="C209:E209"/>
    <mergeCell ref="A179:F179"/>
    <mergeCell ref="A180:F180"/>
    <mergeCell ref="A181:F181"/>
    <mergeCell ref="A182:F182"/>
    <mergeCell ref="A184:A185"/>
    <mergeCell ref="B184:B185"/>
    <mergeCell ref="C184:C185"/>
    <mergeCell ref="D184:F184"/>
    <mergeCell ref="A151:B151"/>
    <mergeCell ref="C166:E166"/>
    <mergeCell ref="A176:F176"/>
    <mergeCell ref="A177:F177"/>
    <mergeCell ref="A178:F178"/>
    <mergeCell ref="A136:F136"/>
    <mergeCell ref="A137:F137"/>
    <mergeCell ref="A138:F138"/>
    <mergeCell ref="A139:F139"/>
    <mergeCell ref="A141:A142"/>
    <mergeCell ref="B141:B142"/>
    <mergeCell ref="C141:C142"/>
    <mergeCell ref="D141:F141"/>
    <mergeCell ref="A110:B110"/>
    <mergeCell ref="C125:E125"/>
    <mergeCell ref="A133:F133"/>
    <mergeCell ref="A134:F134"/>
    <mergeCell ref="A135:F135"/>
    <mergeCell ref="A96:F96"/>
    <mergeCell ref="A97:F97"/>
    <mergeCell ref="A98:F98"/>
    <mergeCell ref="A100:A101"/>
    <mergeCell ref="B100:B101"/>
    <mergeCell ref="C100:C101"/>
    <mergeCell ref="D100:F100"/>
    <mergeCell ref="C84:E84"/>
    <mergeCell ref="A92:F92"/>
    <mergeCell ref="A93:F93"/>
    <mergeCell ref="A94:F94"/>
    <mergeCell ref="A95:F95"/>
    <mergeCell ref="A59:A60"/>
    <mergeCell ref="B59:B60"/>
    <mergeCell ref="C59:C60"/>
    <mergeCell ref="D59:F59"/>
    <mergeCell ref="A69:B69"/>
    <mergeCell ref="D1:F1"/>
    <mergeCell ref="A7:F7"/>
    <mergeCell ref="A10:F10"/>
    <mergeCell ref="A11:F11"/>
    <mergeCell ref="A12:F12"/>
    <mergeCell ref="A6:F6"/>
    <mergeCell ref="B3:C3"/>
    <mergeCell ref="A8:F8"/>
    <mergeCell ref="A9:F9"/>
    <mergeCell ref="A56:F56"/>
    <mergeCell ref="A57:F57"/>
    <mergeCell ref="D47:E47"/>
    <mergeCell ref="D48:E48"/>
    <mergeCell ref="C39:E39"/>
    <mergeCell ref="A51:F51"/>
    <mergeCell ref="A52:F52"/>
    <mergeCell ref="A53:F53"/>
    <mergeCell ref="A54:F54"/>
    <mergeCell ref="A55:F55"/>
    <mergeCell ref="D14:F14"/>
    <mergeCell ref="A24:B24"/>
    <mergeCell ref="B14:B15"/>
    <mergeCell ref="C14:C15"/>
    <mergeCell ref="A14:A15"/>
  </mergeCells>
  <pageMargins left="0.7" right="0.7" top="0.75" bottom="0.75" header="0.3" footer="0.3"/>
  <pageSetup paperSize="9" scale="89" fitToHeight="0" orientation="portrait" horizont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H226"/>
  <sheetViews>
    <sheetView view="pageBreakPreview" topLeftCell="A175" zoomScale="85" zoomScaleNormal="106" zoomScaleSheetLayoutView="85" workbookViewId="0">
      <selection activeCell="C200" sqref="C200:O226"/>
    </sheetView>
  </sheetViews>
  <sheetFormatPr defaultRowHeight="15" x14ac:dyDescent="0.25"/>
  <cols>
    <col min="1" max="1" width="4.42578125" customWidth="1"/>
    <col min="2" max="2" width="8.5703125" style="1" customWidth="1"/>
    <col min="3" max="3" width="38.7109375" style="2" customWidth="1"/>
    <col min="4" max="4" width="10.5703125" style="2" customWidth="1"/>
    <col min="5" max="5" width="10.42578125" style="2" customWidth="1"/>
    <col min="6" max="6" width="11.42578125" style="2" customWidth="1"/>
    <col min="7" max="7" width="10.42578125" style="2" customWidth="1"/>
    <col min="8" max="8" width="10" style="2" customWidth="1"/>
    <col min="9" max="13" width="9" style="2" customWidth="1"/>
    <col min="14" max="14" width="10" style="2" customWidth="1"/>
    <col min="15" max="15" width="9.5703125" style="2" customWidth="1"/>
    <col min="16" max="19" width="9" style="2" customWidth="1"/>
    <col min="20" max="20" width="20.42578125" hidden="1" customWidth="1"/>
    <col min="21" max="21" width="23" bestFit="1" customWidth="1"/>
    <col min="22" max="22" width="13.85546875" bestFit="1" customWidth="1"/>
    <col min="23" max="23" width="12.140625" bestFit="1" customWidth="1"/>
    <col min="24" max="24" width="11.42578125" bestFit="1" customWidth="1"/>
    <col min="25" max="25" width="13.28515625" bestFit="1" customWidth="1"/>
    <col min="26" max="26" width="13.85546875" bestFit="1" customWidth="1"/>
    <col min="27" max="27" width="10.42578125" bestFit="1" customWidth="1"/>
  </cols>
  <sheetData>
    <row r="1" spans="1:23" ht="17.25" customHeight="1" x14ac:dyDescent="0.25">
      <c r="B1" s="2731"/>
      <c r="C1" s="2699" t="s">
        <v>6</v>
      </c>
      <c r="D1" s="2699"/>
      <c r="E1" s="2699"/>
      <c r="F1" s="2699"/>
      <c r="G1" s="2699"/>
      <c r="H1" s="2699"/>
      <c r="I1" s="2699"/>
      <c r="J1" s="2699"/>
      <c r="K1" s="2699"/>
      <c r="L1" s="2699"/>
      <c r="M1" s="2699"/>
      <c r="N1" s="2699"/>
      <c r="O1" s="3794" t="s">
        <v>3249</v>
      </c>
      <c r="P1" s="3794"/>
      <c r="Q1" s="3794"/>
      <c r="R1" s="3794"/>
      <c r="S1" s="3794"/>
      <c r="T1" s="166" t="s">
        <v>643</v>
      </c>
    </row>
    <row r="2" spans="1:23" ht="24.75" customHeight="1" x14ac:dyDescent="0.25">
      <c r="B2" s="2731"/>
      <c r="C2" s="2732" t="str">
        <f>'Вхідні дані'!F10</f>
        <v>Виконавчий комітет Чорноморської міської ради Одеського району Одеської області</v>
      </c>
      <c r="D2" s="2732"/>
      <c r="E2" s="2732"/>
      <c r="F2" s="2732"/>
      <c r="G2" s="2699"/>
      <c r="H2" s="2699"/>
      <c r="I2" s="2699"/>
      <c r="J2" s="2699"/>
      <c r="K2" s="2699"/>
      <c r="L2" s="2699"/>
      <c r="M2" s="2699"/>
      <c r="N2" s="2733"/>
      <c r="O2" s="3794"/>
      <c r="P2" s="3794"/>
      <c r="Q2" s="3794"/>
      <c r="R2" s="3794"/>
      <c r="S2" s="3794"/>
    </row>
    <row r="3" spans="1:23" x14ac:dyDescent="0.25">
      <c r="B3" s="2731"/>
      <c r="C3" s="2734" t="s">
        <v>208</v>
      </c>
      <c r="D3" s="2699"/>
      <c r="E3" s="2699"/>
      <c r="F3" s="2699"/>
      <c r="G3" s="2699"/>
      <c r="H3" s="2699"/>
      <c r="I3" s="2699"/>
      <c r="J3" s="2699"/>
      <c r="K3" s="2699"/>
      <c r="L3" s="2699"/>
      <c r="M3" s="2699"/>
      <c r="N3" s="2733"/>
      <c r="O3" s="2733"/>
      <c r="P3" s="2733"/>
      <c r="Q3" s="2733"/>
      <c r="R3" s="2733"/>
      <c r="S3" s="2733"/>
    </row>
    <row r="4" spans="1:23" x14ac:dyDescent="0.25">
      <c r="B4" s="2731"/>
      <c r="C4" s="2735" t="s">
        <v>3468</v>
      </c>
      <c r="D4" s="2735"/>
      <c r="E4" s="2735"/>
      <c r="F4" s="2735"/>
      <c r="G4" s="3792" t="s">
        <v>3258</v>
      </c>
      <c r="H4" s="3792"/>
      <c r="I4" s="3792"/>
      <c r="J4" s="3792"/>
      <c r="K4" s="3792"/>
      <c r="L4" s="3792"/>
      <c r="M4" s="2735"/>
      <c r="N4" s="2735"/>
      <c r="O4" s="2735"/>
      <c r="P4" s="2735"/>
      <c r="Q4" s="2736"/>
      <c r="R4" s="2736"/>
      <c r="S4" s="2736"/>
      <c r="T4" s="166" t="s">
        <v>643</v>
      </c>
    </row>
    <row r="5" spans="1:23" x14ac:dyDescent="0.25">
      <c r="B5" s="2731"/>
      <c r="C5" s="2737" t="s">
        <v>3252</v>
      </c>
      <c r="D5" s="3793" t="s">
        <v>3251</v>
      </c>
      <c r="E5" s="3793"/>
      <c r="F5" s="3793"/>
      <c r="G5" s="3793"/>
      <c r="H5" s="3793"/>
      <c r="I5" s="3793"/>
      <c r="J5" s="3793"/>
      <c r="K5" s="3793"/>
      <c r="L5" s="3793"/>
      <c r="M5" s="3793"/>
      <c r="N5" s="3793"/>
      <c r="O5" s="3793"/>
      <c r="P5" s="2737"/>
      <c r="Q5" s="2737"/>
      <c r="R5" s="2737"/>
      <c r="S5" s="2738"/>
      <c r="T5" s="166" t="s">
        <v>643</v>
      </c>
    </row>
    <row r="6" spans="1:23" x14ac:dyDescent="0.25">
      <c r="B6" s="2731"/>
      <c r="C6" s="2739"/>
      <c r="D6" s="2737"/>
      <c r="E6" s="2698"/>
      <c r="F6" s="3793" t="s">
        <v>648</v>
      </c>
      <c r="G6" s="3793"/>
      <c r="H6" s="3793"/>
      <c r="I6" s="3793"/>
      <c r="J6" s="3793"/>
      <c r="K6" s="3793"/>
      <c r="L6" s="3793"/>
      <c r="M6" s="3793"/>
      <c r="N6" s="2737" t="str">
        <f>'Вхідні дані'!F6</f>
        <v>2022-2023</v>
      </c>
      <c r="O6" s="2739" t="s">
        <v>647</v>
      </c>
      <c r="P6" s="2698"/>
      <c r="Q6" s="2740"/>
      <c r="R6" s="2698"/>
      <c r="S6" s="2737"/>
      <c r="T6" s="166" t="s">
        <v>643</v>
      </c>
    </row>
    <row r="7" spans="1:23" x14ac:dyDescent="0.25">
      <c r="B7" s="2731"/>
      <c r="C7" s="2741"/>
      <c r="D7" s="2741"/>
      <c r="E7" s="2741"/>
      <c r="F7" s="2742"/>
      <c r="G7" s="2743"/>
      <c r="H7" s="2744"/>
      <c r="I7" s="2743"/>
      <c r="J7" s="2743"/>
      <c r="K7" s="2742"/>
      <c r="L7" s="2741"/>
      <c r="M7" s="2741"/>
      <c r="N7" s="2742"/>
      <c r="O7" s="2742"/>
      <c r="P7" s="2741"/>
      <c r="Q7" s="2741"/>
      <c r="R7" s="2741"/>
      <c r="S7" s="2741"/>
    </row>
    <row r="8" spans="1:23" ht="40.5" customHeight="1" x14ac:dyDescent="0.25">
      <c r="C8" s="3005"/>
      <c r="D8" s="3005"/>
      <c r="E8" s="3005"/>
      <c r="F8" s="3805"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G8" s="3805"/>
      <c r="H8" s="3805"/>
      <c r="I8" s="3805"/>
      <c r="J8" s="3805"/>
      <c r="K8" s="3805"/>
      <c r="L8" s="3805"/>
      <c r="M8" s="3805"/>
      <c r="N8" s="3005"/>
      <c r="O8" s="3005"/>
      <c r="P8" s="3005"/>
      <c r="Q8" s="3005"/>
      <c r="R8" s="3005"/>
      <c r="S8" s="3005"/>
    </row>
    <row r="9" spans="1:23" ht="15.75" thickBot="1" x14ac:dyDescent="0.3">
      <c r="B9" s="2901"/>
      <c r="C9" s="2901"/>
      <c r="D9" s="2901"/>
      <c r="E9" s="2901"/>
      <c r="F9" s="3791" t="s">
        <v>3256</v>
      </c>
      <c r="G9" s="3791"/>
      <c r="H9" s="3791"/>
      <c r="I9" s="3791"/>
      <c r="J9" s="3791"/>
      <c r="K9" s="3791"/>
      <c r="L9" s="2901"/>
      <c r="M9" s="2901"/>
      <c r="N9" s="2901"/>
      <c r="O9" s="2901"/>
      <c r="P9" s="2901"/>
      <c r="Q9" s="2901"/>
      <c r="R9" s="2901"/>
      <c r="S9" s="2901"/>
    </row>
    <row r="10" spans="1:23" s="167" customFormat="1" ht="15" customHeight="1" x14ac:dyDescent="0.25">
      <c r="A10" s="3504"/>
      <c r="B10" s="2902"/>
      <c r="C10" s="3786" t="s">
        <v>8</v>
      </c>
      <c r="D10" s="3786" t="s">
        <v>9</v>
      </c>
      <c r="E10" s="3789" t="s">
        <v>649</v>
      </c>
      <c r="F10" s="3789" t="s">
        <v>209</v>
      </c>
      <c r="G10" s="3789" t="s">
        <v>205</v>
      </c>
      <c r="H10" s="3802" t="s">
        <v>496</v>
      </c>
      <c r="I10" s="3803"/>
      <c r="J10" s="3803"/>
      <c r="K10" s="3803"/>
      <c r="L10" s="3803"/>
      <c r="M10" s="3803"/>
      <c r="N10" s="3803"/>
      <c r="O10" s="3803"/>
      <c r="P10" s="3803"/>
      <c r="Q10" s="3803"/>
      <c r="R10" s="3803"/>
      <c r="S10" s="3804"/>
    </row>
    <row r="11" spans="1:23" s="167" customFormat="1" ht="33" customHeight="1" x14ac:dyDescent="0.25">
      <c r="A11" s="3504"/>
      <c r="B11" s="3006" t="s">
        <v>7</v>
      </c>
      <c r="C11" s="3787"/>
      <c r="D11" s="3787"/>
      <c r="E11" s="3790"/>
      <c r="F11" s="3790"/>
      <c r="G11" s="3790"/>
      <c r="H11" s="2639" t="s">
        <v>19</v>
      </c>
      <c r="I11" s="2639" t="s">
        <v>20</v>
      </c>
      <c r="J11" s="2639" t="s">
        <v>21</v>
      </c>
      <c r="K11" s="2639" t="s">
        <v>10</v>
      </c>
      <c r="L11" s="2639" t="s">
        <v>11</v>
      </c>
      <c r="M11" s="2639" t="s">
        <v>12</v>
      </c>
      <c r="N11" s="2639" t="s">
        <v>13</v>
      </c>
      <c r="O11" s="2639" t="s">
        <v>14</v>
      </c>
      <c r="P11" s="2639" t="s">
        <v>15</v>
      </c>
      <c r="Q11" s="2639" t="s">
        <v>16</v>
      </c>
      <c r="R11" s="2639" t="s">
        <v>17</v>
      </c>
      <c r="S11" s="2640" t="s">
        <v>18</v>
      </c>
      <c r="T11" s="168" t="s">
        <v>643</v>
      </c>
    </row>
    <row r="12" spans="1:23" s="167" customFormat="1" x14ac:dyDescent="0.25">
      <c r="A12" s="3504"/>
      <c r="B12" s="2903"/>
      <c r="C12" s="3788"/>
      <c r="D12" s="3788"/>
      <c r="E12" s="2641">
        <f>'Вхідні дані'!F8</f>
        <v>2020</v>
      </c>
      <c r="F12" s="2641">
        <f>'Вхідні дані'!F7</f>
        <v>2021</v>
      </c>
      <c r="G12" s="2641" t="str">
        <f>'Вхідні дані'!F6</f>
        <v>2022-2023</v>
      </c>
      <c r="H12" s="2642" t="s">
        <v>210</v>
      </c>
      <c r="I12" s="2642" t="s">
        <v>210</v>
      </c>
      <c r="J12" s="2642" t="s">
        <v>210</v>
      </c>
      <c r="K12" s="2642" t="s">
        <v>210</v>
      </c>
      <c r="L12" s="2642" t="s">
        <v>210</v>
      </c>
      <c r="M12" s="2642" t="s">
        <v>210</v>
      </c>
      <c r="N12" s="2642" t="s">
        <v>210</v>
      </c>
      <c r="O12" s="2642" t="s">
        <v>210</v>
      </c>
      <c r="P12" s="2642" t="s">
        <v>210</v>
      </c>
      <c r="Q12" s="2642" t="s">
        <v>210</v>
      </c>
      <c r="R12" s="2642" t="s">
        <v>210</v>
      </c>
      <c r="S12" s="2643" t="s">
        <v>210</v>
      </c>
    </row>
    <row r="13" spans="1:23" s="167" customFormat="1" ht="15.75" thickBot="1" x14ac:dyDescent="0.3">
      <c r="A13" s="3504"/>
      <c r="B13" s="2904" t="s">
        <v>479</v>
      </c>
      <c r="C13" s="2644" t="s">
        <v>497</v>
      </c>
      <c r="D13" s="2645" t="s">
        <v>180</v>
      </c>
      <c r="E13" s="2644" t="s">
        <v>181</v>
      </c>
      <c r="F13" s="2645" t="s">
        <v>176</v>
      </c>
      <c r="G13" s="2644" t="s">
        <v>177</v>
      </c>
      <c r="H13" s="2645" t="s">
        <v>178</v>
      </c>
      <c r="I13" s="2644" t="s">
        <v>179</v>
      </c>
      <c r="J13" s="2645" t="s">
        <v>194</v>
      </c>
      <c r="K13" s="2644" t="s">
        <v>195</v>
      </c>
      <c r="L13" s="2645" t="s">
        <v>196</v>
      </c>
      <c r="M13" s="2644" t="s">
        <v>197</v>
      </c>
      <c r="N13" s="2645" t="s">
        <v>198</v>
      </c>
      <c r="O13" s="2644" t="s">
        <v>199</v>
      </c>
      <c r="P13" s="2645" t="s">
        <v>200</v>
      </c>
      <c r="Q13" s="2644" t="s">
        <v>670</v>
      </c>
      <c r="R13" s="2645" t="s">
        <v>671</v>
      </c>
      <c r="S13" s="2646" t="s">
        <v>672</v>
      </c>
    </row>
    <row r="14" spans="1:23" ht="24" x14ac:dyDescent="0.25">
      <c r="A14" s="3474"/>
      <c r="B14" s="2905" t="s">
        <v>479</v>
      </c>
      <c r="C14" s="2706" t="s">
        <v>480</v>
      </c>
      <c r="D14" s="2707" t="s">
        <v>22</v>
      </c>
      <c r="E14" s="2647">
        <f>E15+E16</f>
        <v>12974.94</v>
      </c>
      <c r="F14" s="2648">
        <f t="shared" ref="F14:S14" si="0">F15+F16</f>
        <v>14029.59</v>
      </c>
      <c r="G14" s="2647">
        <f t="shared" si="0"/>
        <v>13172.79</v>
      </c>
      <c r="H14" s="2647">
        <f t="shared" si="0"/>
        <v>370.93</v>
      </c>
      <c r="I14" s="2647">
        <f>I15+I16</f>
        <v>1657.94</v>
      </c>
      <c r="J14" s="2647">
        <f t="shared" si="0"/>
        <v>2154.6799999999998</v>
      </c>
      <c r="K14" s="2647">
        <f t="shared" si="0"/>
        <v>2636.45</v>
      </c>
      <c r="L14" s="2647">
        <f t="shared" si="0"/>
        <v>1997.06</v>
      </c>
      <c r="M14" s="2647">
        <f t="shared" si="0"/>
        <v>2036.25</v>
      </c>
      <c r="N14" s="2647">
        <f t="shared" si="0"/>
        <v>469.21</v>
      </c>
      <c r="O14" s="2647">
        <f t="shared" si="0"/>
        <v>447.1</v>
      </c>
      <c r="P14" s="2647">
        <f t="shared" si="0"/>
        <v>361.48</v>
      </c>
      <c r="Q14" s="2647">
        <f t="shared" si="0"/>
        <v>347.35</v>
      </c>
      <c r="R14" s="2647">
        <f t="shared" si="0"/>
        <v>348.35</v>
      </c>
      <c r="S14" s="2649">
        <f t="shared" si="0"/>
        <v>346</v>
      </c>
      <c r="T14" s="155" t="s">
        <v>481</v>
      </c>
      <c r="U14" s="87"/>
      <c r="V14" s="87"/>
      <c r="W14" s="87"/>
    </row>
    <row r="15" spans="1:23" ht="24" x14ac:dyDescent="0.25">
      <c r="A15" s="3474"/>
      <c r="B15" s="2906" t="s">
        <v>23</v>
      </c>
      <c r="C15" s="2609" t="s">
        <v>482</v>
      </c>
      <c r="D15" s="2708" t="s">
        <v>22</v>
      </c>
      <c r="E15" s="2650">
        <v>0</v>
      </c>
      <c r="F15" s="2650">
        <v>0</v>
      </c>
      <c r="G15" s="2650">
        <v>0</v>
      </c>
      <c r="H15" s="2650">
        <v>0</v>
      </c>
      <c r="I15" s="2650">
        <v>0</v>
      </c>
      <c r="J15" s="2650">
        <v>0</v>
      </c>
      <c r="K15" s="2650">
        <v>0</v>
      </c>
      <c r="L15" s="2650">
        <v>0</v>
      </c>
      <c r="M15" s="2650">
        <v>0</v>
      </c>
      <c r="N15" s="2650">
        <v>0</v>
      </c>
      <c r="O15" s="2650">
        <v>0</v>
      </c>
      <c r="P15" s="2650">
        <v>0</v>
      </c>
      <c r="Q15" s="2650">
        <v>0</v>
      </c>
      <c r="R15" s="2650">
        <v>0</v>
      </c>
      <c r="S15" s="2651">
        <v>0</v>
      </c>
      <c r="T15" s="155" t="s">
        <v>481</v>
      </c>
    </row>
    <row r="16" spans="1:23" x14ac:dyDescent="0.25">
      <c r="A16" s="3474"/>
      <c r="B16" s="2906" t="s">
        <v>24</v>
      </c>
      <c r="C16" s="2609" t="s">
        <v>483</v>
      </c>
      <c r="D16" s="2708" t="s">
        <v>22</v>
      </c>
      <c r="E16" s="2652">
        <f>E24/(100%-0.76%)</f>
        <v>12974.94</v>
      </c>
      <c r="F16" s="2652">
        <f>F24/(100%-7.94%)</f>
        <v>14029.59</v>
      </c>
      <c r="G16" s="2652">
        <f>G24/(100%-'Вхідні дані'!D76)</f>
        <v>13172.79</v>
      </c>
      <c r="H16" s="2652">
        <f>H24/(100%-'Вхідні дані'!$D$76)</f>
        <v>370.93</v>
      </c>
      <c r="I16" s="2652">
        <f>I24/(100%-'Вхідні дані'!$D$76)</f>
        <v>1657.94</v>
      </c>
      <c r="J16" s="2652">
        <f>J24/(100%-'Вхідні дані'!$D$76)</f>
        <v>2154.6799999999998</v>
      </c>
      <c r="K16" s="2652">
        <f>K24/(100%-'Вхідні дані'!$D$76)</f>
        <v>2636.45</v>
      </c>
      <c r="L16" s="2652">
        <f>L24/(100%-'Вхідні дані'!$D$76)</f>
        <v>1997.06</v>
      </c>
      <c r="M16" s="2652">
        <f>M24/(100%-'Вхідні дані'!$D$76)</f>
        <v>2036.25</v>
      </c>
      <c r="N16" s="2652">
        <f>N24/(100%-'Вхідні дані'!$D$76)</f>
        <v>469.21</v>
      </c>
      <c r="O16" s="2652">
        <f>O24/(100%-'Вхідні дані'!$D$76)</f>
        <v>447.1</v>
      </c>
      <c r="P16" s="2652">
        <f>P24/(100%-'Вхідні дані'!$D$76)</f>
        <v>361.48</v>
      </c>
      <c r="Q16" s="2652">
        <f>Q24/(100%-'Вхідні дані'!$D$76)</f>
        <v>347.35</v>
      </c>
      <c r="R16" s="2652">
        <f>R24/(100%-'Вхідні дані'!$D$76)</f>
        <v>348.35</v>
      </c>
      <c r="S16" s="2654">
        <f>S24/(100%-'Вхідні дані'!$D$76)</f>
        <v>346</v>
      </c>
      <c r="T16" s="155" t="s">
        <v>481</v>
      </c>
    </row>
    <row r="17" spans="1:34" x14ac:dyDescent="0.25">
      <c r="A17" s="3474"/>
      <c r="B17" s="2906" t="s">
        <v>806</v>
      </c>
      <c r="C17" s="2705" t="s">
        <v>631</v>
      </c>
      <c r="D17" s="2708" t="s">
        <v>22</v>
      </c>
      <c r="E17" s="2652"/>
      <c r="F17" s="2652"/>
      <c r="G17" s="2652">
        <f>(G28+G31+G34+G37)/(100%-'Вхідні дані'!D76)</f>
        <v>1406.29</v>
      </c>
      <c r="H17" s="2652">
        <f>(H28+H31+H34+H37)/(100%-'Вхідні дані'!$D$76)</f>
        <v>60.59</v>
      </c>
      <c r="I17" s="2652">
        <f>(I28+I31+I34+I37)/(100%-'Вхідні дані'!$D$76)</f>
        <v>158.11000000000001</v>
      </c>
      <c r="J17" s="2652">
        <f>(J28+J31+J34+J37)/(100%-'Вхідні дані'!$D$76)</f>
        <v>201.68</v>
      </c>
      <c r="K17" s="2652">
        <f>(K28+K31+K34+K37)/(100%-'Вхідні дані'!$D$76)</f>
        <v>245.57</v>
      </c>
      <c r="L17" s="2652">
        <f>(L28+L31+L34+L37)/(100%-'Вхідні дані'!$D$76)</f>
        <v>179.17</v>
      </c>
      <c r="M17" s="2652">
        <f>(M28+M31+M34+M37)/(100%-'Вхідні дані'!$D$76)</f>
        <v>189.8</v>
      </c>
      <c r="N17" s="2652">
        <f>(N28+N31+N34+N37)/(100%-'Вхідні дані'!$D$76)</f>
        <v>69.64</v>
      </c>
      <c r="O17" s="2652">
        <f>(O28+O31+O34+O37)/(100%-'Вхідні дані'!$D$76)</f>
        <v>70.91</v>
      </c>
      <c r="P17" s="2652">
        <f>(P28+P31+P34+P37)/(100%-'Вхідні дані'!$D$76)</f>
        <v>58.98</v>
      </c>
      <c r="Q17" s="2652">
        <f>(Q28+Q31+Q34+Q37)/(100%-'Вхідні дані'!$D$76)</f>
        <v>57.54</v>
      </c>
      <c r="R17" s="2652">
        <f>(R28+R31+R34+R37)/(100%-'Вхідні дані'!$D$76)</f>
        <v>57.4</v>
      </c>
      <c r="S17" s="2654">
        <f>(S28+S31+S34+S37)/(100%-'Вхідні дані'!$D$76)</f>
        <v>56.89</v>
      </c>
      <c r="T17" s="3478">
        <f>(T28+T31+T34+T37)/(100%-'Вхідні дані'!$D$76)</f>
        <v>20768.97</v>
      </c>
    </row>
    <row r="18" spans="1:34" ht="15.75" thickBot="1" x14ac:dyDescent="0.3">
      <c r="A18" s="3474"/>
      <c r="B18" s="2907" t="s">
        <v>807</v>
      </c>
      <c r="C18" s="2709" t="s">
        <v>630</v>
      </c>
      <c r="D18" s="2710" t="s">
        <v>22</v>
      </c>
      <c r="E18" s="2653"/>
      <c r="F18" s="2653"/>
      <c r="G18" s="2653">
        <f>(G29+G32+G35+G38)/(100%-'Вхідні дані'!D76)</f>
        <v>9348.59</v>
      </c>
      <c r="H18" s="2653">
        <f>(H29+H32+H35+H38)/(100%-'Вхідні дані'!$D$76)</f>
        <v>279.67</v>
      </c>
      <c r="I18" s="2653">
        <f>(I29+I32+I35+I38)/(100%-'Вхідні дані'!$D$76)</f>
        <v>1163.54</v>
      </c>
      <c r="J18" s="2653">
        <f>(J29+J32+J35+J38)/(100%-'Вхідні дані'!$D$76)</f>
        <v>1505.09</v>
      </c>
      <c r="K18" s="2653">
        <f>(K29+K32+K35+K38)/(100%-'Вхідні дані'!$D$76)</f>
        <v>1834.12</v>
      </c>
      <c r="L18" s="2653">
        <f>(L29+L32+L35+L38)/(100%-'Вхідні дані'!$D$76)</f>
        <v>1397.42</v>
      </c>
      <c r="M18" s="2653">
        <f>(M29+M32+M35+M38)/(100%-'Вхідні дані'!$D$76)</f>
        <v>1424.53</v>
      </c>
      <c r="N18" s="2653">
        <f>(N29+N32+N35+N38)/(100%-'Вхідні дані'!$D$76)</f>
        <v>348.66</v>
      </c>
      <c r="O18" s="2653">
        <f>(O29+O32+O35+O38)/(100%-'Вхідні дані'!$D$76)</f>
        <v>339.02</v>
      </c>
      <c r="P18" s="2653">
        <f>(P29+P32+P35+P38)/(100%-'Вхідні дані'!$D$76)</f>
        <v>272.62</v>
      </c>
      <c r="Q18" s="2653">
        <f>(Q29+Q32+Q35+Q38)/(100%-'Вхідні дані'!$D$76)</f>
        <v>261.17</v>
      </c>
      <c r="R18" s="2653">
        <f>(R29+R32+R35+R38)/(100%-'Вхідні дані'!$D$76)</f>
        <v>262.2</v>
      </c>
      <c r="S18" s="2655">
        <f>(S29+S32+S35+S38)/(100%-'Вхідні дані'!$D$76)</f>
        <v>260.55</v>
      </c>
      <c r="T18" s="3479">
        <f>(T29+T32+T35+T38)/(100%-'Вхідні дані'!$D$76)</f>
        <v>105713.66</v>
      </c>
    </row>
    <row r="19" spans="1:34" ht="24" x14ac:dyDescent="0.25">
      <c r="A19" s="3474"/>
      <c r="B19" s="2908" t="s">
        <v>497</v>
      </c>
      <c r="C19" s="2706" t="s">
        <v>498</v>
      </c>
      <c r="D19" s="2711" t="s">
        <v>22</v>
      </c>
      <c r="E19" s="2647">
        <f>E20+E21</f>
        <v>98.61</v>
      </c>
      <c r="F19" s="2647">
        <f t="shared" ref="F19:S19" si="1">F20+F21</f>
        <v>1113.95</v>
      </c>
      <c r="G19" s="2647">
        <f t="shared" si="1"/>
        <v>105.38</v>
      </c>
      <c r="H19" s="2647">
        <f t="shared" si="1"/>
        <v>2.97</v>
      </c>
      <c r="I19" s="2647">
        <f t="shared" si="1"/>
        <v>13.26</v>
      </c>
      <c r="J19" s="2647">
        <f t="shared" si="1"/>
        <v>17.239999999999998</v>
      </c>
      <c r="K19" s="2647">
        <f t="shared" si="1"/>
        <v>21.09</v>
      </c>
      <c r="L19" s="2647">
        <f t="shared" si="1"/>
        <v>15.98</v>
      </c>
      <c r="M19" s="2647">
        <f t="shared" si="1"/>
        <v>16.29</v>
      </c>
      <c r="N19" s="2647">
        <f t="shared" si="1"/>
        <v>3.75</v>
      </c>
      <c r="O19" s="2647">
        <f t="shared" si="1"/>
        <v>3.58</v>
      </c>
      <c r="P19" s="2647">
        <f t="shared" si="1"/>
        <v>2.89</v>
      </c>
      <c r="Q19" s="2647">
        <f t="shared" si="1"/>
        <v>2.78</v>
      </c>
      <c r="R19" s="2647">
        <f t="shared" si="1"/>
        <v>2.79</v>
      </c>
      <c r="S19" s="2649">
        <f t="shared" si="1"/>
        <v>2.77</v>
      </c>
      <c r="T19" s="155" t="s">
        <v>481</v>
      </c>
      <c r="U19" s="87"/>
      <c r="V19" s="87"/>
    </row>
    <row r="20" spans="1:34" ht="24" x14ac:dyDescent="0.25">
      <c r="A20" s="3474"/>
      <c r="B20" s="2909" t="s">
        <v>25</v>
      </c>
      <c r="C20" s="2609" t="s">
        <v>482</v>
      </c>
      <c r="D20" s="2712" t="s">
        <v>22</v>
      </c>
      <c r="E20" s="2650">
        <v>0</v>
      </c>
      <c r="F20" s="2650">
        <v>0</v>
      </c>
      <c r="G20" s="2650">
        <v>0</v>
      </c>
      <c r="H20" s="2650">
        <v>0</v>
      </c>
      <c r="I20" s="2650">
        <v>0</v>
      </c>
      <c r="J20" s="2650">
        <v>0</v>
      </c>
      <c r="K20" s="2650">
        <v>0</v>
      </c>
      <c r="L20" s="2650">
        <v>0</v>
      </c>
      <c r="M20" s="2650">
        <v>0</v>
      </c>
      <c r="N20" s="2650">
        <v>0</v>
      </c>
      <c r="O20" s="2650">
        <v>0</v>
      </c>
      <c r="P20" s="2650">
        <v>0</v>
      </c>
      <c r="Q20" s="2650">
        <v>0</v>
      </c>
      <c r="R20" s="2650">
        <v>0</v>
      </c>
      <c r="S20" s="2651">
        <v>0</v>
      </c>
      <c r="T20" s="155" t="s">
        <v>481</v>
      </c>
    </row>
    <row r="21" spans="1:34" x14ac:dyDescent="0.25">
      <c r="A21" s="3474"/>
      <c r="B21" s="2909" t="s">
        <v>26</v>
      </c>
      <c r="C21" s="2609" t="s">
        <v>483</v>
      </c>
      <c r="D21" s="2712" t="s">
        <v>22</v>
      </c>
      <c r="E21" s="2652">
        <f>E16-E26</f>
        <v>98.61</v>
      </c>
      <c r="F21" s="2652">
        <f>F16-F26</f>
        <v>1113.95</v>
      </c>
      <c r="G21" s="2652">
        <f t="shared" ref="G21:S21" si="2">G16-G26</f>
        <v>105.38</v>
      </c>
      <c r="H21" s="2652">
        <f t="shared" si="2"/>
        <v>2.97</v>
      </c>
      <c r="I21" s="2652">
        <f t="shared" si="2"/>
        <v>13.26</v>
      </c>
      <c r="J21" s="2652">
        <f t="shared" si="2"/>
        <v>17.239999999999998</v>
      </c>
      <c r="K21" s="2652">
        <f t="shared" si="2"/>
        <v>21.09</v>
      </c>
      <c r="L21" s="2652">
        <f t="shared" si="2"/>
        <v>15.98</v>
      </c>
      <c r="M21" s="2652">
        <f t="shared" si="2"/>
        <v>16.29</v>
      </c>
      <c r="N21" s="2652">
        <f t="shared" si="2"/>
        <v>3.75</v>
      </c>
      <c r="O21" s="2652">
        <f t="shared" si="2"/>
        <v>3.58</v>
      </c>
      <c r="P21" s="2652">
        <f t="shared" si="2"/>
        <v>2.89</v>
      </c>
      <c r="Q21" s="2652">
        <f t="shared" si="2"/>
        <v>2.78</v>
      </c>
      <c r="R21" s="2652">
        <f t="shared" si="2"/>
        <v>2.79</v>
      </c>
      <c r="S21" s="2654">
        <f t="shared" si="2"/>
        <v>2.77</v>
      </c>
      <c r="T21" s="155" t="s">
        <v>481</v>
      </c>
    </row>
    <row r="22" spans="1:34" x14ac:dyDescent="0.25">
      <c r="A22" s="3474"/>
      <c r="B22" s="2909" t="s">
        <v>804</v>
      </c>
      <c r="C22" s="2705" t="s">
        <v>631</v>
      </c>
      <c r="D22" s="2712" t="s">
        <v>22</v>
      </c>
      <c r="E22" s="2652"/>
      <c r="F22" s="2652"/>
      <c r="G22" s="2652">
        <f>G17-(G28+G31+G34+G37)</f>
        <v>11.25</v>
      </c>
      <c r="H22" s="2652">
        <f>H17-(H28+H31+H34+H37)</f>
        <v>0.48</v>
      </c>
      <c r="I22" s="2652">
        <f t="shared" ref="I22:S22" si="3">I17-(I28+I31+I34+I37)</f>
        <v>1.26</v>
      </c>
      <c r="J22" s="2652">
        <f t="shared" si="3"/>
        <v>1.61</v>
      </c>
      <c r="K22" s="2652">
        <f t="shared" si="3"/>
        <v>1.96</v>
      </c>
      <c r="L22" s="2652">
        <f t="shared" si="3"/>
        <v>1.43</v>
      </c>
      <c r="M22" s="2652">
        <f t="shared" si="3"/>
        <v>1.52</v>
      </c>
      <c r="N22" s="2652">
        <f t="shared" si="3"/>
        <v>0.56000000000000005</v>
      </c>
      <c r="O22" s="2652">
        <f t="shared" si="3"/>
        <v>0.56999999999999995</v>
      </c>
      <c r="P22" s="2652">
        <f t="shared" si="3"/>
        <v>0.47</v>
      </c>
      <c r="Q22" s="2652">
        <f t="shared" si="3"/>
        <v>0.46</v>
      </c>
      <c r="R22" s="2652">
        <f t="shared" si="3"/>
        <v>0.46</v>
      </c>
      <c r="S22" s="2654">
        <f t="shared" si="3"/>
        <v>0.46</v>
      </c>
      <c r="T22" s="155" t="s">
        <v>481</v>
      </c>
      <c r="U22" s="87"/>
      <c r="X22" s="172"/>
      <c r="Y22" s="172"/>
    </row>
    <row r="23" spans="1:34" ht="15.75" thickBot="1" x14ac:dyDescent="0.3">
      <c r="A23" s="3474"/>
      <c r="B23" s="2910" t="s">
        <v>805</v>
      </c>
      <c r="C23" s="2709" t="s">
        <v>630</v>
      </c>
      <c r="D23" s="2713" t="s">
        <v>22</v>
      </c>
      <c r="E23" s="2653"/>
      <c r="F23" s="2653"/>
      <c r="G23" s="2653">
        <f>G18-(G29+G32+G35+G38)</f>
        <v>74.790000000000006</v>
      </c>
      <c r="H23" s="2653">
        <f t="shared" ref="H23:S23" si="4">H18-(H29+H32+H35+H38)</f>
        <v>2.2400000000000002</v>
      </c>
      <c r="I23" s="2653">
        <f t="shared" si="4"/>
        <v>9.31</v>
      </c>
      <c r="J23" s="2653">
        <f t="shared" si="4"/>
        <v>12.04</v>
      </c>
      <c r="K23" s="2653">
        <f t="shared" si="4"/>
        <v>14.67</v>
      </c>
      <c r="L23" s="2653">
        <f t="shared" si="4"/>
        <v>11.18</v>
      </c>
      <c r="M23" s="2653">
        <f t="shared" si="4"/>
        <v>11.4</v>
      </c>
      <c r="N23" s="2653">
        <f t="shared" si="4"/>
        <v>2.79</v>
      </c>
      <c r="O23" s="2653">
        <f t="shared" si="4"/>
        <v>2.71</v>
      </c>
      <c r="P23" s="2653">
        <f t="shared" si="4"/>
        <v>2.1800000000000002</v>
      </c>
      <c r="Q23" s="2653">
        <f t="shared" si="4"/>
        <v>2.09</v>
      </c>
      <c r="R23" s="2653">
        <f t="shared" si="4"/>
        <v>2.1</v>
      </c>
      <c r="S23" s="2655">
        <f t="shared" si="4"/>
        <v>2.08</v>
      </c>
      <c r="T23" s="155" t="s">
        <v>481</v>
      </c>
    </row>
    <row r="24" spans="1:34" ht="24" x14ac:dyDescent="0.25">
      <c r="A24" s="3474"/>
      <c r="B24" s="2911" t="s">
        <v>180</v>
      </c>
      <c r="C24" s="2706" t="s">
        <v>1909</v>
      </c>
      <c r="D24" s="2707" t="s">
        <v>22</v>
      </c>
      <c r="E24" s="2656">
        <f t="shared" ref="E24:S24" si="5">E25+E26</f>
        <v>12876.33</v>
      </c>
      <c r="F24" s="2656">
        <f t="shared" si="5"/>
        <v>12915.64</v>
      </c>
      <c r="G24" s="2656">
        <f>G25+G26</f>
        <v>13067.41</v>
      </c>
      <c r="H24" s="2656">
        <f>H25+H26</f>
        <v>367.96</v>
      </c>
      <c r="I24" s="2656">
        <f t="shared" si="5"/>
        <v>1644.68</v>
      </c>
      <c r="J24" s="2656">
        <f t="shared" si="5"/>
        <v>2137.44</v>
      </c>
      <c r="K24" s="2656">
        <f t="shared" si="5"/>
        <v>2615.36</v>
      </c>
      <c r="L24" s="2656">
        <f t="shared" si="5"/>
        <v>1981.08</v>
      </c>
      <c r="M24" s="2656">
        <f t="shared" si="5"/>
        <v>2019.96</v>
      </c>
      <c r="N24" s="2656">
        <f t="shared" si="5"/>
        <v>465.46</v>
      </c>
      <c r="O24" s="2656">
        <f t="shared" si="5"/>
        <v>443.52</v>
      </c>
      <c r="P24" s="2656">
        <f t="shared" si="5"/>
        <v>358.59</v>
      </c>
      <c r="Q24" s="2656">
        <f t="shared" si="5"/>
        <v>344.57</v>
      </c>
      <c r="R24" s="2656">
        <f t="shared" si="5"/>
        <v>345.56</v>
      </c>
      <c r="S24" s="2657">
        <f t="shared" si="5"/>
        <v>343.23</v>
      </c>
      <c r="T24" s="155" t="s">
        <v>650</v>
      </c>
    </row>
    <row r="25" spans="1:34" ht="24" x14ac:dyDescent="0.25">
      <c r="A25" s="3474"/>
      <c r="B25" s="2912" t="s">
        <v>60</v>
      </c>
      <c r="C25" s="2609" t="s">
        <v>482</v>
      </c>
      <c r="D25" s="2708" t="s">
        <v>22</v>
      </c>
      <c r="E25" s="2513">
        <v>0</v>
      </c>
      <c r="F25" s="2513">
        <v>0</v>
      </c>
      <c r="G25" s="2513">
        <f>SUM(H25:S25)</f>
        <v>0</v>
      </c>
      <c r="H25" s="2513">
        <v>0</v>
      </c>
      <c r="I25" s="2513">
        <v>0</v>
      </c>
      <c r="J25" s="2513">
        <v>0</v>
      </c>
      <c r="K25" s="2513">
        <v>0</v>
      </c>
      <c r="L25" s="2513">
        <v>0</v>
      </c>
      <c r="M25" s="2513">
        <v>0</v>
      </c>
      <c r="N25" s="2513">
        <v>0</v>
      </c>
      <c r="O25" s="2513">
        <v>0</v>
      </c>
      <c r="P25" s="2513">
        <v>0</v>
      </c>
      <c r="Q25" s="2513">
        <v>0</v>
      </c>
      <c r="R25" s="2513">
        <v>0</v>
      </c>
      <c r="S25" s="2514">
        <v>0</v>
      </c>
      <c r="T25" s="155" t="s">
        <v>651</v>
      </c>
    </row>
    <row r="26" spans="1:34" x14ac:dyDescent="0.25">
      <c r="A26" s="3474"/>
      <c r="B26" s="2912" t="s">
        <v>61</v>
      </c>
      <c r="C26" s="2609" t="s">
        <v>483</v>
      </c>
      <c r="D26" s="2708" t="s">
        <v>22</v>
      </c>
      <c r="E26" s="2513">
        <f>E47</f>
        <v>12876.33</v>
      </c>
      <c r="F26" s="2513">
        <f>F47</f>
        <v>12915.64</v>
      </c>
      <c r="G26" s="2513">
        <f>G47</f>
        <v>13067.41</v>
      </c>
      <c r="H26" s="2513">
        <f t="shared" ref="H26:S26" si="6">H47</f>
        <v>367.96</v>
      </c>
      <c r="I26" s="2513">
        <f t="shared" si="6"/>
        <v>1644.68</v>
      </c>
      <c r="J26" s="2513">
        <f t="shared" si="6"/>
        <v>2137.44</v>
      </c>
      <c r="K26" s="2513">
        <f t="shared" si="6"/>
        <v>2615.36</v>
      </c>
      <c r="L26" s="2513">
        <f t="shared" si="6"/>
        <v>1981.08</v>
      </c>
      <c r="M26" s="2513">
        <f t="shared" si="6"/>
        <v>2019.96</v>
      </c>
      <c r="N26" s="2513">
        <f t="shared" si="6"/>
        <v>465.46</v>
      </c>
      <c r="O26" s="2513">
        <f t="shared" si="6"/>
        <v>443.52</v>
      </c>
      <c r="P26" s="2513">
        <f t="shared" si="6"/>
        <v>358.59</v>
      </c>
      <c r="Q26" s="2513">
        <f t="shared" si="6"/>
        <v>344.57</v>
      </c>
      <c r="R26" s="2513">
        <f t="shared" si="6"/>
        <v>345.56</v>
      </c>
      <c r="S26" s="2514">
        <f t="shared" si="6"/>
        <v>343.23</v>
      </c>
      <c r="T26" s="155" t="s">
        <v>3469</v>
      </c>
    </row>
    <row r="27" spans="1:34" x14ac:dyDescent="0.25">
      <c r="A27" s="3474"/>
      <c r="B27" s="2912" t="s">
        <v>733</v>
      </c>
      <c r="C27" s="2609" t="s">
        <v>3</v>
      </c>
      <c r="D27" s="2708" t="s">
        <v>22</v>
      </c>
      <c r="E27" s="2513">
        <v>0</v>
      </c>
      <c r="F27" s="2513">
        <v>0</v>
      </c>
      <c r="G27" s="2513">
        <f>G28+G29</f>
        <v>0</v>
      </c>
      <c r="H27" s="2513">
        <f t="shared" ref="H27:S27" si="7">H28+H29</f>
        <v>0</v>
      </c>
      <c r="I27" s="2513">
        <f t="shared" si="7"/>
        <v>0</v>
      </c>
      <c r="J27" s="2513">
        <f t="shared" si="7"/>
        <v>0</v>
      </c>
      <c r="K27" s="2513">
        <f t="shared" si="7"/>
        <v>0</v>
      </c>
      <c r="L27" s="2513">
        <f t="shared" si="7"/>
        <v>0</v>
      </c>
      <c r="M27" s="2513">
        <f t="shared" si="7"/>
        <v>0</v>
      </c>
      <c r="N27" s="2513">
        <f t="shared" si="7"/>
        <v>0</v>
      </c>
      <c r="O27" s="2513">
        <f t="shared" si="7"/>
        <v>0</v>
      </c>
      <c r="P27" s="2513">
        <f t="shared" si="7"/>
        <v>0</v>
      </c>
      <c r="Q27" s="2513">
        <f t="shared" si="7"/>
        <v>0</v>
      </c>
      <c r="R27" s="2513">
        <f t="shared" si="7"/>
        <v>0</v>
      </c>
      <c r="S27" s="2514">
        <f t="shared" si="7"/>
        <v>0</v>
      </c>
      <c r="T27" s="267">
        <f>T28+T29</f>
        <v>102025.79</v>
      </c>
      <c r="V27" s="172"/>
      <c r="W27" s="87"/>
      <c r="Y27" s="87"/>
      <c r="Z27" s="87"/>
    </row>
    <row r="28" spans="1:34" x14ac:dyDescent="0.25">
      <c r="A28" s="3474"/>
      <c r="B28" s="2912" t="s">
        <v>736</v>
      </c>
      <c r="C28" s="2705" t="s">
        <v>631</v>
      </c>
      <c r="D28" s="2708" t="s">
        <v>22</v>
      </c>
      <c r="E28" s="2513"/>
      <c r="F28" s="2513"/>
      <c r="G28" s="2513">
        <f>SUM(H28:S28)</f>
        <v>0</v>
      </c>
      <c r="H28" s="2513">
        <f>H51+H77</f>
        <v>0</v>
      </c>
      <c r="I28" s="2513">
        <f t="shared" ref="I28:S28" si="8">I51+I77</f>
        <v>0</v>
      </c>
      <c r="J28" s="2513">
        <f t="shared" si="8"/>
        <v>0</v>
      </c>
      <c r="K28" s="2513">
        <f t="shared" si="8"/>
        <v>0</v>
      </c>
      <c r="L28" s="2513">
        <f t="shared" si="8"/>
        <v>0</v>
      </c>
      <c r="M28" s="2513">
        <f t="shared" si="8"/>
        <v>0</v>
      </c>
      <c r="N28" s="2513">
        <f t="shared" si="8"/>
        <v>0</v>
      </c>
      <c r="O28" s="2513">
        <f t="shared" si="8"/>
        <v>0</v>
      </c>
      <c r="P28" s="2513">
        <f t="shared" si="8"/>
        <v>0</v>
      </c>
      <c r="Q28" s="2513">
        <f t="shared" si="8"/>
        <v>0</v>
      </c>
      <c r="R28" s="2513">
        <f t="shared" si="8"/>
        <v>0</v>
      </c>
      <c r="S28" s="2514">
        <f t="shared" si="8"/>
        <v>0</v>
      </c>
      <c r="T28" s="155">
        <v>17040.835670943601</v>
      </c>
      <c r="V28" s="172"/>
      <c r="W28" s="87"/>
      <c r="Y28" s="87"/>
      <c r="Z28" s="87"/>
      <c r="AE28" s="87"/>
      <c r="AF28" s="178"/>
      <c r="AG28" s="178"/>
      <c r="AH28" s="178"/>
    </row>
    <row r="29" spans="1:34" x14ac:dyDescent="0.25">
      <c r="A29" s="3474"/>
      <c r="B29" s="2912" t="s">
        <v>737</v>
      </c>
      <c r="C29" s="2705" t="s">
        <v>630</v>
      </c>
      <c r="D29" s="2708" t="s">
        <v>22</v>
      </c>
      <c r="E29" s="2513"/>
      <c r="F29" s="2513"/>
      <c r="G29" s="2513">
        <f>SUM(H29:S29)</f>
        <v>0</v>
      </c>
      <c r="H29" s="2513">
        <f>H59+H80</f>
        <v>0</v>
      </c>
      <c r="I29" s="2513">
        <f t="shared" ref="I29:S29" si="9">I59+I80</f>
        <v>0</v>
      </c>
      <c r="J29" s="2513">
        <f t="shared" si="9"/>
        <v>0</v>
      </c>
      <c r="K29" s="2513">
        <f t="shared" si="9"/>
        <v>0</v>
      </c>
      <c r="L29" s="2513">
        <f t="shared" si="9"/>
        <v>0</v>
      </c>
      <c r="M29" s="2513">
        <f t="shared" si="9"/>
        <v>0</v>
      </c>
      <c r="N29" s="2513">
        <f t="shared" si="9"/>
        <v>0</v>
      </c>
      <c r="O29" s="2513">
        <f t="shared" si="9"/>
        <v>0</v>
      </c>
      <c r="P29" s="2513">
        <f t="shared" si="9"/>
        <v>0</v>
      </c>
      <c r="Q29" s="2513">
        <f t="shared" si="9"/>
        <v>0</v>
      </c>
      <c r="R29" s="2513">
        <f t="shared" si="9"/>
        <v>0</v>
      </c>
      <c r="S29" s="2514">
        <f t="shared" si="9"/>
        <v>0</v>
      </c>
      <c r="T29" s="267">
        <v>84984.95</v>
      </c>
      <c r="V29" s="172"/>
      <c r="Y29" s="87"/>
      <c r="Z29" s="87"/>
      <c r="AE29" s="87"/>
      <c r="AF29" s="178"/>
      <c r="AG29" s="178"/>
      <c r="AH29" s="178"/>
    </row>
    <row r="30" spans="1:34" x14ac:dyDescent="0.25">
      <c r="A30" s="3474"/>
      <c r="B30" s="2912" t="s">
        <v>734</v>
      </c>
      <c r="C30" s="2714" t="s">
        <v>173</v>
      </c>
      <c r="D30" s="2708" t="s">
        <v>22</v>
      </c>
      <c r="E30" s="2513">
        <v>0</v>
      </c>
      <c r="F30" s="2513">
        <v>0</v>
      </c>
      <c r="G30" s="2513">
        <f t="shared" ref="G30:S30" si="10">G31+G32</f>
        <v>0</v>
      </c>
      <c r="H30" s="2513">
        <f t="shared" si="10"/>
        <v>0</v>
      </c>
      <c r="I30" s="2513">
        <f t="shared" si="10"/>
        <v>0</v>
      </c>
      <c r="J30" s="2513">
        <f>J31+J32</f>
        <v>0</v>
      </c>
      <c r="K30" s="2513">
        <f t="shared" si="10"/>
        <v>0</v>
      </c>
      <c r="L30" s="2513">
        <f t="shared" si="10"/>
        <v>0</v>
      </c>
      <c r="M30" s="2513">
        <f t="shared" si="10"/>
        <v>0</v>
      </c>
      <c r="N30" s="2513">
        <f t="shared" si="10"/>
        <v>0</v>
      </c>
      <c r="O30" s="2513">
        <f t="shared" si="10"/>
        <v>0</v>
      </c>
      <c r="P30" s="2513">
        <f t="shared" si="10"/>
        <v>0</v>
      </c>
      <c r="Q30" s="2513">
        <f t="shared" si="10"/>
        <v>0</v>
      </c>
      <c r="R30" s="2513">
        <f t="shared" si="10"/>
        <v>0</v>
      </c>
      <c r="S30" s="2514">
        <f t="shared" si="10"/>
        <v>0</v>
      </c>
      <c r="T30" s="268">
        <v>16.405100000000001</v>
      </c>
      <c r="V30" s="178"/>
      <c r="X30" s="87"/>
      <c r="Y30" s="87"/>
      <c r="Z30" s="87"/>
    </row>
    <row r="31" spans="1:34" x14ac:dyDescent="0.25">
      <c r="A31" s="3474"/>
      <c r="B31" s="2912" t="s">
        <v>738</v>
      </c>
      <c r="C31" s="2705" t="s">
        <v>631</v>
      </c>
      <c r="D31" s="2708" t="s">
        <v>22</v>
      </c>
      <c r="E31" s="2513"/>
      <c r="F31" s="2513"/>
      <c r="G31" s="2513">
        <f>SUM(H31:S31)</f>
        <v>0</v>
      </c>
      <c r="H31" s="2513">
        <f>H52+H85</f>
        <v>0</v>
      </c>
      <c r="I31" s="2513">
        <f t="shared" ref="I31:S31" si="11">I52+I85</f>
        <v>0</v>
      </c>
      <c r="J31" s="2513">
        <f t="shared" si="11"/>
        <v>0</v>
      </c>
      <c r="K31" s="2513">
        <f t="shared" si="11"/>
        <v>0</v>
      </c>
      <c r="L31" s="2513">
        <f t="shared" si="11"/>
        <v>0</v>
      </c>
      <c r="M31" s="2513">
        <f t="shared" si="11"/>
        <v>0</v>
      </c>
      <c r="N31" s="2513">
        <f t="shared" si="11"/>
        <v>0</v>
      </c>
      <c r="O31" s="2513">
        <f t="shared" si="11"/>
        <v>0</v>
      </c>
      <c r="P31" s="2513">
        <f t="shared" si="11"/>
        <v>0</v>
      </c>
      <c r="Q31" s="2513">
        <f t="shared" si="11"/>
        <v>0</v>
      </c>
      <c r="R31" s="2513">
        <f t="shared" si="11"/>
        <v>0</v>
      </c>
      <c r="S31" s="2514">
        <f t="shared" si="11"/>
        <v>0</v>
      </c>
      <c r="T31" s="268">
        <v>0</v>
      </c>
      <c r="U31" s="920"/>
      <c r="V31" s="178"/>
      <c r="X31" s="87"/>
      <c r="Y31" s="87"/>
      <c r="Z31" s="87"/>
    </row>
    <row r="32" spans="1:34" x14ac:dyDescent="0.25">
      <c r="A32" s="3474"/>
      <c r="B32" s="2912" t="s">
        <v>739</v>
      </c>
      <c r="C32" s="2705" t="s">
        <v>630</v>
      </c>
      <c r="D32" s="2708" t="s">
        <v>22</v>
      </c>
      <c r="E32" s="2513"/>
      <c r="F32" s="2513"/>
      <c r="G32" s="2513">
        <f>SUM(H32:S32)</f>
        <v>0</v>
      </c>
      <c r="H32" s="2513">
        <f>H60+H86</f>
        <v>0</v>
      </c>
      <c r="I32" s="2513">
        <f t="shared" ref="I32:S32" si="12">I60+I86</f>
        <v>0</v>
      </c>
      <c r="J32" s="2513">
        <f t="shared" si="12"/>
        <v>0</v>
      </c>
      <c r="K32" s="2513">
        <f t="shared" si="12"/>
        <v>0</v>
      </c>
      <c r="L32" s="2513">
        <f t="shared" si="12"/>
        <v>0</v>
      </c>
      <c r="M32" s="2513">
        <f t="shared" si="12"/>
        <v>0</v>
      </c>
      <c r="N32" s="2513">
        <f t="shared" si="12"/>
        <v>0</v>
      </c>
      <c r="O32" s="2513">
        <f t="shared" si="12"/>
        <v>0</v>
      </c>
      <c r="P32" s="2513">
        <f t="shared" si="12"/>
        <v>0</v>
      </c>
      <c r="Q32" s="2513">
        <f t="shared" si="12"/>
        <v>0</v>
      </c>
      <c r="R32" s="2513">
        <f t="shared" si="12"/>
        <v>0</v>
      </c>
      <c r="S32" s="2514">
        <f t="shared" si="12"/>
        <v>0</v>
      </c>
      <c r="T32" s="268">
        <v>16.405100000000001</v>
      </c>
      <c r="V32" s="178"/>
      <c r="X32" s="87"/>
      <c r="Y32" s="87"/>
      <c r="Z32" s="87"/>
    </row>
    <row r="33" spans="1:26" x14ac:dyDescent="0.25">
      <c r="A33" s="3474"/>
      <c r="B33" s="2912" t="s">
        <v>735</v>
      </c>
      <c r="C33" s="2714" t="s">
        <v>98</v>
      </c>
      <c r="D33" s="2708" t="s">
        <v>22</v>
      </c>
      <c r="E33" s="2513">
        <v>0</v>
      </c>
      <c r="F33" s="2513">
        <f>F34+F35</f>
        <v>214.44</v>
      </c>
      <c r="G33" s="2513">
        <f>G34+G35</f>
        <v>0</v>
      </c>
      <c r="H33" s="2513">
        <f t="shared" ref="H33:S33" si="13">H34+H35</f>
        <v>0</v>
      </c>
      <c r="I33" s="2513">
        <f t="shared" si="13"/>
        <v>0</v>
      </c>
      <c r="J33" s="2513">
        <f t="shared" si="13"/>
        <v>0</v>
      </c>
      <c r="K33" s="2513">
        <f t="shared" si="13"/>
        <v>0</v>
      </c>
      <c r="L33" s="2513">
        <f t="shared" si="13"/>
        <v>0</v>
      </c>
      <c r="M33" s="2513">
        <f t="shared" si="13"/>
        <v>0</v>
      </c>
      <c r="N33" s="2513">
        <f t="shared" si="13"/>
        <v>0</v>
      </c>
      <c r="O33" s="2513">
        <f t="shared" si="13"/>
        <v>0</v>
      </c>
      <c r="P33" s="2513">
        <f t="shared" si="13"/>
        <v>0</v>
      </c>
      <c r="Q33" s="2513">
        <f t="shared" si="13"/>
        <v>0</v>
      </c>
      <c r="R33" s="2513">
        <f t="shared" si="13"/>
        <v>0</v>
      </c>
      <c r="S33" s="2514">
        <f t="shared" si="13"/>
        <v>0</v>
      </c>
      <c r="T33" s="155">
        <v>13038.0497777772</v>
      </c>
      <c r="V33" s="178"/>
      <c r="Y33" s="87"/>
      <c r="Z33" s="87"/>
    </row>
    <row r="34" spans="1:26" x14ac:dyDescent="0.25">
      <c r="A34" s="3474"/>
      <c r="B34" s="2912" t="s">
        <v>740</v>
      </c>
      <c r="C34" s="2705" t="s">
        <v>631</v>
      </c>
      <c r="D34" s="2708" t="s">
        <v>22</v>
      </c>
      <c r="E34" s="2513"/>
      <c r="F34" s="2513"/>
      <c r="G34" s="2513">
        <f>SUM(H34:S34)</f>
        <v>0</v>
      </c>
      <c r="H34" s="2513">
        <f>H53+H89</f>
        <v>0</v>
      </c>
      <c r="I34" s="2513">
        <f t="shared" ref="I34:S34" si="14">I53+I89</f>
        <v>0</v>
      </c>
      <c r="J34" s="2513">
        <f t="shared" si="14"/>
        <v>0</v>
      </c>
      <c r="K34" s="2513">
        <f t="shared" si="14"/>
        <v>0</v>
      </c>
      <c r="L34" s="2513">
        <f t="shared" si="14"/>
        <v>0</v>
      </c>
      <c r="M34" s="2513">
        <f t="shared" si="14"/>
        <v>0</v>
      </c>
      <c r="N34" s="2513">
        <f t="shared" si="14"/>
        <v>0</v>
      </c>
      <c r="O34" s="2513">
        <f t="shared" si="14"/>
        <v>0</v>
      </c>
      <c r="P34" s="2513">
        <f t="shared" si="14"/>
        <v>0</v>
      </c>
      <c r="Q34" s="2513">
        <f t="shared" si="14"/>
        <v>0</v>
      </c>
      <c r="R34" s="2513">
        <f t="shared" si="14"/>
        <v>0</v>
      </c>
      <c r="S34" s="2514">
        <f t="shared" si="14"/>
        <v>0</v>
      </c>
      <c r="T34" s="155">
        <v>2347.7621661329399</v>
      </c>
      <c r="U34" s="87"/>
      <c r="V34" s="178"/>
      <c r="Y34" s="87"/>
      <c r="Z34" s="87"/>
    </row>
    <row r="35" spans="1:26" x14ac:dyDescent="0.25">
      <c r="A35" s="3474"/>
      <c r="B35" s="2912" t="s">
        <v>741</v>
      </c>
      <c r="C35" s="2705" t="s">
        <v>630</v>
      </c>
      <c r="D35" s="2708" t="s">
        <v>22</v>
      </c>
      <c r="E35" s="2513"/>
      <c r="F35" s="2513">
        <v>214.44</v>
      </c>
      <c r="G35" s="2513">
        <f>SUM(H35:S35)</f>
        <v>0</v>
      </c>
      <c r="H35" s="2513">
        <f>H61+H90</f>
        <v>0</v>
      </c>
      <c r="I35" s="2513">
        <f t="shared" ref="I35:S35" si="15">I61+I90</f>
        <v>0</v>
      </c>
      <c r="J35" s="2513">
        <f t="shared" si="15"/>
        <v>0</v>
      </c>
      <c r="K35" s="2513">
        <f t="shared" si="15"/>
        <v>0</v>
      </c>
      <c r="L35" s="2513">
        <f t="shared" si="15"/>
        <v>0</v>
      </c>
      <c r="M35" s="2513">
        <f t="shared" si="15"/>
        <v>0</v>
      </c>
      <c r="N35" s="2513">
        <f t="shared" si="15"/>
        <v>0</v>
      </c>
      <c r="O35" s="2513">
        <f t="shared" si="15"/>
        <v>0</v>
      </c>
      <c r="P35" s="2513">
        <f t="shared" si="15"/>
        <v>0</v>
      </c>
      <c r="Q35" s="2513">
        <f t="shared" si="15"/>
        <v>0</v>
      </c>
      <c r="R35" s="2513">
        <f t="shared" si="15"/>
        <v>0</v>
      </c>
      <c r="S35" s="2514">
        <f t="shared" si="15"/>
        <v>0</v>
      </c>
      <c r="T35" s="155">
        <v>10690.2876116442</v>
      </c>
      <c r="V35" s="178"/>
      <c r="Y35" s="87"/>
      <c r="Z35" s="87"/>
    </row>
    <row r="36" spans="1:26" x14ac:dyDescent="0.25">
      <c r="A36" s="3474"/>
      <c r="B36" s="2912" t="s">
        <v>742</v>
      </c>
      <c r="C36" s="2714" t="s">
        <v>99</v>
      </c>
      <c r="D36" s="2708" t="s">
        <v>22</v>
      </c>
      <c r="E36" s="2513">
        <v>9585.7199999999993</v>
      </c>
      <c r="F36" s="2513">
        <v>10545.75</v>
      </c>
      <c r="G36" s="2513">
        <f t="shared" ref="G36:S36" si="16">G37+G38</f>
        <v>10668.84</v>
      </c>
      <c r="H36" s="2513">
        <f t="shared" si="16"/>
        <v>337.54</v>
      </c>
      <c r="I36" s="2513">
        <f t="shared" si="16"/>
        <v>1311.08</v>
      </c>
      <c r="J36" s="2513">
        <f t="shared" si="16"/>
        <v>1693.12</v>
      </c>
      <c r="K36" s="2513">
        <f t="shared" si="16"/>
        <v>2063.06</v>
      </c>
      <c r="L36" s="2513">
        <f t="shared" si="16"/>
        <v>1563.98</v>
      </c>
      <c r="M36" s="2513">
        <f t="shared" si="16"/>
        <v>1601.41</v>
      </c>
      <c r="N36" s="2513">
        <f t="shared" si="16"/>
        <v>414.95</v>
      </c>
      <c r="O36" s="2513">
        <f t="shared" si="16"/>
        <v>406.65</v>
      </c>
      <c r="P36" s="2513">
        <f t="shared" si="16"/>
        <v>328.95</v>
      </c>
      <c r="Q36" s="2513">
        <f t="shared" si="16"/>
        <v>316.16000000000003</v>
      </c>
      <c r="R36" s="2513">
        <f t="shared" si="16"/>
        <v>317.04000000000002</v>
      </c>
      <c r="S36" s="2514">
        <f t="shared" si="16"/>
        <v>314.89999999999998</v>
      </c>
      <c r="T36" s="155">
        <v>10390.531449459901</v>
      </c>
      <c r="V36" s="178"/>
      <c r="Y36" s="87"/>
      <c r="Z36" s="87"/>
    </row>
    <row r="37" spans="1:26" x14ac:dyDescent="0.25">
      <c r="A37" s="3474"/>
      <c r="B37" s="2912" t="s">
        <v>743</v>
      </c>
      <c r="C37" s="2705" t="s">
        <v>631</v>
      </c>
      <c r="D37" s="2708" t="s">
        <v>22</v>
      </c>
      <c r="E37" s="2513"/>
      <c r="F37" s="2513"/>
      <c r="G37" s="2513">
        <f>SUM(H37:S37)</f>
        <v>1395.04</v>
      </c>
      <c r="H37" s="2513">
        <f>H54+H93</f>
        <v>60.11</v>
      </c>
      <c r="I37" s="2513">
        <f>I54+I93</f>
        <v>156.85</v>
      </c>
      <c r="J37" s="2513">
        <f>J54+J93</f>
        <v>200.07</v>
      </c>
      <c r="K37" s="2513">
        <f t="shared" ref="K37:S37" si="17">K54+K93</f>
        <v>243.61</v>
      </c>
      <c r="L37" s="2513">
        <f t="shared" si="17"/>
        <v>177.74</v>
      </c>
      <c r="M37" s="2513">
        <f t="shared" si="17"/>
        <v>188.28</v>
      </c>
      <c r="N37" s="2513">
        <f t="shared" si="17"/>
        <v>69.08</v>
      </c>
      <c r="O37" s="2513">
        <f t="shared" si="17"/>
        <v>70.34</v>
      </c>
      <c r="P37" s="2513">
        <f t="shared" si="17"/>
        <v>58.51</v>
      </c>
      <c r="Q37" s="2513">
        <f>Q54+Q93</f>
        <v>57.08</v>
      </c>
      <c r="R37" s="2513">
        <f t="shared" si="17"/>
        <v>56.94</v>
      </c>
      <c r="S37" s="2514">
        <f t="shared" si="17"/>
        <v>56.43</v>
      </c>
      <c r="T37" s="155">
        <v>1214.2224171451701</v>
      </c>
      <c r="V37" s="178"/>
      <c r="Y37" s="87"/>
      <c r="Z37" s="87"/>
    </row>
    <row r="38" spans="1:26" x14ac:dyDescent="0.25">
      <c r="A38" s="3474"/>
      <c r="B38" s="2912" t="s">
        <v>744</v>
      </c>
      <c r="C38" s="2705" t="s">
        <v>630</v>
      </c>
      <c r="D38" s="2708" t="s">
        <v>22</v>
      </c>
      <c r="E38" s="2513"/>
      <c r="F38" s="2513"/>
      <c r="G38" s="2513">
        <f>SUM(H38:S38)</f>
        <v>9273.7999999999993</v>
      </c>
      <c r="H38" s="2513">
        <f>H62+H94</f>
        <v>277.43</v>
      </c>
      <c r="I38" s="2513">
        <f t="shared" ref="I38:S38" si="18">I62+I94</f>
        <v>1154.23</v>
      </c>
      <c r="J38" s="2513">
        <f t="shared" si="18"/>
        <v>1493.05</v>
      </c>
      <c r="K38" s="2513">
        <f t="shared" si="18"/>
        <v>1819.45</v>
      </c>
      <c r="L38" s="2513">
        <f t="shared" si="18"/>
        <v>1386.24</v>
      </c>
      <c r="M38" s="2513">
        <f t="shared" si="18"/>
        <v>1413.13</v>
      </c>
      <c r="N38" s="2513">
        <f t="shared" si="18"/>
        <v>345.87</v>
      </c>
      <c r="O38" s="2513">
        <f t="shared" si="18"/>
        <v>336.31</v>
      </c>
      <c r="P38" s="2513">
        <f t="shared" si="18"/>
        <v>270.44</v>
      </c>
      <c r="Q38" s="2513">
        <f t="shared" si="18"/>
        <v>259.08</v>
      </c>
      <c r="R38" s="2513">
        <f t="shared" si="18"/>
        <v>260.10000000000002</v>
      </c>
      <c r="S38" s="2514">
        <f t="shared" si="18"/>
        <v>258.47000000000003</v>
      </c>
      <c r="T38" s="155">
        <v>9176.3090323147208</v>
      </c>
      <c r="V38" s="178"/>
      <c r="Y38" s="87"/>
      <c r="Z38" s="87"/>
    </row>
    <row r="39" spans="1:26" ht="24" x14ac:dyDescent="0.25">
      <c r="A39" s="3474"/>
      <c r="B39" s="2912" t="s">
        <v>810</v>
      </c>
      <c r="C39" s="2714" t="s">
        <v>813</v>
      </c>
      <c r="D39" s="2708" t="s">
        <v>22</v>
      </c>
      <c r="E39" s="2513">
        <f>E40+E41</f>
        <v>1541.53</v>
      </c>
      <c r="F39" s="2513">
        <f>F40+F41</f>
        <v>2155.4899999999998</v>
      </c>
      <c r="G39" s="2513">
        <f t="shared" ref="G39:S39" si="19">G40+G41</f>
        <v>2398.5700000000002</v>
      </c>
      <c r="H39" s="2513">
        <f t="shared" si="19"/>
        <v>30.42</v>
      </c>
      <c r="I39" s="2513">
        <f t="shared" si="19"/>
        <v>333.6</v>
      </c>
      <c r="J39" s="2513">
        <f t="shared" si="19"/>
        <v>444.32</v>
      </c>
      <c r="K39" s="2513">
        <f t="shared" si="19"/>
        <v>552.29999999999995</v>
      </c>
      <c r="L39" s="2513">
        <f t="shared" si="19"/>
        <v>417.1</v>
      </c>
      <c r="M39" s="2513">
        <f t="shared" si="19"/>
        <v>418.55</v>
      </c>
      <c r="N39" s="2513">
        <f t="shared" si="19"/>
        <v>50.51</v>
      </c>
      <c r="O39" s="2513">
        <f t="shared" si="19"/>
        <v>36.869999999999997</v>
      </c>
      <c r="P39" s="2513">
        <f t="shared" si="19"/>
        <v>29.64</v>
      </c>
      <c r="Q39" s="2513">
        <f t="shared" si="19"/>
        <v>28.41</v>
      </c>
      <c r="R39" s="2513">
        <f t="shared" si="19"/>
        <v>28.52</v>
      </c>
      <c r="S39" s="2514">
        <f t="shared" si="19"/>
        <v>28.33</v>
      </c>
      <c r="T39" s="155">
        <v>197.46334644715699</v>
      </c>
      <c r="U39" s="87"/>
      <c r="V39" s="178"/>
      <c r="Y39" s="87"/>
      <c r="Z39" s="87"/>
    </row>
    <row r="40" spans="1:26" x14ac:dyDescent="0.25">
      <c r="A40" s="3474"/>
      <c r="B40" s="2912" t="s">
        <v>811</v>
      </c>
      <c r="C40" s="2705" t="s">
        <v>631</v>
      </c>
      <c r="D40" s="2708" t="s">
        <v>22</v>
      </c>
      <c r="E40" s="2513"/>
      <c r="F40" s="2513"/>
      <c r="G40" s="2513">
        <f>SUM(H40:S40)</f>
        <v>0</v>
      </c>
      <c r="H40" s="2513">
        <f t="shared" ref="H40:S40" si="20">H72+H55</f>
        <v>0</v>
      </c>
      <c r="I40" s="2513">
        <f t="shared" si="20"/>
        <v>0</v>
      </c>
      <c r="J40" s="2513">
        <f t="shared" si="20"/>
        <v>0</v>
      </c>
      <c r="K40" s="2513">
        <f t="shared" si="20"/>
        <v>0</v>
      </c>
      <c r="L40" s="2513">
        <f t="shared" si="20"/>
        <v>0</v>
      </c>
      <c r="M40" s="2513">
        <f t="shared" si="20"/>
        <v>0</v>
      </c>
      <c r="N40" s="2513">
        <f t="shared" si="20"/>
        <v>0</v>
      </c>
      <c r="O40" s="2513">
        <f t="shared" si="20"/>
        <v>0</v>
      </c>
      <c r="P40" s="2513">
        <f t="shared" si="20"/>
        <v>0</v>
      </c>
      <c r="Q40" s="2513">
        <f t="shared" si="20"/>
        <v>0</v>
      </c>
      <c r="R40" s="2513">
        <f t="shared" si="20"/>
        <v>0</v>
      </c>
      <c r="S40" s="2514">
        <f t="shared" si="20"/>
        <v>0</v>
      </c>
      <c r="T40" s="155">
        <v>197.46334644715699</v>
      </c>
      <c r="V40" s="178"/>
      <c r="Y40" s="87"/>
      <c r="Z40" s="87"/>
    </row>
    <row r="41" spans="1:26" ht="15.75" thickBot="1" x14ac:dyDescent="0.3">
      <c r="A41" s="3474"/>
      <c r="B41" s="2912" t="s">
        <v>812</v>
      </c>
      <c r="C41" s="2705" t="s">
        <v>630</v>
      </c>
      <c r="D41" s="2708" t="s">
        <v>22</v>
      </c>
      <c r="E41" s="2513">
        <v>1541.53</v>
      </c>
      <c r="F41" s="2513">
        <v>2155.4899999999998</v>
      </c>
      <c r="G41" s="2513">
        <f>SUM(H41:S41)</f>
        <v>2398.5700000000002</v>
      </c>
      <c r="H41" s="2513">
        <f>H73+H63</f>
        <v>30.42</v>
      </c>
      <c r="I41" s="2513">
        <f t="shared" ref="I41:S41" si="21">I73+I63</f>
        <v>333.6</v>
      </c>
      <c r="J41" s="2513">
        <f t="shared" si="21"/>
        <v>444.32</v>
      </c>
      <c r="K41" s="2513">
        <f t="shared" si="21"/>
        <v>552.29999999999995</v>
      </c>
      <c r="L41" s="2513">
        <f t="shared" si="21"/>
        <v>417.1</v>
      </c>
      <c r="M41" s="2513">
        <f t="shared" si="21"/>
        <v>418.55</v>
      </c>
      <c r="N41" s="2513">
        <f t="shared" si="21"/>
        <v>50.51</v>
      </c>
      <c r="O41" s="2513">
        <f t="shared" si="21"/>
        <v>36.869999999999997</v>
      </c>
      <c r="P41" s="2513">
        <f t="shared" si="21"/>
        <v>29.64</v>
      </c>
      <c r="Q41" s="2513">
        <f t="shared" si="21"/>
        <v>28.41</v>
      </c>
      <c r="R41" s="2513">
        <f t="shared" si="21"/>
        <v>28.52</v>
      </c>
      <c r="S41" s="2514">
        <f t="shared" si="21"/>
        <v>28.33</v>
      </c>
      <c r="T41" s="155">
        <v>0</v>
      </c>
      <c r="V41" s="178"/>
      <c r="Y41" s="87"/>
      <c r="Z41" s="87"/>
    </row>
    <row r="42" spans="1:26" ht="48.75" thickBot="1" x14ac:dyDescent="0.3">
      <c r="A42" s="3474"/>
      <c r="B42" s="3486" t="s">
        <v>181</v>
      </c>
      <c r="C42" s="3487" t="s">
        <v>500</v>
      </c>
      <c r="D42" s="3488" t="s">
        <v>22</v>
      </c>
      <c r="E42" s="3489">
        <f>E43+E44</f>
        <v>0</v>
      </c>
      <c r="F42" s="3489">
        <f t="shared" ref="F42:S42" si="22">F43+F44</f>
        <v>0</v>
      </c>
      <c r="G42" s="3489">
        <f t="shared" si="22"/>
        <v>0</v>
      </c>
      <c r="H42" s="3489">
        <f t="shared" si="22"/>
        <v>0</v>
      </c>
      <c r="I42" s="3489">
        <f t="shared" si="22"/>
        <v>0</v>
      </c>
      <c r="J42" s="3489">
        <f t="shared" si="22"/>
        <v>0</v>
      </c>
      <c r="K42" s="3489">
        <f t="shared" si="22"/>
        <v>0</v>
      </c>
      <c r="L42" s="3489">
        <f t="shared" si="22"/>
        <v>0</v>
      </c>
      <c r="M42" s="3489">
        <f t="shared" si="22"/>
        <v>0</v>
      </c>
      <c r="N42" s="3489">
        <f t="shared" si="22"/>
        <v>0</v>
      </c>
      <c r="O42" s="3489">
        <f t="shared" si="22"/>
        <v>0</v>
      </c>
      <c r="P42" s="3489">
        <f t="shared" si="22"/>
        <v>0</v>
      </c>
      <c r="Q42" s="3489">
        <f t="shared" si="22"/>
        <v>0</v>
      </c>
      <c r="R42" s="3489">
        <f t="shared" si="22"/>
        <v>0</v>
      </c>
      <c r="S42" s="3490">
        <f t="shared" si="22"/>
        <v>0</v>
      </c>
      <c r="T42" s="155" t="s">
        <v>3470</v>
      </c>
    </row>
    <row r="43" spans="1:26" ht="24" x14ac:dyDescent="0.25">
      <c r="A43" s="3474"/>
      <c r="B43" s="3480" t="s">
        <v>27</v>
      </c>
      <c r="C43" s="3481" t="s">
        <v>499</v>
      </c>
      <c r="D43" s="3482" t="s">
        <v>22</v>
      </c>
      <c r="E43" s="3483">
        <v>0</v>
      </c>
      <c r="F43" s="3483">
        <v>0</v>
      </c>
      <c r="G43" s="3484">
        <f>SUM(H43:S43)</f>
        <v>0</v>
      </c>
      <c r="H43" s="3484">
        <v>0</v>
      </c>
      <c r="I43" s="3484">
        <v>0</v>
      </c>
      <c r="J43" s="3484">
        <v>0</v>
      </c>
      <c r="K43" s="3484">
        <v>0</v>
      </c>
      <c r="L43" s="3484">
        <v>0</v>
      </c>
      <c r="M43" s="3484">
        <v>0</v>
      </c>
      <c r="N43" s="3484">
        <v>0</v>
      </c>
      <c r="O43" s="3484">
        <v>0</v>
      </c>
      <c r="P43" s="3484">
        <v>0</v>
      </c>
      <c r="Q43" s="3484">
        <v>0</v>
      </c>
      <c r="R43" s="3484">
        <v>0</v>
      </c>
      <c r="S43" s="3485">
        <v>0</v>
      </c>
      <c r="T43" s="155" t="s">
        <v>3471</v>
      </c>
    </row>
    <row r="44" spans="1:26" ht="48" x14ac:dyDescent="0.25">
      <c r="A44" s="3474"/>
      <c r="B44" s="2914" t="s">
        <v>113</v>
      </c>
      <c r="C44" s="2714" t="s">
        <v>652</v>
      </c>
      <c r="D44" s="2712" t="s">
        <v>22</v>
      </c>
      <c r="E44" s="2515">
        <v>0</v>
      </c>
      <c r="F44" s="2515">
        <v>0</v>
      </c>
      <c r="G44" s="2513">
        <f>SUM(H44:S44)</f>
        <v>0</v>
      </c>
      <c r="H44" s="2513">
        <v>0</v>
      </c>
      <c r="I44" s="2513">
        <v>0</v>
      </c>
      <c r="J44" s="2513">
        <v>0</v>
      </c>
      <c r="K44" s="2513">
        <v>0</v>
      </c>
      <c r="L44" s="2513">
        <v>0</v>
      </c>
      <c r="M44" s="2513">
        <v>0</v>
      </c>
      <c r="N44" s="2513">
        <v>0</v>
      </c>
      <c r="O44" s="2513">
        <v>0</v>
      </c>
      <c r="P44" s="2513">
        <v>0</v>
      </c>
      <c r="Q44" s="2513">
        <v>0</v>
      </c>
      <c r="R44" s="2513">
        <v>0</v>
      </c>
      <c r="S44" s="2514">
        <v>0</v>
      </c>
      <c r="T44" s="155" t="s">
        <v>653</v>
      </c>
    </row>
    <row r="45" spans="1:26" x14ac:dyDescent="0.25">
      <c r="A45" s="3474"/>
      <c r="B45" s="2914" t="s">
        <v>729</v>
      </c>
      <c r="C45" s="2716" t="s">
        <v>631</v>
      </c>
      <c r="D45" s="2712" t="s">
        <v>22</v>
      </c>
      <c r="E45" s="2515">
        <v>0</v>
      </c>
      <c r="F45" s="2515">
        <v>0</v>
      </c>
      <c r="G45" s="2515">
        <v>0</v>
      </c>
      <c r="H45" s="2515">
        <v>0</v>
      </c>
      <c r="I45" s="2515">
        <v>0</v>
      </c>
      <c r="J45" s="2515">
        <v>0</v>
      </c>
      <c r="K45" s="2515">
        <v>0</v>
      </c>
      <c r="L45" s="2515">
        <v>0</v>
      </c>
      <c r="M45" s="2515">
        <v>0</v>
      </c>
      <c r="N45" s="2515">
        <v>0</v>
      </c>
      <c r="O45" s="2515">
        <v>0</v>
      </c>
      <c r="P45" s="2515">
        <v>0</v>
      </c>
      <c r="Q45" s="2515">
        <v>0</v>
      </c>
      <c r="R45" s="2515">
        <v>0</v>
      </c>
      <c r="S45" s="2516">
        <v>0</v>
      </c>
      <c r="T45" s="155" t="s">
        <v>481</v>
      </c>
    </row>
    <row r="46" spans="1:26" x14ac:dyDescent="0.25">
      <c r="A46" s="3474"/>
      <c r="B46" s="2914" t="s">
        <v>730</v>
      </c>
      <c r="C46" s="2716" t="s">
        <v>630</v>
      </c>
      <c r="D46" s="2712" t="s">
        <v>22</v>
      </c>
      <c r="E46" s="2515">
        <v>0</v>
      </c>
      <c r="F46" s="2515">
        <v>0</v>
      </c>
      <c r="G46" s="2515">
        <v>0</v>
      </c>
      <c r="H46" s="2515">
        <v>0</v>
      </c>
      <c r="I46" s="2515">
        <v>0</v>
      </c>
      <c r="J46" s="2515">
        <v>0</v>
      </c>
      <c r="K46" s="2515">
        <v>0</v>
      </c>
      <c r="L46" s="2515">
        <v>0</v>
      </c>
      <c r="M46" s="2515">
        <v>0</v>
      </c>
      <c r="N46" s="2515">
        <v>0</v>
      </c>
      <c r="O46" s="2515">
        <v>0</v>
      </c>
      <c r="P46" s="2515">
        <v>0</v>
      </c>
      <c r="Q46" s="2515">
        <v>0</v>
      </c>
      <c r="R46" s="2515">
        <v>0</v>
      </c>
      <c r="S46" s="2516">
        <v>0</v>
      </c>
      <c r="T46" s="155" t="s">
        <v>481</v>
      </c>
    </row>
    <row r="47" spans="1:26" ht="36.75" thickBot="1" x14ac:dyDescent="0.3">
      <c r="A47" s="3474"/>
      <c r="B47" s="2915" t="s">
        <v>176</v>
      </c>
      <c r="C47" s="2717" t="s">
        <v>501</v>
      </c>
      <c r="D47" s="2713" t="s">
        <v>22</v>
      </c>
      <c r="E47" s="2658">
        <f>E48+E69</f>
        <v>12876.33</v>
      </c>
      <c r="F47" s="2658">
        <f t="shared" ref="F47:S47" si="23">F48+F69</f>
        <v>12915.64</v>
      </c>
      <c r="G47" s="2658">
        <f>G48+G69</f>
        <v>13067.41</v>
      </c>
      <c r="H47" s="2658">
        <f t="shared" si="23"/>
        <v>367.96</v>
      </c>
      <c r="I47" s="2658">
        <f>I48+I69</f>
        <v>1644.68</v>
      </c>
      <c r="J47" s="2658">
        <f t="shared" si="23"/>
        <v>2137.44</v>
      </c>
      <c r="K47" s="2658">
        <f t="shared" si="23"/>
        <v>2615.36</v>
      </c>
      <c r="L47" s="2658">
        <f t="shared" si="23"/>
        <v>1981.08</v>
      </c>
      <c r="M47" s="2658">
        <f t="shared" si="23"/>
        <v>2019.96</v>
      </c>
      <c r="N47" s="2658">
        <f t="shared" si="23"/>
        <v>465.46</v>
      </c>
      <c r="O47" s="2658">
        <f t="shared" si="23"/>
        <v>443.52</v>
      </c>
      <c r="P47" s="2658">
        <f>P48+P69</f>
        <v>358.59</v>
      </c>
      <c r="Q47" s="2658">
        <f t="shared" si="23"/>
        <v>344.57</v>
      </c>
      <c r="R47" s="2658">
        <f t="shared" si="23"/>
        <v>345.56</v>
      </c>
      <c r="S47" s="2659">
        <f t="shared" si="23"/>
        <v>343.23</v>
      </c>
      <c r="T47" s="155" t="s">
        <v>654</v>
      </c>
    </row>
    <row r="48" spans="1:26" ht="24" x14ac:dyDescent="0.25">
      <c r="A48" s="3474"/>
      <c r="B48" s="2913" t="s">
        <v>177</v>
      </c>
      <c r="C48" s="2715" t="s">
        <v>211</v>
      </c>
      <c r="D48" s="2711" t="s">
        <v>22</v>
      </c>
      <c r="E48" s="2656">
        <f>E62+E63+E61+E60+E59</f>
        <v>1784.77</v>
      </c>
      <c r="F48" s="2656">
        <f>F62+F63+F61+F60+F59</f>
        <v>1945.76</v>
      </c>
      <c r="G48" s="2656">
        <f>G50+G58</f>
        <v>1450.1</v>
      </c>
      <c r="H48" s="2656">
        <f>H50+H58</f>
        <v>54.52</v>
      </c>
      <c r="I48" s="2656">
        <f>I50+I58</f>
        <v>128.51</v>
      </c>
      <c r="J48" s="2656">
        <f t="shared" ref="J48:S48" si="24">J50+J58</f>
        <v>229.91</v>
      </c>
      <c r="K48" s="2656">
        <f t="shared" si="24"/>
        <v>369.24</v>
      </c>
      <c r="L48" s="2656">
        <f t="shared" si="24"/>
        <v>101.27</v>
      </c>
      <c r="M48" s="2656">
        <f t="shared" si="24"/>
        <v>178.4</v>
      </c>
      <c r="N48" s="2656">
        <f t="shared" si="24"/>
        <v>99.74</v>
      </c>
      <c r="O48" s="2656">
        <f t="shared" si="24"/>
        <v>130.08000000000001</v>
      </c>
      <c r="P48" s="2656">
        <f t="shared" si="24"/>
        <v>55.27</v>
      </c>
      <c r="Q48" s="2656">
        <f>Q50+Q58</f>
        <v>31.13</v>
      </c>
      <c r="R48" s="2656">
        <f>R50+R58</f>
        <v>32.119999999999997</v>
      </c>
      <c r="S48" s="2657">
        <f t="shared" si="24"/>
        <v>39.909999999999997</v>
      </c>
      <c r="T48" s="18"/>
      <c r="V48" s="87"/>
    </row>
    <row r="49" spans="1:21" x14ac:dyDescent="0.25">
      <c r="A49" s="3505"/>
      <c r="B49" s="2914"/>
      <c r="C49" s="2714" t="s">
        <v>655</v>
      </c>
      <c r="D49" s="2712" t="s">
        <v>4</v>
      </c>
      <c r="E49" s="2660">
        <f>E48/E47</f>
        <v>0.1386</v>
      </c>
      <c r="F49" s="2660">
        <f>F48/F47</f>
        <v>0.1507</v>
      </c>
      <c r="G49" s="2660">
        <f>G48/G47</f>
        <v>0.111</v>
      </c>
      <c r="H49" s="2660">
        <f>G49</f>
        <v>0.111</v>
      </c>
      <c r="I49" s="2660">
        <f t="shared" ref="I49:S49" si="25">H49</f>
        <v>0.111</v>
      </c>
      <c r="J49" s="2660">
        <f t="shared" si="25"/>
        <v>0.111</v>
      </c>
      <c r="K49" s="2660">
        <f t="shared" si="25"/>
        <v>0.111</v>
      </c>
      <c r="L49" s="2660">
        <f t="shared" si="25"/>
        <v>0.111</v>
      </c>
      <c r="M49" s="2660">
        <f t="shared" si="25"/>
        <v>0.111</v>
      </c>
      <c r="N49" s="2660">
        <f t="shared" si="25"/>
        <v>0.111</v>
      </c>
      <c r="O49" s="2660">
        <f t="shared" si="25"/>
        <v>0.111</v>
      </c>
      <c r="P49" s="2660">
        <f t="shared" si="25"/>
        <v>0.111</v>
      </c>
      <c r="Q49" s="2660">
        <f t="shared" si="25"/>
        <v>0.111</v>
      </c>
      <c r="R49" s="2660">
        <f t="shared" si="25"/>
        <v>0.111</v>
      </c>
      <c r="S49" s="2661">
        <f t="shared" si="25"/>
        <v>0.111</v>
      </c>
      <c r="T49" s="155" t="s">
        <v>656</v>
      </c>
    </row>
    <row r="50" spans="1:21" x14ac:dyDescent="0.25">
      <c r="A50" s="3505"/>
      <c r="B50" s="2914" t="s">
        <v>32</v>
      </c>
      <c r="C50" s="2714" t="s">
        <v>631</v>
      </c>
      <c r="D50" s="2712" t="s">
        <v>22</v>
      </c>
      <c r="E50" s="2515"/>
      <c r="F50" s="2515"/>
      <c r="G50" s="2513">
        <f t="shared" ref="G50:G56" si="26">SUM(H50:S50)</f>
        <v>196.31</v>
      </c>
      <c r="H50" s="2515">
        <f>SUM(H51:H55)</f>
        <v>7.38</v>
      </c>
      <c r="I50" s="2515">
        <f t="shared" ref="I50:S50" si="27">SUM(I51:I55)</f>
        <v>17.399999999999999</v>
      </c>
      <c r="J50" s="2515">
        <f t="shared" si="27"/>
        <v>31.13</v>
      </c>
      <c r="K50" s="2515">
        <f t="shared" si="27"/>
        <v>49.99</v>
      </c>
      <c r="L50" s="2515">
        <f t="shared" si="27"/>
        <v>13.71</v>
      </c>
      <c r="M50" s="2515">
        <f t="shared" si="27"/>
        <v>24.15</v>
      </c>
      <c r="N50" s="2515">
        <f t="shared" si="27"/>
        <v>13.5</v>
      </c>
      <c r="O50" s="2515">
        <f t="shared" si="27"/>
        <v>17.61</v>
      </c>
      <c r="P50" s="2515">
        <f t="shared" si="27"/>
        <v>7.48</v>
      </c>
      <c r="Q50" s="2515">
        <f t="shared" si="27"/>
        <v>4.3499999999999996</v>
      </c>
      <c r="R50" s="2515">
        <f t="shared" si="27"/>
        <v>4.21</v>
      </c>
      <c r="S50" s="2516">
        <f t="shared" si="27"/>
        <v>5.4</v>
      </c>
      <c r="T50" s="155" t="s">
        <v>481</v>
      </c>
    </row>
    <row r="51" spans="1:21" x14ac:dyDescent="0.25">
      <c r="A51" s="3505"/>
      <c r="B51" s="2914" t="s">
        <v>727</v>
      </c>
      <c r="C51" s="2716" t="s">
        <v>3</v>
      </c>
      <c r="D51" s="2712" t="s">
        <v>22</v>
      </c>
      <c r="E51" s="2515"/>
      <c r="F51" s="2515"/>
      <c r="G51" s="2513">
        <f t="shared" si="26"/>
        <v>0</v>
      </c>
      <c r="H51" s="2515">
        <f>'Розрахунки Річного плану'!M143</f>
        <v>0</v>
      </c>
      <c r="I51" s="2515">
        <f>'Розрахунки Річного плану'!N143</f>
        <v>0</v>
      </c>
      <c r="J51" s="2515">
        <f>'Розрахунки Річного плану'!O143</f>
        <v>0</v>
      </c>
      <c r="K51" s="2515">
        <f>'Розрахунки Річного плану'!D143</f>
        <v>0</v>
      </c>
      <c r="L51" s="2515">
        <f>'Розрахунки Річного плану'!E143</f>
        <v>0</v>
      </c>
      <c r="M51" s="2515">
        <f>'Розрахунки Річного плану'!F143</f>
        <v>0</v>
      </c>
      <c r="N51" s="2515">
        <f>'Розрахунки Річного плану'!G143</f>
        <v>0</v>
      </c>
      <c r="O51" s="2515">
        <v>0</v>
      </c>
      <c r="P51" s="2515">
        <v>0</v>
      </c>
      <c r="Q51" s="2515">
        <v>0</v>
      </c>
      <c r="R51" s="2515">
        <v>0</v>
      </c>
      <c r="S51" s="2516">
        <v>0</v>
      </c>
      <c r="T51" s="155" t="s">
        <v>481</v>
      </c>
    </row>
    <row r="52" spans="1:21" x14ac:dyDescent="0.25">
      <c r="A52" s="3505"/>
      <c r="B52" s="2914" t="s">
        <v>751</v>
      </c>
      <c r="C52" s="2716" t="s">
        <v>169</v>
      </c>
      <c r="D52" s="2712" t="s">
        <v>22</v>
      </c>
      <c r="E52" s="2515"/>
      <c r="F52" s="2515"/>
      <c r="G52" s="2513">
        <f t="shared" si="26"/>
        <v>0</v>
      </c>
      <c r="H52" s="2515">
        <f>'Розрахунки Річного плану'!M147</f>
        <v>0</v>
      </c>
      <c r="I52" s="2515">
        <f>'Розрахунки Річного плану'!N147</f>
        <v>0</v>
      </c>
      <c r="J52" s="2515">
        <f>'Розрахунки Річного плану'!O147</f>
        <v>0</v>
      </c>
      <c r="K52" s="2515">
        <f>'Розрахунки Річного плану'!D147</f>
        <v>0</v>
      </c>
      <c r="L52" s="2515">
        <f>'Розрахунки Річного плану'!E147</f>
        <v>0</v>
      </c>
      <c r="M52" s="2515">
        <f>'Розрахунки Річного плану'!F147</f>
        <v>0</v>
      </c>
      <c r="N52" s="2515">
        <f>'Розрахунки Річного плану'!G147</f>
        <v>0</v>
      </c>
      <c r="O52" s="2515">
        <v>0</v>
      </c>
      <c r="P52" s="2515">
        <v>0</v>
      </c>
      <c r="Q52" s="2515">
        <v>0</v>
      </c>
      <c r="R52" s="2515">
        <v>0</v>
      </c>
      <c r="S52" s="2516">
        <v>0</v>
      </c>
      <c r="T52" s="155" t="s">
        <v>481</v>
      </c>
    </row>
    <row r="53" spans="1:21" x14ac:dyDescent="0.25">
      <c r="A53" s="3505"/>
      <c r="B53" s="2914" t="s">
        <v>752</v>
      </c>
      <c r="C53" s="2716" t="s">
        <v>749</v>
      </c>
      <c r="D53" s="2712" t="s">
        <v>22</v>
      </c>
      <c r="E53" s="2515"/>
      <c r="F53" s="2515"/>
      <c r="G53" s="2513">
        <f t="shared" si="26"/>
        <v>0</v>
      </c>
      <c r="H53" s="2515">
        <f>'Розрахунки Річного плану'!M144</f>
        <v>0</v>
      </c>
      <c r="I53" s="2515">
        <f>'Розрахунки Річного плану'!N144</f>
        <v>0</v>
      </c>
      <c r="J53" s="2515">
        <f>'Розрахунки Річного плану'!O144</f>
        <v>0</v>
      </c>
      <c r="K53" s="2515">
        <f>'Розрахунки Річного плану'!D144</f>
        <v>0</v>
      </c>
      <c r="L53" s="2515">
        <f>'Розрахунки Річного плану'!E144</f>
        <v>0</v>
      </c>
      <c r="M53" s="2515">
        <f>'Розрахунки Річного плану'!F144</f>
        <v>0</v>
      </c>
      <c r="N53" s="2515">
        <f>'Розрахунки Річного плану'!G144</f>
        <v>0</v>
      </c>
      <c r="O53" s="2515">
        <v>0</v>
      </c>
      <c r="P53" s="2515">
        <v>0</v>
      </c>
      <c r="Q53" s="2515">
        <v>0</v>
      </c>
      <c r="R53" s="2515">
        <v>0</v>
      </c>
      <c r="S53" s="2516">
        <v>0</v>
      </c>
      <c r="T53" s="155" t="s">
        <v>481</v>
      </c>
      <c r="U53" s="87"/>
    </row>
    <row r="54" spans="1:21" x14ac:dyDescent="0.25">
      <c r="A54" s="3505"/>
      <c r="B54" s="2914" t="s">
        <v>753</v>
      </c>
      <c r="C54" s="2716" t="s">
        <v>162</v>
      </c>
      <c r="D54" s="2712" t="s">
        <v>22</v>
      </c>
      <c r="E54" s="2515"/>
      <c r="F54" s="2515"/>
      <c r="G54" s="2513">
        <f t="shared" si="26"/>
        <v>196.31</v>
      </c>
      <c r="H54" s="2515">
        <f>'Розрахунки Річного плану'!M145</f>
        <v>7.38</v>
      </c>
      <c r="I54" s="2515">
        <f>'Розрахунки Річного плану'!N145</f>
        <v>17.399999999999999</v>
      </c>
      <c r="J54" s="2515">
        <f>'Розрахунки Річного плану'!O145</f>
        <v>31.13</v>
      </c>
      <c r="K54" s="2515">
        <f>'Розрахунки Річного плану'!D145</f>
        <v>49.99</v>
      </c>
      <c r="L54" s="2515">
        <f>'Розрахунки Річного плану'!E145</f>
        <v>13.71</v>
      </c>
      <c r="M54" s="2515">
        <f>'Розрахунки Річного плану'!F145</f>
        <v>24.15</v>
      </c>
      <c r="N54" s="2515">
        <f>'Розрахунки Річного плану'!G145</f>
        <v>13.5</v>
      </c>
      <c r="O54" s="2515">
        <f>'Розрахунки Річного плану'!H145</f>
        <v>17.61</v>
      </c>
      <c r="P54" s="2515">
        <f>'Розрахунки Річного плану'!I145</f>
        <v>7.48</v>
      </c>
      <c r="Q54" s="2515">
        <f>'Розрахунки Річного плану'!J145</f>
        <v>4.3499999999999996</v>
      </c>
      <c r="R54" s="2515">
        <f>'Розрахунки Річного плану'!K145</f>
        <v>4.21</v>
      </c>
      <c r="S54" s="2516">
        <f>'Розрахунки Річного плану'!L145</f>
        <v>5.4</v>
      </c>
      <c r="T54" s="155" t="s">
        <v>481</v>
      </c>
    </row>
    <row r="55" spans="1:21" ht="24" x14ac:dyDescent="0.25">
      <c r="A55" s="3505"/>
      <c r="B55" s="2914" t="s">
        <v>808</v>
      </c>
      <c r="C55" s="2716" t="s">
        <v>212</v>
      </c>
      <c r="D55" s="2712" t="s">
        <v>22</v>
      </c>
      <c r="E55" s="2515"/>
      <c r="F55" s="2515"/>
      <c r="G55" s="2513">
        <f t="shared" si="26"/>
        <v>0</v>
      </c>
      <c r="H55" s="2515">
        <f>'Розрахунки Річного плану'!M146</f>
        <v>0</v>
      </c>
      <c r="I55" s="2515">
        <f>'Розрахунки Річного плану'!N146</f>
        <v>0</v>
      </c>
      <c r="J55" s="2515">
        <f>'Розрахунки Річного плану'!O146</f>
        <v>0</v>
      </c>
      <c r="K55" s="2515">
        <f>'Розрахунки Річного плану'!D146</f>
        <v>0</v>
      </c>
      <c r="L55" s="2515">
        <f>'Розрахунки Річного плану'!E146</f>
        <v>0</v>
      </c>
      <c r="M55" s="2515">
        <f>'Розрахунки Річного плану'!F146</f>
        <v>0</v>
      </c>
      <c r="N55" s="2515">
        <f>'Розрахунки Річного плану'!G146</f>
        <v>0</v>
      </c>
      <c r="O55" s="2515">
        <f>'Розрахунки Річного плану'!H146</f>
        <v>0</v>
      </c>
      <c r="P55" s="2515">
        <f>'Розрахунки Річного плану'!I146</f>
        <v>0</v>
      </c>
      <c r="Q55" s="2515">
        <f>'Розрахунки Річного плану'!J146</f>
        <v>0</v>
      </c>
      <c r="R55" s="2515">
        <f>'Розрахунки Річного плану'!K146</f>
        <v>0</v>
      </c>
      <c r="S55" s="2516">
        <f>'Розрахунки Річного плану'!L146</f>
        <v>0</v>
      </c>
      <c r="T55" s="155" t="s">
        <v>481</v>
      </c>
    </row>
    <row r="56" spans="1:21" ht="48" x14ac:dyDescent="0.25">
      <c r="A56" s="3474"/>
      <c r="B56" s="2914"/>
      <c r="C56" s="2714" t="s">
        <v>657</v>
      </c>
      <c r="D56" s="2712" t="s">
        <v>22</v>
      </c>
      <c r="E56" s="2515"/>
      <c r="F56" s="2515"/>
      <c r="G56" s="2513">
        <f t="shared" si="26"/>
        <v>0</v>
      </c>
      <c r="H56" s="2513">
        <v>0</v>
      </c>
      <c r="I56" s="2513">
        <v>0</v>
      </c>
      <c r="J56" s="2513">
        <v>0</v>
      </c>
      <c r="K56" s="2513">
        <v>0</v>
      </c>
      <c r="L56" s="2513">
        <v>0</v>
      </c>
      <c r="M56" s="2513">
        <v>0</v>
      </c>
      <c r="N56" s="2513">
        <v>0</v>
      </c>
      <c r="O56" s="2513">
        <v>0</v>
      </c>
      <c r="P56" s="2513">
        <v>0</v>
      </c>
      <c r="Q56" s="2513">
        <v>0</v>
      </c>
      <c r="R56" s="2513">
        <v>0</v>
      </c>
      <c r="S56" s="2514">
        <v>0</v>
      </c>
      <c r="T56" s="155" t="s">
        <v>658</v>
      </c>
    </row>
    <row r="57" spans="1:21" x14ac:dyDescent="0.25">
      <c r="A57" s="3505"/>
      <c r="B57" s="2914"/>
      <c r="C57" s="2714" t="s">
        <v>731</v>
      </c>
      <c r="D57" s="2712" t="s">
        <v>4</v>
      </c>
      <c r="E57" s="2660"/>
      <c r="F57" s="2660"/>
      <c r="G57" s="2662">
        <v>0</v>
      </c>
      <c r="H57" s="2662">
        <v>0</v>
      </c>
      <c r="I57" s="2662">
        <v>0</v>
      </c>
      <c r="J57" s="2662">
        <v>0</v>
      </c>
      <c r="K57" s="2662">
        <v>0</v>
      </c>
      <c r="L57" s="2662">
        <v>0</v>
      </c>
      <c r="M57" s="2662">
        <v>0</v>
      </c>
      <c r="N57" s="2662">
        <v>0</v>
      </c>
      <c r="O57" s="2662">
        <v>0</v>
      </c>
      <c r="P57" s="2662">
        <v>0</v>
      </c>
      <c r="Q57" s="2662">
        <v>0</v>
      </c>
      <c r="R57" s="2662">
        <v>0</v>
      </c>
      <c r="S57" s="2663">
        <v>0</v>
      </c>
      <c r="T57" s="155" t="s">
        <v>656</v>
      </c>
    </row>
    <row r="58" spans="1:21" x14ac:dyDescent="0.25">
      <c r="A58" s="3505"/>
      <c r="B58" s="2914" t="s">
        <v>33</v>
      </c>
      <c r="C58" s="2714" t="s">
        <v>630</v>
      </c>
      <c r="D58" s="2712" t="s">
        <v>22</v>
      </c>
      <c r="E58" s="2515"/>
      <c r="F58" s="2515"/>
      <c r="G58" s="2513">
        <f t="shared" ref="G58:G64" si="28">SUM(H58:S58)</f>
        <v>1253.79</v>
      </c>
      <c r="H58" s="2515">
        <f>SUM(H59:H63)</f>
        <v>47.14</v>
      </c>
      <c r="I58" s="2515">
        <f t="shared" ref="I58:S58" si="29">SUM(I59:I63)</f>
        <v>111.11</v>
      </c>
      <c r="J58" s="2515">
        <f t="shared" si="29"/>
        <v>198.78</v>
      </c>
      <c r="K58" s="2515">
        <f t="shared" si="29"/>
        <v>319.25</v>
      </c>
      <c r="L58" s="2515">
        <f t="shared" si="29"/>
        <v>87.56</v>
      </c>
      <c r="M58" s="2515">
        <f t="shared" si="29"/>
        <v>154.25</v>
      </c>
      <c r="N58" s="2515">
        <f t="shared" si="29"/>
        <v>86.24</v>
      </c>
      <c r="O58" s="2515">
        <f t="shared" si="29"/>
        <v>112.47</v>
      </c>
      <c r="P58" s="2515">
        <f t="shared" si="29"/>
        <v>47.79</v>
      </c>
      <c r="Q58" s="2515">
        <f t="shared" si="29"/>
        <v>26.78</v>
      </c>
      <c r="R58" s="2515">
        <f t="shared" si="29"/>
        <v>27.91</v>
      </c>
      <c r="S58" s="2516">
        <f t="shared" si="29"/>
        <v>34.51</v>
      </c>
      <c r="T58" s="155" t="s">
        <v>481</v>
      </c>
    </row>
    <row r="59" spans="1:21" x14ac:dyDescent="0.25">
      <c r="A59" s="3505"/>
      <c r="B59" s="2914" t="s">
        <v>728</v>
      </c>
      <c r="C59" s="2716" t="s">
        <v>3</v>
      </c>
      <c r="D59" s="2712" t="s">
        <v>22</v>
      </c>
      <c r="E59" s="2515"/>
      <c r="F59" s="2515"/>
      <c r="G59" s="2513">
        <f t="shared" si="28"/>
        <v>0</v>
      </c>
      <c r="H59" s="2515">
        <f>'Розрахунки Річного плану'!M149+'Розрахунки Річного плану'!M170</f>
        <v>0</v>
      </c>
      <c r="I59" s="2515">
        <f>'Розрахунки Річного плану'!N149+'Розрахунки Річного плану'!N170</f>
        <v>0</v>
      </c>
      <c r="J59" s="2515">
        <f>'Розрахунки Річного плану'!O149+'Розрахунки Річного плану'!O170</f>
        <v>0</v>
      </c>
      <c r="K59" s="2515">
        <f>'Розрахунки Річного плану'!D149+'Розрахунки Річного плану'!D170</f>
        <v>0</v>
      </c>
      <c r="L59" s="2515">
        <f>'Розрахунки Річного плану'!E149+'Розрахунки Річного плану'!E170</f>
        <v>0</v>
      </c>
      <c r="M59" s="2515">
        <f>'Розрахунки Річного плану'!F149+'Розрахунки Річного плану'!F170</f>
        <v>0</v>
      </c>
      <c r="N59" s="2515">
        <f>'Розрахунки Річного плану'!G149+'Розрахунки Річного плану'!G170</f>
        <v>0</v>
      </c>
      <c r="O59" s="2515">
        <v>0</v>
      </c>
      <c r="P59" s="2515">
        <v>0</v>
      </c>
      <c r="Q59" s="2515">
        <v>0</v>
      </c>
      <c r="R59" s="2515">
        <v>0</v>
      </c>
      <c r="S59" s="2516">
        <v>0</v>
      </c>
      <c r="T59" s="155" t="s">
        <v>481</v>
      </c>
    </row>
    <row r="60" spans="1:21" x14ac:dyDescent="0.25">
      <c r="A60" s="3505"/>
      <c r="B60" s="2914" t="s">
        <v>754</v>
      </c>
      <c r="C60" s="2716" t="s">
        <v>169</v>
      </c>
      <c r="D60" s="2712" t="s">
        <v>22</v>
      </c>
      <c r="E60" s="2515"/>
      <c r="F60" s="2515"/>
      <c r="G60" s="2513">
        <f t="shared" si="28"/>
        <v>0</v>
      </c>
      <c r="H60" s="2515">
        <f>'Розрахунки Річного плану'!M153</f>
        <v>0</v>
      </c>
      <c r="I60" s="2515">
        <f>'Розрахунки Річного плану'!N153</f>
        <v>0</v>
      </c>
      <c r="J60" s="2515">
        <f>'Розрахунки Річного плану'!O153</f>
        <v>0</v>
      </c>
      <c r="K60" s="2515">
        <f>'Розрахунки Річного плану'!D153</f>
        <v>0</v>
      </c>
      <c r="L60" s="2515">
        <f>'Розрахунки Річного плану'!E153</f>
        <v>0</v>
      </c>
      <c r="M60" s="2515">
        <f>'Розрахунки Річного плану'!F153</f>
        <v>0</v>
      </c>
      <c r="N60" s="2515">
        <f>'Розрахунки Річного плану'!G153</f>
        <v>0</v>
      </c>
      <c r="O60" s="2515">
        <v>0</v>
      </c>
      <c r="P60" s="2515">
        <v>0</v>
      </c>
      <c r="Q60" s="2515">
        <v>0</v>
      </c>
      <c r="R60" s="2515">
        <v>0</v>
      </c>
      <c r="S60" s="2516">
        <v>0</v>
      </c>
      <c r="T60" s="155" t="s">
        <v>481</v>
      </c>
      <c r="U60" s="3477"/>
    </row>
    <row r="61" spans="1:21" x14ac:dyDescent="0.25">
      <c r="A61" s="3505"/>
      <c r="B61" s="2914" t="s">
        <v>755</v>
      </c>
      <c r="C61" s="2716" t="s">
        <v>749</v>
      </c>
      <c r="D61" s="2712" t="s">
        <v>22</v>
      </c>
      <c r="E61" s="2515"/>
      <c r="F61" s="2515">
        <v>15.96</v>
      </c>
      <c r="G61" s="2513">
        <f t="shared" si="28"/>
        <v>0</v>
      </c>
      <c r="H61" s="2515">
        <f>'Розрахунки Річного плану'!M150+'Розрахунки Річного плану'!M171</f>
        <v>0</v>
      </c>
      <c r="I61" s="2515">
        <f>'Розрахунки Річного плану'!N150+'Розрахунки Річного плану'!N171</f>
        <v>0</v>
      </c>
      <c r="J61" s="2515">
        <f>'Розрахунки Річного плану'!O150+'Розрахунки Річного плану'!O171</f>
        <v>0</v>
      </c>
      <c r="K61" s="2515">
        <f>'Розрахунки Річного плану'!D150+'Розрахунки Річного плану'!D171</f>
        <v>0</v>
      </c>
      <c r="L61" s="2515">
        <f>'Розрахунки Річного плану'!E150+'Розрахунки Річного плану'!E171</f>
        <v>0</v>
      </c>
      <c r="M61" s="2515">
        <f>'Розрахунки Річного плану'!F150+'Розрахунки Річного плану'!F171</f>
        <v>0</v>
      </c>
      <c r="N61" s="2515">
        <f>'Розрахунки Річного плану'!G150+'Розрахунки Річного плану'!G171</f>
        <v>0</v>
      </c>
      <c r="O61" s="2515">
        <f>'Розрахунки Річного плану'!H150+'Розрахунки Річного плану'!H171</f>
        <v>0</v>
      </c>
      <c r="P61" s="2515">
        <f>'Розрахунки Річного плану'!I150+'Розрахунки Річного плану'!I171</f>
        <v>0</v>
      </c>
      <c r="Q61" s="2515">
        <f>'Розрахунки Річного плану'!J150+'Розрахунки Річного плану'!J171</f>
        <v>0</v>
      </c>
      <c r="R61" s="2515">
        <f>'Розрахунки Річного плану'!K150+'Розрахунки Річного плану'!K171</f>
        <v>0</v>
      </c>
      <c r="S61" s="2515">
        <f>'Розрахунки Річного плану'!L150+'Розрахунки Річного плану'!L171</f>
        <v>0</v>
      </c>
      <c r="T61" s="155" t="s">
        <v>481</v>
      </c>
      <c r="U61" s="3477"/>
    </row>
    <row r="62" spans="1:21" x14ac:dyDescent="0.25">
      <c r="A62" s="3505"/>
      <c r="B62" s="2914" t="s">
        <v>756</v>
      </c>
      <c r="C62" s="2716" t="s">
        <v>162</v>
      </c>
      <c r="D62" s="2712" t="s">
        <v>22</v>
      </c>
      <c r="E62" s="2515">
        <v>1749.08</v>
      </c>
      <c r="F62" s="2515">
        <v>1890.88</v>
      </c>
      <c r="G62" s="2513">
        <f t="shared" si="28"/>
        <v>1013.15</v>
      </c>
      <c r="H62" s="2515">
        <f>'Розрахунки Річного плану'!M151</f>
        <v>42.48</v>
      </c>
      <c r="I62" s="2515">
        <f>'Розрахунки Річного плану'!N151</f>
        <v>86.2</v>
      </c>
      <c r="J62" s="2515">
        <f>'Розрахунки Річного плану'!O151</f>
        <v>153.19</v>
      </c>
      <c r="K62" s="2515">
        <f>'Розрахунки Річного плану'!D151</f>
        <v>244.91</v>
      </c>
      <c r="L62" s="2515">
        <f>'Розрахунки Річного плану'!E151</f>
        <v>67.31</v>
      </c>
      <c r="M62" s="2515">
        <f>'Розрахунки Річного плану'!F151</f>
        <v>119</v>
      </c>
      <c r="N62" s="2515">
        <f>'Розрахунки Річного плану'!G151</f>
        <v>75.25</v>
      </c>
      <c r="O62" s="2515">
        <f>'Розрахунки Річного плану'!H151</f>
        <v>101.36</v>
      </c>
      <c r="P62" s="2515">
        <f>'Розрахунки Річного плану'!I151</f>
        <v>43.07</v>
      </c>
      <c r="Q62" s="2515">
        <f>'Розрахунки Річного плану'!J151</f>
        <v>24.13</v>
      </c>
      <c r="R62" s="2515">
        <f>'Розрахунки Річного плану'!K151</f>
        <v>25.15</v>
      </c>
      <c r="S62" s="2515">
        <f>'Розрахунки Річного плану'!L151</f>
        <v>31.1</v>
      </c>
      <c r="T62" s="155" t="s">
        <v>481</v>
      </c>
      <c r="U62" s="3477"/>
    </row>
    <row r="63" spans="1:21" ht="24" x14ac:dyDescent="0.25">
      <c r="A63" s="3505"/>
      <c r="B63" s="2914" t="s">
        <v>809</v>
      </c>
      <c r="C63" s="2716" t="s">
        <v>212</v>
      </c>
      <c r="D63" s="2712" t="s">
        <v>22</v>
      </c>
      <c r="E63" s="2515">
        <v>35.69</v>
      </c>
      <c r="F63" s="2515">
        <v>38.92</v>
      </c>
      <c r="G63" s="2513">
        <f t="shared" si="28"/>
        <v>240.64</v>
      </c>
      <c r="H63" s="2515">
        <f>'Розрахунки Річного плану'!M152</f>
        <v>4.66</v>
      </c>
      <c r="I63" s="2515">
        <f>'Розрахунки Річного плану'!N152</f>
        <v>24.91</v>
      </c>
      <c r="J63" s="2515">
        <f>'Розрахунки Річного плану'!O152</f>
        <v>45.59</v>
      </c>
      <c r="K63" s="2515">
        <f>'Розрахунки Річного плану'!D152</f>
        <v>74.34</v>
      </c>
      <c r="L63" s="2515">
        <f>'Розрахунки Річного плану'!E152</f>
        <v>20.25</v>
      </c>
      <c r="M63" s="2515">
        <f>'Розрахунки Річного плану'!F152</f>
        <v>35.25</v>
      </c>
      <c r="N63" s="2515">
        <f>'Розрахунки Річного плану'!G152</f>
        <v>10.99</v>
      </c>
      <c r="O63" s="2515">
        <f>'Розрахунки Річного плану'!H152</f>
        <v>11.11</v>
      </c>
      <c r="P63" s="2515">
        <f>'Розрахунки Річного плану'!I152</f>
        <v>4.72</v>
      </c>
      <c r="Q63" s="2515">
        <f>'Розрахунки Річного плану'!J152</f>
        <v>2.65</v>
      </c>
      <c r="R63" s="2515">
        <f>'Розрахунки Річного плану'!K152</f>
        <v>2.76</v>
      </c>
      <c r="S63" s="2515">
        <f>'Розрахунки Річного плану'!L152</f>
        <v>3.41</v>
      </c>
      <c r="T63" s="155" t="s">
        <v>481</v>
      </c>
      <c r="U63" s="3477"/>
    </row>
    <row r="64" spans="1:21" ht="24" customHeight="1" x14ac:dyDescent="0.25">
      <c r="A64" s="3474"/>
      <c r="B64" s="2914"/>
      <c r="C64" s="2714" t="s">
        <v>657</v>
      </c>
      <c r="D64" s="2712" t="s">
        <v>22</v>
      </c>
      <c r="E64" s="2515">
        <v>0</v>
      </c>
      <c r="F64" s="2515">
        <v>0</v>
      </c>
      <c r="G64" s="2513">
        <f t="shared" si="28"/>
        <v>0</v>
      </c>
      <c r="H64" s="2513">
        <v>0</v>
      </c>
      <c r="I64" s="2513">
        <v>0</v>
      </c>
      <c r="J64" s="2513">
        <v>0</v>
      </c>
      <c r="K64" s="2513">
        <v>0</v>
      </c>
      <c r="L64" s="2513">
        <v>0</v>
      </c>
      <c r="M64" s="2513">
        <v>0</v>
      </c>
      <c r="N64" s="2513">
        <v>0</v>
      </c>
      <c r="O64" s="2513">
        <v>0</v>
      </c>
      <c r="P64" s="2513">
        <v>0</v>
      </c>
      <c r="Q64" s="2513">
        <v>0</v>
      </c>
      <c r="R64" s="2513">
        <v>0</v>
      </c>
      <c r="S64" s="2514">
        <v>0</v>
      </c>
      <c r="T64" s="155" t="s">
        <v>658</v>
      </c>
      <c r="U64" s="3477"/>
    </row>
    <row r="65" spans="1:27" ht="15.75" thickBot="1" x14ac:dyDescent="0.3">
      <c r="A65" s="3505"/>
      <c r="B65" s="2916"/>
      <c r="C65" s="2718" t="s">
        <v>732</v>
      </c>
      <c r="D65" s="2719" t="s">
        <v>4</v>
      </c>
      <c r="E65" s="2664">
        <v>0</v>
      </c>
      <c r="F65" s="2664">
        <v>0</v>
      </c>
      <c r="G65" s="2665">
        <v>0</v>
      </c>
      <c r="H65" s="2665">
        <v>0</v>
      </c>
      <c r="I65" s="2665">
        <v>0</v>
      </c>
      <c r="J65" s="2665">
        <v>0</v>
      </c>
      <c r="K65" s="2665">
        <v>0</v>
      </c>
      <c r="L65" s="2665">
        <v>0</v>
      </c>
      <c r="M65" s="2665">
        <v>0</v>
      </c>
      <c r="N65" s="2665">
        <v>0</v>
      </c>
      <c r="O65" s="2665">
        <v>0</v>
      </c>
      <c r="P65" s="2665">
        <v>0</v>
      </c>
      <c r="Q65" s="2665">
        <v>0</v>
      </c>
      <c r="R65" s="2665">
        <v>0</v>
      </c>
      <c r="S65" s="2666">
        <v>0</v>
      </c>
      <c r="T65" s="155" t="s">
        <v>656</v>
      </c>
    </row>
    <row r="66" spans="1:27" ht="36" x14ac:dyDescent="0.25">
      <c r="A66" s="3474"/>
      <c r="B66" s="2917">
        <v>7</v>
      </c>
      <c r="C66" s="2706" t="s">
        <v>659</v>
      </c>
      <c r="D66" s="2711" t="s">
        <v>22</v>
      </c>
      <c r="E66" s="2656">
        <v>0</v>
      </c>
      <c r="F66" s="2656">
        <v>0</v>
      </c>
      <c r="G66" s="2667">
        <f>SUM(H66:S66)</f>
        <v>0</v>
      </c>
      <c r="H66" s="2667">
        <v>0</v>
      </c>
      <c r="I66" s="2667">
        <v>0</v>
      </c>
      <c r="J66" s="2667">
        <v>0</v>
      </c>
      <c r="K66" s="2667">
        <v>0</v>
      </c>
      <c r="L66" s="2667">
        <v>0</v>
      </c>
      <c r="M66" s="2667">
        <v>0</v>
      </c>
      <c r="N66" s="2667">
        <v>0</v>
      </c>
      <c r="O66" s="2667">
        <v>0</v>
      </c>
      <c r="P66" s="2667">
        <v>0</v>
      </c>
      <c r="Q66" s="2667">
        <v>0</v>
      </c>
      <c r="R66" s="2667">
        <v>0</v>
      </c>
      <c r="S66" s="2668">
        <v>0</v>
      </c>
      <c r="T66" s="155" t="s">
        <v>3472</v>
      </c>
    </row>
    <row r="67" spans="1:27" ht="36" x14ac:dyDescent="0.25">
      <c r="A67" s="3506"/>
      <c r="B67" s="2918">
        <v>8</v>
      </c>
      <c r="C67" s="2609" t="s">
        <v>502</v>
      </c>
      <c r="D67" s="2712" t="s">
        <v>22</v>
      </c>
      <c r="E67" s="2515">
        <v>0</v>
      </c>
      <c r="F67" s="2515">
        <v>0</v>
      </c>
      <c r="G67" s="2513">
        <f>SUM(H67:S67)</f>
        <v>0</v>
      </c>
      <c r="H67" s="2513">
        <v>0</v>
      </c>
      <c r="I67" s="2513">
        <v>0</v>
      </c>
      <c r="J67" s="2513">
        <v>0</v>
      </c>
      <c r="K67" s="2513">
        <v>0</v>
      </c>
      <c r="L67" s="2513">
        <v>0</v>
      </c>
      <c r="M67" s="2513">
        <v>0</v>
      </c>
      <c r="N67" s="2513">
        <v>0</v>
      </c>
      <c r="O67" s="2513">
        <v>0</v>
      </c>
      <c r="P67" s="2513">
        <v>0</v>
      </c>
      <c r="Q67" s="2513">
        <v>0</v>
      </c>
      <c r="R67" s="2513">
        <v>0</v>
      </c>
      <c r="S67" s="2514">
        <v>0</v>
      </c>
      <c r="T67" s="155" t="s">
        <v>660</v>
      </c>
    </row>
    <row r="68" spans="1:27" ht="15.75" thickBot="1" x14ac:dyDescent="0.3">
      <c r="A68" s="3505"/>
      <c r="B68" s="2915"/>
      <c r="C68" s="2720" t="s">
        <v>503</v>
      </c>
      <c r="D68" s="2713" t="s">
        <v>4</v>
      </c>
      <c r="E68" s="2669">
        <v>0</v>
      </c>
      <c r="F68" s="2669">
        <v>0</v>
      </c>
      <c r="G68" s="2669">
        <v>0</v>
      </c>
      <c r="H68" s="2669">
        <v>0</v>
      </c>
      <c r="I68" s="2669">
        <v>0</v>
      </c>
      <c r="J68" s="2669">
        <v>0</v>
      </c>
      <c r="K68" s="2669">
        <v>0</v>
      </c>
      <c r="L68" s="2669">
        <v>0</v>
      </c>
      <c r="M68" s="2669">
        <v>0</v>
      </c>
      <c r="N68" s="2669">
        <v>0</v>
      </c>
      <c r="O68" s="2669">
        <v>0</v>
      </c>
      <c r="P68" s="2669">
        <v>0</v>
      </c>
      <c r="Q68" s="2669">
        <v>0</v>
      </c>
      <c r="R68" s="2669">
        <v>0</v>
      </c>
      <c r="S68" s="2670">
        <v>0</v>
      </c>
      <c r="T68" s="155" t="s">
        <v>656</v>
      </c>
    </row>
    <row r="69" spans="1:27" ht="28.9" customHeight="1" x14ac:dyDescent="0.25">
      <c r="A69" s="3474"/>
      <c r="B69" s="2917">
        <v>9</v>
      </c>
      <c r="C69" s="2706" t="s">
        <v>504</v>
      </c>
      <c r="D69" s="2711" t="s">
        <v>22</v>
      </c>
      <c r="E69" s="2647">
        <f>E70+E71+E74</f>
        <v>11091.56</v>
      </c>
      <c r="F69" s="2647">
        <f t="shared" ref="F69:R69" si="30">F70+F71+F74</f>
        <v>10969.88</v>
      </c>
      <c r="G69" s="2647">
        <f>G70+G71+G74</f>
        <v>11617.31</v>
      </c>
      <c r="H69" s="2647">
        <f>H70+H71+H74</f>
        <v>313.44</v>
      </c>
      <c r="I69" s="2647">
        <f>I70+I71+I74</f>
        <v>1516.17</v>
      </c>
      <c r="J69" s="2647">
        <f t="shared" si="30"/>
        <v>1907.53</v>
      </c>
      <c r="K69" s="2647">
        <f t="shared" si="30"/>
        <v>2246.12</v>
      </c>
      <c r="L69" s="2647">
        <f t="shared" si="30"/>
        <v>1879.81</v>
      </c>
      <c r="M69" s="2647">
        <f t="shared" si="30"/>
        <v>1841.56</v>
      </c>
      <c r="N69" s="2647">
        <f t="shared" si="30"/>
        <v>365.72</v>
      </c>
      <c r="O69" s="2647">
        <f t="shared" si="30"/>
        <v>313.44</v>
      </c>
      <c r="P69" s="2647">
        <f t="shared" si="30"/>
        <v>303.32</v>
      </c>
      <c r="Q69" s="2647">
        <f t="shared" si="30"/>
        <v>313.44</v>
      </c>
      <c r="R69" s="2647">
        <f t="shared" si="30"/>
        <v>313.44</v>
      </c>
      <c r="S69" s="2649">
        <f>S70+S71+S74</f>
        <v>303.32</v>
      </c>
      <c r="T69" s="155" t="s">
        <v>661</v>
      </c>
      <c r="AA69" s="176"/>
    </row>
    <row r="70" spans="1:27" ht="24" x14ac:dyDescent="0.25">
      <c r="A70" s="3474"/>
      <c r="B70" s="2914" t="s">
        <v>160</v>
      </c>
      <c r="C70" s="2609" t="s">
        <v>662</v>
      </c>
      <c r="D70" s="2712" t="s">
        <v>22</v>
      </c>
      <c r="E70" s="2671">
        <v>0</v>
      </c>
      <c r="F70" s="2671">
        <v>0</v>
      </c>
      <c r="G70" s="2671">
        <v>0</v>
      </c>
      <c r="H70" s="2671">
        <v>0</v>
      </c>
      <c r="I70" s="2671">
        <v>0</v>
      </c>
      <c r="J70" s="2671">
        <v>0</v>
      </c>
      <c r="K70" s="2671">
        <v>0</v>
      </c>
      <c r="L70" s="2671">
        <v>0</v>
      </c>
      <c r="M70" s="2671">
        <v>0</v>
      </c>
      <c r="N70" s="2671">
        <v>0</v>
      </c>
      <c r="O70" s="2671">
        <v>0</v>
      </c>
      <c r="P70" s="2671">
        <v>0</v>
      </c>
      <c r="Q70" s="2671">
        <v>0</v>
      </c>
      <c r="R70" s="2671">
        <v>0</v>
      </c>
      <c r="S70" s="2672">
        <v>0</v>
      </c>
      <c r="T70" s="155" t="s">
        <v>663</v>
      </c>
      <c r="X70" s="178"/>
      <c r="Y70" s="178"/>
      <c r="Z70" s="178"/>
    </row>
    <row r="71" spans="1:27" ht="24" x14ac:dyDescent="0.25">
      <c r="A71" s="3474"/>
      <c r="B71" s="2914" t="s">
        <v>214</v>
      </c>
      <c r="C71" s="2609" t="s">
        <v>212</v>
      </c>
      <c r="D71" s="2721" t="s">
        <v>22</v>
      </c>
      <c r="E71" s="2515">
        <f>E72+E73</f>
        <v>1505.84</v>
      </c>
      <c r="F71" s="2515">
        <f t="shared" ref="F71:S71" si="31">F72+F73</f>
        <v>2116.5700000000002</v>
      </c>
      <c r="G71" s="2515">
        <f t="shared" si="31"/>
        <v>2157.9299999999998</v>
      </c>
      <c r="H71" s="2515">
        <f t="shared" si="31"/>
        <v>25.76</v>
      </c>
      <c r="I71" s="2515">
        <f t="shared" si="31"/>
        <v>308.69</v>
      </c>
      <c r="J71" s="2515">
        <f t="shared" si="31"/>
        <v>398.73</v>
      </c>
      <c r="K71" s="2515">
        <f t="shared" si="31"/>
        <v>477.96</v>
      </c>
      <c r="L71" s="2515">
        <f t="shared" si="31"/>
        <v>396.85</v>
      </c>
      <c r="M71" s="2515">
        <f t="shared" si="31"/>
        <v>383.3</v>
      </c>
      <c r="N71" s="2515">
        <f t="shared" si="31"/>
        <v>39.520000000000003</v>
      </c>
      <c r="O71" s="2515">
        <f t="shared" si="31"/>
        <v>25.76</v>
      </c>
      <c r="P71" s="2515">
        <f t="shared" si="31"/>
        <v>24.92</v>
      </c>
      <c r="Q71" s="2515">
        <f t="shared" si="31"/>
        <v>25.76</v>
      </c>
      <c r="R71" s="2515">
        <f t="shared" si="31"/>
        <v>25.76</v>
      </c>
      <c r="S71" s="2516">
        <f t="shared" si="31"/>
        <v>24.92</v>
      </c>
      <c r="T71" s="155" t="s">
        <v>664</v>
      </c>
    </row>
    <row r="72" spans="1:27" x14ac:dyDescent="0.25">
      <c r="A72" s="3474"/>
      <c r="B72" s="2914" t="s">
        <v>713</v>
      </c>
      <c r="C72" s="2705" t="s">
        <v>631</v>
      </c>
      <c r="D72" s="2721" t="s">
        <v>22</v>
      </c>
      <c r="E72" s="2673">
        <v>0</v>
      </c>
      <c r="F72" s="2673">
        <v>0</v>
      </c>
      <c r="G72" s="2513">
        <f>SUM(H72:S72)</f>
        <v>0</v>
      </c>
      <c r="H72" s="2513">
        <f>'Розрахунки Річного плану'!M107+'Розрахунки Річного плану'!M129</f>
        <v>0</v>
      </c>
      <c r="I72" s="2513">
        <f>'Розрахунки Річного плану'!N107+'Розрахунки Річного плану'!N129</f>
        <v>0</v>
      </c>
      <c r="J72" s="2513">
        <f>'Розрахунки Річного плану'!O107+'Розрахунки Річного плану'!O129</f>
        <v>0</v>
      </c>
      <c r="K72" s="2513">
        <f>'Розрахунки Річного плану'!D107+'Розрахунки Річного плану'!D129</f>
        <v>0</v>
      </c>
      <c r="L72" s="2513">
        <f>'Розрахунки Річного плану'!E107+'Розрахунки Річного плану'!E129</f>
        <v>0</v>
      </c>
      <c r="M72" s="2513">
        <f>'Розрахунки Річного плану'!F107+'Розрахунки Річного плану'!F129</f>
        <v>0</v>
      </c>
      <c r="N72" s="2513">
        <f>'Розрахунки Річного плану'!G107+'Розрахунки Річного плану'!G129</f>
        <v>0</v>
      </c>
      <c r="O72" s="2513">
        <f>'Розрахунки Річного плану'!H107+'Розрахунки Річного плану'!H129</f>
        <v>0</v>
      </c>
      <c r="P72" s="2513">
        <f>'Розрахунки Річного плану'!I107+'Розрахунки Річного плану'!I129</f>
        <v>0</v>
      </c>
      <c r="Q72" s="2513">
        <f>'Розрахунки Річного плану'!J107+'Розрахунки Річного плану'!J129</f>
        <v>0</v>
      </c>
      <c r="R72" s="2513">
        <f>'Розрахунки Річного плану'!K107+'Розрахунки Річного плану'!K129</f>
        <v>0</v>
      </c>
      <c r="S72" s="2514">
        <f>'Розрахунки Річного плану'!L107+'Розрахунки Річного плану'!L129</f>
        <v>0</v>
      </c>
      <c r="T72" s="155" t="s">
        <v>481</v>
      </c>
    </row>
    <row r="73" spans="1:27" x14ac:dyDescent="0.25">
      <c r="A73" s="3474"/>
      <c r="B73" s="2914" t="s">
        <v>714</v>
      </c>
      <c r="C73" s="2705" t="s">
        <v>630</v>
      </c>
      <c r="D73" s="2721" t="s">
        <v>22</v>
      </c>
      <c r="E73" s="2515">
        <v>1505.84</v>
      </c>
      <c r="F73" s="2673">
        <v>2116.5700000000002</v>
      </c>
      <c r="G73" s="2513">
        <f>SUM(H73:S73)</f>
        <v>2157.9299999999998</v>
      </c>
      <c r="H73" s="2674">
        <f>'Розрахунки Річного плану'!M110+'Розрахунки Річного плану'!M132</f>
        <v>25.76</v>
      </c>
      <c r="I73" s="2674">
        <f>'Розрахунки Річного плану'!N110+'Розрахунки Річного плану'!N132</f>
        <v>308.69</v>
      </c>
      <c r="J73" s="2674">
        <f>'Розрахунки Річного плану'!O110+'Розрахунки Річного плану'!O132</f>
        <v>398.73</v>
      </c>
      <c r="K73" s="2674">
        <f>'Розрахунки Річного плану'!D110+'Розрахунки Річного плану'!D132</f>
        <v>477.96</v>
      </c>
      <c r="L73" s="2674">
        <f>'Розрахунки Річного плану'!E110+'Розрахунки Річного плану'!E132</f>
        <v>396.85</v>
      </c>
      <c r="M73" s="2674">
        <f>'Розрахунки Річного плану'!F110+'Розрахунки Річного плану'!F132</f>
        <v>383.3</v>
      </c>
      <c r="N73" s="2674">
        <f>'Розрахунки Річного плану'!G110+'Розрахунки Річного плану'!G132</f>
        <v>39.520000000000003</v>
      </c>
      <c r="O73" s="2674">
        <f>'Розрахунки Річного плану'!H110+'Розрахунки Річного плану'!H132</f>
        <v>25.76</v>
      </c>
      <c r="P73" s="2674">
        <f>'Розрахунки Річного плану'!I110+'Розрахунки Річного плану'!I132</f>
        <v>24.92</v>
      </c>
      <c r="Q73" s="2674">
        <f>'Розрахунки Річного плану'!J110+'Розрахунки Річного плану'!J132</f>
        <v>25.76</v>
      </c>
      <c r="R73" s="2674">
        <f>'Розрахунки Річного плану'!K110+'Розрахунки Річного плану'!K132</f>
        <v>25.76</v>
      </c>
      <c r="S73" s="2686">
        <f>'Розрахунки Річного плану'!L110+'Розрахунки Річного плану'!L132</f>
        <v>24.92</v>
      </c>
      <c r="T73" s="155" t="s">
        <v>481</v>
      </c>
    </row>
    <row r="74" spans="1:27" ht="36" x14ac:dyDescent="0.25">
      <c r="A74" s="3474"/>
      <c r="B74" s="2914" t="s">
        <v>354</v>
      </c>
      <c r="C74" s="2609" t="s">
        <v>213</v>
      </c>
      <c r="D74" s="2712" t="s">
        <v>22</v>
      </c>
      <c r="E74" s="2650">
        <f t="shared" ref="E74:S74" si="32">E75+E83+E87+E91</f>
        <v>9585.7199999999993</v>
      </c>
      <c r="F74" s="2650">
        <f>F75+F83+F87+F91</f>
        <v>8853.31</v>
      </c>
      <c r="G74" s="2650">
        <f>G75+G83+G87+G91</f>
        <v>9459.3799999999992</v>
      </c>
      <c r="H74" s="2650">
        <f>H75+H83+H87+H91</f>
        <v>287.68</v>
      </c>
      <c r="I74" s="2650">
        <f>I75+I83+I87+I91</f>
        <v>1207.48</v>
      </c>
      <c r="J74" s="2650">
        <f t="shared" si="32"/>
        <v>1508.8</v>
      </c>
      <c r="K74" s="2650">
        <f t="shared" si="32"/>
        <v>1768.16</v>
      </c>
      <c r="L74" s="2650">
        <f t="shared" si="32"/>
        <v>1482.96</v>
      </c>
      <c r="M74" s="2650">
        <f t="shared" si="32"/>
        <v>1458.26</v>
      </c>
      <c r="N74" s="2650">
        <f t="shared" si="32"/>
        <v>326.2</v>
      </c>
      <c r="O74" s="2650">
        <f t="shared" si="32"/>
        <v>287.68</v>
      </c>
      <c r="P74" s="2650">
        <f t="shared" si="32"/>
        <v>278.39999999999998</v>
      </c>
      <c r="Q74" s="2650">
        <f t="shared" si="32"/>
        <v>287.68</v>
      </c>
      <c r="R74" s="2650">
        <f t="shared" si="32"/>
        <v>287.68</v>
      </c>
      <c r="S74" s="2651">
        <f t="shared" si="32"/>
        <v>278.39999999999998</v>
      </c>
      <c r="T74" s="155" t="s">
        <v>664</v>
      </c>
      <c r="V74" s="87"/>
    </row>
    <row r="75" spans="1:27" x14ac:dyDescent="0.25">
      <c r="A75" s="3474"/>
      <c r="B75" s="2912" t="s">
        <v>505</v>
      </c>
      <c r="C75" s="2714" t="s">
        <v>3</v>
      </c>
      <c r="D75" s="2708" t="s">
        <v>22</v>
      </c>
      <c r="E75" s="2650">
        <v>0</v>
      </c>
      <c r="F75" s="2650">
        <v>0</v>
      </c>
      <c r="G75" s="2650">
        <f>SUM(H75:S75)</f>
        <v>0</v>
      </c>
      <c r="H75" s="2513">
        <f>H117+H134</f>
        <v>0</v>
      </c>
      <c r="I75" s="2513">
        <f t="shared" ref="I75:S75" si="33">I117+I134</f>
        <v>0</v>
      </c>
      <c r="J75" s="2513">
        <f t="shared" si="33"/>
        <v>0</v>
      </c>
      <c r="K75" s="2513">
        <f t="shared" si="33"/>
        <v>0</v>
      </c>
      <c r="L75" s="2513">
        <f t="shared" si="33"/>
        <v>0</v>
      </c>
      <c r="M75" s="2513">
        <f t="shared" si="33"/>
        <v>0</v>
      </c>
      <c r="N75" s="2513">
        <f t="shared" si="33"/>
        <v>0</v>
      </c>
      <c r="O75" s="2513">
        <f t="shared" si="33"/>
        <v>0</v>
      </c>
      <c r="P75" s="2513">
        <f t="shared" si="33"/>
        <v>0</v>
      </c>
      <c r="Q75" s="2513">
        <f t="shared" si="33"/>
        <v>0</v>
      </c>
      <c r="R75" s="2513">
        <f t="shared" si="33"/>
        <v>0</v>
      </c>
      <c r="S75" s="2514">
        <f t="shared" si="33"/>
        <v>0</v>
      </c>
      <c r="T75" s="155" t="s">
        <v>664</v>
      </c>
      <c r="U75" s="172"/>
    </row>
    <row r="76" spans="1:27" x14ac:dyDescent="0.25">
      <c r="A76" s="3474"/>
      <c r="B76" s="2912"/>
      <c r="C76" s="2714" t="s">
        <v>509</v>
      </c>
      <c r="D76" s="2708" t="s">
        <v>4</v>
      </c>
      <c r="E76" s="2675">
        <f>E75/E74</f>
        <v>0</v>
      </c>
      <c r="F76" s="2675">
        <f t="shared" ref="F76:N76" si="34">F75/F74</f>
        <v>0</v>
      </c>
      <c r="G76" s="2675">
        <f>G75/G74</f>
        <v>0</v>
      </c>
      <c r="H76" s="2675">
        <f t="shared" si="34"/>
        <v>0</v>
      </c>
      <c r="I76" s="2675">
        <f t="shared" si="34"/>
        <v>0</v>
      </c>
      <c r="J76" s="2675">
        <f t="shared" si="34"/>
        <v>0</v>
      </c>
      <c r="K76" s="2675">
        <f t="shared" si="34"/>
        <v>0</v>
      </c>
      <c r="L76" s="2675">
        <f t="shared" si="34"/>
        <v>0</v>
      </c>
      <c r="M76" s="2675">
        <f t="shared" si="34"/>
        <v>0</v>
      </c>
      <c r="N76" s="2675">
        <f t="shared" si="34"/>
        <v>0</v>
      </c>
      <c r="O76" s="2675">
        <v>0</v>
      </c>
      <c r="P76" s="2675">
        <v>0</v>
      </c>
      <c r="Q76" s="2675">
        <v>0</v>
      </c>
      <c r="R76" s="2675">
        <v>0</v>
      </c>
      <c r="S76" s="2676">
        <v>0</v>
      </c>
      <c r="T76" s="155" t="s">
        <v>665</v>
      </c>
    </row>
    <row r="77" spans="1:27" ht="15.75" thickBot="1" x14ac:dyDescent="0.3">
      <c r="A77" s="3474"/>
      <c r="B77" s="2919" t="s">
        <v>721</v>
      </c>
      <c r="C77" s="2709" t="s">
        <v>631</v>
      </c>
      <c r="D77" s="2710" t="s">
        <v>22</v>
      </c>
      <c r="E77" s="2679"/>
      <c r="F77" s="2679"/>
      <c r="G77" s="2679">
        <f t="shared" ref="G77:G83" si="35">SUM(H77:S77)</f>
        <v>0</v>
      </c>
      <c r="H77" s="2679">
        <f>H118</f>
        <v>0</v>
      </c>
      <c r="I77" s="2679">
        <f t="shared" ref="I77:S77" si="36">I118</f>
        <v>0</v>
      </c>
      <c r="J77" s="2679">
        <f t="shared" si="36"/>
        <v>0</v>
      </c>
      <c r="K77" s="2679">
        <f t="shared" si="36"/>
        <v>0</v>
      </c>
      <c r="L77" s="2679">
        <f t="shared" si="36"/>
        <v>0</v>
      </c>
      <c r="M77" s="2679">
        <f t="shared" si="36"/>
        <v>0</v>
      </c>
      <c r="N77" s="2679">
        <f t="shared" si="36"/>
        <v>0</v>
      </c>
      <c r="O77" s="2679">
        <f t="shared" si="36"/>
        <v>0</v>
      </c>
      <c r="P77" s="2679">
        <f t="shared" si="36"/>
        <v>0</v>
      </c>
      <c r="Q77" s="2679">
        <f t="shared" si="36"/>
        <v>0</v>
      </c>
      <c r="R77" s="2679">
        <f t="shared" si="36"/>
        <v>0</v>
      </c>
      <c r="S77" s="3496">
        <f t="shared" si="36"/>
        <v>0</v>
      </c>
      <c r="T77" s="155" t="s">
        <v>481</v>
      </c>
    </row>
    <row r="78" spans="1:27" x14ac:dyDescent="0.25">
      <c r="A78" s="3474"/>
      <c r="B78" s="3491" t="s">
        <v>723</v>
      </c>
      <c r="C78" s="3492" t="s">
        <v>695</v>
      </c>
      <c r="D78" s="3493" t="s">
        <v>22</v>
      </c>
      <c r="E78" s="3494"/>
      <c r="F78" s="3494"/>
      <c r="G78" s="3494">
        <f t="shared" si="35"/>
        <v>0</v>
      </c>
      <c r="H78" s="3494">
        <f t="shared" ref="H78:S82" si="37">H119</f>
        <v>0</v>
      </c>
      <c r="I78" s="3494">
        <f t="shared" si="37"/>
        <v>0</v>
      </c>
      <c r="J78" s="3494">
        <f t="shared" si="37"/>
        <v>0</v>
      </c>
      <c r="K78" s="3494">
        <f t="shared" si="37"/>
        <v>0</v>
      </c>
      <c r="L78" s="3494">
        <f t="shared" si="37"/>
        <v>0</v>
      </c>
      <c r="M78" s="3494">
        <f t="shared" si="37"/>
        <v>0</v>
      </c>
      <c r="N78" s="3494">
        <f t="shared" si="37"/>
        <v>0</v>
      </c>
      <c r="O78" s="3494">
        <f t="shared" si="37"/>
        <v>0</v>
      </c>
      <c r="P78" s="3494">
        <f t="shared" si="37"/>
        <v>0</v>
      </c>
      <c r="Q78" s="3494">
        <f t="shared" si="37"/>
        <v>0</v>
      </c>
      <c r="R78" s="3494">
        <f t="shared" si="37"/>
        <v>0</v>
      </c>
      <c r="S78" s="3495">
        <f t="shared" si="37"/>
        <v>0</v>
      </c>
      <c r="T78" s="155" t="s">
        <v>481</v>
      </c>
    </row>
    <row r="79" spans="1:27" x14ac:dyDescent="0.25">
      <c r="A79" s="3474"/>
      <c r="B79" s="3471" t="s">
        <v>724</v>
      </c>
      <c r="C79" s="2722" t="s">
        <v>694</v>
      </c>
      <c r="D79" s="2708" t="s">
        <v>22</v>
      </c>
      <c r="E79" s="2650"/>
      <c r="F79" s="2650"/>
      <c r="G79" s="2650">
        <f t="shared" si="35"/>
        <v>0</v>
      </c>
      <c r="H79" s="2650">
        <f t="shared" si="37"/>
        <v>0</v>
      </c>
      <c r="I79" s="2650">
        <f t="shared" si="37"/>
        <v>0</v>
      </c>
      <c r="J79" s="2650">
        <f t="shared" si="37"/>
        <v>0</v>
      </c>
      <c r="K79" s="2650">
        <f t="shared" si="37"/>
        <v>0</v>
      </c>
      <c r="L79" s="2650">
        <f t="shared" si="37"/>
        <v>0</v>
      </c>
      <c r="M79" s="2650">
        <f t="shared" si="37"/>
        <v>0</v>
      </c>
      <c r="N79" s="2650">
        <f t="shared" si="37"/>
        <v>0</v>
      </c>
      <c r="O79" s="2650">
        <f t="shared" si="37"/>
        <v>0</v>
      </c>
      <c r="P79" s="2650">
        <f t="shared" si="37"/>
        <v>0</v>
      </c>
      <c r="Q79" s="2650">
        <f t="shared" si="37"/>
        <v>0</v>
      </c>
      <c r="R79" s="2650">
        <f t="shared" si="37"/>
        <v>0</v>
      </c>
      <c r="S79" s="2651">
        <f t="shared" si="37"/>
        <v>0</v>
      </c>
      <c r="T79" s="155" t="s">
        <v>481</v>
      </c>
    </row>
    <row r="80" spans="1:27" x14ac:dyDescent="0.25">
      <c r="A80" s="3474"/>
      <c r="B80" s="2912" t="s">
        <v>722</v>
      </c>
      <c r="C80" s="2705" t="s">
        <v>630</v>
      </c>
      <c r="D80" s="2708" t="s">
        <v>22</v>
      </c>
      <c r="E80" s="2650"/>
      <c r="F80" s="2650"/>
      <c r="G80" s="2650">
        <f t="shared" si="35"/>
        <v>0</v>
      </c>
      <c r="H80" s="2650">
        <f t="shared" si="37"/>
        <v>0</v>
      </c>
      <c r="I80" s="2650">
        <f t="shared" si="37"/>
        <v>0</v>
      </c>
      <c r="J80" s="2650">
        <f t="shared" si="37"/>
        <v>0</v>
      </c>
      <c r="K80" s="2650">
        <f t="shared" si="37"/>
        <v>0</v>
      </c>
      <c r="L80" s="2650">
        <f t="shared" si="37"/>
        <v>0</v>
      </c>
      <c r="M80" s="2650">
        <f t="shared" si="37"/>
        <v>0</v>
      </c>
      <c r="N80" s="2650">
        <f t="shared" si="37"/>
        <v>0</v>
      </c>
      <c r="O80" s="2650">
        <f t="shared" si="37"/>
        <v>0</v>
      </c>
      <c r="P80" s="2650">
        <f t="shared" si="37"/>
        <v>0</v>
      </c>
      <c r="Q80" s="2650">
        <f t="shared" si="37"/>
        <v>0</v>
      </c>
      <c r="R80" s="2650">
        <f t="shared" si="37"/>
        <v>0</v>
      </c>
      <c r="S80" s="2651">
        <f t="shared" si="37"/>
        <v>0</v>
      </c>
      <c r="T80" s="155" t="s">
        <v>481</v>
      </c>
    </row>
    <row r="81" spans="1:23" x14ac:dyDescent="0.25">
      <c r="A81" s="3474"/>
      <c r="B81" s="2912" t="s">
        <v>725</v>
      </c>
      <c r="C81" s="2722" t="s">
        <v>695</v>
      </c>
      <c r="D81" s="2708" t="s">
        <v>22</v>
      </c>
      <c r="E81" s="2650"/>
      <c r="F81" s="2677"/>
      <c r="G81" s="2650">
        <f t="shared" si="35"/>
        <v>0</v>
      </c>
      <c r="H81" s="2650">
        <f t="shared" si="37"/>
        <v>0</v>
      </c>
      <c r="I81" s="2650">
        <f t="shared" si="37"/>
        <v>0</v>
      </c>
      <c r="J81" s="2650">
        <f t="shared" si="37"/>
        <v>0</v>
      </c>
      <c r="K81" s="2650">
        <f t="shared" si="37"/>
        <v>0</v>
      </c>
      <c r="L81" s="2650">
        <f t="shared" si="37"/>
        <v>0</v>
      </c>
      <c r="M81" s="2650">
        <f t="shared" si="37"/>
        <v>0</v>
      </c>
      <c r="N81" s="2650">
        <f t="shared" si="37"/>
        <v>0</v>
      </c>
      <c r="O81" s="2650">
        <f t="shared" si="37"/>
        <v>0</v>
      </c>
      <c r="P81" s="2650">
        <f t="shared" si="37"/>
        <v>0</v>
      </c>
      <c r="Q81" s="2650">
        <f t="shared" si="37"/>
        <v>0</v>
      </c>
      <c r="R81" s="2650">
        <f t="shared" si="37"/>
        <v>0</v>
      </c>
      <c r="S81" s="2651">
        <f t="shared" si="37"/>
        <v>0</v>
      </c>
      <c r="T81" s="155" t="s">
        <v>481</v>
      </c>
    </row>
    <row r="82" spans="1:23" x14ac:dyDescent="0.25">
      <c r="A82" s="3474"/>
      <c r="B82" s="2912" t="s">
        <v>726</v>
      </c>
      <c r="C82" s="2722" t="s">
        <v>694</v>
      </c>
      <c r="D82" s="2708" t="s">
        <v>22</v>
      </c>
      <c r="E82" s="2650"/>
      <c r="F82" s="2677"/>
      <c r="G82" s="2650">
        <f t="shared" si="35"/>
        <v>0</v>
      </c>
      <c r="H82" s="2650">
        <f t="shared" si="37"/>
        <v>0</v>
      </c>
      <c r="I82" s="2650">
        <f t="shared" si="37"/>
        <v>0</v>
      </c>
      <c r="J82" s="2650">
        <f t="shared" si="37"/>
        <v>0</v>
      </c>
      <c r="K82" s="2650">
        <f t="shared" si="37"/>
        <v>0</v>
      </c>
      <c r="L82" s="2650">
        <f t="shared" si="37"/>
        <v>0</v>
      </c>
      <c r="M82" s="2650">
        <f t="shared" si="37"/>
        <v>0</v>
      </c>
      <c r="N82" s="2650">
        <f t="shared" si="37"/>
        <v>0</v>
      </c>
      <c r="O82" s="2650">
        <f t="shared" si="37"/>
        <v>0</v>
      </c>
      <c r="P82" s="2650">
        <f t="shared" si="37"/>
        <v>0</v>
      </c>
      <c r="Q82" s="2650">
        <f t="shared" si="37"/>
        <v>0</v>
      </c>
      <c r="R82" s="2650">
        <f t="shared" si="37"/>
        <v>0</v>
      </c>
      <c r="S82" s="2651">
        <f t="shared" si="37"/>
        <v>0</v>
      </c>
      <c r="T82" s="155" t="s">
        <v>481</v>
      </c>
    </row>
    <row r="83" spans="1:23" x14ac:dyDescent="0.25">
      <c r="A83" s="3474"/>
      <c r="B83" s="2912" t="s">
        <v>506</v>
      </c>
      <c r="C83" s="2714" t="s">
        <v>173</v>
      </c>
      <c r="D83" s="2708" t="s">
        <v>22</v>
      </c>
      <c r="E83" s="2515">
        <v>0</v>
      </c>
      <c r="F83" s="2515">
        <v>0</v>
      </c>
      <c r="G83" s="2513">
        <f t="shared" si="35"/>
        <v>0</v>
      </c>
      <c r="H83" s="2513">
        <f t="shared" ref="H83:S83" si="38">H124+H137</f>
        <v>0</v>
      </c>
      <c r="I83" s="2513">
        <f t="shared" si="38"/>
        <v>0</v>
      </c>
      <c r="J83" s="2513">
        <f t="shared" si="38"/>
        <v>0</v>
      </c>
      <c r="K83" s="2513">
        <f t="shared" si="38"/>
        <v>0</v>
      </c>
      <c r="L83" s="2513">
        <f t="shared" si="38"/>
        <v>0</v>
      </c>
      <c r="M83" s="2513">
        <f t="shared" si="38"/>
        <v>0</v>
      </c>
      <c r="N83" s="2513">
        <f t="shared" si="38"/>
        <v>0</v>
      </c>
      <c r="O83" s="2513">
        <f t="shared" si="38"/>
        <v>0</v>
      </c>
      <c r="P83" s="2513">
        <f t="shared" si="38"/>
        <v>0</v>
      </c>
      <c r="Q83" s="2513">
        <f t="shared" si="38"/>
        <v>0</v>
      </c>
      <c r="R83" s="2513">
        <f t="shared" si="38"/>
        <v>0</v>
      </c>
      <c r="S83" s="2514">
        <f t="shared" si="38"/>
        <v>0</v>
      </c>
      <c r="T83" s="155" t="s">
        <v>664</v>
      </c>
      <c r="W83" s="176"/>
    </row>
    <row r="84" spans="1:23" x14ac:dyDescent="0.25">
      <c r="A84" s="3474"/>
      <c r="B84" s="2912"/>
      <c r="C84" s="2714" t="s">
        <v>509</v>
      </c>
      <c r="D84" s="2708" t="s">
        <v>4</v>
      </c>
      <c r="E84" s="2675">
        <f>E83/E74</f>
        <v>0</v>
      </c>
      <c r="F84" s="2675">
        <f t="shared" ref="F84:N84" si="39">F83/F74</f>
        <v>0</v>
      </c>
      <c r="G84" s="2675">
        <f t="shared" si="39"/>
        <v>0</v>
      </c>
      <c r="H84" s="2675">
        <f t="shared" si="39"/>
        <v>0</v>
      </c>
      <c r="I84" s="2675">
        <f t="shared" si="39"/>
        <v>0</v>
      </c>
      <c r="J84" s="2675">
        <f t="shared" si="39"/>
        <v>0</v>
      </c>
      <c r="K84" s="2675">
        <f t="shared" si="39"/>
        <v>0</v>
      </c>
      <c r="L84" s="2675">
        <f t="shared" si="39"/>
        <v>0</v>
      </c>
      <c r="M84" s="2675">
        <f t="shared" si="39"/>
        <v>0</v>
      </c>
      <c r="N84" s="2675">
        <f t="shared" si="39"/>
        <v>0</v>
      </c>
      <c r="O84" s="2675">
        <v>0</v>
      </c>
      <c r="P84" s="2675">
        <v>0</v>
      </c>
      <c r="Q84" s="2675">
        <v>0</v>
      </c>
      <c r="R84" s="2675">
        <v>0</v>
      </c>
      <c r="S84" s="2676">
        <v>0</v>
      </c>
      <c r="T84" s="155" t="s">
        <v>510</v>
      </c>
    </row>
    <row r="85" spans="1:23" x14ac:dyDescent="0.25">
      <c r="A85" s="3474"/>
      <c r="B85" s="2912" t="s">
        <v>719</v>
      </c>
      <c r="C85" s="2716" t="s">
        <v>631</v>
      </c>
      <c r="D85" s="2708" t="s">
        <v>22</v>
      </c>
      <c r="E85" s="2650"/>
      <c r="F85" s="2677"/>
      <c r="G85" s="2650">
        <f>SUM(H85:S85)</f>
        <v>0</v>
      </c>
      <c r="H85" s="2650">
        <f>H125</f>
        <v>0</v>
      </c>
      <c r="I85" s="2650">
        <f t="shared" ref="I85:S85" si="40">I125</f>
        <v>0</v>
      </c>
      <c r="J85" s="2650">
        <f t="shared" si="40"/>
        <v>0</v>
      </c>
      <c r="K85" s="2650">
        <f t="shared" si="40"/>
        <v>0</v>
      </c>
      <c r="L85" s="2650">
        <f t="shared" si="40"/>
        <v>0</v>
      </c>
      <c r="M85" s="2650">
        <f t="shared" si="40"/>
        <v>0</v>
      </c>
      <c r="N85" s="2650">
        <f t="shared" si="40"/>
        <v>0</v>
      </c>
      <c r="O85" s="2650">
        <f t="shared" si="40"/>
        <v>0</v>
      </c>
      <c r="P85" s="2650">
        <f t="shared" si="40"/>
        <v>0</v>
      </c>
      <c r="Q85" s="2650">
        <f t="shared" si="40"/>
        <v>0</v>
      </c>
      <c r="R85" s="2650">
        <f t="shared" si="40"/>
        <v>0</v>
      </c>
      <c r="S85" s="2651">
        <f t="shared" si="40"/>
        <v>0</v>
      </c>
      <c r="T85" s="155" t="s">
        <v>481</v>
      </c>
    </row>
    <row r="86" spans="1:23" x14ac:dyDescent="0.25">
      <c r="A86" s="3474"/>
      <c r="B86" s="2912" t="s">
        <v>720</v>
      </c>
      <c r="C86" s="2716" t="s">
        <v>630</v>
      </c>
      <c r="D86" s="2708" t="s">
        <v>22</v>
      </c>
      <c r="E86" s="2650"/>
      <c r="F86" s="2677"/>
      <c r="G86" s="2650">
        <f>SUM(H86:S86)</f>
        <v>0</v>
      </c>
      <c r="H86" s="2650">
        <f>H126</f>
        <v>0</v>
      </c>
      <c r="I86" s="2650">
        <f t="shared" ref="I86:S86" si="41">I126</f>
        <v>0</v>
      </c>
      <c r="J86" s="2650">
        <f t="shared" si="41"/>
        <v>0</v>
      </c>
      <c r="K86" s="2650">
        <f t="shared" si="41"/>
        <v>0</v>
      </c>
      <c r="L86" s="2650">
        <f t="shared" si="41"/>
        <v>0</v>
      </c>
      <c r="M86" s="2650">
        <f t="shared" si="41"/>
        <v>0</v>
      </c>
      <c r="N86" s="2650">
        <f t="shared" si="41"/>
        <v>0</v>
      </c>
      <c r="O86" s="2650">
        <f t="shared" si="41"/>
        <v>0</v>
      </c>
      <c r="P86" s="2650">
        <f t="shared" si="41"/>
        <v>0</v>
      </c>
      <c r="Q86" s="2650">
        <f t="shared" si="41"/>
        <v>0</v>
      </c>
      <c r="R86" s="2650">
        <f t="shared" si="41"/>
        <v>0</v>
      </c>
      <c r="S86" s="2651">
        <f t="shared" si="41"/>
        <v>0</v>
      </c>
      <c r="T86" s="155" t="s">
        <v>481</v>
      </c>
    </row>
    <row r="87" spans="1:23" x14ac:dyDescent="0.25">
      <c r="A87" s="3474"/>
      <c r="B87" s="2912" t="s">
        <v>507</v>
      </c>
      <c r="C87" s="2714" t="s">
        <v>98</v>
      </c>
      <c r="D87" s="2708" t="s">
        <v>22</v>
      </c>
      <c r="E87" s="2515">
        <v>0</v>
      </c>
      <c r="F87" s="2515">
        <v>198.47</v>
      </c>
      <c r="G87" s="2513">
        <f>SUM(H87:S87)</f>
        <v>0</v>
      </c>
      <c r="H87" s="2513">
        <f t="shared" ref="H87:S87" si="42">H127+H140</f>
        <v>0</v>
      </c>
      <c r="I87" s="2513">
        <f t="shared" si="42"/>
        <v>0</v>
      </c>
      <c r="J87" s="2513">
        <f>J127+J140</f>
        <v>0</v>
      </c>
      <c r="K87" s="2513">
        <f t="shared" si="42"/>
        <v>0</v>
      </c>
      <c r="L87" s="2513">
        <f t="shared" si="42"/>
        <v>0</v>
      </c>
      <c r="M87" s="2513">
        <f t="shared" si="42"/>
        <v>0</v>
      </c>
      <c r="N87" s="2513">
        <f t="shared" si="42"/>
        <v>0</v>
      </c>
      <c r="O87" s="2513">
        <f t="shared" si="42"/>
        <v>0</v>
      </c>
      <c r="P87" s="2513">
        <f t="shared" si="42"/>
        <v>0</v>
      </c>
      <c r="Q87" s="2513">
        <f t="shared" si="42"/>
        <v>0</v>
      </c>
      <c r="R87" s="2513">
        <f t="shared" si="42"/>
        <v>0</v>
      </c>
      <c r="S87" s="2514">
        <f t="shared" si="42"/>
        <v>0</v>
      </c>
      <c r="T87" s="155" t="s">
        <v>666</v>
      </c>
      <c r="W87" s="176"/>
    </row>
    <row r="88" spans="1:23" x14ac:dyDescent="0.25">
      <c r="A88" s="3474"/>
      <c r="B88" s="2912"/>
      <c r="C88" s="2714" t="s">
        <v>509</v>
      </c>
      <c r="D88" s="2708" t="s">
        <v>4</v>
      </c>
      <c r="E88" s="2675">
        <f>E87/E74</f>
        <v>0</v>
      </c>
      <c r="F88" s="2675">
        <f t="shared" ref="F88:N88" si="43">F87/F74</f>
        <v>2.24E-2</v>
      </c>
      <c r="G88" s="2675">
        <f>G87/G74</f>
        <v>0</v>
      </c>
      <c r="H88" s="2675">
        <f>H87/H74</f>
        <v>0</v>
      </c>
      <c r="I88" s="2675">
        <f t="shared" si="43"/>
        <v>0</v>
      </c>
      <c r="J88" s="2675">
        <f t="shared" si="43"/>
        <v>0</v>
      </c>
      <c r="K88" s="2675">
        <f t="shared" si="43"/>
        <v>0</v>
      </c>
      <c r="L88" s="2675">
        <f t="shared" si="43"/>
        <v>0</v>
      </c>
      <c r="M88" s="2675">
        <f t="shared" si="43"/>
        <v>0</v>
      </c>
      <c r="N88" s="2675">
        <f t="shared" si="43"/>
        <v>0</v>
      </c>
      <c r="O88" s="2675">
        <v>0</v>
      </c>
      <c r="P88" s="2675">
        <v>0</v>
      </c>
      <c r="Q88" s="2675">
        <v>0</v>
      </c>
      <c r="R88" s="2675">
        <v>0</v>
      </c>
      <c r="S88" s="2676">
        <v>0</v>
      </c>
      <c r="T88" s="155" t="s">
        <v>510</v>
      </c>
    </row>
    <row r="89" spans="1:23" x14ac:dyDescent="0.25">
      <c r="A89" s="3474"/>
      <c r="B89" s="2912" t="s">
        <v>717</v>
      </c>
      <c r="C89" s="2716" t="s">
        <v>631</v>
      </c>
      <c r="D89" s="2708" t="s">
        <v>22</v>
      </c>
      <c r="E89" s="2650"/>
      <c r="F89" s="2677"/>
      <c r="G89" s="2650">
        <f>SUM(H89:S89)</f>
        <v>0</v>
      </c>
      <c r="H89" s="2650">
        <f>H128</f>
        <v>0</v>
      </c>
      <c r="I89" s="2650">
        <f t="shared" ref="I89:S89" si="44">I128</f>
        <v>0</v>
      </c>
      <c r="J89" s="2650">
        <f t="shared" si="44"/>
        <v>0</v>
      </c>
      <c r="K89" s="2650">
        <f t="shared" si="44"/>
        <v>0</v>
      </c>
      <c r="L89" s="2650">
        <f t="shared" si="44"/>
        <v>0</v>
      </c>
      <c r="M89" s="2650">
        <f t="shared" si="44"/>
        <v>0</v>
      </c>
      <c r="N89" s="2650">
        <f t="shared" si="44"/>
        <v>0</v>
      </c>
      <c r="O89" s="2650">
        <f t="shared" si="44"/>
        <v>0</v>
      </c>
      <c r="P89" s="2650">
        <f t="shared" si="44"/>
        <v>0</v>
      </c>
      <c r="Q89" s="2650">
        <f t="shared" si="44"/>
        <v>0</v>
      </c>
      <c r="R89" s="2650">
        <f t="shared" si="44"/>
        <v>0</v>
      </c>
      <c r="S89" s="2651">
        <f t="shared" si="44"/>
        <v>0</v>
      </c>
      <c r="T89" s="155" t="s">
        <v>481</v>
      </c>
    </row>
    <row r="90" spans="1:23" x14ac:dyDescent="0.25">
      <c r="A90" s="3474"/>
      <c r="B90" s="2912" t="s">
        <v>718</v>
      </c>
      <c r="C90" s="2716" t="s">
        <v>630</v>
      </c>
      <c r="D90" s="2708" t="s">
        <v>22</v>
      </c>
      <c r="E90" s="2650"/>
      <c r="F90" s="2677">
        <v>198.47</v>
      </c>
      <c r="G90" s="2650">
        <f>SUM(H90:S90)</f>
        <v>0</v>
      </c>
      <c r="H90" s="2650">
        <f>H129</f>
        <v>0</v>
      </c>
      <c r="I90" s="2650">
        <f t="shared" ref="I90:S90" si="45">I129</f>
        <v>0</v>
      </c>
      <c r="J90" s="2650">
        <f t="shared" si="45"/>
        <v>0</v>
      </c>
      <c r="K90" s="2650">
        <f t="shared" si="45"/>
        <v>0</v>
      </c>
      <c r="L90" s="2650">
        <f t="shared" si="45"/>
        <v>0</v>
      </c>
      <c r="M90" s="2650">
        <f t="shared" si="45"/>
        <v>0</v>
      </c>
      <c r="N90" s="2650">
        <f t="shared" si="45"/>
        <v>0</v>
      </c>
      <c r="O90" s="2650">
        <f t="shared" si="45"/>
        <v>0</v>
      </c>
      <c r="P90" s="2650">
        <f t="shared" si="45"/>
        <v>0</v>
      </c>
      <c r="Q90" s="2650">
        <f t="shared" si="45"/>
        <v>0</v>
      </c>
      <c r="R90" s="2650">
        <f t="shared" si="45"/>
        <v>0</v>
      </c>
      <c r="S90" s="2651">
        <f t="shared" si="45"/>
        <v>0</v>
      </c>
      <c r="T90" s="155" t="s">
        <v>481</v>
      </c>
    </row>
    <row r="91" spans="1:23" x14ac:dyDescent="0.25">
      <c r="A91" s="3474"/>
      <c r="B91" s="2912" t="s">
        <v>508</v>
      </c>
      <c r="C91" s="2714" t="s">
        <v>99</v>
      </c>
      <c r="D91" s="2708" t="s">
        <v>22</v>
      </c>
      <c r="E91" s="2515">
        <f>E93+E94</f>
        <v>9585.7199999999993</v>
      </c>
      <c r="F91" s="2515">
        <f>F93+F94</f>
        <v>8654.84</v>
      </c>
      <c r="G91" s="2513">
        <f>SUM(H91:S91)</f>
        <v>9459.3799999999992</v>
      </c>
      <c r="H91" s="2513">
        <f>H130+H143</f>
        <v>287.68</v>
      </c>
      <c r="I91" s="2513">
        <f t="shared" ref="I91:S91" si="46">I130+I143</f>
        <v>1207.48</v>
      </c>
      <c r="J91" s="2513">
        <f t="shared" si="46"/>
        <v>1508.8</v>
      </c>
      <c r="K91" s="2513">
        <f t="shared" si="46"/>
        <v>1768.16</v>
      </c>
      <c r="L91" s="2513">
        <f t="shared" si="46"/>
        <v>1482.96</v>
      </c>
      <c r="M91" s="2513">
        <f t="shared" si="46"/>
        <v>1458.26</v>
      </c>
      <c r="N91" s="2513">
        <f t="shared" si="46"/>
        <v>326.2</v>
      </c>
      <c r="O91" s="2513">
        <f t="shared" si="46"/>
        <v>287.68</v>
      </c>
      <c r="P91" s="2513">
        <f t="shared" si="46"/>
        <v>278.39999999999998</v>
      </c>
      <c r="Q91" s="2513">
        <f t="shared" si="46"/>
        <v>287.68</v>
      </c>
      <c r="R91" s="2513">
        <f t="shared" si="46"/>
        <v>287.68</v>
      </c>
      <c r="S91" s="2514">
        <f t="shared" si="46"/>
        <v>278.39999999999998</v>
      </c>
      <c r="T91" s="155" t="s">
        <v>664</v>
      </c>
      <c r="W91" s="176"/>
    </row>
    <row r="92" spans="1:23" x14ac:dyDescent="0.25">
      <c r="A92" s="3474"/>
      <c r="B92" s="2912"/>
      <c r="C92" s="2714" t="s">
        <v>509</v>
      </c>
      <c r="D92" s="2708" t="s">
        <v>4</v>
      </c>
      <c r="E92" s="2675">
        <f>E91/E74</f>
        <v>1</v>
      </c>
      <c r="F92" s="2675">
        <f>F91/F74</f>
        <v>0.97760000000000002</v>
      </c>
      <c r="G92" s="2675">
        <f>G91/G74</f>
        <v>1</v>
      </c>
      <c r="H92" s="2675">
        <f t="shared" ref="H92:N92" si="47">H91/H74</f>
        <v>1</v>
      </c>
      <c r="I92" s="2675">
        <f t="shared" si="47"/>
        <v>1</v>
      </c>
      <c r="J92" s="2675">
        <f t="shared" si="47"/>
        <v>1</v>
      </c>
      <c r="K92" s="2675">
        <f t="shared" si="47"/>
        <v>1</v>
      </c>
      <c r="L92" s="2675">
        <f t="shared" si="47"/>
        <v>1</v>
      </c>
      <c r="M92" s="2675">
        <f t="shared" si="47"/>
        <v>1</v>
      </c>
      <c r="N92" s="2675">
        <f t="shared" si="47"/>
        <v>1</v>
      </c>
      <c r="O92" s="2675">
        <v>0</v>
      </c>
      <c r="P92" s="2675">
        <v>0</v>
      </c>
      <c r="Q92" s="2675">
        <v>0</v>
      </c>
      <c r="R92" s="2675">
        <v>0</v>
      </c>
      <c r="S92" s="2676">
        <v>0</v>
      </c>
      <c r="T92" s="155" t="s">
        <v>510</v>
      </c>
    </row>
    <row r="93" spans="1:23" x14ac:dyDescent="0.25">
      <c r="A93" s="3474"/>
      <c r="B93" s="2912" t="s">
        <v>715</v>
      </c>
      <c r="C93" s="2716" t="s">
        <v>631</v>
      </c>
      <c r="D93" s="2708" t="s">
        <v>22</v>
      </c>
      <c r="E93" s="2650">
        <v>1297.81</v>
      </c>
      <c r="F93" s="2677">
        <v>1173.53</v>
      </c>
      <c r="G93" s="2678">
        <f>SUM(H93:S93)</f>
        <v>1198.73</v>
      </c>
      <c r="H93" s="2678">
        <f>H131+H144</f>
        <v>52.73</v>
      </c>
      <c r="I93" s="2678">
        <f t="shared" ref="I93:S93" si="48">I131+I144</f>
        <v>139.44999999999999</v>
      </c>
      <c r="J93" s="2678">
        <f t="shared" si="48"/>
        <v>168.94</v>
      </c>
      <c r="K93" s="2678">
        <f t="shared" si="48"/>
        <v>193.62</v>
      </c>
      <c r="L93" s="2678">
        <f t="shared" si="48"/>
        <v>164.03</v>
      </c>
      <c r="M93" s="2678">
        <f t="shared" si="48"/>
        <v>164.13</v>
      </c>
      <c r="N93" s="2678">
        <f t="shared" si="48"/>
        <v>55.58</v>
      </c>
      <c r="O93" s="2678">
        <f t="shared" si="48"/>
        <v>52.73</v>
      </c>
      <c r="P93" s="2678">
        <f t="shared" si="48"/>
        <v>51.03</v>
      </c>
      <c r="Q93" s="2678">
        <f t="shared" si="48"/>
        <v>52.73</v>
      </c>
      <c r="R93" s="2678">
        <f t="shared" si="48"/>
        <v>52.73</v>
      </c>
      <c r="S93" s="3475">
        <f t="shared" si="48"/>
        <v>51.03</v>
      </c>
      <c r="T93" s="155" t="s">
        <v>481</v>
      </c>
    </row>
    <row r="94" spans="1:23" ht="15.75" thickBot="1" x14ac:dyDescent="0.3">
      <c r="A94" s="3474"/>
      <c r="B94" s="2919" t="s">
        <v>716</v>
      </c>
      <c r="C94" s="2723" t="s">
        <v>630</v>
      </c>
      <c r="D94" s="2710" t="s">
        <v>22</v>
      </c>
      <c r="E94" s="2679">
        <v>8287.91</v>
      </c>
      <c r="F94" s="2680">
        <v>7481.31</v>
      </c>
      <c r="G94" s="2681">
        <f>SUM(H94:S94)</f>
        <v>8260.65</v>
      </c>
      <c r="H94" s="2681">
        <f>H132+H145</f>
        <v>234.95</v>
      </c>
      <c r="I94" s="2681">
        <f t="shared" ref="I94:S94" si="49">I132+I145</f>
        <v>1068.03</v>
      </c>
      <c r="J94" s="2681">
        <f t="shared" si="49"/>
        <v>1339.86</v>
      </c>
      <c r="K94" s="2681">
        <f t="shared" si="49"/>
        <v>1574.54</v>
      </c>
      <c r="L94" s="2681">
        <f t="shared" si="49"/>
        <v>1318.93</v>
      </c>
      <c r="M94" s="2681">
        <f t="shared" si="49"/>
        <v>1294.1300000000001</v>
      </c>
      <c r="N94" s="2681">
        <f t="shared" si="49"/>
        <v>270.62</v>
      </c>
      <c r="O94" s="2681">
        <f t="shared" si="49"/>
        <v>234.95</v>
      </c>
      <c r="P94" s="2681">
        <f t="shared" si="49"/>
        <v>227.37</v>
      </c>
      <c r="Q94" s="2681">
        <f t="shared" si="49"/>
        <v>234.95</v>
      </c>
      <c r="R94" s="2681">
        <f t="shared" si="49"/>
        <v>234.95</v>
      </c>
      <c r="S94" s="3476">
        <f t="shared" si="49"/>
        <v>227.37</v>
      </c>
      <c r="T94" s="155" t="s">
        <v>481</v>
      </c>
      <c r="U94" s="171"/>
      <c r="V94" s="171"/>
    </row>
    <row r="95" spans="1:23" ht="38.25" customHeight="1" x14ac:dyDescent="0.25">
      <c r="A95" s="3474"/>
      <c r="B95" s="2911" t="s">
        <v>195</v>
      </c>
      <c r="C95" s="2715" t="s">
        <v>667</v>
      </c>
      <c r="D95" s="2707" t="s">
        <v>31</v>
      </c>
      <c r="E95" s="2682">
        <f>E96+E103+E106+E109+E112</f>
        <v>10.606999999999999</v>
      </c>
      <c r="F95" s="2682">
        <f>F96+F103+F106+F109+F112</f>
        <v>10.705</v>
      </c>
      <c r="G95" s="2682">
        <f>G96+G103+G106+G109+G112</f>
        <v>10.375</v>
      </c>
      <c r="H95" s="2682">
        <f>H96+H103+H106+H109+H112</f>
        <v>10.375</v>
      </c>
      <c r="I95" s="2682">
        <f t="shared" ref="I95:S95" si="50">I96+I103+I106+I109+I112</f>
        <v>10.375</v>
      </c>
      <c r="J95" s="2682">
        <f t="shared" si="50"/>
        <v>10.375</v>
      </c>
      <c r="K95" s="2682">
        <f t="shared" si="50"/>
        <v>10.375</v>
      </c>
      <c r="L95" s="2682">
        <f t="shared" si="50"/>
        <v>10.375</v>
      </c>
      <c r="M95" s="2682">
        <f t="shared" si="50"/>
        <v>10.375</v>
      </c>
      <c r="N95" s="2682">
        <f t="shared" si="50"/>
        <v>10.375</v>
      </c>
      <c r="O95" s="2682">
        <f t="shared" si="50"/>
        <v>10.375</v>
      </c>
      <c r="P95" s="2682">
        <f t="shared" si="50"/>
        <v>10.375</v>
      </c>
      <c r="Q95" s="2682">
        <f t="shared" si="50"/>
        <v>10.375</v>
      </c>
      <c r="R95" s="2682">
        <f t="shared" si="50"/>
        <v>10.375</v>
      </c>
      <c r="S95" s="2683">
        <f t="shared" si="50"/>
        <v>10.375</v>
      </c>
      <c r="T95" s="155" t="s">
        <v>664</v>
      </c>
      <c r="U95" s="228"/>
      <c r="W95" s="173"/>
    </row>
    <row r="96" spans="1:23" x14ac:dyDescent="0.25">
      <c r="A96" s="3474"/>
      <c r="B96" s="2912" t="s">
        <v>89</v>
      </c>
      <c r="C96" s="2714" t="s">
        <v>3</v>
      </c>
      <c r="D96" s="2708" t="s">
        <v>31</v>
      </c>
      <c r="E96" s="2684">
        <v>0</v>
      </c>
      <c r="F96" s="2684">
        <v>0</v>
      </c>
      <c r="G96" s="2684">
        <f t="shared" ref="G96:S96" si="51">G97+G100</f>
        <v>0</v>
      </c>
      <c r="H96" s="2684">
        <f t="shared" si="51"/>
        <v>0</v>
      </c>
      <c r="I96" s="2684">
        <f t="shared" si="51"/>
        <v>0</v>
      </c>
      <c r="J96" s="2684">
        <f t="shared" si="51"/>
        <v>0</v>
      </c>
      <c r="K96" s="2684">
        <f t="shared" si="51"/>
        <v>0</v>
      </c>
      <c r="L96" s="2684">
        <f t="shared" si="51"/>
        <v>0</v>
      </c>
      <c r="M96" s="2684">
        <f t="shared" si="51"/>
        <v>0</v>
      </c>
      <c r="N96" s="2684">
        <f t="shared" si="51"/>
        <v>0</v>
      </c>
      <c r="O96" s="2684">
        <f t="shared" si="51"/>
        <v>0</v>
      </c>
      <c r="P96" s="2684">
        <f t="shared" si="51"/>
        <v>0</v>
      </c>
      <c r="Q96" s="2684">
        <f t="shared" si="51"/>
        <v>0</v>
      </c>
      <c r="R96" s="2684">
        <f t="shared" si="51"/>
        <v>0</v>
      </c>
      <c r="S96" s="2685">
        <f t="shared" si="51"/>
        <v>0</v>
      </c>
      <c r="T96" s="155" t="s">
        <v>664</v>
      </c>
      <c r="U96" s="228"/>
      <c r="W96" s="173"/>
    </row>
    <row r="97" spans="1:23" x14ac:dyDescent="0.25">
      <c r="A97" s="3474"/>
      <c r="B97" s="2912" t="s">
        <v>704</v>
      </c>
      <c r="C97" s="2705" t="s">
        <v>631</v>
      </c>
      <c r="D97" s="2708" t="s">
        <v>31</v>
      </c>
      <c r="E97" s="2684"/>
      <c r="F97" s="2684"/>
      <c r="G97" s="2684">
        <f t="shared" ref="G97:S97" si="52">G98+G99</f>
        <v>0</v>
      </c>
      <c r="H97" s="2684">
        <f t="shared" si="52"/>
        <v>0</v>
      </c>
      <c r="I97" s="2684">
        <f t="shared" si="52"/>
        <v>0</v>
      </c>
      <c r="J97" s="2684">
        <f t="shared" si="52"/>
        <v>0</v>
      </c>
      <c r="K97" s="2684">
        <f t="shared" si="52"/>
        <v>0</v>
      </c>
      <c r="L97" s="2684">
        <f t="shared" si="52"/>
        <v>0</v>
      </c>
      <c r="M97" s="2684">
        <f t="shared" si="52"/>
        <v>0</v>
      </c>
      <c r="N97" s="2684">
        <f t="shared" si="52"/>
        <v>0</v>
      </c>
      <c r="O97" s="2684">
        <f t="shared" si="52"/>
        <v>0</v>
      </c>
      <c r="P97" s="2684">
        <f t="shared" si="52"/>
        <v>0</v>
      </c>
      <c r="Q97" s="2684">
        <f t="shared" si="52"/>
        <v>0</v>
      </c>
      <c r="R97" s="2684">
        <f t="shared" si="52"/>
        <v>0</v>
      </c>
      <c r="S97" s="2685">
        <f t="shared" si="52"/>
        <v>0</v>
      </c>
      <c r="T97" s="155" t="s">
        <v>481</v>
      </c>
      <c r="U97" s="228"/>
      <c r="V97" s="173"/>
      <c r="W97" s="173"/>
    </row>
    <row r="98" spans="1:23" x14ac:dyDescent="0.25">
      <c r="A98" s="3474"/>
      <c r="B98" s="2912" t="s">
        <v>706</v>
      </c>
      <c r="C98" s="2722" t="s">
        <v>695</v>
      </c>
      <c r="D98" s="2708" t="s">
        <v>31</v>
      </c>
      <c r="E98" s="2684"/>
      <c r="F98" s="2684"/>
      <c r="G98" s="2674">
        <f>'Розрахунки Річного плану'!C17-'Розрахунки Річного плану'!C19+'Розрахунки Річного плану'!C25</f>
        <v>0</v>
      </c>
      <c r="H98" s="2674">
        <f>G98</f>
        <v>0</v>
      </c>
      <c r="I98" s="2674">
        <f t="shared" ref="I98:S98" si="53">H98</f>
        <v>0</v>
      </c>
      <c r="J98" s="2674">
        <f t="shared" si="53"/>
        <v>0</v>
      </c>
      <c r="K98" s="2674">
        <f t="shared" si="53"/>
        <v>0</v>
      </c>
      <c r="L98" s="2674">
        <f t="shared" si="53"/>
        <v>0</v>
      </c>
      <c r="M98" s="2674">
        <f t="shared" si="53"/>
        <v>0</v>
      </c>
      <c r="N98" s="2674">
        <f t="shared" si="53"/>
        <v>0</v>
      </c>
      <c r="O98" s="2674">
        <f t="shared" si="53"/>
        <v>0</v>
      </c>
      <c r="P98" s="2674">
        <f t="shared" si="53"/>
        <v>0</v>
      </c>
      <c r="Q98" s="2674">
        <f t="shared" si="53"/>
        <v>0</v>
      </c>
      <c r="R98" s="2674">
        <f t="shared" si="53"/>
        <v>0</v>
      </c>
      <c r="S98" s="2686">
        <f t="shared" si="53"/>
        <v>0</v>
      </c>
      <c r="T98" s="155" t="s">
        <v>481</v>
      </c>
      <c r="U98" s="228"/>
      <c r="V98" s="173"/>
      <c r="W98" s="173"/>
    </row>
    <row r="99" spans="1:23" x14ac:dyDescent="0.25">
      <c r="A99" s="3474"/>
      <c r="B99" s="2912" t="s">
        <v>707</v>
      </c>
      <c r="C99" s="2722" t="s">
        <v>694</v>
      </c>
      <c r="D99" s="2708" t="s">
        <v>31</v>
      </c>
      <c r="E99" s="2684"/>
      <c r="F99" s="2684"/>
      <c r="G99" s="2674">
        <f>'Розрахунки Річного плану'!C19</f>
        <v>0</v>
      </c>
      <c r="H99" s="2674">
        <f>G99</f>
        <v>0</v>
      </c>
      <c r="I99" s="2674">
        <f t="shared" ref="I99:S99" si="54">H99</f>
        <v>0</v>
      </c>
      <c r="J99" s="2674">
        <f t="shared" si="54"/>
        <v>0</v>
      </c>
      <c r="K99" s="2674">
        <f t="shared" si="54"/>
        <v>0</v>
      </c>
      <c r="L99" s="2674">
        <f t="shared" si="54"/>
        <v>0</v>
      </c>
      <c r="M99" s="2674">
        <f t="shared" si="54"/>
        <v>0</v>
      </c>
      <c r="N99" s="2674">
        <f t="shared" si="54"/>
        <v>0</v>
      </c>
      <c r="O99" s="2674">
        <f t="shared" si="54"/>
        <v>0</v>
      </c>
      <c r="P99" s="2674">
        <f t="shared" si="54"/>
        <v>0</v>
      </c>
      <c r="Q99" s="2674">
        <f t="shared" si="54"/>
        <v>0</v>
      </c>
      <c r="R99" s="2674">
        <f t="shared" si="54"/>
        <v>0</v>
      </c>
      <c r="S99" s="2686">
        <f t="shared" si="54"/>
        <v>0</v>
      </c>
      <c r="T99" s="155" t="s">
        <v>481</v>
      </c>
      <c r="U99" s="228"/>
      <c r="V99" s="173"/>
      <c r="W99" s="173"/>
    </row>
    <row r="100" spans="1:23" x14ac:dyDescent="0.25">
      <c r="A100" s="3474"/>
      <c r="B100" s="2912" t="s">
        <v>705</v>
      </c>
      <c r="C100" s="2705" t="s">
        <v>630</v>
      </c>
      <c r="D100" s="2708" t="s">
        <v>31</v>
      </c>
      <c r="E100" s="2684"/>
      <c r="F100" s="2684"/>
      <c r="G100" s="2684">
        <f t="shared" ref="G100:S100" si="55">G101+G102</f>
        <v>0</v>
      </c>
      <c r="H100" s="2684">
        <f t="shared" si="55"/>
        <v>0</v>
      </c>
      <c r="I100" s="2684">
        <f t="shared" si="55"/>
        <v>0</v>
      </c>
      <c r="J100" s="2684">
        <f t="shared" si="55"/>
        <v>0</v>
      </c>
      <c r="K100" s="2684">
        <f t="shared" si="55"/>
        <v>0</v>
      </c>
      <c r="L100" s="2684">
        <f t="shared" si="55"/>
        <v>0</v>
      </c>
      <c r="M100" s="2684">
        <f t="shared" si="55"/>
        <v>0</v>
      </c>
      <c r="N100" s="2684">
        <f t="shared" si="55"/>
        <v>0</v>
      </c>
      <c r="O100" s="2684">
        <f t="shared" si="55"/>
        <v>0</v>
      </c>
      <c r="P100" s="2684">
        <f t="shared" si="55"/>
        <v>0</v>
      </c>
      <c r="Q100" s="2684">
        <f t="shared" si="55"/>
        <v>0</v>
      </c>
      <c r="R100" s="2684">
        <f t="shared" si="55"/>
        <v>0</v>
      </c>
      <c r="S100" s="2685">
        <f t="shared" si="55"/>
        <v>0</v>
      </c>
      <c r="T100" s="155" t="s">
        <v>481</v>
      </c>
      <c r="U100" s="228"/>
      <c r="W100" s="173"/>
    </row>
    <row r="101" spans="1:23" x14ac:dyDescent="0.25">
      <c r="A101" s="3474"/>
      <c r="B101" s="2912" t="s">
        <v>708</v>
      </c>
      <c r="C101" s="2722" t="s">
        <v>695</v>
      </c>
      <c r="D101" s="2708" t="s">
        <v>31</v>
      </c>
      <c r="E101" s="2684"/>
      <c r="F101" s="2684"/>
      <c r="G101" s="2674">
        <f>'Розрахунки Річного плану'!C21-'Розрахунки Річного плану'!C22+'Розрахунки Річного плану'!C28</f>
        <v>0</v>
      </c>
      <c r="H101" s="2674">
        <f>G101</f>
        <v>0</v>
      </c>
      <c r="I101" s="2674">
        <f t="shared" ref="I101:S101" si="56">H101</f>
        <v>0</v>
      </c>
      <c r="J101" s="2674">
        <f t="shared" si="56"/>
        <v>0</v>
      </c>
      <c r="K101" s="2674">
        <f t="shared" si="56"/>
        <v>0</v>
      </c>
      <c r="L101" s="2674">
        <f t="shared" si="56"/>
        <v>0</v>
      </c>
      <c r="M101" s="2674">
        <f t="shared" si="56"/>
        <v>0</v>
      </c>
      <c r="N101" s="2674">
        <f t="shared" si="56"/>
        <v>0</v>
      </c>
      <c r="O101" s="2674">
        <f t="shared" si="56"/>
        <v>0</v>
      </c>
      <c r="P101" s="2674">
        <f t="shared" si="56"/>
        <v>0</v>
      </c>
      <c r="Q101" s="2674">
        <f t="shared" si="56"/>
        <v>0</v>
      </c>
      <c r="R101" s="2674">
        <f t="shared" si="56"/>
        <v>0</v>
      </c>
      <c r="S101" s="2686">
        <f t="shared" si="56"/>
        <v>0</v>
      </c>
      <c r="T101" s="155" t="s">
        <v>481</v>
      </c>
      <c r="U101" s="228"/>
      <c r="W101" s="173"/>
    </row>
    <row r="102" spans="1:23" x14ac:dyDescent="0.25">
      <c r="A102" s="3474"/>
      <c r="B102" s="2912" t="s">
        <v>709</v>
      </c>
      <c r="C102" s="2722" t="s">
        <v>694</v>
      </c>
      <c r="D102" s="2708" t="s">
        <v>31</v>
      </c>
      <c r="E102" s="2684"/>
      <c r="F102" s="2684"/>
      <c r="G102" s="2674">
        <f>'Розрахунки Річного плану'!C22</f>
        <v>0</v>
      </c>
      <c r="H102" s="2674">
        <f>G102</f>
        <v>0</v>
      </c>
      <c r="I102" s="2674">
        <f t="shared" ref="I102:S102" si="57">H102</f>
        <v>0</v>
      </c>
      <c r="J102" s="2674">
        <f t="shared" si="57"/>
        <v>0</v>
      </c>
      <c r="K102" s="2674">
        <f t="shared" si="57"/>
        <v>0</v>
      </c>
      <c r="L102" s="2674">
        <f t="shared" si="57"/>
        <v>0</v>
      </c>
      <c r="M102" s="2674">
        <f t="shared" si="57"/>
        <v>0</v>
      </c>
      <c r="N102" s="2674">
        <f t="shared" si="57"/>
        <v>0</v>
      </c>
      <c r="O102" s="2674">
        <f t="shared" si="57"/>
        <v>0</v>
      </c>
      <c r="P102" s="2674">
        <f t="shared" si="57"/>
        <v>0</v>
      </c>
      <c r="Q102" s="2674">
        <f t="shared" si="57"/>
        <v>0</v>
      </c>
      <c r="R102" s="2674">
        <f t="shared" si="57"/>
        <v>0</v>
      </c>
      <c r="S102" s="2686">
        <f t="shared" si="57"/>
        <v>0</v>
      </c>
      <c r="T102" s="155" t="s">
        <v>481</v>
      </c>
      <c r="U102" s="228"/>
      <c r="W102" s="173"/>
    </row>
    <row r="103" spans="1:23" x14ac:dyDescent="0.25">
      <c r="A103" s="3474"/>
      <c r="B103" s="2912" t="s">
        <v>91</v>
      </c>
      <c r="C103" s="2609" t="s">
        <v>173</v>
      </c>
      <c r="D103" s="2708" t="s">
        <v>31</v>
      </c>
      <c r="E103" s="2684">
        <v>0</v>
      </c>
      <c r="F103" s="2684">
        <v>0</v>
      </c>
      <c r="G103" s="2684">
        <f t="shared" ref="G103:S103" si="58">G104+G105</f>
        <v>0</v>
      </c>
      <c r="H103" s="2684">
        <f t="shared" si="58"/>
        <v>0</v>
      </c>
      <c r="I103" s="2684">
        <f t="shared" si="58"/>
        <v>0</v>
      </c>
      <c r="J103" s="2684">
        <f t="shared" si="58"/>
        <v>0</v>
      </c>
      <c r="K103" s="2684">
        <f t="shared" si="58"/>
        <v>0</v>
      </c>
      <c r="L103" s="2684">
        <f t="shared" si="58"/>
        <v>0</v>
      </c>
      <c r="M103" s="2684">
        <f t="shared" si="58"/>
        <v>0</v>
      </c>
      <c r="N103" s="2684">
        <f t="shared" si="58"/>
        <v>0</v>
      </c>
      <c r="O103" s="2684">
        <f t="shared" si="58"/>
        <v>0</v>
      </c>
      <c r="P103" s="2684">
        <f t="shared" si="58"/>
        <v>0</v>
      </c>
      <c r="Q103" s="2684">
        <f t="shared" si="58"/>
        <v>0</v>
      </c>
      <c r="R103" s="2684">
        <f t="shared" si="58"/>
        <v>0</v>
      </c>
      <c r="S103" s="2685">
        <f t="shared" si="58"/>
        <v>0</v>
      </c>
      <c r="T103" s="155" t="s">
        <v>664</v>
      </c>
      <c r="U103" s="228"/>
      <c r="W103" s="172"/>
    </row>
    <row r="104" spans="1:23" x14ac:dyDescent="0.25">
      <c r="A104" s="3474"/>
      <c r="B104" s="2912" t="s">
        <v>710</v>
      </c>
      <c r="C104" s="2705" t="s">
        <v>631</v>
      </c>
      <c r="D104" s="2708" t="s">
        <v>31</v>
      </c>
      <c r="E104" s="2684"/>
      <c r="F104" s="2684"/>
      <c r="G104" s="2674">
        <f>'Розрахунки Річного плану'!C54</f>
        <v>0</v>
      </c>
      <c r="H104" s="2674">
        <f>G104</f>
        <v>0</v>
      </c>
      <c r="I104" s="2674">
        <f t="shared" ref="I104:S104" si="59">H104</f>
        <v>0</v>
      </c>
      <c r="J104" s="2674">
        <f t="shared" si="59"/>
        <v>0</v>
      </c>
      <c r="K104" s="2674">
        <f t="shared" si="59"/>
        <v>0</v>
      </c>
      <c r="L104" s="2674">
        <f t="shared" si="59"/>
        <v>0</v>
      </c>
      <c r="M104" s="2674">
        <f t="shared" si="59"/>
        <v>0</v>
      </c>
      <c r="N104" s="2674">
        <f t="shared" si="59"/>
        <v>0</v>
      </c>
      <c r="O104" s="2674">
        <f t="shared" si="59"/>
        <v>0</v>
      </c>
      <c r="P104" s="2674">
        <f t="shared" si="59"/>
        <v>0</v>
      </c>
      <c r="Q104" s="2674">
        <f t="shared" si="59"/>
        <v>0</v>
      </c>
      <c r="R104" s="2674">
        <f t="shared" si="59"/>
        <v>0</v>
      </c>
      <c r="S104" s="2686">
        <f t="shared" si="59"/>
        <v>0</v>
      </c>
      <c r="T104" s="155" t="s">
        <v>481</v>
      </c>
      <c r="U104" s="228"/>
      <c r="W104" s="172"/>
    </row>
    <row r="105" spans="1:23" x14ac:dyDescent="0.25">
      <c r="A105" s="3474"/>
      <c r="B105" s="2912" t="s">
        <v>711</v>
      </c>
      <c r="C105" s="2705" t="s">
        <v>630</v>
      </c>
      <c r="D105" s="2708" t="s">
        <v>31</v>
      </c>
      <c r="E105" s="2684"/>
      <c r="F105" s="2684"/>
      <c r="G105" s="2674">
        <f>'Розрахунки Річного плану'!C57</f>
        <v>0</v>
      </c>
      <c r="H105" s="2674">
        <f>G105</f>
        <v>0</v>
      </c>
      <c r="I105" s="2674">
        <f t="shared" ref="I105:S105" si="60">H105</f>
        <v>0</v>
      </c>
      <c r="J105" s="2674">
        <f t="shared" si="60"/>
        <v>0</v>
      </c>
      <c r="K105" s="2674">
        <f t="shared" si="60"/>
        <v>0</v>
      </c>
      <c r="L105" s="2674">
        <f t="shared" si="60"/>
        <v>0</v>
      </c>
      <c r="M105" s="2674">
        <f t="shared" si="60"/>
        <v>0</v>
      </c>
      <c r="N105" s="2674">
        <f t="shared" si="60"/>
        <v>0</v>
      </c>
      <c r="O105" s="2674">
        <f t="shared" si="60"/>
        <v>0</v>
      </c>
      <c r="P105" s="2674">
        <f t="shared" si="60"/>
        <v>0</v>
      </c>
      <c r="Q105" s="2674">
        <f t="shared" si="60"/>
        <v>0</v>
      </c>
      <c r="R105" s="2674">
        <f t="shared" si="60"/>
        <v>0</v>
      </c>
      <c r="S105" s="2686">
        <f t="shared" si="60"/>
        <v>0</v>
      </c>
      <c r="T105" s="155" t="s">
        <v>481</v>
      </c>
      <c r="U105" s="228"/>
      <c r="W105" s="172"/>
    </row>
    <row r="106" spans="1:23" x14ac:dyDescent="0.25">
      <c r="A106" s="3474"/>
      <c r="B106" s="2912" t="s">
        <v>109</v>
      </c>
      <c r="C106" s="2609" t="s">
        <v>98</v>
      </c>
      <c r="D106" s="2708" t="s">
        <v>31</v>
      </c>
      <c r="E106" s="2684">
        <v>0</v>
      </c>
      <c r="F106" s="2684">
        <v>9.8000000000000004E-2</v>
      </c>
      <c r="G106" s="2674">
        <f>G107+G108</f>
        <v>0</v>
      </c>
      <c r="H106" s="2674">
        <f t="shared" ref="H106:S106" si="61">H107+H108</f>
        <v>0</v>
      </c>
      <c r="I106" s="2674">
        <f t="shared" si="61"/>
        <v>0</v>
      </c>
      <c r="J106" s="2674">
        <f t="shared" si="61"/>
        <v>0</v>
      </c>
      <c r="K106" s="2674">
        <f t="shared" si="61"/>
        <v>0</v>
      </c>
      <c r="L106" s="2674">
        <f t="shared" si="61"/>
        <v>0</v>
      </c>
      <c r="M106" s="2674">
        <f t="shared" si="61"/>
        <v>0</v>
      </c>
      <c r="N106" s="2674">
        <f t="shared" si="61"/>
        <v>0</v>
      </c>
      <c r="O106" s="2674">
        <f t="shared" si="61"/>
        <v>0</v>
      </c>
      <c r="P106" s="2674">
        <f t="shared" si="61"/>
        <v>0</v>
      </c>
      <c r="Q106" s="2674">
        <f t="shared" si="61"/>
        <v>0</v>
      </c>
      <c r="R106" s="2674">
        <f t="shared" si="61"/>
        <v>0</v>
      </c>
      <c r="S106" s="2686">
        <f t="shared" si="61"/>
        <v>0</v>
      </c>
      <c r="T106" s="155" t="s">
        <v>3473</v>
      </c>
      <c r="U106" s="228"/>
      <c r="W106" s="172"/>
    </row>
    <row r="107" spans="1:23" x14ac:dyDescent="0.25">
      <c r="A107" s="3474"/>
      <c r="B107" s="2912" t="s">
        <v>700</v>
      </c>
      <c r="C107" s="2705" t="s">
        <v>631</v>
      </c>
      <c r="D107" s="2708" t="s">
        <v>31</v>
      </c>
      <c r="E107" s="2684"/>
      <c r="F107" s="2684"/>
      <c r="G107" s="2674">
        <f>'Розрахунки Річного плану'!C32</f>
        <v>0</v>
      </c>
      <c r="H107" s="2674">
        <f>G107</f>
        <v>0</v>
      </c>
      <c r="I107" s="2674">
        <f t="shared" ref="I107:S107" si="62">H107</f>
        <v>0</v>
      </c>
      <c r="J107" s="2674">
        <f t="shared" si="62"/>
        <v>0</v>
      </c>
      <c r="K107" s="2674">
        <f t="shared" si="62"/>
        <v>0</v>
      </c>
      <c r="L107" s="2674">
        <f t="shared" si="62"/>
        <v>0</v>
      </c>
      <c r="M107" s="2674">
        <f t="shared" si="62"/>
        <v>0</v>
      </c>
      <c r="N107" s="2674">
        <f t="shared" si="62"/>
        <v>0</v>
      </c>
      <c r="O107" s="2674">
        <f t="shared" si="62"/>
        <v>0</v>
      </c>
      <c r="P107" s="2674">
        <f t="shared" si="62"/>
        <v>0</v>
      </c>
      <c r="Q107" s="2674">
        <f t="shared" si="62"/>
        <v>0</v>
      </c>
      <c r="R107" s="2674">
        <f t="shared" si="62"/>
        <v>0</v>
      </c>
      <c r="S107" s="2686">
        <f t="shared" si="62"/>
        <v>0</v>
      </c>
      <c r="T107" s="155" t="s">
        <v>481</v>
      </c>
      <c r="U107" s="228"/>
      <c r="W107" s="172"/>
    </row>
    <row r="108" spans="1:23" x14ac:dyDescent="0.25">
      <c r="A108" s="3474"/>
      <c r="B108" s="2912" t="s">
        <v>701</v>
      </c>
      <c r="C108" s="2705" t="s">
        <v>630</v>
      </c>
      <c r="D108" s="2708" t="s">
        <v>31</v>
      </c>
      <c r="E108" s="2684"/>
      <c r="F108" s="2684"/>
      <c r="G108" s="2674">
        <f>'Розрахунки Річного плану'!C35</f>
        <v>0</v>
      </c>
      <c r="H108" s="2674">
        <f>G108</f>
        <v>0</v>
      </c>
      <c r="I108" s="2674">
        <f t="shared" ref="I108:S108" si="63">H108</f>
        <v>0</v>
      </c>
      <c r="J108" s="2674">
        <f t="shared" si="63"/>
        <v>0</v>
      </c>
      <c r="K108" s="2674">
        <f t="shared" si="63"/>
        <v>0</v>
      </c>
      <c r="L108" s="2674">
        <f t="shared" si="63"/>
        <v>0</v>
      </c>
      <c r="M108" s="2674">
        <f t="shared" si="63"/>
        <v>0</v>
      </c>
      <c r="N108" s="2674">
        <f t="shared" si="63"/>
        <v>0</v>
      </c>
      <c r="O108" s="2674">
        <f t="shared" si="63"/>
        <v>0</v>
      </c>
      <c r="P108" s="2674">
        <f t="shared" si="63"/>
        <v>0</v>
      </c>
      <c r="Q108" s="2674">
        <f t="shared" si="63"/>
        <v>0</v>
      </c>
      <c r="R108" s="2674">
        <f t="shared" si="63"/>
        <v>0</v>
      </c>
      <c r="S108" s="2686">
        <f t="shared" si="63"/>
        <v>0</v>
      </c>
      <c r="T108" s="155" t="s">
        <v>481</v>
      </c>
      <c r="U108" s="228"/>
      <c r="W108" s="172"/>
    </row>
    <row r="109" spans="1:23" x14ac:dyDescent="0.25">
      <c r="A109" s="3474"/>
      <c r="B109" s="2912" t="s">
        <v>511</v>
      </c>
      <c r="C109" s="2609" t="s">
        <v>99</v>
      </c>
      <c r="D109" s="2708" t="s">
        <v>31</v>
      </c>
      <c r="E109" s="2674">
        <f>E110+E111</f>
        <v>9.0500000000000007</v>
      </c>
      <c r="F109" s="2674">
        <f>F110+F111</f>
        <v>9.0500000000000007</v>
      </c>
      <c r="G109" s="2674">
        <f>G110+G111</f>
        <v>8.7149999999999999</v>
      </c>
      <c r="H109" s="2674">
        <f t="shared" ref="H109:S109" si="64">H110+H111</f>
        <v>8.7149999999999999</v>
      </c>
      <c r="I109" s="2674">
        <f t="shared" si="64"/>
        <v>8.7149999999999999</v>
      </c>
      <c r="J109" s="2674">
        <f t="shared" si="64"/>
        <v>8.7149999999999999</v>
      </c>
      <c r="K109" s="2674">
        <f t="shared" si="64"/>
        <v>8.7149999999999999</v>
      </c>
      <c r="L109" s="2674">
        <f t="shared" si="64"/>
        <v>8.7149999999999999</v>
      </c>
      <c r="M109" s="2674">
        <f t="shared" si="64"/>
        <v>8.7149999999999999</v>
      </c>
      <c r="N109" s="2674">
        <f t="shared" si="64"/>
        <v>8.7149999999999999</v>
      </c>
      <c r="O109" s="2674">
        <f t="shared" si="64"/>
        <v>8.7149999999999999</v>
      </c>
      <c r="P109" s="2674">
        <f t="shared" si="64"/>
        <v>8.7149999999999999</v>
      </c>
      <c r="Q109" s="2674">
        <f t="shared" si="64"/>
        <v>8.7149999999999999</v>
      </c>
      <c r="R109" s="2674">
        <f t="shared" si="64"/>
        <v>8.7149999999999999</v>
      </c>
      <c r="S109" s="2686">
        <f t="shared" si="64"/>
        <v>8.7149999999999999</v>
      </c>
      <c r="T109" s="155" t="s">
        <v>664</v>
      </c>
      <c r="U109" s="228"/>
      <c r="W109" s="172"/>
    </row>
    <row r="110" spans="1:23" x14ac:dyDescent="0.25">
      <c r="A110" s="3474"/>
      <c r="B110" s="2912" t="s">
        <v>697</v>
      </c>
      <c r="C110" s="2705" t="s">
        <v>631</v>
      </c>
      <c r="D110" s="2708" t="s">
        <v>31</v>
      </c>
      <c r="E110" s="2684">
        <v>1.24</v>
      </c>
      <c r="F110" s="2684">
        <v>1.24</v>
      </c>
      <c r="G110" s="2674">
        <f>'Розрахунки Річного плану'!C40+'Розрахунки Річного плану'!C62</f>
        <v>1.238</v>
      </c>
      <c r="H110" s="2674">
        <f>G110</f>
        <v>1.238</v>
      </c>
      <c r="I110" s="2674">
        <f t="shared" ref="I110:S110" si="65">H110</f>
        <v>1.238</v>
      </c>
      <c r="J110" s="2674">
        <f t="shared" si="65"/>
        <v>1.238</v>
      </c>
      <c r="K110" s="2674">
        <f t="shared" si="65"/>
        <v>1.238</v>
      </c>
      <c r="L110" s="2674">
        <f t="shared" si="65"/>
        <v>1.238</v>
      </c>
      <c r="M110" s="2674">
        <f t="shared" si="65"/>
        <v>1.238</v>
      </c>
      <c r="N110" s="2674">
        <f t="shared" si="65"/>
        <v>1.238</v>
      </c>
      <c r="O110" s="2674">
        <f t="shared" si="65"/>
        <v>1.238</v>
      </c>
      <c r="P110" s="2674">
        <f t="shared" si="65"/>
        <v>1.238</v>
      </c>
      <c r="Q110" s="2674">
        <f t="shared" si="65"/>
        <v>1.238</v>
      </c>
      <c r="R110" s="2674">
        <f t="shared" si="65"/>
        <v>1.238</v>
      </c>
      <c r="S110" s="2686">
        <f t="shared" si="65"/>
        <v>1.238</v>
      </c>
      <c r="T110" s="155" t="s">
        <v>481</v>
      </c>
      <c r="U110" s="228"/>
      <c r="W110" s="172"/>
    </row>
    <row r="111" spans="1:23" x14ac:dyDescent="0.25">
      <c r="A111" s="3474"/>
      <c r="B111" s="2912" t="s">
        <v>698</v>
      </c>
      <c r="C111" s="2705" t="s">
        <v>630</v>
      </c>
      <c r="D111" s="2708" t="s">
        <v>31</v>
      </c>
      <c r="E111" s="2684">
        <v>7.81</v>
      </c>
      <c r="F111" s="2684">
        <v>7.81</v>
      </c>
      <c r="G111" s="2674">
        <f>'Розрахунки Річного плану'!C43+'Розрахунки Річного плану'!C65</f>
        <v>7.4770000000000003</v>
      </c>
      <c r="H111" s="2674">
        <f>G111</f>
        <v>7.4770000000000003</v>
      </c>
      <c r="I111" s="2674">
        <f t="shared" ref="I111:S111" si="66">H111</f>
        <v>7.4770000000000003</v>
      </c>
      <c r="J111" s="2674">
        <f t="shared" si="66"/>
        <v>7.4770000000000003</v>
      </c>
      <c r="K111" s="2674">
        <f t="shared" si="66"/>
        <v>7.4770000000000003</v>
      </c>
      <c r="L111" s="2674">
        <f t="shared" si="66"/>
        <v>7.4770000000000003</v>
      </c>
      <c r="M111" s="2674">
        <f t="shared" si="66"/>
        <v>7.4770000000000003</v>
      </c>
      <c r="N111" s="2674">
        <f t="shared" si="66"/>
        <v>7.4770000000000003</v>
      </c>
      <c r="O111" s="2674">
        <f t="shared" si="66"/>
        <v>7.4770000000000003</v>
      </c>
      <c r="P111" s="2674">
        <f t="shared" si="66"/>
        <v>7.4770000000000003</v>
      </c>
      <c r="Q111" s="2674">
        <f t="shared" si="66"/>
        <v>7.4770000000000003</v>
      </c>
      <c r="R111" s="2674">
        <f t="shared" si="66"/>
        <v>7.4770000000000003</v>
      </c>
      <c r="S111" s="2686">
        <f t="shared" si="66"/>
        <v>7.4770000000000003</v>
      </c>
      <c r="T111" s="155" t="s">
        <v>481</v>
      </c>
      <c r="U111" s="228"/>
      <c r="W111" s="172"/>
    </row>
    <row r="112" spans="1:23" ht="24" x14ac:dyDescent="0.25">
      <c r="A112" s="3474"/>
      <c r="B112" s="2912" t="s">
        <v>696</v>
      </c>
      <c r="C112" s="2609" t="s">
        <v>212</v>
      </c>
      <c r="D112" s="2708" t="s">
        <v>31</v>
      </c>
      <c r="E112" s="2674">
        <f>E113+E114</f>
        <v>1.5569999999999999</v>
      </c>
      <c r="F112" s="2674">
        <f>F113+F114</f>
        <v>1.5569999999999999</v>
      </c>
      <c r="G112" s="2684">
        <f t="shared" ref="G112:S112" si="67">G113+G114</f>
        <v>1.66</v>
      </c>
      <c r="H112" s="2684">
        <f t="shared" si="67"/>
        <v>1.66</v>
      </c>
      <c r="I112" s="2684">
        <f t="shared" si="67"/>
        <v>1.66</v>
      </c>
      <c r="J112" s="2684">
        <f t="shared" si="67"/>
        <v>1.66</v>
      </c>
      <c r="K112" s="2684">
        <f t="shared" si="67"/>
        <v>1.66</v>
      </c>
      <c r="L112" s="2684">
        <f t="shared" si="67"/>
        <v>1.66</v>
      </c>
      <c r="M112" s="2684">
        <f t="shared" si="67"/>
        <v>1.66</v>
      </c>
      <c r="N112" s="2684">
        <f t="shared" si="67"/>
        <v>1.66</v>
      </c>
      <c r="O112" s="2684">
        <f t="shared" si="67"/>
        <v>1.66</v>
      </c>
      <c r="P112" s="2684">
        <f t="shared" si="67"/>
        <v>1.66</v>
      </c>
      <c r="Q112" s="2684">
        <f t="shared" si="67"/>
        <v>1.66</v>
      </c>
      <c r="R112" s="2684">
        <f t="shared" si="67"/>
        <v>1.66</v>
      </c>
      <c r="S112" s="2685">
        <f t="shared" si="67"/>
        <v>1.66</v>
      </c>
      <c r="T112" s="155" t="s">
        <v>481</v>
      </c>
    </row>
    <row r="113" spans="1:23" x14ac:dyDescent="0.25">
      <c r="A113" s="3474"/>
      <c r="B113" s="2912" t="s">
        <v>702</v>
      </c>
      <c r="C113" s="2705" t="s">
        <v>631</v>
      </c>
      <c r="D113" s="2708" t="s">
        <v>31</v>
      </c>
      <c r="E113" s="2684">
        <v>0</v>
      </c>
      <c r="F113" s="2684">
        <v>0</v>
      </c>
      <c r="G113" s="2674">
        <f>'Розрахунки Річного плану'!C47+'Розрахунки Річного плану'!C69</f>
        <v>0</v>
      </c>
      <c r="H113" s="2674">
        <f>G113</f>
        <v>0</v>
      </c>
      <c r="I113" s="2674">
        <f t="shared" ref="I113:S113" si="68">H113</f>
        <v>0</v>
      </c>
      <c r="J113" s="2674">
        <f t="shared" si="68"/>
        <v>0</v>
      </c>
      <c r="K113" s="2674">
        <f t="shared" si="68"/>
        <v>0</v>
      </c>
      <c r="L113" s="2674">
        <f t="shared" si="68"/>
        <v>0</v>
      </c>
      <c r="M113" s="2674">
        <f t="shared" si="68"/>
        <v>0</v>
      </c>
      <c r="N113" s="2674">
        <f t="shared" si="68"/>
        <v>0</v>
      </c>
      <c r="O113" s="2674">
        <f t="shared" si="68"/>
        <v>0</v>
      </c>
      <c r="P113" s="2674">
        <f t="shared" si="68"/>
        <v>0</v>
      </c>
      <c r="Q113" s="2674">
        <f t="shared" si="68"/>
        <v>0</v>
      </c>
      <c r="R113" s="2674">
        <f t="shared" si="68"/>
        <v>0</v>
      </c>
      <c r="S113" s="2686">
        <f t="shared" si="68"/>
        <v>0</v>
      </c>
      <c r="T113" s="155" t="s">
        <v>481</v>
      </c>
    </row>
    <row r="114" spans="1:23" ht="15.75" thickBot="1" x14ac:dyDescent="0.3">
      <c r="A114" s="3474"/>
      <c r="B114" s="2919" t="s">
        <v>703</v>
      </c>
      <c r="C114" s="2709" t="s">
        <v>630</v>
      </c>
      <c r="D114" s="2710" t="s">
        <v>31</v>
      </c>
      <c r="E114" s="2687">
        <v>1.5569999999999999</v>
      </c>
      <c r="F114" s="2687">
        <v>1.5569999999999999</v>
      </c>
      <c r="G114" s="2688">
        <f>'Розрахунки Річного плану'!C50+'Розрахунки Річного плану'!C72</f>
        <v>1.66</v>
      </c>
      <c r="H114" s="2688">
        <f>G114</f>
        <v>1.66</v>
      </c>
      <c r="I114" s="2688">
        <f t="shared" ref="I114:S114" si="69">H114</f>
        <v>1.66</v>
      </c>
      <c r="J114" s="2688">
        <f t="shared" si="69"/>
        <v>1.66</v>
      </c>
      <c r="K114" s="2688">
        <f t="shared" si="69"/>
        <v>1.66</v>
      </c>
      <c r="L114" s="2688">
        <f t="shared" si="69"/>
        <v>1.66</v>
      </c>
      <c r="M114" s="2688">
        <f t="shared" si="69"/>
        <v>1.66</v>
      </c>
      <c r="N114" s="2688">
        <f t="shared" si="69"/>
        <v>1.66</v>
      </c>
      <c r="O114" s="2688">
        <f t="shared" si="69"/>
        <v>1.66</v>
      </c>
      <c r="P114" s="2688">
        <f t="shared" si="69"/>
        <v>1.66</v>
      </c>
      <c r="Q114" s="2688">
        <f t="shared" si="69"/>
        <v>1.66</v>
      </c>
      <c r="R114" s="2688">
        <f t="shared" si="69"/>
        <v>1.66</v>
      </c>
      <c r="S114" s="2689">
        <f t="shared" si="69"/>
        <v>1.66</v>
      </c>
      <c r="T114" s="155" t="s">
        <v>481</v>
      </c>
    </row>
    <row r="115" spans="1:23" s="169" customFormat="1" ht="40.5" customHeight="1" thickBot="1" x14ac:dyDescent="0.3">
      <c r="A115" s="3507"/>
      <c r="B115" s="2920" t="s">
        <v>196</v>
      </c>
      <c r="C115" s="2724" t="s">
        <v>215</v>
      </c>
      <c r="D115" s="2725" t="s">
        <v>22</v>
      </c>
      <c r="E115" s="2690">
        <f>E116+E133</f>
        <v>0</v>
      </c>
      <c r="F115" s="2690">
        <f t="shared" ref="F115:S115" si="70">F116+F133</f>
        <v>0</v>
      </c>
      <c r="G115" s="2690">
        <f t="shared" si="70"/>
        <v>9459.3799999999992</v>
      </c>
      <c r="H115" s="2690">
        <f t="shared" si="70"/>
        <v>287.68</v>
      </c>
      <c r="I115" s="2690">
        <f>I116+I133</f>
        <v>1207.48</v>
      </c>
      <c r="J115" s="2690">
        <f t="shared" si="70"/>
        <v>1508.8</v>
      </c>
      <c r="K115" s="2690">
        <f t="shared" si="70"/>
        <v>1768.16</v>
      </c>
      <c r="L115" s="2690">
        <f t="shared" si="70"/>
        <v>1482.96</v>
      </c>
      <c r="M115" s="2690">
        <f t="shared" si="70"/>
        <v>1458.26</v>
      </c>
      <c r="N115" s="2690">
        <f t="shared" si="70"/>
        <v>326.2</v>
      </c>
      <c r="O115" s="2690">
        <f t="shared" si="70"/>
        <v>287.68</v>
      </c>
      <c r="P115" s="2690">
        <f t="shared" si="70"/>
        <v>278.39999999999998</v>
      </c>
      <c r="Q115" s="2690">
        <f t="shared" si="70"/>
        <v>287.68</v>
      </c>
      <c r="R115" s="2690">
        <f t="shared" si="70"/>
        <v>287.68</v>
      </c>
      <c r="S115" s="2691">
        <f t="shared" si="70"/>
        <v>278.39999999999998</v>
      </c>
      <c r="T115" s="155" t="s">
        <v>664</v>
      </c>
      <c r="V115" s="170"/>
    </row>
    <row r="116" spans="1:23" s="169" customFormat="1" ht="24" x14ac:dyDescent="0.25">
      <c r="A116" s="3507"/>
      <c r="B116" s="2921" t="s">
        <v>92</v>
      </c>
      <c r="C116" s="2726" t="s">
        <v>216</v>
      </c>
      <c r="D116" s="2727" t="s">
        <v>22</v>
      </c>
      <c r="E116" s="2692">
        <f>E117+E124+E127+E130</f>
        <v>0</v>
      </c>
      <c r="F116" s="2692">
        <f t="shared" ref="F116:S116" si="71">F117+F124+F127+F130</f>
        <v>0</v>
      </c>
      <c r="G116" s="2692">
        <f t="shared" si="71"/>
        <v>6072.18</v>
      </c>
      <c r="H116" s="2692">
        <f t="shared" si="71"/>
        <v>0</v>
      </c>
      <c r="I116" s="2692">
        <f t="shared" si="71"/>
        <v>929.08</v>
      </c>
      <c r="J116" s="2692">
        <f t="shared" si="71"/>
        <v>1221.1199999999999</v>
      </c>
      <c r="K116" s="2692">
        <f t="shared" si="71"/>
        <v>1480.48</v>
      </c>
      <c r="L116" s="2692">
        <f t="shared" si="71"/>
        <v>1223.1199999999999</v>
      </c>
      <c r="M116" s="2692">
        <f t="shared" si="71"/>
        <v>1170.58</v>
      </c>
      <c r="N116" s="2692">
        <f t="shared" si="71"/>
        <v>47.8</v>
      </c>
      <c r="O116" s="2692">
        <f t="shared" si="71"/>
        <v>0</v>
      </c>
      <c r="P116" s="2692">
        <f t="shared" si="71"/>
        <v>0</v>
      </c>
      <c r="Q116" s="2692">
        <f t="shared" si="71"/>
        <v>0</v>
      </c>
      <c r="R116" s="2692">
        <f t="shared" si="71"/>
        <v>0</v>
      </c>
      <c r="S116" s="2693">
        <f t="shared" si="71"/>
        <v>0</v>
      </c>
      <c r="T116" s="155" t="s">
        <v>664</v>
      </c>
      <c r="U116" s="229"/>
      <c r="V116" s="175"/>
      <c r="W116" s="227"/>
    </row>
    <row r="117" spans="1:23" x14ac:dyDescent="0.25">
      <c r="A117" s="3474"/>
      <c r="B117" s="2912" t="s">
        <v>512</v>
      </c>
      <c r="C117" s="2609" t="s">
        <v>3</v>
      </c>
      <c r="D117" s="2712" t="s">
        <v>22</v>
      </c>
      <c r="E117" s="2515">
        <f>E118+E121</f>
        <v>0</v>
      </c>
      <c r="F117" s="2515">
        <f t="shared" ref="F117:S117" si="72">F118+F121</f>
        <v>0</v>
      </c>
      <c r="G117" s="2515">
        <f t="shared" si="72"/>
        <v>0</v>
      </c>
      <c r="H117" s="2515">
        <f t="shared" si="72"/>
        <v>0</v>
      </c>
      <c r="I117" s="2515">
        <f t="shared" si="72"/>
        <v>0</v>
      </c>
      <c r="J117" s="2515">
        <f t="shared" si="72"/>
        <v>0</v>
      </c>
      <c r="K117" s="2515">
        <f t="shared" si="72"/>
        <v>0</v>
      </c>
      <c r="L117" s="2515">
        <f t="shared" si="72"/>
        <v>0</v>
      </c>
      <c r="M117" s="2515">
        <f t="shared" si="72"/>
        <v>0</v>
      </c>
      <c r="N117" s="2515">
        <f t="shared" si="72"/>
        <v>0</v>
      </c>
      <c r="O117" s="2515">
        <f t="shared" si="72"/>
        <v>0</v>
      </c>
      <c r="P117" s="2515">
        <f t="shared" si="72"/>
        <v>0</v>
      </c>
      <c r="Q117" s="2515">
        <f t="shared" si="72"/>
        <v>0</v>
      </c>
      <c r="R117" s="2515">
        <f t="shared" si="72"/>
        <v>0</v>
      </c>
      <c r="S117" s="2516">
        <f t="shared" si="72"/>
        <v>0</v>
      </c>
      <c r="T117" s="155" t="s">
        <v>664</v>
      </c>
    </row>
    <row r="118" spans="1:23" x14ac:dyDescent="0.25">
      <c r="A118" s="3474"/>
      <c r="B118" s="2912" t="s">
        <v>687</v>
      </c>
      <c r="C118" s="2705" t="s">
        <v>631</v>
      </c>
      <c r="D118" s="2712" t="s">
        <v>22</v>
      </c>
      <c r="E118" s="2515">
        <f>E119+E120</f>
        <v>0</v>
      </c>
      <c r="F118" s="2515">
        <f>F119+F120</f>
        <v>0</v>
      </c>
      <c r="G118" s="2515">
        <f>G119+G120</f>
        <v>0</v>
      </c>
      <c r="H118" s="2515">
        <f t="shared" ref="H118:S118" si="73">H119+H120</f>
        <v>0</v>
      </c>
      <c r="I118" s="2515">
        <f t="shared" si="73"/>
        <v>0</v>
      </c>
      <c r="J118" s="2515">
        <f t="shared" si="73"/>
        <v>0</v>
      </c>
      <c r="K118" s="2515">
        <f t="shared" si="73"/>
        <v>0</v>
      </c>
      <c r="L118" s="2515">
        <f t="shared" si="73"/>
        <v>0</v>
      </c>
      <c r="M118" s="2515">
        <f t="shared" si="73"/>
        <v>0</v>
      </c>
      <c r="N118" s="2515">
        <f t="shared" si="73"/>
        <v>0</v>
      </c>
      <c r="O118" s="2515">
        <f t="shared" si="73"/>
        <v>0</v>
      </c>
      <c r="P118" s="2515">
        <f t="shared" si="73"/>
        <v>0</v>
      </c>
      <c r="Q118" s="2515">
        <f t="shared" si="73"/>
        <v>0</v>
      </c>
      <c r="R118" s="2515">
        <f t="shared" si="73"/>
        <v>0</v>
      </c>
      <c r="S118" s="2516">
        <f t="shared" si="73"/>
        <v>0</v>
      </c>
      <c r="T118" s="155" t="s">
        <v>481</v>
      </c>
    </row>
    <row r="119" spans="1:23" x14ac:dyDescent="0.25">
      <c r="A119" s="3474"/>
      <c r="B119" s="2912" t="s">
        <v>689</v>
      </c>
      <c r="C119" s="2722" t="s">
        <v>695</v>
      </c>
      <c r="D119" s="2712" t="s">
        <v>22</v>
      </c>
      <c r="E119" s="2515">
        <v>0</v>
      </c>
      <c r="F119" s="2515">
        <v>0</v>
      </c>
      <c r="G119" s="2513">
        <f>SUM(H119:S119)</f>
        <v>0</v>
      </c>
      <c r="H119" s="2513">
        <f>'Розрахунки Річного плану'!M78+'Розрахунки Річного плану'!M85</f>
        <v>0</v>
      </c>
      <c r="I119" s="2513">
        <f>'Розрахунки Річного плану'!N78+'Розрахунки Річного плану'!N85</f>
        <v>0</v>
      </c>
      <c r="J119" s="2513">
        <f>'Розрахунки Річного плану'!O78+'Розрахунки Річного плану'!O85</f>
        <v>0</v>
      </c>
      <c r="K119" s="2513">
        <f>'Розрахунки Річного плану'!D78+'Розрахунки Річного плану'!D85</f>
        <v>0</v>
      </c>
      <c r="L119" s="2513">
        <f>'Розрахунки Річного плану'!E78+'Розрахунки Річного плану'!E85</f>
        <v>0</v>
      </c>
      <c r="M119" s="2513">
        <f>'Розрахунки Річного плану'!F78+'Розрахунки Річного плану'!F85</f>
        <v>0</v>
      </c>
      <c r="N119" s="2513">
        <f>'Розрахунки Річного плану'!G78+'Розрахунки Річного плану'!G85</f>
        <v>0</v>
      </c>
      <c r="O119" s="2513">
        <v>0</v>
      </c>
      <c r="P119" s="2513">
        <v>0</v>
      </c>
      <c r="Q119" s="2513">
        <v>0</v>
      </c>
      <c r="R119" s="2513">
        <v>0</v>
      </c>
      <c r="S119" s="2514">
        <v>0</v>
      </c>
      <c r="T119" s="155" t="s">
        <v>481</v>
      </c>
    </row>
    <row r="120" spans="1:23" x14ac:dyDescent="0.25">
      <c r="A120" s="3474"/>
      <c r="B120" s="2912" t="s">
        <v>690</v>
      </c>
      <c r="C120" s="2722" t="s">
        <v>694</v>
      </c>
      <c r="D120" s="2712" t="s">
        <v>22</v>
      </c>
      <c r="E120" s="2515">
        <v>0</v>
      </c>
      <c r="F120" s="2515">
        <v>0</v>
      </c>
      <c r="G120" s="2513">
        <f>SUM(H120:S120)</f>
        <v>0</v>
      </c>
      <c r="H120" s="2513">
        <f>'Розрахунки Річного плану'!M79</f>
        <v>0</v>
      </c>
      <c r="I120" s="2513">
        <f>'Розрахунки Річного плану'!N79</f>
        <v>0</v>
      </c>
      <c r="J120" s="2513">
        <f>'Розрахунки Річного плану'!O79</f>
        <v>0</v>
      </c>
      <c r="K120" s="2513">
        <f>'Розрахунки Річного плану'!D79</f>
        <v>0</v>
      </c>
      <c r="L120" s="2513">
        <f>'Розрахунки Річного плану'!E79</f>
        <v>0</v>
      </c>
      <c r="M120" s="2513">
        <f>'Розрахунки Річного плану'!F79</f>
        <v>0</v>
      </c>
      <c r="N120" s="2513">
        <f>'Розрахунки Річного плану'!G79</f>
        <v>0</v>
      </c>
      <c r="O120" s="2513">
        <v>0</v>
      </c>
      <c r="P120" s="2513">
        <v>0</v>
      </c>
      <c r="Q120" s="2513">
        <v>0</v>
      </c>
      <c r="R120" s="2513">
        <v>0</v>
      </c>
      <c r="S120" s="2514">
        <v>0</v>
      </c>
      <c r="T120" s="155" t="s">
        <v>481</v>
      </c>
    </row>
    <row r="121" spans="1:23" x14ac:dyDescent="0.25">
      <c r="A121" s="3474"/>
      <c r="B121" s="2912" t="s">
        <v>688</v>
      </c>
      <c r="C121" s="2705" t="s">
        <v>630</v>
      </c>
      <c r="D121" s="2712" t="s">
        <v>22</v>
      </c>
      <c r="E121" s="2515">
        <f t="shared" ref="E121:S121" si="74">E122+E123</f>
        <v>0</v>
      </c>
      <c r="F121" s="2515">
        <f t="shared" si="74"/>
        <v>0</v>
      </c>
      <c r="G121" s="2515">
        <f t="shared" si="74"/>
        <v>0</v>
      </c>
      <c r="H121" s="2515">
        <f t="shared" si="74"/>
        <v>0</v>
      </c>
      <c r="I121" s="2515">
        <f t="shared" si="74"/>
        <v>0</v>
      </c>
      <c r="J121" s="2515">
        <f t="shared" si="74"/>
        <v>0</v>
      </c>
      <c r="K121" s="2515">
        <f t="shared" si="74"/>
        <v>0</v>
      </c>
      <c r="L121" s="2515">
        <f t="shared" si="74"/>
        <v>0</v>
      </c>
      <c r="M121" s="2515">
        <f t="shared" si="74"/>
        <v>0</v>
      </c>
      <c r="N121" s="2515">
        <f t="shared" si="74"/>
        <v>0</v>
      </c>
      <c r="O121" s="2515">
        <f t="shared" si="74"/>
        <v>0</v>
      </c>
      <c r="P121" s="2515">
        <f t="shared" si="74"/>
        <v>0</v>
      </c>
      <c r="Q121" s="2515">
        <f t="shared" si="74"/>
        <v>0</v>
      </c>
      <c r="R121" s="2515">
        <f t="shared" si="74"/>
        <v>0</v>
      </c>
      <c r="S121" s="2516">
        <f t="shared" si="74"/>
        <v>0</v>
      </c>
      <c r="T121" s="155" t="s">
        <v>481</v>
      </c>
    </row>
    <row r="122" spans="1:23" x14ac:dyDescent="0.25">
      <c r="A122" s="3474"/>
      <c r="B122" s="3471" t="s">
        <v>691</v>
      </c>
      <c r="C122" s="2722" t="s">
        <v>695</v>
      </c>
      <c r="D122" s="2712" t="s">
        <v>22</v>
      </c>
      <c r="E122" s="2515">
        <v>0</v>
      </c>
      <c r="F122" s="2515">
        <v>0</v>
      </c>
      <c r="G122" s="2513">
        <f>SUM(H122:S122)</f>
        <v>0</v>
      </c>
      <c r="H122" s="2513">
        <f>'Розрахунки Річного плану'!M81+'Розрахунки Річного плану'!M88</f>
        <v>0</v>
      </c>
      <c r="I122" s="2513">
        <f>'Розрахунки Річного плану'!N81+'Розрахунки Річного плану'!N88</f>
        <v>0</v>
      </c>
      <c r="J122" s="2513">
        <f>'Розрахунки Річного плану'!O81+'Розрахунки Річного плану'!O88</f>
        <v>0</v>
      </c>
      <c r="K122" s="2513">
        <f>'Розрахунки Річного плану'!D81+'Розрахунки Річного плану'!D88</f>
        <v>0</v>
      </c>
      <c r="L122" s="2513">
        <f>'Розрахунки Річного плану'!E81+'Розрахунки Річного плану'!E88</f>
        <v>0</v>
      </c>
      <c r="M122" s="2513">
        <f>'Розрахунки Річного плану'!F81+'Розрахунки Річного плану'!F88</f>
        <v>0</v>
      </c>
      <c r="N122" s="2513">
        <f>'Розрахунки Річного плану'!G81+'Розрахунки Річного плану'!G88</f>
        <v>0</v>
      </c>
      <c r="O122" s="2513">
        <v>0</v>
      </c>
      <c r="P122" s="2513">
        <v>0</v>
      </c>
      <c r="Q122" s="2513">
        <v>0</v>
      </c>
      <c r="R122" s="2513">
        <v>0</v>
      </c>
      <c r="S122" s="2514">
        <v>0</v>
      </c>
      <c r="T122" s="155" t="s">
        <v>481</v>
      </c>
    </row>
    <row r="123" spans="1:23" ht="15.75" thickBot="1" x14ac:dyDescent="0.3">
      <c r="A123" s="3474"/>
      <c r="B123" s="2919" t="s">
        <v>692</v>
      </c>
      <c r="C123" s="3499" t="s">
        <v>694</v>
      </c>
      <c r="D123" s="2713" t="s">
        <v>22</v>
      </c>
      <c r="E123" s="2658">
        <v>0</v>
      </c>
      <c r="F123" s="2658">
        <v>0</v>
      </c>
      <c r="G123" s="3500">
        <f>SUM(H123:R123)</f>
        <v>0</v>
      </c>
      <c r="H123" s="3500">
        <f>'Розрахунки Річного плану'!M83</f>
        <v>0</v>
      </c>
      <c r="I123" s="3500">
        <f>'Розрахунки Річного плану'!N83</f>
        <v>0</v>
      </c>
      <c r="J123" s="3500">
        <f>'Розрахунки Річного плану'!O83</f>
        <v>0</v>
      </c>
      <c r="K123" s="3500">
        <f>'Розрахунки Річного плану'!D83</f>
        <v>0</v>
      </c>
      <c r="L123" s="3500">
        <f>'Розрахунки Річного плану'!E83</f>
        <v>0</v>
      </c>
      <c r="M123" s="3500">
        <f>'Розрахунки Річного плану'!F83</f>
        <v>0</v>
      </c>
      <c r="N123" s="3500">
        <f>'Розрахунки Річного плану'!G83</f>
        <v>0</v>
      </c>
      <c r="O123" s="3500">
        <v>0</v>
      </c>
      <c r="P123" s="3500">
        <v>0</v>
      </c>
      <c r="Q123" s="3500">
        <v>0</v>
      </c>
      <c r="R123" s="3500">
        <v>0</v>
      </c>
      <c r="S123" s="3501">
        <v>0</v>
      </c>
      <c r="T123" s="155" t="s">
        <v>481</v>
      </c>
    </row>
    <row r="124" spans="1:23" x14ac:dyDescent="0.25">
      <c r="A124" s="3474"/>
      <c r="B124" s="3491" t="s">
        <v>513</v>
      </c>
      <c r="C124" s="3497" t="s">
        <v>173</v>
      </c>
      <c r="D124" s="3482" t="s">
        <v>22</v>
      </c>
      <c r="E124" s="3483">
        <f t="shared" ref="E124:S124" si="75">E125+E126</f>
        <v>0</v>
      </c>
      <c r="F124" s="3483">
        <f t="shared" si="75"/>
        <v>0</v>
      </c>
      <c r="G124" s="3483">
        <f t="shared" si="75"/>
        <v>0</v>
      </c>
      <c r="H124" s="3483">
        <f t="shared" si="75"/>
        <v>0</v>
      </c>
      <c r="I124" s="3483">
        <f t="shared" si="75"/>
        <v>0</v>
      </c>
      <c r="J124" s="3483">
        <f t="shared" si="75"/>
        <v>0</v>
      </c>
      <c r="K124" s="3483">
        <f t="shared" si="75"/>
        <v>0</v>
      </c>
      <c r="L124" s="3483">
        <f t="shared" si="75"/>
        <v>0</v>
      </c>
      <c r="M124" s="3483">
        <f t="shared" si="75"/>
        <v>0</v>
      </c>
      <c r="N124" s="3483">
        <f t="shared" si="75"/>
        <v>0</v>
      </c>
      <c r="O124" s="3483">
        <f t="shared" si="75"/>
        <v>0</v>
      </c>
      <c r="P124" s="3483">
        <f t="shared" si="75"/>
        <v>0</v>
      </c>
      <c r="Q124" s="3483">
        <f t="shared" si="75"/>
        <v>0</v>
      </c>
      <c r="R124" s="3483">
        <f t="shared" si="75"/>
        <v>0</v>
      </c>
      <c r="S124" s="3498">
        <f t="shared" si="75"/>
        <v>0</v>
      </c>
      <c r="T124" s="155" t="s">
        <v>664</v>
      </c>
    </row>
    <row r="125" spans="1:23" x14ac:dyDescent="0.25">
      <c r="A125" s="3474"/>
      <c r="B125" s="3471" t="s">
        <v>685</v>
      </c>
      <c r="C125" s="2705" t="s">
        <v>631</v>
      </c>
      <c r="D125" s="2712" t="s">
        <v>22</v>
      </c>
      <c r="E125" s="2515">
        <v>0</v>
      </c>
      <c r="F125" s="2515">
        <v>0</v>
      </c>
      <c r="G125" s="2513">
        <f>SUM(H125:R125)</f>
        <v>0</v>
      </c>
      <c r="H125" s="2513">
        <f>'Розрахунки Річного плану'!M114</f>
        <v>0</v>
      </c>
      <c r="I125" s="2513">
        <f>'Розрахунки Річного плану'!N114</f>
        <v>0</v>
      </c>
      <c r="J125" s="2513">
        <f>'Розрахунки Річного плану'!O114</f>
        <v>0</v>
      </c>
      <c r="K125" s="2513">
        <f>'Розрахунки Річного плану'!D114</f>
        <v>0</v>
      </c>
      <c r="L125" s="2513">
        <f>'Розрахунки Річного плану'!E114</f>
        <v>0</v>
      </c>
      <c r="M125" s="2513">
        <f>'Розрахунки Річного плану'!F114</f>
        <v>0</v>
      </c>
      <c r="N125" s="2513">
        <f>'Розрахунки Річного плану'!G114</f>
        <v>0</v>
      </c>
      <c r="O125" s="2513">
        <v>0</v>
      </c>
      <c r="P125" s="2513">
        <v>0</v>
      </c>
      <c r="Q125" s="2513">
        <v>0</v>
      </c>
      <c r="R125" s="2513">
        <v>0</v>
      </c>
      <c r="S125" s="2514">
        <v>0</v>
      </c>
      <c r="T125" s="155" t="s">
        <v>481</v>
      </c>
    </row>
    <row r="126" spans="1:23" x14ac:dyDescent="0.25">
      <c r="A126" s="3474"/>
      <c r="B126" s="3471" t="s">
        <v>686</v>
      </c>
      <c r="C126" s="2705" t="s">
        <v>630</v>
      </c>
      <c r="D126" s="2712" t="s">
        <v>22</v>
      </c>
      <c r="E126" s="2515">
        <v>0</v>
      </c>
      <c r="F126" s="2515">
        <v>0</v>
      </c>
      <c r="G126" s="2513">
        <f>SUM(H126:R126)</f>
        <v>0</v>
      </c>
      <c r="H126" s="2513">
        <f>'Розрахунки Річного плану'!M117</f>
        <v>0</v>
      </c>
      <c r="I126" s="2513">
        <f>'Розрахунки Річного плану'!N117</f>
        <v>0</v>
      </c>
      <c r="J126" s="2513">
        <f>'Розрахунки Річного плану'!O117</f>
        <v>0</v>
      </c>
      <c r="K126" s="2513">
        <f>'Розрахунки Річного плану'!D117</f>
        <v>0</v>
      </c>
      <c r="L126" s="2513">
        <f>'Розрахунки Річного плану'!E117</f>
        <v>0</v>
      </c>
      <c r="M126" s="2513">
        <f>'Розрахунки Річного плану'!F117</f>
        <v>0</v>
      </c>
      <c r="N126" s="2513">
        <f>'Розрахунки Річного плану'!G117</f>
        <v>0</v>
      </c>
      <c r="O126" s="2513">
        <v>0</v>
      </c>
      <c r="P126" s="2513">
        <v>0</v>
      </c>
      <c r="Q126" s="2513">
        <v>0</v>
      </c>
      <c r="R126" s="2513">
        <v>0</v>
      </c>
      <c r="S126" s="2514">
        <v>0</v>
      </c>
      <c r="T126" s="155" t="s">
        <v>481</v>
      </c>
    </row>
    <row r="127" spans="1:23" x14ac:dyDescent="0.25">
      <c r="A127" s="3474"/>
      <c r="B127" s="3471" t="s">
        <v>514</v>
      </c>
      <c r="C127" s="2609" t="s">
        <v>98</v>
      </c>
      <c r="D127" s="2712" t="s">
        <v>22</v>
      </c>
      <c r="E127" s="2515">
        <f t="shared" ref="E127:S127" si="76">E128+E129</f>
        <v>0</v>
      </c>
      <c r="F127" s="2515">
        <f t="shared" si="76"/>
        <v>0</v>
      </c>
      <c r="G127" s="2515">
        <f t="shared" si="76"/>
        <v>0</v>
      </c>
      <c r="H127" s="2515">
        <f t="shared" si="76"/>
        <v>0</v>
      </c>
      <c r="I127" s="2684">
        <f t="shared" si="76"/>
        <v>0</v>
      </c>
      <c r="J127" s="2684">
        <f t="shared" si="76"/>
        <v>0</v>
      </c>
      <c r="K127" s="2684">
        <f t="shared" si="76"/>
        <v>0</v>
      </c>
      <c r="L127" s="2684">
        <f t="shared" si="76"/>
        <v>0</v>
      </c>
      <c r="M127" s="2684">
        <f t="shared" si="76"/>
        <v>0</v>
      </c>
      <c r="N127" s="2684">
        <f t="shared" si="76"/>
        <v>0</v>
      </c>
      <c r="O127" s="2684">
        <f t="shared" si="76"/>
        <v>0</v>
      </c>
      <c r="P127" s="2684">
        <f t="shared" si="76"/>
        <v>0</v>
      </c>
      <c r="Q127" s="2684">
        <f t="shared" si="76"/>
        <v>0</v>
      </c>
      <c r="R127" s="2684">
        <f t="shared" si="76"/>
        <v>0</v>
      </c>
      <c r="S127" s="2516">
        <f t="shared" si="76"/>
        <v>0</v>
      </c>
      <c r="T127" s="155" t="s">
        <v>3473</v>
      </c>
    </row>
    <row r="128" spans="1:23" x14ac:dyDescent="0.25">
      <c r="A128" s="3474"/>
      <c r="B128" s="3471" t="s">
        <v>683</v>
      </c>
      <c r="C128" s="2705" t="s">
        <v>631</v>
      </c>
      <c r="D128" s="2712" t="s">
        <v>22</v>
      </c>
      <c r="E128" s="2515">
        <v>0</v>
      </c>
      <c r="F128" s="2515">
        <v>0</v>
      </c>
      <c r="G128" s="2513">
        <f>SUM(H128:S128)</f>
        <v>0</v>
      </c>
      <c r="H128" s="2513">
        <f>'Розрахунки Річного плану'!M92</f>
        <v>0</v>
      </c>
      <c r="I128" s="2513">
        <f>'Розрахунки Річного плану'!N92</f>
        <v>0</v>
      </c>
      <c r="J128" s="2513">
        <f>'Розрахунки Річного плану'!O92</f>
        <v>0</v>
      </c>
      <c r="K128" s="2513">
        <f>'Розрахунки Річного плану'!D92</f>
        <v>0</v>
      </c>
      <c r="L128" s="2513">
        <f>'Розрахунки Річного плану'!E92</f>
        <v>0</v>
      </c>
      <c r="M128" s="2513">
        <f>'Розрахунки Річного плану'!F92</f>
        <v>0</v>
      </c>
      <c r="N128" s="2513">
        <f>'Розрахунки Річного плану'!G92</f>
        <v>0</v>
      </c>
      <c r="O128" s="2513">
        <f>'Розрахунки Річного плану'!H92</f>
        <v>0</v>
      </c>
      <c r="P128" s="2513">
        <f>'Розрахунки Річного плану'!I92</f>
        <v>0</v>
      </c>
      <c r="Q128" s="2513">
        <f>'Розрахунки Річного плану'!J92</f>
        <v>0</v>
      </c>
      <c r="R128" s="2513">
        <f>'Розрахунки Річного плану'!K92</f>
        <v>0</v>
      </c>
      <c r="S128" s="2514">
        <f>'Розрахунки Річного плану'!L92</f>
        <v>0</v>
      </c>
      <c r="T128" s="155" t="s">
        <v>481</v>
      </c>
    </row>
    <row r="129" spans="1:20" x14ac:dyDescent="0.25">
      <c r="A129" s="3474"/>
      <c r="B129" s="3471" t="s">
        <v>684</v>
      </c>
      <c r="C129" s="2705" t="s">
        <v>630</v>
      </c>
      <c r="D129" s="2712" t="s">
        <v>22</v>
      </c>
      <c r="E129" s="2515">
        <v>0</v>
      </c>
      <c r="F129" s="2515">
        <v>0</v>
      </c>
      <c r="G129" s="2513">
        <f>SUM(H129:S129)</f>
        <v>0</v>
      </c>
      <c r="H129" s="2513">
        <f>'Розрахунки Річного плану'!M95</f>
        <v>0</v>
      </c>
      <c r="I129" s="2513">
        <f>'Розрахунки Річного плану'!N95</f>
        <v>0</v>
      </c>
      <c r="J129" s="2513">
        <f>'Розрахунки Річного плану'!O95</f>
        <v>0</v>
      </c>
      <c r="K129" s="2513">
        <f>'Розрахунки Річного плану'!D95</f>
        <v>0</v>
      </c>
      <c r="L129" s="2513">
        <f>'Розрахунки Річного плану'!E95</f>
        <v>0</v>
      </c>
      <c r="M129" s="2513">
        <f>'Розрахунки Річного плану'!F95</f>
        <v>0</v>
      </c>
      <c r="N129" s="2513">
        <f>'Розрахунки Річного плану'!G95</f>
        <v>0</v>
      </c>
      <c r="O129" s="2513">
        <f>'Розрахунки Річного плану'!H95</f>
        <v>0</v>
      </c>
      <c r="P129" s="2513">
        <f>'Розрахунки Річного плану'!I95</f>
        <v>0</v>
      </c>
      <c r="Q129" s="2513">
        <f>'Розрахунки Річного плану'!J95</f>
        <v>0</v>
      </c>
      <c r="R129" s="2513">
        <f>'Розрахунки Річного плану'!K95</f>
        <v>0</v>
      </c>
      <c r="S129" s="2514">
        <f>'Розрахунки Річного плану'!L95</f>
        <v>0</v>
      </c>
      <c r="T129" s="155" t="s">
        <v>481</v>
      </c>
    </row>
    <row r="130" spans="1:20" x14ac:dyDescent="0.25">
      <c r="A130" s="3474"/>
      <c r="B130" s="3471" t="s">
        <v>515</v>
      </c>
      <c r="C130" s="2609" t="s">
        <v>99</v>
      </c>
      <c r="D130" s="2712" t="s">
        <v>22</v>
      </c>
      <c r="E130" s="2515">
        <f t="shared" ref="E130:S130" si="77">E131+E132</f>
        <v>0</v>
      </c>
      <c r="F130" s="2515">
        <f t="shared" si="77"/>
        <v>0</v>
      </c>
      <c r="G130" s="2515">
        <f t="shared" si="77"/>
        <v>6072.18</v>
      </c>
      <c r="H130" s="2515">
        <f t="shared" si="77"/>
        <v>0</v>
      </c>
      <c r="I130" s="2684">
        <f t="shared" si="77"/>
        <v>929.08</v>
      </c>
      <c r="J130" s="2684">
        <f t="shared" si="77"/>
        <v>1221.1199999999999</v>
      </c>
      <c r="K130" s="2684">
        <f t="shared" si="77"/>
        <v>1480.48</v>
      </c>
      <c r="L130" s="2684">
        <f t="shared" si="77"/>
        <v>1223.1199999999999</v>
      </c>
      <c r="M130" s="2684">
        <f t="shared" si="77"/>
        <v>1170.58</v>
      </c>
      <c r="N130" s="2684">
        <f t="shared" si="77"/>
        <v>47.8</v>
      </c>
      <c r="O130" s="2684">
        <f t="shared" si="77"/>
        <v>0</v>
      </c>
      <c r="P130" s="2684">
        <f t="shared" si="77"/>
        <v>0</v>
      </c>
      <c r="Q130" s="2684">
        <f t="shared" si="77"/>
        <v>0</v>
      </c>
      <c r="R130" s="2684">
        <f t="shared" si="77"/>
        <v>0</v>
      </c>
      <c r="S130" s="2685">
        <f t="shared" si="77"/>
        <v>0</v>
      </c>
      <c r="T130" s="155" t="s">
        <v>664</v>
      </c>
    </row>
    <row r="131" spans="1:20" x14ac:dyDescent="0.25">
      <c r="A131" s="3474"/>
      <c r="B131" s="3471" t="s">
        <v>681</v>
      </c>
      <c r="C131" s="2705" t="s">
        <v>631</v>
      </c>
      <c r="D131" s="2712" t="s">
        <v>22</v>
      </c>
      <c r="E131" s="2515">
        <v>0</v>
      </c>
      <c r="F131" s="2515">
        <v>0</v>
      </c>
      <c r="G131" s="2513">
        <f>SUM(H131:S131)</f>
        <v>577.87</v>
      </c>
      <c r="H131" s="2513">
        <f>'Розрахунки Річного плану'!M100</f>
        <v>0</v>
      </c>
      <c r="I131" s="2513">
        <f>'Розрахунки Річного плану'!N100</f>
        <v>88.42</v>
      </c>
      <c r="J131" s="2513">
        <f>'Розрахунки Річного плану'!O100</f>
        <v>116.21</v>
      </c>
      <c r="K131" s="2513">
        <f>'Розрахунки Річного плану'!D100</f>
        <v>140.88999999999999</v>
      </c>
      <c r="L131" s="2513">
        <f>'Розрахунки Річного плану'!E100</f>
        <v>116.4</v>
      </c>
      <c r="M131" s="2513">
        <f>'Розрахунки Річного плану'!F100</f>
        <v>111.4</v>
      </c>
      <c r="N131" s="2513">
        <f>'Розрахунки Річного плану'!G100</f>
        <v>4.55</v>
      </c>
      <c r="O131" s="2513">
        <f>'Розрахунки Річного плану'!H100</f>
        <v>0</v>
      </c>
      <c r="P131" s="2513">
        <f>'Розрахунки Річного плану'!I100</f>
        <v>0</v>
      </c>
      <c r="Q131" s="2513">
        <f>'Розрахунки Річного плану'!J100</f>
        <v>0</v>
      </c>
      <c r="R131" s="2513">
        <f>'Розрахунки Річного плану'!K100</f>
        <v>0</v>
      </c>
      <c r="S131" s="2514">
        <f>'Розрахунки Річного плану'!L100</f>
        <v>0</v>
      </c>
      <c r="T131" s="3469">
        <f>'Розрахунки Річного плану'!M100</f>
        <v>0</v>
      </c>
    </row>
    <row r="132" spans="1:20" ht="15.75" thickBot="1" x14ac:dyDescent="0.3">
      <c r="A132" s="3474"/>
      <c r="B132" s="3472" t="s">
        <v>682</v>
      </c>
      <c r="C132" s="2728" t="s">
        <v>630</v>
      </c>
      <c r="D132" s="2719" t="s">
        <v>22</v>
      </c>
      <c r="E132" s="2694">
        <v>0</v>
      </c>
      <c r="F132" s="2694">
        <v>0</v>
      </c>
      <c r="G132" s="2695">
        <f>SUM(H132:S132)</f>
        <v>5494.31</v>
      </c>
      <c r="H132" s="2695">
        <f>'Розрахунки Річного плану'!M103</f>
        <v>0</v>
      </c>
      <c r="I132" s="2695">
        <f>'Розрахунки Річного плану'!N103</f>
        <v>840.66</v>
      </c>
      <c r="J132" s="2695">
        <f>'Розрахунки Річного плану'!O103</f>
        <v>1104.9100000000001</v>
      </c>
      <c r="K132" s="2695">
        <f>'Розрахунки Річного плану'!D103</f>
        <v>1339.59</v>
      </c>
      <c r="L132" s="2695">
        <f>'Розрахунки Річного плану'!E103</f>
        <v>1106.72</v>
      </c>
      <c r="M132" s="2695">
        <f>'Розрахунки Річного плану'!F103</f>
        <v>1059.18</v>
      </c>
      <c r="N132" s="2695">
        <f>'Розрахунки Річного плану'!G103</f>
        <v>43.25</v>
      </c>
      <c r="O132" s="2695">
        <f>'Розрахунки Річного плану'!H103</f>
        <v>0</v>
      </c>
      <c r="P132" s="2695">
        <f>'Розрахунки Річного плану'!I103</f>
        <v>0</v>
      </c>
      <c r="Q132" s="2695">
        <f>'Розрахунки Річного плану'!J103</f>
        <v>0</v>
      </c>
      <c r="R132" s="2695">
        <f>'Розрахунки Річного плану'!K103</f>
        <v>0</v>
      </c>
      <c r="S132" s="3470">
        <f>'Розрахунки Річного плану'!L103</f>
        <v>0</v>
      </c>
      <c r="T132" s="155" t="s">
        <v>481</v>
      </c>
    </row>
    <row r="133" spans="1:20" x14ac:dyDescent="0.25">
      <c r="A133" s="3474"/>
      <c r="B133" s="3473" t="s">
        <v>93</v>
      </c>
      <c r="C133" s="2729" t="s">
        <v>217</v>
      </c>
      <c r="D133" s="2730" t="s">
        <v>22</v>
      </c>
      <c r="E133" s="2696">
        <f>E134+E137+E140+E143</f>
        <v>0</v>
      </c>
      <c r="F133" s="2696">
        <f t="shared" ref="F133:S133" si="78">F134+F137+F140+F143</f>
        <v>0</v>
      </c>
      <c r="G133" s="2696">
        <f>G134+G137+G140+G143</f>
        <v>3387.2</v>
      </c>
      <c r="H133" s="2696">
        <f t="shared" si="78"/>
        <v>287.68</v>
      </c>
      <c r="I133" s="2696">
        <f t="shared" si="78"/>
        <v>278.39999999999998</v>
      </c>
      <c r="J133" s="2696">
        <f t="shared" si="78"/>
        <v>287.68</v>
      </c>
      <c r="K133" s="2696">
        <f t="shared" si="78"/>
        <v>287.68</v>
      </c>
      <c r="L133" s="2696">
        <f t="shared" si="78"/>
        <v>259.83999999999997</v>
      </c>
      <c r="M133" s="2696">
        <f t="shared" si="78"/>
        <v>287.68</v>
      </c>
      <c r="N133" s="2696">
        <f t="shared" si="78"/>
        <v>278.39999999999998</v>
      </c>
      <c r="O133" s="2696">
        <f t="shared" si="78"/>
        <v>287.68</v>
      </c>
      <c r="P133" s="2696">
        <f t="shared" si="78"/>
        <v>278.39999999999998</v>
      </c>
      <c r="Q133" s="2696">
        <f t="shared" si="78"/>
        <v>287.68</v>
      </c>
      <c r="R133" s="2696">
        <f t="shared" si="78"/>
        <v>287.68</v>
      </c>
      <c r="S133" s="2697">
        <f t="shared" si="78"/>
        <v>278.39999999999998</v>
      </c>
      <c r="T133" s="155" t="s">
        <v>664</v>
      </c>
    </row>
    <row r="134" spans="1:20" x14ac:dyDescent="0.25">
      <c r="A134" s="3474"/>
      <c r="B134" s="3471" t="s">
        <v>516</v>
      </c>
      <c r="C134" s="2609" t="s">
        <v>3</v>
      </c>
      <c r="D134" s="2712" t="s">
        <v>22</v>
      </c>
      <c r="E134" s="2515">
        <v>0</v>
      </c>
      <c r="F134" s="2515">
        <v>0</v>
      </c>
      <c r="G134" s="2515">
        <v>0</v>
      </c>
      <c r="H134" s="2515">
        <v>0</v>
      </c>
      <c r="I134" s="2515">
        <v>0</v>
      </c>
      <c r="J134" s="2515">
        <v>0</v>
      </c>
      <c r="K134" s="2515">
        <v>0</v>
      </c>
      <c r="L134" s="2515">
        <v>0</v>
      </c>
      <c r="M134" s="2515">
        <v>0</v>
      </c>
      <c r="N134" s="2515">
        <v>0</v>
      </c>
      <c r="O134" s="2515">
        <v>0</v>
      </c>
      <c r="P134" s="2515">
        <v>0</v>
      </c>
      <c r="Q134" s="2515">
        <v>0</v>
      </c>
      <c r="R134" s="2515">
        <v>0</v>
      </c>
      <c r="S134" s="2516">
        <v>0</v>
      </c>
      <c r="T134" s="155" t="s">
        <v>664</v>
      </c>
    </row>
    <row r="135" spans="1:20" x14ac:dyDescent="0.25">
      <c r="A135" s="3474"/>
      <c r="B135" s="3471" t="s">
        <v>673</v>
      </c>
      <c r="C135" s="2705" t="s">
        <v>631</v>
      </c>
      <c r="D135" s="2712" t="s">
        <v>22</v>
      </c>
      <c r="E135" s="2515">
        <v>0</v>
      </c>
      <c r="F135" s="2515">
        <v>0</v>
      </c>
      <c r="G135" s="2515">
        <v>0</v>
      </c>
      <c r="H135" s="2515">
        <v>0</v>
      </c>
      <c r="I135" s="2515">
        <v>0</v>
      </c>
      <c r="J135" s="2515">
        <v>0</v>
      </c>
      <c r="K135" s="2515">
        <v>0</v>
      </c>
      <c r="L135" s="2515">
        <v>0</v>
      </c>
      <c r="M135" s="2515">
        <v>0</v>
      </c>
      <c r="N135" s="2515">
        <v>0</v>
      </c>
      <c r="O135" s="2515">
        <v>0</v>
      </c>
      <c r="P135" s="2515">
        <v>0</v>
      </c>
      <c r="Q135" s="2515">
        <v>0</v>
      </c>
      <c r="R135" s="2515">
        <v>0</v>
      </c>
      <c r="S135" s="2516">
        <v>0</v>
      </c>
      <c r="T135" s="155" t="s">
        <v>481</v>
      </c>
    </row>
    <row r="136" spans="1:20" x14ac:dyDescent="0.25">
      <c r="A136" s="3474"/>
      <c r="B136" s="3471" t="s">
        <v>674</v>
      </c>
      <c r="C136" s="2705" t="s">
        <v>630</v>
      </c>
      <c r="D136" s="2712" t="s">
        <v>22</v>
      </c>
      <c r="E136" s="2515">
        <v>0</v>
      </c>
      <c r="F136" s="2515">
        <v>0</v>
      </c>
      <c r="G136" s="2515">
        <v>0</v>
      </c>
      <c r="H136" s="2515">
        <v>0</v>
      </c>
      <c r="I136" s="2515">
        <v>0</v>
      </c>
      <c r="J136" s="2515">
        <v>0</v>
      </c>
      <c r="K136" s="2515">
        <v>0</v>
      </c>
      <c r="L136" s="2515">
        <v>0</v>
      </c>
      <c r="M136" s="2515">
        <v>0</v>
      </c>
      <c r="N136" s="2515">
        <v>0</v>
      </c>
      <c r="O136" s="2515">
        <v>0</v>
      </c>
      <c r="P136" s="2515">
        <v>0</v>
      </c>
      <c r="Q136" s="2515">
        <v>0</v>
      </c>
      <c r="R136" s="2515">
        <v>0</v>
      </c>
      <c r="S136" s="2516">
        <v>0</v>
      </c>
      <c r="T136" s="155" t="s">
        <v>481</v>
      </c>
    </row>
    <row r="137" spans="1:20" x14ac:dyDescent="0.25">
      <c r="A137" s="3474"/>
      <c r="B137" s="3471" t="s">
        <v>517</v>
      </c>
      <c r="C137" s="2609" t="s">
        <v>173</v>
      </c>
      <c r="D137" s="2712" t="s">
        <v>22</v>
      </c>
      <c r="E137" s="2515">
        <v>0</v>
      </c>
      <c r="F137" s="2515">
        <v>0</v>
      </c>
      <c r="G137" s="2515">
        <v>0</v>
      </c>
      <c r="H137" s="2515">
        <v>0</v>
      </c>
      <c r="I137" s="2515">
        <v>0</v>
      </c>
      <c r="J137" s="2515">
        <v>0</v>
      </c>
      <c r="K137" s="2515">
        <v>0</v>
      </c>
      <c r="L137" s="2515">
        <v>0</v>
      </c>
      <c r="M137" s="2515">
        <v>0</v>
      </c>
      <c r="N137" s="2515">
        <v>0</v>
      </c>
      <c r="O137" s="2515">
        <v>0</v>
      </c>
      <c r="P137" s="2515">
        <v>0</v>
      </c>
      <c r="Q137" s="2515">
        <v>0</v>
      </c>
      <c r="R137" s="2515">
        <v>0</v>
      </c>
      <c r="S137" s="2516">
        <v>0</v>
      </c>
      <c r="T137" s="155" t="s">
        <v>664</v>
      </c>
    </row>
    <row r="138" spans="1:20" x14ac:dyDescent="0.25">
      <c r="A138" s="3474"/>
      <c r="B138" s="3471" t="s">
        <v>675</v>
      </c>
      <c r="C138" s="2705" t="s">
        <v>631</v>
      </c>
      <c r="D138" s="2708" t="s">
        <v>22</v>
      </c>
      <c r="E138" s="2515">
        <v>0</v>
      </c>
      <c r="F138" s="2515">
        <v>0</v>
      </c>
      <c r="G138" s="2515">
        <v>0</v>
      </c>
      <c r="H138" s="2515">
        <v>0</v>
      </c>
      <c r="I138" s="2515">
        <v>0</v>
      </c>
      <c r="J138" s="2515">
        <v>0</v>
      </c>
      <c r="K138" s="2515">
        <v>0</v>
      </c>
      <c r="L138" s="2515">
        <v>0</v>
      </c>
      <c r="M138" s="2515">
        <v>0</v>
      </c>
      <c r="N138" s="2515">
        <v>0</v>
      </c>
      <c r="O138" s="2515">
        <v>0</v>
      </c>
      <c r="P138" s="2515">
        <v>0</v>
      </c>
      <c r="Q138" s="2515">
        <v>0</v>
      </c>
      <c r="R138" s="2515">
        <v>0</v>
      </c>
      <c r="S138" s="2516">
        <v>0</v>
      </c>
      <c r="T138" s="155" t="s">
        <v>481</v>
      </c>
    </row>
    <row r="139" spans="1:20" x14ac:dyDescent="0.25">
      <c r="A139" s="3474"/>
      <c r="B139" s="3471" t="s">
        <v>676</v>
      </c>
      <c r="C139" s="2705" t="s">
        <v>630</v>
      </c>
      <c r="D139" s="2708" t="s">
        <v>22</v>
      </c>
      <c r="E139" s="2515">
        <v>0</v>
      </c>
      <c r="F139" s="2515">
        <v>0</v>
      </c>
      <c r="G139" s="2515">
        <v>0</v>
      </c>
      <c r="H139" s="2515">
        <v>0</v>
      </c>
      <c r="I139" s="2515">
        <v>0</v>
      </c>
      <c r="J139" s="2515">
        <v>0</v>
      </c>
      <c r="K139" s="2515">
        <v>0</v>
      </c>
      <c r="L139" s="2515">
        <v>0</v>
      </c>
      <c r="M139" s="2515">
        <v>0</v>
      </c>
      <c r="N139" s="2515">
        <v>0</v>
      </c>
      <c r="O139" s="2515">
        <v>0</v>
      </c>
      <c r="P139" s="2515">
        <v>0</v>
      </c>
      <c r="Q139" s="2515">
        <v>0</v>
      </c>
      <c r="R139" s="2515">
        <v>0</v>
      </c>
      <c r="S139" s="2516">
        <v>0</v>
      </c>
      <c r="T139" s="155" t="s">
        <v>481</v>
      </c>
    </row>
    <row r="140" spans="1:20" x14ac:dyDescent="0.25">
      <c r="A140" s="3474"/>
      <c r="B140" s="3471" t="s">
        <v>518</v>
      </c>
      <c r="C140" s="2609" t="s">
        <v>98</v>
      </c>
      <c r="D140" s="2708" t="s">
        <v>22</v>
      </c>
      <c r="E140" s="2515">
        <v>0</v>
      </c>
      <c r="F140" s="2515">
        <v>0</v>
      </c>
      <c r="G140" s="2515">
        <v>0</v>
      </c>
      <c r="H140" s="2515">
        <v>0</v>
      </c>
      <c r="I140" s="2515">
        <v>0</v>
      </c>
      <c r="J140" s="2515">
        <v>0</v>
      </c>
      <c r="K140" s="2515">
        <v>0</v>
      </c>
      <c r="L140" s="2515">
        <v>0</v>
      </c>
      <c r="M140" s="2515">
        <v>0</v>
      </c>
      <c r="N140" s="2515">
        <v>0</v>
      </c>
      <c r="O140" s="2515">
        <v>0</v>
      </c>
      <c r="P140" s="2515">
        <v>0</v>
      </c>
      <c r="Q140" s="2515">
        <v>0</v>
      </c>
      <c r="R140" s="2515">
        <v>0</v>
      </c>
      <c r="S140" s="2516">
        <v>0</v>
      </c>
      <c r="T140" s="155" t="s">
        <v>668</v>
      </c>
    </row>
    <row r="141" spans="1:20" x14ac:dyDescent="0.25">
      <c r="A141" s="3474"/>
      <c r="B141" s="3471" t="s">
        <v>677</v>
      </c>
      <c r="C141" s="2705" t="s">
        <v>631</v>
      </c>
      <c r="D141" s="2708" t="s">
        <v>22</v>
      </c>
      <c r="E141" s="2515">
        <v>0</v>
      </c>
      <c r="F141" s="2515">
        <v>0</v>
      </c>
      <c r="G141" s="2515">
        <v>0</v>
      </c>
      <c r="H141" s="2515">
        <v>0</v>
      </c>
      <c r="I141" s="2515">
        <v>0</v>
      </c>
      <c r="J141" s="2515">
        <v>0</v>
      </c>
      <c r="K141" s="2515">
        <v>0</v>
      </c>
      <c r="L141" s="2515">
        <v>0</v>
      </c>
      <c r="M141" s="2515">
        <v>0</v>
      </c>
      <c r="N141" s="2515">
        <v>0</v>
      </c>
      <c r="O141" s="2515">
        <v>0</v>
      </c>
      <c r="P141" s="2515">
        <v>0</v>
      </c>
      <c r="Q141" s="2515">
        <v>0</v>
      </c>
      <c r="R141" s="2515">
        <v>0</v>
      </c>
      <c r="S141" s="2516">
        <v>0</v>
      </c>
      <c r="T141" s="155" t="s">
        <v>481</v>
      </c>
    </row>
    <row r="142" spans="1:20" x14ac:dyDescent="0.25">
      <c r="A142" s="3474"/>
      <c r="B142" s="3471" t="s">
        <v>678</v>
      </c>
      <c r="C142" s="2705" t="s">
        <v>630</v>
      </c>
      <c r="D142" s="2708" t="s">
        <v>22</v>
      </c>
      <c r="E142" s="2515">
        <v>0</v>
      </c>
      <c r="F142" s="2515">
        <v>0</v>
      </c>
      <c r="G142" s="2515">
        <v>0</v>
      </c>
      <c r="H142" s="2515">
        <v>0</v>
      </c>
      <c r="I142" s="2515">
        <v>0</v>
      </c>
      <c r="J142" s="2515">
        <v>0</v>
      </c>
      <c r="K142" s="2515">
        <v>0</v>
      </c>
      <c r="L142" s="2515">
        <v>0</v>
      </c>
      <c r="M142" s="2515">
        <v>0</v>
      </c>
      <c r="N142" s="2515">
        <v>0</v>
      </c>
      <c r="O142" s="2515">
        <v>0</v>
      </c>
      <c r="P142" s="2515">
        <v>0</v>
      </c>
      <c r="Q142" s="2515">
        <v>0</v>
      </c>
      <c r="R142" s="2515">
        <v>0</v>
      </c>
      <c r="S142" s="2516">
        <v>0</v>
      </c>
      <c r="T142" s="155" t="s">
        <v>481</v>
      </c>
    </row>
    <row r="143" spans="1:20" x14ac:dyDescent="0.25">
      <c r="A143" s="3474"/>
      <c r="B143" s="2912" t="s">
        <v>519</v>
      </c>
      <c r="C143" s="2609" t="s">
        <v>99</v>
      </c>
      <c r="D143" s="2708" t="s">
        <v>22</v>
      </c>
      <c r="E143" s="2515">
        <v>0</v>
      </c>
      <c r="F143" s="2515">
        <v>0</v>
      </c>
      <c r="G143" s="2515">
        <f>SUM(H143:S143)</f>
        <v>3387.2</v>
      </c>
      <c r="H143" s="2684">
        <f>H144+H145</f>
        <v>287.68</v>
      </c>
      <c r="I143" s="2684">
        <f t="shared" ref="I143:S143" si="79">I144+I145</f>
        <v>278.39999999999998</v>
      </c>
      <c r="J143" s="2684">
        <f t="shared" si="79"/>
        <v>287.68</v>
      </c>
      <c r="K143" s="2684">
        <f t="shared" si="79"/>
        <v>287.68</v>
      </c>
      <c r="L143" s="2684">
        <f t="shared" si="79"/>
        <v>259.83999999999997</v>
      </c>
      <c r="M143" s="2684">
        <f t="shared" si="79"/>
        <v>287.68</v>
      </c>
      <c r="N143" s="2684">
        <f t="shared" si="79"/>
        <v>278.39999999999998</v>
      </c>
      <c r="O143" s="2684">
        <f t="shared" si="79"/>
        <v>287.68</v>
      </c>
      <c r="P143" s="2684">
        <f t="shared" si="79"/>
        <v>278.39999999999998</v>
      </c>
      <c r="Q143" s="2684">
        <f t="shared" si="79"/>
        <v>287.68</v>
      </c>
      <c r="R143" s="2684">
        <f t="shared" si="79"/>
        <v>287.68</v>
      </c>
      <c r="S143" s="2685">
        <f t="shared" si="79"/>
        <v>278.39999999999998</v>
      </c>
      <c r="T143" s="155" t="s">
        <v>664</v>
      </c>
    </row>
    <row r="144" spans="1:20" x14ac:dyDescent="0.25">
      <c r="A144" s="3474"/>
      <c r="B144" s="2912" t="s">
        <v>679</v>
      </c>
      <c r="C144" s="2705" t="s">
        <v>631</v>
      </c>
      <c r="D144" s="2708" t="s">
        <v>22</v>
      </c>
      <c r="E144" s="2515">
        <v>0</v>
      </c>
      <c r="F144" s="2515">
        <v>0</v>
      </c>
      <c r="G144" s="2515">
        <f t="shared" ref="G144:G145" si="80">SUM(H144:S144)</f>
        <v>620.86</v>
      </c>
      <c r="H144" s="2684">
        <f>'Розрахунки Річного плану'!M122</f>
        <v>52.73</v>
      </c>
      <c r="I144" s="2684">
        <f>'Розрахунки Річного плану'!N122</f>
        <v>51.03</v>
      </c>
      <c r="J144" s="2684">
        <f>'Розрахунки Річного плану'!O122</f>
        <v>52.73</v>
      </c>
      <c r="K144" s="2684">
        <f>'Розрахунки Річного плану'!D122</f>
        <v>52.73</v>
      </c>
      <c r="L144" s="2684">
        <f>'Розрахунки Річного плану'!E122</f>
        <v>47.63</v>
      </c>
      <c r="M144" s="2684">
        <f>'Розрахунки Річного плану'!F122</f>
        <v>52.73</v>
      </c>
      <c r="N144" s="2684">
        <f>'Розрахунки Річного плану'!G122</f>
        <v>51.03</v>
      </c>
      <c r="O144" s="2684">
        <f>'Розрахунки Річного плану'!H122</f>
        <v>52.73</v>
      </c>
      <c r="P144" s="2684">
        <f>'Розрахунки Річного плану'!I122</f>
        <v>51.03</v>
      </c>
      <c r="Q144" s="2684">
        <f>'Розрахунки Річного плану'!J122</f>
        <v>52.73</v>
      </c>
      <c r="R144" s="2684">
        <f>'Розрахунки Річного плану'!K122</f>
        <v>52.73</v>
      </c>
      <c r="S144" s="2685">
        <f>'Розрахунки Річного плану'!L122</f>
        <v>51.03</v>
      </c>
      <c r="T144" s="3502">
        <f>'Розрахунки Річного плану'!M122</f>
        <v>52.73</v>
      </c>
    </row>
    <row r="145" spans="1:20" ht="15.75" thickBot="1" x14ac:dyDescent="0.3">
      <c r="A145" s="3474"/>
      <c r="B145" s="2919" t="s">
        <v>680</v>
      </c>
      <c r="C145" s="2709" t="s">
        <v>630</v>
      </c>
      <c r="D145" s="2710" t="s">
        <v>22</v>
      </c>
      <c r="E145" s="2658">
        <v>0</v>
      </c>
      <c r="F145" s="2658">
        <v>0</v>
      </c>
      <c r="G145" s="2658">
        <f t="shared" si="80"/>
        <v>2766.34</v>
      </c>
      <c r="H145" s="2687">
        <f>'Розрахунки Річного плану'!M125</f>
        <v>234.95</v>
      </c>
      <c r="I145" s="2687">
        <f>'Розрахунки Річного плану'!N125</f>
        <v>227.37</v>
      </c>
      <c r="J145" s="2687">
        <f>'Розрахунки Річного плану'!O125</f>
        <v>234.95</v>
      </c>
      <c r="K145" s="2687">
        <f>'Розрахунки Річного плану'!D125</f>
        <v>234.95</v>
      </c>
      <c r="L145" s="2687">
        <f>'Розрахунки Річного плану'!E125</f>
        <v>212.21</v>
      </c>
      <c r="M145" s="2687">
        <f>'Розрахунки Річного плану'!F125</f>
        <v>234.95</v>
      </c>
      <c r="N145" s="2687">
        <f>'Розрахунки Річного плану'!G125</f>
        <v>227.37</v>
      </c>
      <c r="O145" s="2687">
        <f>'Розрахунки Річного плану'!H125</f>
        <v>234.95</v>
      </c>
      <c r="P145" s="2687">
        <f>'Розрахунки Річного плану'!I125</f>
        <v>227.37</v>
      </c>
      <c r="Q145" s="2687">
        <f>'Розрахунки Річного плану'!J125</f>
        <v>234.95</v>
      </c>
      <c r="R145" s="2687">
        <f>'Розрахунки Річного плану'!K125</f>
        <v>234.95</v>
      </c>
      <c r="S145" s="3503">
        <f>'Розрахунки Річного плану'!L125</f>
        <v>227.37</v>
      </c>
      <c r="T145" s="155" t="s">
        <v>481</v>
      </c>
    </row>
    <row r="146" spans="1:20" x14ac:dyDescent="0.25">
      <c r="B146" s="2922"/>
      <c r="C146" s="2698"/>
      <c r="D146" s="2698"/>
      <c r="E146" s="2698"/>
      <c r="F146" s="2698"/>
      <c r="G146" s="2698"/>
      <c r="H146" s="2698"/>
      <c r="I146" s="2698"/>
      <c r="J146" s="2698"/>
      <c r="K146" s="2698"/>
      <c r="L146" s="2698"/>
      <c r="M146" s="2698"/>
      <c r="N146" s="2698"/>
      <c r="O146" s="2698"/>
      <c r="P146" s="2698"/>
      <c r="Q146" s="2698"/>
      <c r="R146" s="2698"/>
      <c r="S146" s="2698"/>
    </row>
    <row r="147" spans="1:20" x14ac:dyDescent="0.25">
      <c r="B147" s="2922"/>
      <c r="C147" s="2698"/>
      <c r="D147" s="2698"/>
      <c r="E147" s="2698"/>
      <c r="F147" s="2698"/>
      <c r="G147" s="2698"/>
      <c r="H147" s="2698"/>
      <c r="I147" s="2698"/>
      <c r="J147" s="2698"/>
      <c r="K147" s="2698"/>
      <c r="L147" s="2698"/>
      <c r="M147" s="2698"/>
      <c r="N147" s="2698"/>
      <c r="O147" s="2698"/>
      <c r="P147" s="2698"/>
      <c r="Q147" s="2698"/>
      <c r="R147" s="2698"/>
      <c r="S147" s="2698"/>
    </row>
    <row r="148" spans="1:20" x14ac:dyDescent="0.25">
      <c r="B148" s="2922"/>
      <c r="C148" s="2698"/>
      <c r="D148" s="2698"/>
      <c r="E148" s="2698"/>
      <c r="F148" s="2698"/>
      <c r="G148" s="2698"/>
      <c r="H148" s="2698"/>
      <c r="I148" s="2698"/>
      <c r="J148" s="2698"/>
      <c r="K148" s="2698"/>
      <c r="L148" s="2698"/>
      <c r="M148" s="2698"/>
      <c r="N148" s="2698"/>
      <c r="O148" s="2698"/>
      <c r="P148" s="2698"/>
      <c r="Q148" s="2698"/>
      <c r="R148" s="2698"/>
      <c r="S148" s="2698"/>
    </row>
    <row r="149" spans="1:20" s="533" customFormat="1" ht="15.75" x14ac:dyDescent="0.25">
      <c r="B149" s="2923"/>
      <c r="C149" s="2699"/>
      <c r="D149" s="2699"/>
      <c r="E149" s="2699"/>
      <c r="F149" s="2699"/>
      <c r="G149" s="2699"/>
      <c r="H149" s="2699"/>
      <c r="I149" s="2699"/>
      <c r="J149" s="2699"/>
      <c r="K149" s="2699"/>
      <c r="L149" s="2699"/>
      <c r="M149" s="2700"/>
      <c r="N149" s="2701"/>
      <c r="O149" s="2701"/>
      <c r="P149" s="2701"/>
      <c r="Q149" s="2701"/>
      <c r="R149" s="2701"/>
      <c r="S149" s="2701"/>
    </row>
    <row r="150" spans="1:20" s="533" customFormat="1" ht="15.75" x14ac:dyDescent="0.25">
      <c r="B150" s="2923"/>
      <c r="C150" s="2701"/>
      <c r="D150" s="2701"/>
      <c r="E150" s="2701"/>
      <c r="F150" s="2701"/>
      <c r="G150" s="2701"/>
      <c r="H150" s="2701"/>
      <c r="I150" s="2701"/>
      <c r="J150" s="2701"/>
      <c r="K150" s="2701"/>
      <c r="L150" s="2701"/>
      <c r="M150" s="2701"/>
      <c r="N150" s="2701"/>
      <c r="O150" s="2701"/>
      <c r="P150" s="2701"/>
      <c r="Q150" s="2701"/>
      <c r="R150" s="2701"/>
      <c r="S150" s="2701"/>
    </row>
    <row r="151" spans="1:20" x14ac:dyDescent="0.25">
      <c r="B151" s="2922"/>
      <c r="C151" s="2698"/>
      <c r="D151" s="2698"/>
      <c r="E151" s="2698"/>
      <c r="F151" s="2698"/>
      <c r="G151" s="2698"/>
      <c r="H151" s="2698"/>
      <c r="I151" s="2698"/>
      <c r="J151" s="2698"/>
      <c r="K151" s="2698"/>
      <c r="L151" s="2698"/>
      <c r="M151" s="2698"/>
      <c r="N151" s="2698"/>
      <c r="O151" s="2698"/>
      <c r="P151" s="2698"/>
      <c r="Q151" s="2698"/>
      <c r="R151" s="2698"/>
      <c r="S151" s="2698"/>
    </row>
    <row r="152" spans="1:20" ht="15.75" x14ac:dyDescent="0.25">
      <c r="B152" s="2922"/>
      <c r="C152" s="2703" t="str">
        <f>'Вхідні дані'!B13</f>
        <v>Начальник Адміністрації морського порту Чорноморськ</v>
      </c>
      <c r="D152" s="2700"/>
      <c r="E152" s="2700"/>
      <c r="F152" s="2700"/>
      <c r="G152" s="3799" t="s">
        <v>218</v>
      </c>
      <c r="H152" s="3703"/>
      <c r="I152" s="3703"/>
      <c r="J152" s="3703"/>
      <c r="K152" s="2700"/>
      <c r="L152" s="2700"/>
      <c r="M152" s="2700"/>
      <c r="N152" s="2700"/>
      <c r="O152" s="3800" t="str">
        <f>'Вхідні дані'!F13</f>
        <v>Максим ШИРОКОВ</v>
      </c>
      <c r="P152" s="3801"/>
      <c r="Q152" s="3801"/>
      <c r="R152" s="3801"/>
      <c r="S152" s="2702"/>
    </row>
    <row r="153" spans="1:20" ht="15.75" x14ac:dyDescent="0.25">
      <c r="B153" s="2922"/>
      <c r="C153" s="2704" t="s">
        <v>241</v>
      </c>
      <c r="D153" s="2700"/>
      <c r="E153" s="2700"/>
      <c r="F153" s="2700"/>
      <c r="G153" s="3795" t="s">
        <v>219</v>
      </c>
      <c r="H153" s="3796"/>
      <c r="I153" s="3796"/>
      <c r="J153" s="3796"/>
      <c r="K153" s="2700"/>
      <c r="L153" s="2700"/>
      <c r="M153" s="2700"/>
      <c r="N153" s="2700"/>
      <c r="O153" s="3797" t="s">
        <v>3257</v>
      </c>
      <c r="P153" s="3798"/>
      <c r="Q153" s="3798"/>
      <c r="R153" s="3798"/>
      <c r="S153" s="2702"/>
    </row>
    <row r="154" spans="1:20" x14ac:dyDescent="0.25">
      <c r="B154" s="2922"/>
      <c r="C154" s="2924"/>
      <c r="D154" s="2698"/>
      <c r="E154" s="2698"/>
      <c r="F154" s="2698"/>
      <c r="G154" s="2925"/>
      <c r="H154" s="2926"/>
      <c r="I154" s="2926"/>
      <c r="J154" s="2926"/>
      <c r="K154" s="2698"/>
      <c r="L154" s="2698"/>
      <c r="M154" s="2698"/>
      <c r="N154" s="2698"/>
      <c r="O154" s="2925"/>
      <c r="P154" s="2926"/>
      <c r="Q154" s="2926"/>
      <c r="R154" s="2926"/>
      <c r="S154" s="2698"/>
    </row>
    <row r="157" spans="1:20" x14ac:dyDescent="0.25">
      <c r="C157" s="51" t="s">
        <v>1603</v>
      </c>
      <c r="D157" s="1215">
        <f>D158+D159</f>
        <v>9459.3799999999992</v>
      </c>
      <c r="E157" s="1216">
        <f>D157/$D$157</f>
        <v>1</v>
      </c>
      <c r="F157" s="1084"/>
    </row>
    <row r="158" spans="1:20" x14ac:dyDescent="0.25">
      <c r="C158" s="12" t="s">
        <v>631</v>
      </c>
      <c r="D158" s="609">
        <f>G118+G125+G128+G131+G141+G144</f>
        <v>1198.73</v>
      </c>
      <c r="E158" s="2625">
        <f>ROUND(D158/$D$157,6)</f>
        <v>0.126724</v>
      </c>
      <c r="F158" s="2105"/>
    </row>
    <row r="159" spans="1:20" x14ac:dyDescent="0.25">
      <c r="C159" s="12" t="s">
        <v>630</v>
      </c>
      <c r="D159" s="609">
        <f>G121+G126+G129+G132+G142+G145</f>
        <v>8260.65</v>
      </c>
      <c r="E159" s="2625">
        <f>ROUND(D159/$D$157,6)</f>
        <v>0.87327600000000005</v>
      </c>
      <c r="F159" s="2105"/>
    </row>
    <row r="160" spans="1:20" x14ac:dyDescent="0.25">
      <c r="C160" s="51" t="s">
        <v>2098</v>
      </c>
      <c r="D160" s="1215">
        <f>D161+D162</f>
        <v>8.7200000000000006</v>
      </c>
      <c r="E160" s="1216">
        <f>D160/$D$160</f>
        <v>1</v>
      </c>
    </row>
    <row r="161" spans="2:20" x14ac:dyDescent="0.25">
      <c r="C161" s="12" t="s">
        <v>631</v>
      </c>
      <c r="D161" s="609">
        <f>G97+G104+G107+G110</f>
        <v>1.24</v>
      </c>
      <c r="E161" s="1181">
        <f>ROUND(D161/$D$160,5)</f>
        <v>0.14219999999999999</v>
      </c>
      <c r="K161" s="86"/>
    </row>
    <row r="162" spans="2:20" x14ac:dyDescent="0.25">
      <c r="C162" s="12" t="s">
        <v>630</v>
      </c>
      <c r="D162" s="609">
        <f>G100+G105+G108+G111</f>
        <v>7.48</v>
      </c>
      <c r="E162" s="1181">
        <f>ROUND(D162/$D$160,5)</f>
        <v>0.85780000000000001</v>
      </c>
    </row>
    <row r="165" spans="2:20" s="1823" customFormat="1" x14ac:dyDescent="0.25">
      <c r="B165" s="1822"/>
      <c r="C165" s="1826" t="s">
        <v>2410</v>
      </c>
      <c r="D165" s="1826"/>
      <c r="E165" s="1827">
        <f t="shared" ref="E165:S165" si="81">E14</f>
        <v>12974.94</v>
      </c>
      <c r="F165" s="1827">
        <f t="shared" si="81"/>
        <v>14029.59</v>
      </c>
      <c r="G165" s="1827">
        <f t="shared" si="81"/>
        <v>13172.79</v>
      </c>
      <c r="H165" s="1827">
        <f t="shared" si="81"/>
        <v>370.93</v>
      </c>
      <c r="I165" s="1827">
        <f t="shared" si="81"/>
        <v>1657.94</v>
      </c>
      <c r="J165" s="1827">
        <f t="shared" si="81"/>
        <v>2154.6799999999998</v>
      </c>
      <c r="K165" s="1827">
        <f t="shared" si="81"/>
        <v>2636.45</v>
      </c>
      <c r="L165" s="1827">
        <f t="shared" si="81"/>
        <v>1997.06</v>
      </c>
      <c r="M165" s="1827">
        <f t="shared" si="81"/>
        <v>2036.25</v>
      </c>
      <c r="N165" s="1827">
        <f t="shared" si="81"/>
        <v>469.21</v>
      </c>
      <c r="O165" s="1827">
        <f t="shared" si="81"/>
        <v>447.1</v>
      </c>
      <c r="P165" s="1827">
        <f t="shared" si="81"/>
        <v>361.48</v>
      </c>
      <c r="Q165" s="1827">
        <f t="shared" si="81"/>
        <v>347.35</v>
      </c>
      <c r="R165" s="1827">
        <f t="shared" si="81"/>
        <v>348.35</v>
      </c>
      <c r="S165" s="1827">
        <f t="shared" si="81"/>
        <v>346</v>
      </c>
    </row>
    <row r="166" spans="2:20" s="1825" customFormat="1" x14ac:dyDescent="0.25">
      <c r="B166" s="1824"/>
      <c r="C166" s="1828" t="s">
        <v>2221</v>
      </c>
      <c r="D166" s="1828"/>
      <c r="E166" s="1829">
        <f t="shared" ref="E166:S166" si="82">E17</f>
        <v>0</v>
      </c>
      <c r="F166" s="1829">
        <f t="shared" si="82"/>
        <v>0</v>
      </c>
      <c r="G166" s="1829">
        <f t="shared" si="82"/>
        <v>1406.29</v>
      </c>
      <c r="H166" s="1829">
        <f t="shared" si="82"/>
        <v>60.59</v>
      </c>
      <c r="I166" s="1829">
        <f t="shared" si="82"/>
        <v>158.11000000000001</v>
      </c>
      <c r="J166" s="1829">
        <f t="shared" si="82"/>
        <v>201.68</v>
      </c>
      <c r="K166" s="1829">
        <f t="shared" si="82"/>
        <v>245.57</v>
      </c>
      <c r="L166" s="1829">
        <f t="shared" si="82"/>
        <v>179.17</v>
      </c>
      <c r="M166" s="1829">
        <f t="shared" si="82"/>
        <v>189.8</v>
      </c>
      <c r="N166" s="1829">
        <f t="shared" si="82"/>
        <v>69.64</v>
      </c>
      <c r="O166" s="1829">
        <f t="shared" si="82"/>
        <v>70.91</v>
      </c>
      <c r="P166" s="1829">
        <f t="shared" si="82"/>
        <v>58.98</v>
      </c>
      <c r="Q166" s="1829">
        <f t="shared" si="82"/>
        <v>57.54</v>
      </c>
      <c r="R166" s="1829">
        <f t="shared" si="82"/>
        <v>57.4</v>
      </c>
      <c r="S166" s="1829">
        <f t="shared" si="82"/>
        <v>56.89</v>
      </c>
    </row>
    <row r="167" spans="2:20" s="1825" customFormat="1" x14ac:dyDescent="0.25">
      <c r="B167" s="1824"/>
      <c r="C167" s="1828" t="s">
        <v>2222</v>
      </c>
      <c r="D167" s="1828"/>
      <c r="E167" s="1829">
        <f t="shared" ref="E167:S167" si="83">E18</f>
        <v>0</v>
      </c>
      <c r="F167" s="1829">
        <f t="shared" si="83"/>
        <v>0</v>
      </c>
      <c r="G167" s="1829">
        <f t="shared" si="83"/>
        <v>9348.59</v>
      </c>
      <c r="H167" s="1829">
        <f t="shared" si="83"/>
        <v>279.67</v>
      </c>
      <c r="I167" s="1829">
        <f t="shared" si="83"/>
        <v>1163.54</v>
      </c>
      <c r="J167" s="1829">
        <f t="shared" si="83"/>
        <v>1505.09</v>
      </c>
      <c r="K167" s="1829">
        <f t="shared" si="83"/>
        <v>1834.12</v>
      </c>
      <c r="L167" s="1829">
        <f t="shared" si="83"/>
        <v>1397.42</v>
      </c>
      <c r="M167" s="1829">
        <f t="shared" si="83"/>
        <v>1424.53</v>
      </c>
      <c r="N167" s="1829">
        <f t="shared" si="83"/>
        <v>348.66</v>
      </c>
      <c r="O167" s="1829">
        <f t="shared" si="83"/>
        <v>339.02</v>
      </c>
      <c r="P167" s="1829">
        <f t="shared" si="83"/>
        <v>272.62</v>
      </c>
      <c r="Q167" s="1829">
        <f t="shared" si="83"/>
        <v>261.17</v>
      </c>
      <c r="R167" s="1829">
        <f t="shared" si="83"/>
        <v>262.2</v>
      </c>
      <c r="S167" s="1829">
        <f t="shared" si="83"/>
        <v>260.55</v>
      </c>
    </row>
    <row r="168" spans="2:20" s="1823" customFormat="1" x14ac:dyDescent="0.25">
      <c r="B168" s="1822"/>
      <c r="C168" s="1826" t="s">
        <v>2404</v>
      </c>
      <c r="D168" s="1826"/>
      <c r="E168" s="1827">
        <f t="shared" ref="E168:S168" si="84">E19</f>
        <v>98.61</v>
      </c>
      <c r="F168" s="1827">
        <f t="shared" si="84"/>
        <v>1113.95</v>
      </c>
      <c r="G168" s="1827">
        <f t="shared" si="84"/>
        <v>105.38</v>
      </c>
      <c r="H168" s="1827">
        <f t="shared" si="84"/>
        <v>2.97</v>
      </c>
      <c r="I168" s="1827">
        <f t="shared" si="84"/>
        <v>13.26</v>
      </c>
      <c r="J168" s="1827">
        <f t="shared" si="84"/>
        <v>17.239999999999998</v>
      </c>
      <c r="K168" s="1827">
        <f t="shared" si="84"/>
        <v>21.09</v>
      </c>
      <c r="L168" s="1827">
        <f t="shared" si="84"/>
        <v>15.98</v>
      </c>
      <c r="M168" s="1827">
        <f t="shared" si="84"/>
        <v>16.29</v>
      </c>
      <c r="N168" s="1827">
        <f t="shared" si="84"/>
        <v>3.75</v>
      </c>
      <c r="O168" s="1827">
        <f t="shared" si="84"/>
        <v>3.58</v>
      </c>
      <c r="P168" s="1827">
        <f t="shared" si="84"/>
        <v>2.89</v>
      </c>
      <c r="Q168" s="1827">
        <f t="shared" si="84"/>
        <v>2.78</v>
      </c>
      <c r="R168" s="1827">
        <f t="shared" si="84"/>
        <v>2.79</v>
      </c>
      <c r="S168" s="1827">
        <f t="shared" si="84"/>
        <v>2.77</v>
      </c>
      <c r="T168" s="1827" t="str">
        <f>T19</f>
        <v>новий рядок</v>
      </c>
    </row>
    <row r="169" spans="2:20" s="1825" customFormat="1" x14ac:dyDescent="0.25">
      <c r="B169" s="1824"/>
      <c r="C169" s="1828" t="s">
        <v>2221</v>
      </c>
      <c r="D169" s="1828"/>
      <c r="E169" s="1829">
        <f t="shared" ref="E169:S169" si="85">E22</f>
        <v>0</v>
      </c>
      <c r="F169" s="1829">
        <f t="shared" si="85"/>
        <v>0</v>
      </c>
      <c r="G169" s="1829">
        <f t="shared" si="85"/>
        <v>11.25</v>
      </c>
      <c r="H169" s="1829">
        <f t="shared" si="85"/>
        <v>0.48</v>
      </c>
      <c r="I169" s="1829">
        <f t="shared" si="85"/>
        <v>1.26</v>
      </c>
      <c r="J169" s="1829">
        <f t="shared" si="85"/>
        <v>1.61</v>
      </c>
      <c r="K169" s="1829">
        <f t="shared" si="85"/>
        <v>1.96</v>
      </c>
      <c r="L169" s="1829">
        <f t="shared" si="85"/>
        <v>1.43</v>
      </c>
      <c r="M169" s="1829">
        <f t="shared" si="85"/>
        <v>1.52</v>
      </c>
      <c r="N169" s="1829">
        <f t="shared" si="85"/>
        <v>0.56000000000000005</v>
      </c>
      <c r="O169" s="1829">
        <f t="shared" si="85"/>
        <v>0.56999999999999995</v>
      </c>
      <c r="P169" s="1829">
        <f t="shared" si="85"/>
        <v>0.47</v>
      </c>
      <c r="Q169" s="1829">
        <f t="shared" si="85"/>
        <v>0.46</v>
      </c>
      <c r="R169" s="1829">
        <f t="shared" si="85"/>
        <v>0.46</v>
      </c>
      <c r="S169" s="1829">
        <f t="shared" si="85"/>
        <v>0.46</v>
      </c>
    </row>
    <row r="170" spans="2:20" s="1825" customFormat="1" x14ac:dyDescent="0.25">
      <c r="B170" s="1824"/>
      <c r="C170" s="1828" t="s">
        <v>2222</v>
      </c>
      <c r="D170" s="1828"/>
      <c r="E170" s="1829">
        <f t="shared" ref="E170:S170" si="86">E23</f>
        <v>0</v>
      </c>
      <c r="F170" s="1829">
        <f t="shared" si="86"/>
        <v>0</v>
      </c>
      <c r="G170" s="1829">
        <f t="shared" si="86"/>
        <v>74.790000000000006</v>
      </c>
      <c r="H170" s="1829">
        <f t="shared" si="86"/>
        <v>2.2400000000000002</v>
      </c>
      <c r="I170" s="1829">
        <f t="shared" si="86"/>
        <v>9.31</v>
      </c>
      <c r="J170" s="1829">
        <f t="shared" si="86"/>
        <v>12.04</v>
      </c>
      <c r="K170" s="1829">
        <f t="shared" si="86"/>
        <v>14.67</v>
      </c>
      <c r="L170" s="1829">
        <f t="shared" si="86"/>
        <v>11.18</v>
      </c>
      <c r="M170" s="1829">
        <f t="shared" si="86"/>
        <v>11.4</v>
      </c>
      <c r="N170" s="1829">
        <f t="shared" si="86"/>
        <v>2.79</v>
      </c>
      <c r="O170" s="1829">
        <f t="shared" si="86"/>
        <v>2.71</v>
      </c>
      <c r="P170" s="1829">
        <f t="shared" si="86"/>
        <v>2.1800000000000002</v>
      </c>
      <c r="Q170" s="1829">
        <f t="shared" si="86"/>
        <v>2.09</v>
      </c>
      <c r="R170" s="1829">
        <f t="shared" si="86"/>
        <v>2.1</v>
      </c>
      <c r="S170" s="1829">
        <f t="shared" si="86"/>
        <v>2.08</v>
      </c>
    </row>
    <row r="171" spans="2:20" s="1825" customFormat="1" x14ac:dyDescent="0.25">
      <c r="B171" s="1824"/>
      <c r="C171" s="1828"/>
      <c r="D171" s="1828"/>
      <c r="E171" s="1832">
        <f>E172+E168-E165</f>
        <v>0</v>
      </c>
      <c r="F171" s="1832">
        <f t="shared" ref="F171:S171" si="87">F172+F168-F165</f>
        <v>0</v>
      </c>
      <c r="G171" s="1832">
        <f t="shared" si="87"/>
        <v>0</v>
      </c>
      <c r="H171" s="1832">
        <f t="shared" si="87"/>
        <v>0</v>
      </c>
      <c r="I171" s="1832">
        <f t="shared" si="87"/>
        <v>0</v>
      </c>
      <c r="J171" s="1832">
        <f t="shared" si="87"/>
        <v>0</v>
      </c>
      <c r="K171" s="1832">
        <f t="shared" si="87"/>
        <v>0</v>
      </c>
      <c r="L171" s="1832">
        <f t="shared" si="87"/>
        <v>0</v>
      </c>
      <c r="M171" s="1832">
        <f t="shared" si="87"/>
        <v>0</v>
      </c>
      <c r="N171" s="1832">
        <f t="shared" si="87"/>
        <v>0</v>
      </c>
      <c r="O171" s="1832">
        <f t="shared" si="87"/>
        <v>0</v>
      </c>
      <c r="P171" s="1832">
        <f t="shared" si="87"/>
        <v>0</v>
      </c>
      <c r="Q171" s="1832">
        <f t="shared" si="87"/>
        <v>0</v>
      </c>
      <c r="R171" s="1832">
        <f t="shared" si="87"/>
        <v>0</v>
      </c>
      <c r="S171" s="1832">
        <f t="shared" si="87"/>
        <v>0</v>
      </c>
    </row>
    <row r="172" spans="2:20" s="1823" customFormat="1" x14ac:dyDescent="0.25">
      <c r="B172" s="1822"/>
      <c r="C172" s="1826" t="s">
        <v>2406</v>
      </c>
      <c r="D172" s="1826"/>
      <c r="E172" s="1827">
        <f t="shared" ref="E172:S172" si="88">E24</f>
        <v>12876.33</v>
      </c>
      <c r="F172" s="1827">
        <f t="shared" si="88"/>
        <v>12915.64</v>
      </c>
      <c r="G172" s="1827">
        <f t="shared" si="88"/>
        <v>13067.41</v>
      </c>
      <c r="H172" s="1827">
        <f t="shared" si="88"/>
        <v>367.96</v>
      </c>
      <c r="I172" s="1827">
        <f t="shared" si="88"/>
        <v>1644.68</v>
      </c>
      <c r="J172" s="1827">
        <f t="shared" si="88"/>
        <v>2137.44</v>
      </c>
      <c r="K172" s="1827">
        <f t="shared" si="88"/>
        <v>2615.36</v>
      </c>
      <c r="L172" s="1827">
        <f t="shared" si="88"/>
        <v>1981.08</v>
      </c>
      <c r="M172" s="1827">
        <f t="shared" si="88"/>
        <v>2019.96</v>
      </c>
      <c r="N172" s="1827">
        <f t="shared" si="88"/>
        <v>465.46</v>
      </c>
      <c r="O172" s="1827">
        <f t="shared" si="88"/>
        <v>443.52</v>
      </c>
      <c r="P172" s="1827">
        <f t="shared" si="88"/>
        <v>358.59</v>
      </c>
      <c r="Q172" s="1827">
        <f t="shared" si="88"/>
        <v>344.57</v>
      </c>
      <c r="R172" s="1827">
        <f t="shared" si="88"/>
        <v>345.56</v>
      </c>
      <c r="S172" s="1827">
        <f t="shared" si="88"/>
        <v>343.23</v>
      </c>
    </row>
    <row r="173" spans="2:20" s="1825" customFormat="1" x14ac:dyDescent="0.25">
      <c r="B173" s="1824"/>
      <c r="C173" s="1828" t="s">
        <v>2221</v>
      </c>
      <c r="D173" s="1828"/>
      <c r="E173" s="1829">
        <f t="shared" ref="E173:S173" si="89">E28+E31+E34+E37+E40</f>
        <v>0</v>
      </c>
      <c r="F173" s="1829">
        <f t="shared" si="89"/>
        <v>0</v>
      </c>
      <c r="G173" s="1829">
        <f t="shared" si="89"/>
        <v>1395.04</v>
      </c>
      <c r="H173" s="1829">
        <f t="shared" si="89"/>
        <v>60.11</v>
      </c>
      <c r="I173" s="1829">
        <f t="shared" si="89"/>
        <v>156.85</v>
      </c>
      <c r="J173" s="1829">
        <f t="shared" si="89"/>
        <v>200.07</v>
      </c>
      <c r="K173" s="1829">
        <f t="shared" si="89"/>
        <v>243.61</v>
      </c>
      <c r="L173" s="1829">
        <f t="shared" si="89"/>
        <v>177.74</v>
      </c>
      <c r="M173" s="1829">
        <f t="shared" si="89"/>
        <v>188.28</v>
      </c>
      <c r="N173" s="1829">
        <f t="shared" si="89"/>
        <v>69.08</v>
      </c>
      <c r="O173" s="1829">
        <f t="shared" si="89"/>
        <v>70.34</v>
      </c>
      <c r="P173" s="1829">
        <f t="shared" si="89"/>
        <v>58.51</v>
      </c>
      <c r="Q173" s="1829">
        <f t="shared" si="89"/>
        <v>57.08</v>
      </c>
      <c r="R173" s="1829">
        <f t="shared" si="89"/>
        <v>56.94</v>
      </c>
      <c r="S173" s="1829">
        <f t="shared" si="89"/>
        <v>56.43</v>
      </c>
    </row>
    <row r="174" spans="2:20" s="1825" customFormat="1" x14ac:dyDescent="0.25">
      <c r="B174" s="1824"/>
      <c r="C174" s="1828" t="s">
        <v>2222</v>
      </c>
      <c r="D174" s="1828"/>
      <c r="E174" s="1829">
        <f t="shared" ref="E174:S174" si="90">E29+E32+E35+E38+E41</f>
        <v>1541.53</v>
      </c>
      <c r="F174" s="1829">
        <f t="shared" si="90"/>
        <v>2369.9299999999998</v>
      </c>
      <c r="G174" s="1832">
        <f t="shared" si="90"/>
        <v>11672.37</v>
      </c>
      <c r="H174" s="1829">
        <f t="shared" si="90"/>
        <v>307.85000000000002</v>
      </c>
      <c r="I174" s="1829">
        <f t="shared" si="90"/>
        <v>1487.83</v>
      </c>
      <c r="J174" s="1829">
        <f t="shared" si="90"/>
        <v>1937.37</v>
      </c>
      <c r="K174" s="1829">
        <f t="shared" si="90"/>
        <v>2371.75</v>
      </c>
      <c r="L174" s="1829">
        <f t="shared" si="90"/>
        <v>1803.34</v>
      </c>
      <c r="M174" s="1829">
        <f t="shared" si="90"/>
        <v>1831.68</v>
      </c>
      <c r="N174" s="1829">
        <f t="shared" si="90"/>
        <v>396.38</v>
      </c>
      <c r="O174" s="1829">
        <f t="shared" si="90"/>
        <v>373.18</v>
      </c>
      <c r="P174" s="1829">
        <f t="shared" si="90"/>
        <v>300.08</v>
      </c>
      <c r="Q174" s="1829">
        <f t="shared" si="90"/>
        <v>287.49</v>
      </c>
      <c r="R174" s="1829">
        <f t="shared" si="90"/>
        <v>288.62</v>
      </c>
      <c r="S174" s="1829">
        <f t="shared" si="90"/>
        <v>286.8</v>
      </c>
    </row>
    <row r="175" spans="2:20" s="1823" customFormat="1" x14ac:dyDescent="0.25">
      <c r="B175" s="1822"/>
      <c r="C175" s="1826" t="s">
        <v>2405</v>
      </c>
      <c r="D175" s="1826"/>
      <c r="E175" s="1827">
        <f t="shared" ref="E175:T175" si="91">E39</f>
        <v>1541.53</v>
      </c>
      <c r="F175" s="1827">
        <f t="shared" si="91"/>
        <v>2155.4899999999998</v>
      </c>
      <c r="G175" s="1827">
        <f t="shared" si="91"/>
        <v>2398.5700000000002</v>
      </c>
      <c r="H175" s="1827">
        <f t="shared" si="91"/>
        <v>30.42</v>
      </c>
      <c r="I175" s="1827">
        <f t="shared" si="91"/>
        <v>333.6</v>
      </c>
      <c r="J175" s="1827">
        <f t="shared" si="91"/>
        <v>444.32</v>
      </c>
      <c r="K175" s="1827">
        <f t="shared" si="91"/>
        <v>552.29999999999995</v>
      </c>
      <c r="L175" s="1827">
        <f t="shared" si="91"/>
        <v>417.1</v>
      </c>
      <c r="M175" s="1827">
        <f t="shared" si="91"/>
        <v>418.55</v>
      </c>
      <c r="N175" s="1827">
        <f t="shared" si="91"/>
        <v>50.51</v>
      </c>
      <c r="O175" s="1827">
        <f t="shared" si="91"/>
        <v>36.869999999999997</v>
      </c>
      <c r="P175" s="1827">
        <f t="shared" si="91"/>
        <v>29.64</v>
      </c>
      <c r="Q175" s="1827">
        <f t="shared" si="91"/>
        <v>28.41</v>
      </c>
      <c r="R175" s="1827">
        <f t="shared" si="91"/>
        <v>28.52</v>
      </c>
      <c r="S175" s="1827">
        <f t="shared" si="91"/>
        <v>28.33</v>
      </c>
      <c r="T175" s="1827">
        <f t="shared" si="91"/>
        <v>197.46</v>
      </c>
    </row>
    <row r="176" spans="2:20" s="1825" customFormat="1" x14ac:dyDescent="0.25">
      <c r="B176" s="1824"/>
      <c r="C176" s="1828" t="s">
        <v>2221</v>
      </c>
      <c r="D176" s="1828"/>
      <c r="E176" s="1829">
        <f t="shared" ref="E176:S176" si="92">E40</f>
        <v>0</v>
      </c>
      <c r="F176" s="1829">
        <f t="shared" si="92"/>
        <v>0</v>
      </c>
      <c r="G176" s="1828">
        <f t="shared" si="92"/>
        <v>0</v>
      </c>
      <c r="H176" s="1828">
        <f t="shared" si="92"/>
        <v>0</v>
      </c>
      <c r="I176" s="1828">
        <f t="shared" si="92"/>
        <v>0</v>
      </c>
      <c r="J176" s="1828">
        <f t="shared" si="92"/>
        <v>0</v>
      </c>
      <c r="K176" s="1828">
        <f t="shared" si="92"/>
        <v>0</v>
      </c>
      <c r="L176" s="1828">
        <f t="shared" si="92"/>
        <v>0</v>
      </c>
      <c r="M176" s="1828">
        <f t="shared" si="92"/>
        <v>0</v>
      </c>
      <c r="N176" s="1828">
        <f t="shared" si="92"/>
        <v>0</v>
      </c>
      <c r="O176" s="1828">
        <f t="shared" si="92"/>
        <v>0</v>
      </c>
      <c r="P176" s="1828">
        <f t="shared" si="92"/>
        <v>0</v>
      </c>
      <c r="Q176" s="1828">
        <f t="shared" si="92"/>
        <v>0</v>
      </c>
      <c r="R176" s="1828">
        <f t="shared" si="92"/>
        <v>0</v>
      </c>
      <c r="S176" s="1828">
        <f t="shared" si="92"/>
        <v>0</v>
      </c>
    </row>
    <row r="177" spans="2:20" s="1825" customFormat="1" x14ac:dyDescent="0.25">
      <c r="B177" s="1824"/>
      <c r="C177" s="1828" t="s">
        <v>2222</v>
      </c>
      <c r="D177" s="1828"/>
      <c r="E177" s="1828">
        <f t="shared" ref="E177:S177" si="93">E41</f>
        <v>1541.53</v>
      </c>
      <c r="F177" s="1828">
        <f t="shared" si="93"/>
        <v>2155.4899999999998</v>
      </c>
      <c r="G177" s="1828">
        <f t="shared" si="93"/>
        <v>2398.5700000000002</v>
      </c>
      <c r="H177" s="1828">
        <f t="shared" si="93"/>
        <v>30.42</v>
      </c>
      <c r="I177" s="1828">
        <f t="shared" si="93"/>
        <v>333.6</v>
      </c>
      <c r="J177" s="1828">
        <f t="shared" si="93"/>
        <v>444.32</v>
      </c>
      <c r="K177" s="1828">
        <f t="shared" si="93"/>
        <v>552.29999999999995</v>
      </c>
      <c r="L177" s="1828">
        <f t="shared" si="93"/>
        <v>417.1</v>
      </c>
      <c r="M177" s="1828">
        <f t="shared" si="93"/>
        <v>418.55</v>
      </c>
      <c r="N177" s="1828">
        <f t="shared" si="93"/>
        <v>50.51</v>
      </c>
      <c r="O177" s="1828">
        <f t="shared" si="93"/>
        <v>36.869999999999997</v>
      </c>
      <c r="P177" s="1828">
        <f t="shared" si="93"/>
        <v>29.64</v>
      </c>
      <c r="Q177" s="1828">
        <f t="shared" si="93"/>
        <v>28.41</v>
      </c>
      <c r="R177" s="1828">
        <f t="shared" si="93"/>
        <v>28.52</v>
      </c>
      <c r="S177" s="1828">
        <f t="shared" si="93"/>
        <v>28.33</v>
      </c>
    </row>
    <row r="178" spans="2:20" s="1825" customFormat="1" x14ac:dyDescent="0.25">
      <c r="B178" s="1824"/>
      <c r="C178" s="1826" t="s">
        <v>2408</v>
      </c>
      <c r="D178" s="1828"/>
      <c r="E178" s="1827">
        <f t="shared" ref="E178:S178" si="94">E71</f>
        <v>1505.84</v>
      </c>
      <c r="F178" s="1827">
        <f t="shared" si="94"/>
        <v>2116.5700000000002</v>
      </c>
      <c r="G178" s="1827">
        <f t="shared" si="94"/>
        <v>2157.9299999999998</v>
      </c>
      <c r="H178" s="1827">
        <f t="shared" si="94"/>
        <v>25.76</v>
      </c>
      <c r="I178" s="1827">
        <f t="shared" si="94"/>
        <v>308.69</v>
      </c>
      <c r="J178" s="1827">
        <f t="shared" si="94"/>
        <v>398.73</v>
      </c>
      <c r="K178" s="1827">
        <f t="shared" si="94"/>
        <v>477.96</v>
      </c>
      <c r="L178" s="1827">
        <f t="shared" si="94"/>
        <v>396.85</v>
      </c>
      <c r="M178" s="1827">
        <f t="shared" si="94"/>
        <v>383.3</v>
      </c>
      <c r="N178" s="1827">
        <f t="shared" si="94"/>
        <v>39.520000000000003</v>
      </c>
      <c r="O178" s="1827">
        <f t="shared" si="94"/>
        <v>25.76</v>
      </c>
      <c r="P178" s="1827">
        <f t="shared" si="94"/>
        <v>24.92</v>
      </c>
      <c r="Q178" s="1827">
        <f t="shared" si="94"/>
        <v>25.76</v>
      </c>
      <c r="R178" s="1827">
        <f t="shared" si="94"/>
        <v>25.76</v>
      </c>
      <c r="S178" s="1827">
        <f t="shared" si="94"/>
        <v>24.92</v>
      </c>
    </row>
    <row r="179" spans="2:20" s="1825" customFormat="1" x14ac:dyDescent="0.25">
      <c r="B179" s="1824"/>
      <c r="C179" s="1828" t="s">
        <v>2221</v>
      </c>
      <c r="D179" s="1828"/>
      <c r="E179" s="1829">
        <f t="shared" ref="E179:S179" si="95">E72</f>
        <v>0</v>
      </c>
      <c r="F179" s="1829">
        <f t="shared" si="95"/>
        <v>0</v>
      </c>
      <c r="G179" s="1829">
        <f t="shared" si="95"/>
        <v>0</v>
      </c>
      <c r="H179" s="1829">
        <f t="shared" si="95"/>
        <v>0</v>
      </c>
      <c r="I179" s="1829">
        <f t="shared" si="95"/>
        <v>0</v>
      </c>
      <c r="J179" s="1829">
        <f t="shared" si="95"/>
        <v>0</v>
      </c>
      <c r="K179" s="1829">
        <f t="shared" si="95"/>
        <v>0</v>
      </c>
      <c r="L179" s="1829">
        <f t="shared" si="95"/>
        <v>0</v>
      </c>
      <c r="M179" s="1829">
        <f t="shared" si="95"/>
        <v>0</v>
      </c>
      <c r="N179" s="1829">
        <f t="shared" si="95"/>
        <v>0</v>
      </c>
      <c r="O179" s="1829">
        <f t="shared" si="95"/>
        <v>0</v>
      </c>
      <c r="P179" s="1829">
        <f t="shared" si="95"/>
        <v>0</v>
      </c>
      <c r="Q179" s="1829">
        <f t="shared" si="95"/>
        <v>0</v>
      </c>
      <c r="R179" s="1829">
        <f t="shared" si="95"/>
        <v>0</v>
      </c>
      <c r="S179" s="1829">
        <f t="shared" si="95"/>
        <v>0</v>
      </c>
      <c r="T179" s="1829" t="str">
        <f>T72</f>
        <v>новий рядок</v>
      </c>
    </row>
    <row r="180" spans="2:20" s="1825" customFormat="1" x14ac:dyDescent="0.25">
      <c r="B180" s="1824"/>
      <c r="C180" s="1828" t="s">
        <v>2222</v>
      </c>
      <c r="D180" s="1828"/>
      <c r="E180" s="1829">
        <f t="shared" ref="E180:S180" si="96">E73</f>
        <v>1505.84</v>
      </c>
      <c r="F180" s="1829">
        <f t="shared" si="96"/>
        <v>2116.5700000000002</v>
      </c>
      <c r="G180" s="1829">
        <f t="shared" si="96"/>
        <v>2157.9299999999998</v>
      </c>
      <c r="H180" s="1829">
        <f t="shared" si="96"/>
        <v>25.76</v>
      </c>
      <c r="I180" s="1829">
        <f t="shared" si="96"/>
        <v>308.69</v>
      </c>
      <c r="J180" s="1829">
        <f t="shared" si="96"/>
        <v>398.73</v>
      </c>
      <c r="K180" s="1829">
        <f t="shared" si="96"/>
        <v>477.96</v>
      </c>
      <c r="L180" s="1829">
        <f t="shared" si="96"/>
        <v>396.85</v>
      </c>
      <c r="M180" s="1829">
        <f t="shared" si="96"/>
        <v>383.3</v>
      </c>
      <c r="N180" s="1829">
        <f t="shared" si="96"/>
        <v>39.520000000000003</v>
      </c>
      <c r="O180" s="1829">
        <f t="shared" si="96"/>
        <v>25.76</v>
      </c>
      <c r="P180" s="1829">
        <f t="shared" si="96"/>
        <v>24.92</v>
      </c>
      <c r="Q180" s="1829">
        <f t="shared" si="96"/>
        <v>25.76</v>
      </c>
      <c r="R180" s="1829">
        <f t="shared" si="96"/>
        <v>25.76</v>
      </c>
      <c r="S180" s="1829">
        <f t="shared" si="96"/>
        <v>24.92</v>
      </c>
    </row>
    <row r="181" spans="2:20" s="1823" customFormat="1" x14ac:dyDescent="0.25">
      <c r="B181" s="1822"/>
      <c r="C181" s="1826" t="s">
        <v>2407</v>
      </c>
      <c r="D181" s="1826"/>
      <c r="E181" s="1827">
        <f t="shared" ref="E181:S181" si="97">E74</f>
        <v>9585.7199999999993</v>
      </c>
      <c r="F181" s="1827">
        <f t="shared" si="97"/>
        <v>8853.31</v>
      </c>
      <c r="G181" s="1827">
        <f t="shared" si="97"/>
        <v>9459.3799999999992</v>
      </c>
      <c r="H181" s="1827">
        <f t="shared" si="97"/>
        <v>287.68</v>
      </c>
      <c r="I181" s="1827">
        <f t="shared" si="97"/>
        <v>1207.48</v>
      </c>
      <c r="J181" s="1827">
        <f t="shared" si="97"/>
        <v>1508.8</v>
      </c>
      <c r="K181" s="1827">
        <f t="shared" si="97"/>
        <v>1768.16</v>
      </c>
      <c r="L181" s="1827">
        <f t="shared" si="97"/>
        <v>1482.96</v>
      </c>
      <c r="M181" s="1827">
        <f t="shared" si="97"/>
        <v>1458.26</v>
      </c>
      <c r="N181" s="1827">
        <f t="shared" si="97"/>
        <v>326.2</v>
      </c>
      <c r="O181" s="1827">
        <f t="shared" si="97"/>
        <v>287.68</v>
      </c>
      <c r="P181" s="1827">
        <f t="shared" si="97"/>
        <v>278.39999999999998</v>
      </c>
      <c r="Q181" s="1827">
        <f t="shared" si="97"/>
        <v>287.68</v>
      </c>
      <c r="R181" s="1827">
        <f t="shared" si="97"/>
        <v>287.68</v>
      </c>
      <c r="S181" s="1827">
        <f t="shared" si="97"/>
        <v>278.39999999999998</v>
      </c>
    </row>
    <row r="182" spans="2:20" s="1825" customFormat="1" x14ac:dyDescent="0.25">
      <c r="B182" s="1824"/>
      <c r="C182" s="1828" t="s">
        <v>2221</v>
      </c>
      <c r="D182" s="1828"/>
      <c r="E182" s="1829">
        <f t="shared" ref="E182:S182" si="98">E77+E85+E89+E93</f>
        <v>1297.81</v>
      </c>
      <c r="F182" s="1829">
        <f t="shared" si="98"/>
        <v>1173.53</v>
      </c>
      <c r="G182" s="1829">
        <f t="shared" si="98"/>
        <v>1198.73</v>
      </c>
      <c r="H182" s="1829">
        <f t="shared" si="98"/>
        <v>52.73</v>
      </c>
      <c r="I182" s="1829">
        <f t="shared" si="98"/>
        <v>139.44999999999999</v>
      </c>
      <c r="J182" s="1829">
        <f t="shared" si="98"/>
        <v>168.94</v>
      </c>
      <c r="K182" s="1829">
        <f t="shared" si="98"/>
        <v>193.62</v>
      </c>
      <c r="L182" s="1829">
        <f t="shared" si="98"/>
        <v>164.03</v>
      </c>
      <c r="M182" s="1829">
        <f t="shared" si="98"/>
        <v>164.13</v>
      </c>
      <c r="N182" s="1829">
        <f t="shared" si="98"/>
        <v>55.58</v>
      </c>
      <c r="O182" s="1829">
        <f t="shared" si="98"/>
        <v>52.73</v>
      </c>
      <c r="P182" s="1829">
        <f t="shared" si="98"/>
        <v>51.03</v>
      </c>
      <c r="Q182" s="1829">
        <f t="shared" si="98"/>
        <v>52.73</v>
      </c>
      <c r="R182" s="1829">
        <f t="shared" si="98"/>
        <v>52.73</v>
      </c>
      <c r="S182" s="1829">
        <f t="shared" si="98"/>
        <v>51.03</v>
      </c>
    </row>
    <row r="183" spans="2:20" s="1825" customFormat="1" x14ac:dyDescent="0.25">
      <c r="B183" s="1824"/>
      <c r="C183" s="1828" t="s">
        <v>2222</v>
      </c>
      <c r="D183" s="1828"/>
      <c r="E183" s="1829">
        <f t="shared" ref="E183:Q183" si="99">E80+E86+E90+E94</f>
        <v>8287.91</v>
      </c>
      <c r="F183" s="1829">
        <f t="shared" si="99"/>
        <v>7679.78</v>
      </c>
      <c r="G183" s="1829">
        <f t="shared" si="99"/>
        <v>8260.65</v>
      </c>
      <c r="H183" s="1829">
        <f t="shared" si="99"/>
        <v>234.95</v>
      </c>
      <c r="I183" s="1829">
        <f t="shared" si="99"/>
        <v>1068.03</v>
      </c>
      <c r="J183" s="1829">
        <f t="shared" si="99"/>
        <v>1339.86</v>
      </c>
      <c r="K183" s="1829">
        <f t="shared" si="99"/>
        <v>1574.54</v>
      </c>
      <c r="L183" s="1829">
        <f t="shared" si="99"/>
        <v>1318.93</v>
      </c>
      <c r="M183" s="1829">
        <f t="shared" si="99"/>
        <v>1294.1300000000001</v>
      </c>
      <c r="N183" s="1829">
        <f t="shared" si="99"/>
        <v>270.62</v>
      </c>
      <c r="O183" s="1829">
        <f t="shared" si="99"/>
        <v>234.95</v>
      </c>
      <c r="P183" s="1829">
        <f t="shared" si="99"/>
        <v>227.37</v>
      </c>
      <c r="Q183" s="1829">
        <f t="shared" si="99"/>
        <v>234.95</v>
      </c>
      <c r="R183" s="1829">
        <f>R78+R86+R90+R94</f>
        <v>234.95</v>
      </c>
      <c r="S183" s="1829">
        <f>S78+S86+S90+S94</f>
        <v>227.37</v>
      </c>
    </row>
    <row r="184" spans="2:20" x14ac:dyDescent="0.25">
      <c r="E184" s="1833">
        <f t="shared" ref="E184:T184" si="100">E48-E185</f>
        <v>0</v>
      </c>
      <c r="F184" s="1833">
        <f t="shared" si="100"/>
        <v>0</v>
      </c>
      <c r="G184" s="1833">
        <f t="shared" si="100"/>
        <v>0</v>
      </c>
      <c r="H184" s="1833">
        <f t="shared" si="100"/>
        <v>0</v>
      </c>
      <c r="I184" s="1833">
        <f t="shared" si="100"/>
        <v>0</v>
      </c>
      <c r="J184" s="1833">
        <f t="shared" si="100"/>
        <v>0</v>
      </c>
      <c r="K184" s="1833">
        <f t="shared" si="100"/>
        <v>0</v>
      </c>
      <c r="L184" s="1833">
        <f t="shared" si="100"/>
        <v>0</v>
      </c>
      <c r="M184" s="1833">
        <f t="shared" si="100"/>
        <v>0</v>
      </c>
      <c r="N184" s="1833">
        <f t="shared" si="100"/>
        <v>0</v>
      </c>
      <c r="O184" s="1833">
        <f t="shared" si="100"/>
        <v>0</v>
      </c>
      <c r="P184" s="1833">
        <f t="shared" si="100"/>
        <v>0</v>
      </c>
      <c r="Q184" s="1833">
        <f t="shared" si="100"/>
        <v>0</v>
      </c>
      <c r="R184" s="1833">
        <f t="shared" si="100"/>
        <v>0</v>
      </c>
      <c r="S184" s="1833">
        <f t="shared" si="100"/>
        <v>0</v>
      </c>
      <c r="T184" s="1833">
        <f t="shared" si="100"/>
        <v>0</v>
      </c>
    </row>
    <row r="185" spans="2:20" s="1821" customFormat="1" x14ac:dyDescent="0.25">
      <c r="B185" s="1819"/>
      <c r="C185" s="1820" t="s">
        <v>2411</v>
      </c>
      <c r="D185" s="1820"/>
      <c r="E185" s="1830">
        <f>E172-E181-E178</f>
        <v>1784.77</v>
      </c>
      <c r="F185" s="1830">
        <f t="shared" ref="F185:S185" si="101">F172-F181-F178</f>
        <v>1945.76</v>
      </c>
      <c r="G185" s="1830">
        <f t="shared" si="101"/>
        <v>1450.1</v>
      </c>
      <c r="H185" s="1830">
        <f t="shared" si="101"/>
        <v>54.52</v>
      </c>
      <c r="I185" s="1830">
        <f t="shared" si="101"/>
        <v>128.51</v>
      </c>
      <c r="J185" s="1830">
        <f t="shared" si="101"/>
        <v>229.91</v>
      </c>
      <c r="K185" s="1830">
        <f t="shared" si="101"/>
        <v>369.24</v>
      </c>
      <c r="L185" s="1830">
        <f t="shared" si="101"/>
        <v>101.27</v>
      </c>
      <c r="M185" s="1830">
        <f t="shared" si="101"/>
        <v>178.4</v>
      </c>
      <c r="N185" s="1830">
        <f t="shared" si="101"/>
        <v>99.74</v>
      </c>
      <c r="O185" s="1830">
        <f t="shared" si="101"/>
        <v>130.08000000000001</v>
      </c>
      <c r="P185" s="1830">
        <f t="shared" si="101"/>
        <v>55.27</v>
      </c>
      <c r="Q185" s="1830">
        <f>Q172-Q181-Q178</f>
        <v>31.13</v>
      </c>
      <c r="R185" s="1830">
        <f>R172-R181-R178</f>
        <v>32.119999999999997</v>
      </c>
      <c r="S185" s="1830">
        <f t="shared" si="101"/>
        <v>39.909999999999997</v>
      </c>
    </row>
    <row r="186" spans="2:20" s="1821" customFormat="1" x14ac:dyDescent="0.25">
      <c r="B186" s="1819"/>
      <c r="C186" s="1828" t="s">
        <v>2221</v>
      </c>
      <c r="D186" s="1820"/>
      <c r="E186" s="1831">
        <f>E173-E179-E182</f>
        <v>-1297.81</v>
      </c>
      <c r="F186" s="1831">
        <f t="shared" ref="F186:S186" si="102">F173-F179-F182</f>
        <v>-1173.53</v>
      </c>
      <c r="G186" s="1831">
        <f t="shared" si="102"/>
        <v>196.31</v>
      </c>
      <c r="H186" s="1831">
        <f>H173-H179-H182</f>
        <v>7.38</v>
      </c>
      <c r="I186" s="1831">
        <f>I173-I179-I182</f>
        <v>17.399999999999999</v>
      </c>
      <c r="J186" s="1831">
        <f t="shared" si="102"/>
        <v>31.13</v>
      </c>
      <c r="K186" s="1831">
        <f t="shared" si="102"/>
        <v>49.99</v>
      </c>
      <c r="L186" s="1831">
        <f t="shared" si="102"/>
        <v>13.71</v>
      </c>
      <c r="M186" s="1831">
        <f t="shared" si="102"/>
        <v>24.15</v>
      </c>
      <c r="N186" s="1831">
        <f t="shared" si="102"/>
        <v>13.5</v>
      </c>
      <c r="O186" s="1831">
        <f t="shared" si="102"/>
        <v>17.61</v>
      </c>
      <c r="P186" s="1831">
        <f t="shared" si="102"/>
        <v>7.48</v>
      </c>
      <c r="Q186" s="1831">
        <f t="shared" si="102"/>
        <v>4.3499999999999996</v>
      </c>
      <c r="R186" s="1831">
        <f t="shared" si="102"/>
        <v>4.21</v>
      </c>
      <c r="S186" s="1831">
        <f t="shared" si="102"/>
        <v>5.4</v>
      </c>
    </row>
    <row r="187" spans="2:20" s="1821" customFormat="1" x14ac:dyDescent="0.25">
      <c r="B187" s="1819"/>
      <c r="C187" s="1828" t="s">
        <v>2222</v>
      </c>
      <c r="D187" s="1820"/>
      <c r="E187" s="1831">
        <f>E174-E180-E183</f>
        <v>-8252.2199999999993</v>
      </c>
      <c r="F187" s="1831">
        <f t="shared" ref="F187:S187" si="103">F174-F180-F183</f>
        <v>-7426.42</v>
      </c>
      <c r="G187" s="1831">
        <f>G174-G180-G183</f>
        <v>1253.79</v>
      </c>
      <c r="H187" s="1831">
        <f t="shared" si="103"/>
        <v>47.14</v>
      </c>
      <c r="I187" s="1831">
        <f>I174-I180-I183</f>
        <v>111.11</v>
      </c>
      <c r="J187" s="1831">
        <f t="shared" si="103"/>
        <v>198.78</v>
      </c>
      <c r="K187" s="1831">
        <f t="shared" si="103"/>
        <v>319.25</v>
      </c>
      <c r="L187" s="1831">
        <f t="shared" si="103"/>
        <v>87.56</v>
      </c>
      <c r="M187" s="1831">
        <f t="shared" si="103"/>
        <v>154.25</v>
      </c>
      <c r="N187" s="1831">
        <f t="shared" si="103"/>
        <v>86.24</v>
      </c>
      <c r="O187" s="1831">
        <f t="shared" si="103"/>
        <v>112.47</v>
      </c>
      <c r="P187" s="1831">
        <f t="shared" si="103"/>
        <v>47.79</v>
      </c>
      <c r="Q187" s="1831">
        <f t="shared" si="103"/>
        <v>26.78</v>
      </c>
      <c r="R187" s="1831">
        <f t="shared" si="103"/>
        <v>27.91</v>
      </c>
      <c r="S187" s="1831">
        <f t="shared" si="103"/>
        <v>34.51</v>
      </c>
    </row>
    <row r="188" spans="2:20" s="1821" customFormat="1" x14ac:dyDescent="0.25">
      <c r="B188" s="1819"/>
      <c r="C188" s="1820" t="s">
        <v>2412</v>
      </c>
      <c r="D188" s="1820"/>
      <c r="E188" s="1830">
        <f>E175-E178</f>
        <v>35.69</v>
      </c>
      <c r="F188" s="1830">
        <f t="shared" ref="F188:S188" si="104">F175-F178</f>
        <v>38.92</v>
      </c>
      <c r="G188" s="1830">
        <f t="shared" si="104"/>
        <v>240.64</v>
      </c>
      <c r="H188" s="1830">
        <f t="shared" si="104"/>
        <v>4.66</v>
      </c>
      <c r="I188" s="1830">
        <f t="shared" si="104"/>
        <v>24.91</v>
      </c>
      <c r="J188" s="1830">
        <f t="shared" si="104"/>
        <v>45.59</v>
      </c>
      <c r="K188" s="1830">
        <f t="shared" si="104"/>
        <v>74.34</v>
      </c>
      <c r="L188" s="1830">
        <f t="shared" si="104"/>
        <v>20.25</v>
      </c>
      <c r="M188" s="1830">
        <f t="shared" si="104"/>
        <v>35.25</v>
      </c>
      <c r="N188" s="1830">
        <f t="shared" si="104"/>
        <v>10.99</v>
      </c>
      <c r="O188" s="1830">
        <f t="shared" si="104"/>
        <v>11.11</v>
      </c>
      <c r="P188" s="1830">
        <f t="shared" si="104"/>
        <v>4.72</v>
      </c>
      <c r="Q188" s="1830">
        <f t="shared" si="104"/>
        <v>2.65</v>
      </c>
      <c r="R188" s="1830">
        <f t="shared" si="104"/>
        <v>2.76</v>
      </c>
      <c r="S188" s="1830">
        <f t="shared" si="104"/>
        <v>3.41</v>
      </c>
    </row>
    <row r="189" spans="2:20" x14ac:dyDescent="0.25">
      <c r="C189" s="1828" t="s">
        <v>2221</v>
      </c>
      <c r="E189" s="1084">
        <f t="shared" ref="E189:S190" si="105">E176-E179</f>
        <v>0</v>
      </c>
      <c r="F189" s="1084">
        <f t="shared" si="105"/>
        <v>0</v>
      </c>
      <c r="G189" s="1084">
        <f t="shared" si="105"/>
        <v>0</v>
      </c>
      <c r="H189" s="1084">
        <f t="shared" si="105"/>
        <v>0</v>
      </c>
      <c r="I189" s="1084">
        <f t="shared" si="105"/>
        <v>0</v>
      </c>
      <c r="J189" s="1084">
        <f t="shared" si="105"/>
        <v>0</v>
      </c>
      <c r="K189" s="1084">
        <f t="shared" si="105"/>
        <v>0</v>
      </c>
      <c r="L189" s="1084">
        <f t="shared" si="105"/>
        <v>0</v>
      </c>
      <c r="M189" s="1084">
        <f t="shared" si="105"/>
        <v>0</v>
      </c>
      <c r="N189" s="1084">
        <f t="shared" si="105"/>
        <v>0</v>
      </c>
      <c r="O189" s="1084">
        <f t="shared" si="105"/>
        <v>0</v>
      </c>
      <c r="P189" s="1084">
        <f t="shared" si="105"/>
        <v>0</v>
      </c>
      <c r="Q189" s="1084">
        <f t="shared" si="105"/>
        <v>0</v>
      </c>
      <c r="R189" s="1084">
        <f t="shared" si="105"/>
        <v>0</v>
      </c>
      <c r="S189" s="1084">
        <f t="shared" si="105"/>
        <v>0</v>
      </c>
    </row>
    <row r="190" spans="2:20" x14ac:dyDescent="0.25">
      <c r="C190" s="1828" t="s">
        <v>2222</v>
      </c>
      <c r="E190" s="1084">
        <f t="shared" si="105"/>
        <v>35.69</v>
      </c>
      <c r="F190" s="1084">
        <f t="shared" si="105"/>
        <v>38.92</v>
      </c>
      <c r="G190" s="1084">
        <f t="shared" si="105"/>
        <v>240.64</v>
      </c>
      <c r="H190" s="1084">
        <f t="shared" si="105"/>
        <v>4.66</v>
      </c>
      <c r="I190" s="1084">
        <f t="shared" si="105"/>
        <v>24.91</v>
      </c>
      <c r="J190" s="1084">
        <f t="shared" si="105"/>
        <v>45.59</v>
      </c>
      <c r="K190" s="1084">
        <f t="shared" si="105"/>
        <v>74.34</v>
      </c>
      <c r="L190" s="1084">
        <f t="shared" si="105"/>
        <v>20.25</v>
      </c>
      <c r="M190" s="1084">
        <f t="shared" si="105"/>
        <v>35.25</v>
      </c>
      <c r="N190" s="1084">
        <f t="shared" si="105"/>
        <v>10.99</v>
      </c>
      <c r="O190" s="1084">
        <f t="shared" si="105"/>
        <v>11.11</v>
      </c>
      <c r="P190" s="1084">
        <f t="shared" si="105"/>
        <v>4.72</v>
      </c>
      <c r="Q190" s="1084">
        <f t="shared" si="105"/>
        <v>2.65</v>
      </c>
      <c r="R190" s="1084">
        <f t="shared" si="105"/>
        <v>2.76</v>
      </c>
      <c r="S190" s="1084">
        <f t="shared" si="105"/>
        <v>3.41</v>
      </c>
    </row>
    <row r="191" spans="2:20" x14ac:dyDescent="0.25">
      <c r="C191" s="1820" t="s">
        <v>2409</v>
      </c>
      <c r="E191" s="1830">
        <f>E172-E175-E181</f>
        <v>1749.08</v>
      </c>
      <c r="F191" s="1830">
        <f t="shared" ref="F191:S191" si="106">F172-F175-F181</f>
        <v>1906.84</v>
      </c>
      <c r="G191" s="1830">
        <f t="shared" si="106"/>
        <v>1209.46</v>
      </c>
      <c r="H191" s="1830">
        <f t="shared" si="106"/>
        <v>49.86</v>
      </c>
      <c r="I191" s="1830">
        <f t="shared" si="106"/>
        <v>103.6</v>
      </c>
      <c r="J191" s="1830">
        <f t="shared" si="106"/>
        <v>184.32</v>
      </c>
      <c r="K191" s="1830">
        <f t="shared" si="106"/>
        <v>294.89999999999998</v>
      </c>
      <c r="L191" s="1830">
        <f t="shared" si="106"/>
        <v>81.02</v>
      </c>
      <c r="M191" s="1830">
        <f t="shared" si="106"/>
        <v>143.15</v>
      </c>
      <c r="N191" s="1830">
        <f t="shared" si="106"/>
        <v>88.75</v>
      </c>
      <c r="O191" s="1830">
        <f t="shared" si="106"/>
        <v>118.97</v>
      </c>
      <c r="P191" s="1830">
        <f t="shared" si="106"/>
        <v>50.55</v>
      </c>
      <c r="Q191" s="1830">
        <f t="shared" si="106"/>
        <v>28.48</v>
      </c>
      <c r="R191" s="1830">
        <f t="shared" si="106"/>
        <v>29.36</v>
      </c>
      <c r="S191" s="1830">
        <f t="shared" si="106"/>
        <v>36.5</v>
      </c>
    </row>
    <row r="192" spans="2:20" x14ac:dyDescent="0.25">
      <c r="C192" s="1828" t="s">
        <v>2221</v>
      </c>
      <c r="E192" s="1084">
        <f t="shared" ref="E192:T193" si="107">E173-E176-E182</f>
        <v>-1297.81</v>
      </c>
      <c r="F192" s="1084">
        <f t="shared" si="107"/>
        <v>-1173.53</v>
      </c>
      <c r="G192" s="1084">
        <f t="shared" si="107"/>
        <v>196.31</v>
      </c>
      <c r="H192" s="1084">
        <f t="shared" si="107"/>
        <v>7.38</v>
      </c>
      <c r="I192" s="1084">
        <f t="shared" si="107"/>
        <v>17.399999999999999</v>
      </c>
      <c r="J192" s="1084">
        <f t="shared" si="107"/>
        <v>31.13</v>
      </c>
      <c r="K192" s="1084">
        <f t="shared" si="107"/>
        <v>49.99</v>
      </c>
      <c r="L192" s="1084">
        <f t="shared" si="107"/>
        <v>13.71</v>
      </c>
      <c r="M192" s="1084">
        <f t="shared" si="107"/>
        <v>24.15</v>
      </c>
      <c r="N192" s="1084">
        <f t="shared" si="107"/>
        <v>13.5</v>
      </c>
      <c r="O192" s="1084">
        <f t="shared" si="107"/>
        <v>17.61</v>
      </c>
      <c r="P192" s="1084">
        <f t="shared" si="107"/>
        <v>7.48</v>
      </c>
      <c r="Q192" s="1084">
        <f t="shared" si="107"/>
        <v>4.3499999999999996</v>
      </c>
      <c r="R192" s="1084">
        <f t="shared" si="107"/>
        <v>4.21</v>
      </c>
      <c r="S192" s="1084">
        <f t="shared" si="107"/>
        <v>5.4</v>
      </c>
    </row>
    <row r="193" spans="2:20" x14ac:dyDescent="0.25">
      <c r="C193" s="1828" t="s">
        <v>2222</v>
      </c>
      <c r="E193" s="1084">
        <f t="shared" si="107"/>
        <v>-8287.91</v>
      </c>
      <c r="F193" s="1084">
        <f t="shared" si="107"/>
        <v>-7465.34</v>
      </c>
      <c r="G193" s="1084">
        <f t="shared" si="107"/>
        <v>1013.15</v>
      </c>
      <c r="H193" s="1084">
        <f t="shared" si="107"/>
        <v>42.48</v>
      </c>
      <c r="I193" s="1084">
        <f t="shared" si="107"/>
        <v>86.2</v>
      </c>
      <c r="J193" s="1084">
        <f t="shared" si="107"/>
        <v>153.19</v>
      </c>
      <c r="K193" s="1084">
        <f t="shared" si="107"/>
        <v>244.91</v>
      </c>
      <c r="L193" s="1084">
        <f t="shared" si="107"/>
        <v>67.31</v>
      </c>
      <c r="M193" s="1084">
        <f t="shared" si="107"/>
        <v>119</v>
      </c>
      <c r="N193" s="1084">
        <f t="shared" si="107"/>
        <v>75.25</v>
      </c>
      <c r="O193" s="1084">
        <f t="shared" si="107"/>
        <v>101.36</v>
      </c>
      <c r="P193" s="1084">
        <f t="shared" si="107"/>
        <v>43.07</v>
      </c>
      <c r="Q193" s="1084">
        <f t="shared" si="107"/>
        <v>24.13</v>
      </c>
      <c r="R193" s="1084">
        <f t="shared" si="107"/>
        <v>25.15</v>
      </c>
      <c r="S193" s="1084">
        <f t="shared" si="107"/>
        <v>31.1</v>
      </c>
      <c r="T193" s="1084">
        <f t="shared" si="107"/>
        <v>0</v>
      </c>
    </row>
    <row r="195" spans="2:20" x14ac:dyDescent="0.25">
      <c r="E195" s="1084">
        <f t="shared" ref="E195:S195" si="108">E48</f>
        <v>1784.77</v>
      </c>
      <c r="F195" s="1084">
        <f t="shared" si="108"/>
        <v>1945.76</v>
      </c>
      <c r="G195" s="1084">
        <f t="shared" si="108"/>
        <v>1450.1</v>
      </c>
      <c r="H195" s="1084">
        <f t="shared" si="108"/>
        <v>54.52</v>
      </c>
      <c r="I195" s="1084">
        <f t="shared" si="108"/>
        <v>128.51</v>
      </c>
      <c r="J195" s="1084">
        <f t="shared" si="108"/>
        <v>229.91</v>
      </c>
      <c r="K195" s="1084">
        <f t="shared" si="108"/>
        <v>369.24</v>
      </c>
      <c r="L195" s="1084">
        <f t="shared" si="108"/>
        <v>101.27</v>
      </c>
      <c r="M195" s="1084">
        <f t="shared" si="108"/>
        <v>178.4</v>
      </c>
      <c r="N195" s="1084">
        <f t="shared" si="108"/>
        <v>99.74</v>
      </c>
      <c r="O195" s="1084">
        <f t="shared" si="108"/>
        <v>130.08000000000001</v>
      </c>
      <c r="P195" s="1084">
        <f t="shared" si="108"/>
        <v>55.27</v>
      </c>
      <c r="Q195" s="1084">
        <f t="shared" si="108"/>
        <v>31.13</v>
      </c>
      <c r="R195" s="1084">
        <f t="shared" si="108"/>
        <v>32.119999999999997</v>
      </c>
      <c r="S195" s="1084">
        <f t="shared" si="108"/>
        <v>39.909999999999997</v>
      </c>
    </row>
    <row r="196" spans="2:20" x14ac:dyDescent="0.25">
      <c r="E196" s="1084">
        <f t="shared" ref="E196:S196" si="109">E50</f>
        <v>0</v>
      </c>
      <c r="F196" s="1084">
        <f t="shared" si="109"/>
        <v>0</v>
      </c>
      <c r="G196" s="1084">
        <f t="shared" si="109"/>
        <v>196.31</v>
      </c>
      <c r="H196" s="1084">
        <f t="shared" si="109"/>
        <v>7.38</v>
      </c>
      <c r="I196" s="1084">
        <f t="shared" si="109"/>
        <v>17.399999999999999</v>
      </c>
      <c r="J196" s="1084">
        <f t="shared" si="109"/>
        <v>31.13</v>
      </c>
      <c r="K196" s="1084">
        <f t="shared" si="109"/>
        <v>49.99</v>
      </c>
      <c r="L196" s="1084">
        <f t="shared" si="109"/>
        <v>13.71</v>
      </c>
      <c r="M196" s="1084">
        <f t="shared" si="109"/>
        <v>24.15</v>
      </c>
      <c r="N196" s="1084">
        <f t="shared" si="109"/>
        <v>13.5</v>
      </c>
      <c r="O196" s="1084">
        <f t="shared" si="109"/>
        <v>17.61</v>
      </c>
      <c r="P196" s="1084">
        <f t="shared" si="109"/>
        <v>7.48</v>
      </c>
      <c r="Q196" s="1084">
        <f t="shared" si="109"/>
        <v>4.3499999999999996</v>
      </c>
      <c r="R196" s="1084">
        <f t="shared" si="109"/>
        <v>4.21</v>
      </c>
      <c r="S196" s="1084">
        <f t="shared" si="109"/>
        <v>5.4</v>
      </c>
    </row>
    <row r="197" spans="2:20" x14ac:dyDescent="0.25">
      <c r="E197" s="1084">
        <f t="shared" ref="E197:S197" si="110">E58</f>
        <v>0</v>
      </c>
      <c r="F197" s="1084">
        <f t="shared" si="110"/>
        <v>0</v>
      </c>
      <c r="G197" s="1084">
        <f t="shared" si="110"/>
        <v>1253.79</v>
      </c>
      <c r="H197" s="1084">
        <f t="shared" si="110"/>
        <v>47.14</v>
      </c>
      <c r="I197" s="1084">
        <f t="shared" si="110"/>
        <v>111.11</v>
      </c>
      <c r="J197" s="1084">
        <f t="shared" si="110"/>
        <v>198.78</v>
      </c>
      <c r="K197" s="1084">
        <f t="shared" si="110"/>
        <v>319.25</v>
      </c>
      <c r="L197" s="1084">
        <f t="shared" si="110"/>
        <v>87.56</v>
      </c>
      <c r="M197" s="1084">
        <f t="shared" si="110"/>
        <v>154.25</v>
      </c>
      <c r="N197" s="1084">
        <f t="shared" si="110"/>
        <v>86.24</v>
      </c>
      <c r="O197" s="1084">
        <f t="shared" si="110"/>
        <v>112.47</v>
      </c>
      <c r="P197" s="1084">
        <f t="shared" si="110"/>
        <v>47.79</v>
      </c>
      <c r="Q197" s="1084">
        <f t="shared" si="110"/>
        <v>26.78</v>
      </c>
      <c r="R197" s="1084">
        <f t="shared" si="110"/>
        <v>27.91</v>
      </c>
      <c r="S197" s="1084">
        <f t="shared" si="110"/>
        <v>34.51</v>
      </c>
    </row>
    <row r="200" spans="2:20" s="2127" customFormat="1" ht="14.25" x14ac:dyDescent="0.2">
      <c r="B200" s="2125"/>
      <c r="C200" s="2126" t="s">
        <v>2714</v>
      </c>
      <c r="D200" s="2126"/>
      <c r="E200" s="2129">
        <f>E72</f>
        <v>0</v>
      </c>
      <c r="F200" s="2129">
        <f>F72</f>
        <v>0</v>
      </c>
      <c r="G200" s="2129">
        <f t="shared" ref="G200:N200" si="111">G73</f>
        <v>2157.9299999999998</v>
      </c>
      <c r="H200" s="2129">
        <f t="shared" si="111"/>
        <v>25.76</v>
      </c>
      <c r="I200" s="2129">
        <f t="shared" si="111"/>
        <v>308.69</v>
      </c>
      <c r="J200" s="2129">
        <f t="shared" si="111"/>
        <v>398.73</v>
      </c>
      <c r="K200" s="2129">
        <f t="shared" si="111"/>
        <v>477.96</v>
      </c>
      <c r="L200" s="2129">
        <f t="shared" si="111"/>
        <v>396.85</v>
      </c>
      <c r="M200" s="2129">
        <f t="shared" si="111"/>
        <v>383.3</v>
      </c>
      <c r="N200" s="2129">
        <f t="shared" si="111"/>
        <v>39.520000000000003</v>
      </c>
      <c r="O200" s="2126"/>
      <c r="P200" s="2126"/>
      <c r="Q200" s="2126"/>
      <c r="R200" s="2126"/>
      <c r="S200" s="2126"/>
    </row>
    <row r="201" spans="2:20" s="2124" customFormat="1" x14ac:dyDescent="0.25">
      <c r="B201" s="2122"/>
      <c r="C201" s="2123" t="s">
        <v>631</v>
      </c>
      <c r="D201" s="2123"/>
      <c r="E201" s="2123"/>
      <c r="F201" s="2123"/>
      <c r="G201" s="2123">
        <f>G200/(G$24-G$39)*(G$28+G$31+G$34+G$37)</f>
        <v>282.16738344562299</v>
      </c>
      <c r="H201" s="2123">
        <f t="shared" ref="H201:N201" si="112">H200/(H24-H39)*(H28+H31+H34+H37)</f>
        <v>4.5874077146412304</v>
      </c>
      <c r="I201" s="2123">
        <f t="shared" si="112"/>
        <v>36.929879564938801</v>
      </c>
      <c r="J201" s="2123">
        <f t="shared" si="112"/>
        <v>47.116513359950901</v>
      </c>
      <c r="K201" s="2123">
        <f t="shared" si="112"/>
        <v>56.438414588039102</v>
      </c>
      <c r="L201" s="2123">
        <f t="shared" si="112"/>
        <v>45.100397063901099</v>
      </c>
      <c r="M201" s="2123">
        <f t="shared" si="112"/>
        <v>45.0651138684035</v>
      </c>
      <c r="N201" s="2123">
        <f t="shared" si="112"/>
        <v>6.5792061694179997</v>
      </c>
      <c r="O201" s="2123"/>
      <c r="P201" s="2123"/>
      <c r="Q201" s="2123"/>
      <c r="R201" s="2123"/>
      <c r="S201" s="2123"/>
    </row>
    <row r="202" spans="2:20" s="2124" customFormat="1" x14ac:dyDescent="0.25">
      <c r="B202" s="2122"/>
      <c r="C202" s="2123" t="s">
        <v>630</v>
      </c>
      <c r="D202" s="2123"/>
      <c r="E202" s="2123"/>
      <c r="F202" s="2123"/>
      <c r="G202" s="2123">
        <f>G200/(G$24-G$39)*(G$29+G$32+G$35+G$38)</f>
        <v>1875.76261655438</v>
      </c>
      <c r="H202" s="2123">
        <f t="shared" ref="H202:N202" si="113">H200/(H24-H39)*(H29+H32+H35+H38)</f>
        <v>21.1725922853588</v>
      </c>
      <c r="I202" s="2123">
        <f t="shared" si="113"/>
        <v>271.76012043506103</v>
      </c>
      <c r="J202" s="2123">
        <f t="shared" si="113"/>
        <v>351.61348664004902</v>
      </c>
      <c r="K202" s="2123">
        <f t="shared" si="113"/>
        <v>421.52158541196098</v>
      </c>
      <c r="L202" s="2123">
        <f t="shared" si="113"/>
        <v>351.749602936099</v>
      </c>
      <c r="M202" s="2123">
        <f t="shared" si="113"/>
        <v>338.23488613159702</v>
      </c>
      <c r="N202" s="2123">
        <f t="shared" si="113"/>
        <v>32.940793830582002</v>
      </c>
      <c r="O202" s="2123"/>
      <c r="P202" s="2123"/>
      <c r="Q202" s="2123"/>
      <c r="R202" s="2123"/>
      <c r="S202" s="2123"/>
    </row>
    <row r="203" spans="2:20" s="1821" customFormat="1" x14ac:dyDescent="0.25">
      <c r="B203" s="1819"/>
      <c r="C203" s="2128" t="s">
        <v>2716</v>
      </c>
      <c r="D203" s="1820"/>
      <c r="E203" s="1820"/>
      <c r="F203" s="1820"/>
      <c r="G203" s="1820">
        <f>'Розрахунки Річного плану'!C152</f>
        <v>240.636</v>
      </c>
      <c r="H203" s="1820">
        <f>'Розрахунки Річного плану'!D152</f>
        <v>74.343999999999994</v>
      </c>
      <c r="I203" s="1820">
        <f>'Розрахунки Річного плану'!E152</f>
        <v>20.254000000000001</v>
      </c>
      <c r="J203" s="1820">
        <f>'Розрахунки Річного плану'!F152</f>
        <v>35.246000000000002</v>
      </c>
      <c r="K203" s="1820">
        <f>'Розрахунки Річного плану'!G152</f>
        <v>10.989000000000001</v>
      </c>
      <c r="L203" s="1820">
        <f>'Розрахунки Річного плану'!H152</f>
        <v>11.113</v>
      </c>
      <c r="M203" s="1820">
        <f>'Розрахунки Річного плану'!I152</f>
        <v>4.72</v>
      </c>
      <c r="N203" s="1820">
        <f>'Розрахунки Річного плану'!J152</f>
        <v>2.645</v>
      </c>
      <c r="O203" s="1820"/>
      <c r="P203" s="1820"/>
      <c r="Q203" s="1820"/>
      <c r="R203" s="1820"/>
      <c r="S203" s="1820"/>
    </row>
    <row r="204" spans="2:20" x14ac:dyDescent="0.25">
      <c r="C204" s="2123" t="s">
        <v>631</v>
      </c>
      <c r="G204" s="2123">
        <f>G203/(G$24-G$39)*(G$28+G$31+G$34+G$37)</f>
        <v>31.465168231972701</v>
      </c>
      <c r="H204" s="2123">
        <f t="shared" ref="H204:N204" si="114">H203/(H24-H42)*(H31+H34+H37+H40)</f>
        <v>12.144846831177301</v>
      </c>
      <c r="I204" s="2123">
        <f t="shared" si="114"/>
        <v>1.93158541479194</v>
      </c>
      <c r="J204" s="2123">
        <f t="shared" si="114"/>
        <v>3.2991182068268601</v>
      </c>
      <c r="K204" s="2123">
        <f t="shared" si="114"/>
        <v>1.02358003869448</v>
      </c>
      <c r="L204" s="2123">
        <f t="shared" si="114"/>
        <v>0.99704434954671195</v>
      </c>
      <c r="M204" s="2123">
        <f t="shared" si="114"/>
        <v>0.43995009802174301</v>
      </c>
      <c r="N204" s="2123">
        <f t="shared" si="114"/>
        <v>0.39255059511021401</v>
      </c>
    </row>
    <row r="205" spans="2:20" x14ac:dyDescent="0.25">
      <c r="C205" s="2123" t="s">
        <v>2715</v>
      </c>
      <c r="G205" s="2123">
        <f>G203/(G$24-G$39)*(G$29+G$32+G$35+G$38)</f>
        <v>209.170831768027</v>
      </c>
      <c r="H205" s="2123">
        <f t="shared" ref="H205:N205" si="115">H203/(H24-H42)*(H32+H35+H38+H41)</f>
        <v>62.199153168822697</v>
      </c>
      <c r="I205" s="2123">
        <f t="shared" si="115"/>
        <v>18.322414585208101</v>
      </c>
      <c r="J205" s="2123">
        <f t="shared" si="115"/>
        <v>31.946881793173102</v>
      </c>
      <c r="K205" s="2123">
        <f t="shared" si="115"/>
        <v>9.9654199613055194</v>
      </c>
      <c r="L205" s="2123">
        <f t="shared" si="115"/>
        <v>10.1159556504533</v>
      </c>
      <c r="M205" s="2123">
        <f t="shared" si="115"/>
        <v>4.2800499019782601</v>
      </c>
      <c r="N205" s="2123">
        <f t="shared" si="115"/>
        <v>2.2524494048897901</v>
      </c>
    </row>
    <row r="206" spans="2:20" x14ac:dyDescent="0.25">
      <c r="C206" s="2128" t="s">
        <v>2717</v>
      </c>
      <c r="G206" s="2105">
        <f t="shared" ref="G206:N206" si="116">G112</f>
        <v>1.66</v>
      </c>
      <c r="H206" s="2105">
        <f t="shared" si="116"/>
        <v>1.66</v>
      </c>
      <c r="I206" s="2105">
        <f t="shared" si="116"/>
        <v>1.66</v>
      </c>
      <c r="J206" s="2105">
        <f t="shared" si="116"/>
        <v>1.66</v>
      </c>
      <c r="K206" s="2105">
        <f t="shared" si="116"/>
        <v>1.66</v>
      </c>
      <c r="L206" s="2105">
        <f t="shared" si="116"/>
        <v>1.66</v>
      </c>
      <c r="M206" s="2105">
        <f t="shared" si="116"/>
        <v>1.66</v>
      </c>
      <c r="N206" s="2105">
        <f t="shared" si="116"/>
        <v>1.66</v>
      </c>
    </row>
    <row r="207" spans="2:20" x14ac:dyDescent="0.25">
      <c r="C207" s="2123" t="s">
        <v>631</v>
      </c>
      <c r="G207" s="2123">
        <f>G206/(G$24-G$39)*(G$28+G$31+G$34+G$37)</f>
        <v>0.21705887425437101</v>
      </c>
      <c r="H207" s="2123">
        <f t="shared" ref="H207:N207" si="117">H206/(H24-H39)*(H34+H37+H40+H43)</f>
        <v>0.29561711204598001</v>
      </c>
      <c r="I207" s="2123">
        <f t="shared" si="117"/>
        <v>0.19859276321811001</v>
      </c>
      <c r="J207" s="2123">
        <f t="shared" si="117"/>
        <v>0.196156326781327</v>
      </c>
      <c r="K207" s="2123">
        <f t="shared" si="117"/>
        <v>0.19601591810223601</v>
      </c>
      <c r="L207" s="2123">
        <f t="shared" si="117"/>
        <v>0.188652284556068</v>
      </c>
      <c r="M207" s="2123">
        <f t="shared" si="117"/>
        <v>0.19516850775254299</v>
      </c>
      <c r="N207" s="2123">
        <f t="shared" si="117"/>
        <v>0.27635329557777999</v>
      </c>
    </row>
    <row r="208" spans="2:20" x14ac:dyDescent="0.25">
      <c r="C208" s="2123" t="s">
        <v>2715</v>
      </c>
      <c r="G208" s="2123">
        <f>G206/(G$24-G$39)*(G$29+G$32+G$35+G$38)</f>
        <v>1.4429411257456299</v>
      </c>
      <c r="H208" s="2123">
        <f t="shared" ref="H208:N208" si="118">H206/(H24-H39)*(H35+H38+H41+H44)</f>
        <v>1.51398649049002</v>
      </c>
      <c r="I208" s="2123">
        <f t="shared" si="118"/>
        <v>1.8837887848186201</v>
      </c>
      <c r="J208" s="2123">
        <f t="shared" si="118"/>
        <v>1.8994720988471001</v>
      </c>
      <c r="K208" s="2123">
        <f t="shared" si="118"/>
        <v>1.908381239518</v>
      </c>
      <c r="L208" s="2123">
        <f t="shared" si="118"/>
        <v>1.9140554227036199</v>
      </c>
      <c r="M208" s="2123">
        <f t="shared" si="118"/>
        <v>1.8986947752293299</v>
      </c>
      <c r="N208" s="2123">
        <f t="shared" si="118"/>
        <v>1.5857110495240401</v>
      </c>
    </row>
    <row r="210" spans="3:20" x14ac:dyDescent="0.25">
      <c r="C210" s="2135" t="s">
        <v>2720</v>
      </c>
      <c r="D210" s="2135" t="s">
        <v>1376</v>
      </c>
      <c r="E210" s="2136" t="s">
        <v>2239</v>
      </c>
      <c r="F210" s="2136" t="s">
        <v>2240</v>
      </c>
      <c r="G210" s="2136" t="s">
        <v>1095</v>
      </c>
      <c r="H210" s="2136" t="s">
        <v>2179</v>
      </c>
      <c r="T210" s="2"/>
    </row>
    <row r="211" spans="3:20" x14ac:dyDescent="0.25">
      <c r="C211" s="2135" t="s">
        <v>2100</v>
      </c>
      <c r="D211" s="2137">
        <f>G39+(G172-G175)</f>
        <v>13067.41</v>
      </c>
      <c r="E211" s="2135">
        <f>ROUND($D$211/($G$26-$G$39)*$G$27,1)</f>
        <v>0</v>
      </c>
      <c r="F211" s="2135">
        <f>ROUND($D$211/($G$26-$G$39)*$G$30,5)</f>
        <v>0</v>
      </c>
      <c r="G211" s="2135">
        <f>ROUND($D$211/($G$26-$G$39)*$G$33,1)</f>
        <v>0</v>
      </c>
      <c r="H211" s="2135">
        <f>ROUND($D$211/($G$26-$G$39)*$G$36,1)</f>
        <v>13067.4</v>
      </c>
    </row>
    <row r="212" spans="3:20" x14ac:dyDescent="0.25">
      <c r="C212" s="2135" t="s">
        <v>2718</v>
      </c>
      <c r="D212" s="2142">
        <f>G95-G112</f>
        <v>8.7149999999999999</v>
      </c>
      <c r="E212" s="2135">
        <f>ROUND($D$212/($G$26-$G$39)*$G$27,4)</f>
        <v>0</v>
      </c>
      <c r="F212" s="2135">
        <f>ROUND($D$212/($G$26-$G$39)*$G$30,5)</f>
        <v>0</v>
      </c>
      <c r="G212" s="2135">
        <f>ROUND($D$212/($G$26-$G$39)*$G$33,4)</f>
        <v>0</v>
      </c>
      <c r="H212" s="2135">
        <f>ROUND($D$212/($G$26-$G$39)*$G$36,4)</f>
        <v>8.7149999999999999</v>
      </c>
    </row>
    <row r="213" spans="3:20" x14ac:dyDescent="0.25">
      <c r="C213" s="2135"/>
      <c r="D213" s="2135"/>
      <c r="E213" s="2139">
        <f>E211/$D$211</f>
        <v>0</v>
      </c>
      <c r="F213" s="2139">
        <f t="shared" ref="F213:H213" si="119">F211/$D$211</f>
        <v>0</v>
      </c>
      <c r="G213" s="2139">
        <f t="shared" si="119"/>
        <v>0</v>
      </c>
      <c r="H213" s="2139">
        <f t="shared" si="119"/>
        <v>0.99999899999999997</v>
      </c>
    </row>
    <row r="214" spans="3:20" x14ac:dyDescent="0.25">
      <c r="C214" s="2135"/>
      <c r="D214" s="2135"/>
      <c r="E214" s="2139">
        <f>E212/$D$212</f>
        <v>0</v>
      </c>
      <c r="F214" s="2139">
        <f t="shared" ref="F214:H214" si="120">F212/$D$212</f>
        <v>0</v>
      </c>
      <c r="G214" s="2139">
        <f t="shared" si="120"/>
        <v>0</v>
      </c>
      <c r="H214" s="2139">
        <f t="shared" si="120"/>
        <v>1</v>
      </c>
    </row>
    <row r="215" spans="3:20" x14ac:dyDescent="0.25">
      <c r="E215" s="2105">
        <f>E212-E217</f>
        <v>0</v>
      </c>
      <c r="F215" s="2105">
        <f t="shared" ref="F215:H215" si="121">F212-F217</f>
        <v>0</v>
      </c>
      <c r="G215" s="2105">
        <f t="shared" si="121"/>
        <v>0</v>
      </c>
      <c r="H215" s="2105">
        <f t="shared" si="121"/>
        <v>0</v>
      </c>
    </row>
    <row r="216" spans="3:20" x14ac:dyDescent="0.25">
      <c r="D216" s="2138">
        <f>G112</f>
        <v>1.66</v>
      </c>
      <c r="E216" s="2135">
        <f>ROUND($D$216/($G$26-$G$39)*$G$27,4)</f>
        <v>0</v>
      </c>
      <c r="F216" s="2135">
        <f>ROUND($D$216/($G$26-$G$39)*$G$30,4)</f>
        <v>0</v>
      </c>
      <c r="G216" s="2135">
        <f>ROUND($D$216/($G$26-$G$39)*$G$33,4)</f>
        <v>0</v>
      </c>
      <c r="H216" s="2135">
        <f>ROUND($D$216/($G$26-$G$39)*$G$36,4)</f>
        <v>1.66</v>
      </c>
    </row>
    <row r="217" spans="3:20" x14ac:dyDescent="0.25">
      <c r="D217" s="2105">
        <f>SUM(E217:H217)</f>
        <v>8.7149999999999999</v>
      </c>
      <c r="E217" s="2105">
        <f>G96</f>
        <v>0</v>
      </c>
      <c r="F217" s="2141">
        <f>G103</f>
        <v>0</v>
      </c>
      <c r="G217" s="2141">
        <f>G106</f>
        <v>0</v>
      </c>
      <c r="H217" s="2105">
        <f>G109</f>
        <v>8.7149999999999999</v>
      </c>
    </row>
    <row r="218" spans="3:20" x14ac:dyDescent="0.25">
      <c r="D218" s="2140">
        <f>SUM(E218:H218)</f>
        <v>10.375</v>
      </c>
      <c r="E218" s="2140">
        <f>E216+E217</f>
        <v>0</v>
      </c>
      <c r="F218" s="2140">
        <f t="shared" ref="F218:H218" si="122">F216+F217</f>
        <v>0</v>
      </c>
      <c r="G218" s="2140">
        <f t="shared" si="122"/>
        <v>0</v>
      </c>
      <c r="H218" s="2140">
        <f t="shared" si="122"/>
        <v>10.375</v>
      </c>
    </row>
    <row r="219" spans="3:20" x14ac:dyDescent="0.25">
      <c r="E219" s="2139">
        <f>E218/$D$218</f>
        <v>0</v>
      </c>
      <c r="F219" s="2139">
        <f>F218/$D$218</f>
        <v>0</v>
      </c>
      <c r="G219" s="2139">
        <f>G218/$D$218</f>
        <v>0</v>
      </c>
      <c r="H219" s="2139">
        <f>H218/$D$218</f>
        <v>1</v>
      </c>
    </row>
    <row r="220" spans="3:20" x14ac:dyDescent="0.25">
      <c r="E220" s="2139">
        <f>E217/$D$217</f>
        <v>0</v>
      </c>
      <c r="F220" s="2139">
        <f t="shared" ref="F220:H220" si="123">F217/$D$217</f>
        <v>0</v>
      </c>
      <c r="G220" s="2139">
        <f t="shared" si="123"/>
        <v>0</v>
      </c>
      <c r="H220" s="2139">
        <f t="shared" si="123"/>
        <v>1</v>
      </c>
    </row>
    <row r="221" spans="3:20" x14ac:dyDescent="0.25">
      <c r="C221" s="2288"/>
      <c r="D221" s="2288" t="s">
        <v>2892</v>
      </c>
      <c r="E221" s="2288" t="s">
        <v>2101</v>
      </c>
    </row>
    <row r="222" spans="3:20" x14ac:dyDescent="0.25">
      <c r="C222" s="2288" t="s">
        <v>2702</v>
      </c>
      <c r="D222" s="1084">
        <f>G39</f>
        <v>2398.5700000000002</v>
      </c>
      <c r="E222" s="1084">
        <f>G115</f>
        <v>9459.3799999999992</v>
      </c>
    </row>
    <row r="223" spans="3:20" x14ac:dyDescent="0.25">
      <c r="C223" s="2288" t="s">
        <v>2239</v>
      </c>
      <c r="D223" s="2">
        <f>D$222/E$222*E223</f>
        <v>0</v>
      </c>
      <c r="E223" s="1084">
        <f>G117</f>
        <v>0</v>
      </c>
    </row>
    <row r="224" spans="3:20" x14ac:dyDescent="0.25">
      <c r="C224" s="2288" t="s">
        <v>2893</v>
      </c>
      <c r="D224" s="2">
        <f t="shared" ref="D224:D226" si="124">D$222/E$222*E224</f>
        <v>0</v>
      </c>
      <c r="E224" s="1084">
        <f>G124</f>
        <v>0</v>
      </c>
    </row>
    <row r="225" spans="3:5" x14ac:dyDescent="0.25">
      <c r="C225" s="2288" t="s">
        <v>1095</v>
      </c>
      <c r="D225" s="2">
        <f>D$222/E$222*E225</f>
        <v>0</v>
      </c>
      <c r="E225" s="1084">
        <f>G127</f>
        <v>0</v>
      </c>
    </row>
    <row r="226" spans="3:5" x14ac:dyDescent="0.25">
      <c r="C226" s="2288" t="s">
        <v>1096</v>
      </c>
      <c r="D226" s="2">
        <f t="shared" si="124"/>
        <v>2398.5700000000002</v>
      </c>
      <c r="E226" s="1084">
        <f>G130+G143</f>
        <v>9459.3799999999992</v>
      </c>
    </row>
  </sheetData>
  <mergeCells count="16">
    <mergeCell ref="G4:L4"/>
    <mergeCell ref="D5:O5"/>
    <mergeCell ref="O1:S2"/>
    <mergeCell ref="G153:J153"/>
    <mergeCell ref="O153:R153"/>
    <mergeCell ref="G152:J152"/>
    <mergeCell ref="O152:R152"/>
    <mergeCell ref="H10:S10"/>
    <mergeCell ref="G10:G11"/>
    <mergeCell ref="F6:M6"/>
    <mergeCell ref="F8:M8"/>
    <mergeCell ref="C10:C12"/>
    <mergeCell ref="D10:D12"/>
    <mergeCell ref="E10:E11"/>
    <mergeCell ref="F10:F11"/>
    <mergeCell ref="F9:K9"/>
  </mergeCells>
  <conditionalFormatting sqref="N8:S8 C8:E8">
    <cfRule type="cellIs" dxfId="40" priority="2" operator="equal">
      <formula>0</formula>
    </cfRule>
  </conditionalFormatting>
  <pageMargins left="0.31496062992125984" right="0.15748031496062992" top="0.78740157480314965" bottom="0.31496062992125984" header="0.31496062992125984" footer="0.31496062992125984"/>
  <pageSetup paperSize="9" scale="7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A1:AH165"/>
  <sheetViews>
    <sheetView showRowColHeaders="0" view="pageBreakPreview" zoomScaleNormal="130" zoomScaleSheetLayoutView="100" workbookViewId="0">
      <selection activeCell="G14" sqref="G14"/>
    </sheetView>
  </sheetViews>
  <sheetFormatPr defaultColWidth="9.140625" defaultRowHeight="15" x14ac:dyDescent="0.25"/>
  <cols>
    <col min="1" max="1" width="38.5703125" style="24" customWidth="1"/>
    <col min="2" max="2" width="12.140625" style="24" customWidth="1"/>
    <col min="3" max="3" width="13.42578125" style="24" customWidth="1"/>
    <col min="4" max="9" width="12.140625" style="24" customWidth="1"/>
    <col min="10" max="10" width="11.85546875" style="3" customWidth="1"/>
    <col min="11" max="11" width="18.85546875" style="3" customWidth="1"/>
    <col min="12" max="12" width="13" style="3" bestFit="1" customWidth="1"/>
    <col min="13" max="13" width="12.140625" style="3" bestFit="1" customWidth="1"/>
    <col min="14" max="14" width="9.28515625" style="3" bestFit="1" customWidth="1"/>
    <col min="15" max="15" width="12" style="3" bestFit="1" customWidth="1"/>
    <col min="16" max="16384" width="9.140625" style="3"/>
  </cols>
  <sheetData>
    <row r="1" spans="1:15" ht="42.75" customHeight="1" x14ac:dyDescent="0.25">
      <c r="F1" s="3808" t="s">
        <v>3447</v>
      </c>
      <c r="G1" s="3808"/>
      <c r="H1" s="3808"/>
      <c r="I1" s="3808"/>
      <c r="J1" s="166"/>
    </row>
    <row r="2" spans="1:15" ht="14.45" customHeight="1" x14ac:dyDescent="0.25">
      <c r="F2" s="3806"/>
      <c r="G2" s="3806"/>
      <c r="H2" s="3806"/>
      <c r="I2" s="231"/>
      <c r="J2" s="166"/>
    </row>
    <row r="3" spans="1:15" ht="14.45" customHeight="1" x14ac:dyDescent="0.25">
      <c r="F3" s="2939"/>
      <c r="G3" s="2939"/>
      <c r="H3" s="2939"/>
      <c r="I3" s="231"/>
      <c r="J3" s="166"/>
    </row>
    <row r="4" spans="1:15" ht="18" customHeight="1" x14ac:dyDescent="0.25">
      <c r="A4" s="3809" t="s">
        <v>450</v>
      </c>
      <c r="B4" s="3809"/>
      <c r="C4" s="3809"/>
      <c r="D4" s="3809"/>
      <c r="E4" s="3809"/>
      <c r="F4" s="3809"/>
      <c r="G4" s="3809"/>
      <c r="H4" s="3809"/>
      <c r="I4" s="3809"/>
      <c r="J4" s="166"/>
      <c r="K4" s="2233"/>
      <c r="L4" s="2234"/>
    </row>
    <row r="5" spans="1:15" ht="17.45" customHeight="1" x14ac:dyDescent="0.25">
      <c r="A5" s="3810" t="s">
        <v>814</v>
      </c>
      <c r="B5" s="3811"/>
      <c r="C5" s="3811"/>
      <c r="D5" s="3811"/>
      <c r="E5" s="3811"/>
      <c r="F5" s="3811"/>
      <c r="G5" s="3811"/>
      <c r="H5" s="3811"/>
      <c r="I5" s="3811"/>
      <c r="J5" s="166"/>
      <c r="K5" s="2232"/>
      <c r="L5" s="2234"/>
    </row>
    <row r="6" spans="1:15" x14ac:dyDescent="0.25">
      <c r="B6" s="1244"/>
      <c r="C6" s="1244"/>
      <c r="D6" s="1244"/>
      <c r="E6" s="1244"/>
      <c r="F6" s="1244"/>
      <c r="G6" s="1244"/>
      <c r="H6" s="1244"/>
      <c r="I6" s="1244"/>
      <c r="K6" s="2231"/>
      <c r="L6" s="2234"/>
      <c r="M6" s="248"/>
      <c r="N6" s="2235"/>
    </row>
    <row r="7" spans="1:15" ht="15.75" thickBot="1" x14ac:dyDescent="0.25">
      <c r="A7" s="3812" t="s">
        <v>220</v>
      </c>
      <c r="B7" s="3813"/>
      <c r="C7" s="3813"/>
      <c r="D7" s="3813"/>
      <c r="E7" s="3813"/>
      <c r="F7" s="3813"/>
      <c r="G7" s="3813"/>
      <c r="H7" s="3813"/>
      <c r="I7" s="3813"/>
      <c r="K7" s="2231"/>
    </row>
    <row r="8" spans="1:15" ht="70.5" customHeight="1" thickBot="1" x14ac:dyDescent="0.3">
      <c r="A8" s="1245" t="s">
        <v>129</v>
      </c>
      <c r="B8" s="191" t="s">
        <v>130</v>
      </c>
      <c r="C8" s="191" t="s">
        <v>2836</v>
      </c>
      <c r="D8" s="191" t="s">
        <v>3465</v>
      </c>
      <c r="E8" s="191" t="s">
        <v>131</v>
      </c>
      <c r="F8" s="191" t="s">
        <v>132</v>
      </c>
      <c r="G8" s="191" t="s">
        <v>133</v>
      </c>
      <c r="H8" s="191" t="s">
        <v>134</v>
      </c>
      <c r="I8" s="192" t="s">
        <v>135</v>
      </c>
      <c r="K8" s="8">
        <f>F10*(E10/7000)</f>
        <v>2035.9029599999999</v>
      </c>
    </row>
    <row r="9" spans="1:15" ht="15.75" thickBot="1" x14ac:dyDescent="0.3">
      <c r="A9" s="3815" t="s">
        <v>819</v>
      </c>
      <c r="B9" s="3816"/>
      <c r="C9" s="3816"/>
      <c r="D9" s="3816"/>
      <c r="E9" s="3816"/>
      <c r="F9" s="3816"/>
      <c r="G9" s="3816"/>
      <c r="H9" s="3816"/>
      <c r="I9" s="3817"/>
      <c r="J9" s="258"/>
      <c r="K9" s="8"/>
    </row>
    <row r="10" spans="1:15" ht="15.75" thickBot="1" x14ac:dyDescent="0.3">
      <c r="A10" s="1246" t="s">
        <v>136</v>
      </c>
      <c r="B10" s="2464">
        <f>'Д 7_РП'!G26</f>
        <v>13067.41</v>
      </c>
      <c r="C10" s="2465">
        <f>D10/B10*1000</f>
        <v>155.80000000000001</v>
      </c>
      <c r="D10" s="2464">
        <f>2035.902</f>
        <v>2035.9</v>
      </c>
      <c r="E10" s="2464">
        <v>8232</v>
      </c>
      <c r="F10" s="2464">
        <f>D10/(E10/7000)</f>
        <v>1731.21</v>
      </c>
      <c r="G10" s="2464">
        <f>'Вхідні дані'!$D$24</f>
        <v>30579.98</v>
      </c>
      <c r="H10" s="2464">
        <f>SUM(H11:H14)</f>
        <v>52940.37</v>
      </c>
      <c r="I10" s="249">
        <f>H10/D10*1000</f>
        <v>26003.42</v>
      </c>
      <c r="L10" s="230" t="s">
        <v>699</v>
      </c>
      <c r="M10" s="3">
        <f>H10/B10*1000</f>
        <v>4051.3284575902999</v>
      </c>
    </row>
    <row r="11" spans="1:15" ht="15.75" thickBot="1" x14ac:dyDescent="0.3">
      <c r="A11" s="277" t="s">
        <v>3</v>
      </c>
      <c r="B11" s="2466">
        <f>'Д 7_РП'!G27+C76</f>
        <v>0</v>
      </c>
      <c r="C11" s="2467">
        <v>0</v>
      </c>
      <c r="D11" s="2570">
        <v>0</v>
      </c>
      <c r="E11" s="2466">
        <v>0</v>
      </c>
      <c r="F11" s="2466">
        <v>0</v>
      </c>
      <c r="G11" s="2466">
        <f>'Вхідні дані'!$D$22</f>
        <v>0</v>
      </c>
      <c r="H11" s="2466">
        <f t="shared" ref="H11:H18" si="0">F11*G11/1000</f>
        <v>0</v>
      </c>
      <c r="I11" s="250">
        <v>0</v>
      </c>
      <c r="J11" s="248"/>
      <c r="K11" s="256"/>
      <c r="N11" s="2162"/>
    </row>
    <row r="12" spans="1:15" ht="15.75" thickBot="1" x14ac:dyDescent="0.3">
      <c r="A12" s="277" t="s">
        <v>173</v>
      </c>
      <c r="B12" s="2466">
        <f>'Д 7_РП'!G30+C77</f>
        <v>0</v>
      </c>
      <c r="C12" s="2467">
        <f>C11</f>
        <v>0</v>
      </c>
      <c r="D12" s="2570">
        <v>0</v>
      </c>
      <c r="E12" s="2466">
        <f>E11</f>
        <v>0</v>
      </c>
      <c r="F12" s="2466">
        <v>0</v>
      </c>
      <c r="G12" s="2466">
        <v>0</v>
      </c>
      <c r="H12" s="2466">
        <v>0</v>
      </c>
      <c r="I12" s="250">
        <v>0</v>
      </c>
      <c r="N12" s="2162"/>
    </row>
    <row r="13" spans="1:15" ht="15.75" thickBot="1" x14ac:dyDescent="0.3">
      <c r="A13" s="277" t="s">
        <v>98</v>
      </c>
      <c r="B13" s="2466">
        <f>'Д 7_РП'!G35+'Д 8_Паливо'!C78</f>
        <v>0</v>
      </c>
      <c r="C13" s="2467">
        <v>0</v>
      </c>
      <c r="D13" s="2464">
        <f>B13*C13/1000</f>
        <v>0</v>
      </c>
      <c r="E13" s="2466">
        <v>0</v>
      </c>
      <c r="F13" s="2466">
        <v>0</v>
      </c>
      <c r="G13" s="2466">
        <v>0</v>
      </c>
      <c r="H13" s="2466">
        <f>F13*G13/1000+0.0011</f>
        <v>0</v>
      </c>
      <c r="I13" s="250">
        <v>0</v>
      </c>
      <c r="J13" s="166"/>
      <c r="K13" s="248"/>
      <c r="M13" s="3">
        <v>0</v>
      </c>
      <c r="O13" s="3">
        <f>O11-O12</f>
        <v>0</v>
      </c>
    </row>
    <row r="14" spans="1:15" ht="15.75" thickBot="1" x14ac:dyDescent="0.3">
      <c r="A14" s="1247" t="s">
        <v>99</v>
      </c>
      <c r="B14" s="2468">
        <f>'Д 7_РП'!G36+C79</f>
        <v>13067.41</v>
      </c>
      <c r="C14" s="2467">
        <f>C10</f>
        <v>155.80000000000001</v>
      </c>
      <c r="D14" s="2464">
        <f>B14*C14/1000</f>
        <v>2035.9</v>
      </c>
      <c r="E14" s="2468">
        <f>E10</f>
        <v>8232</v>
      </c>
      <c r="F14" s="2468">
        <f>D14/(E14/7000)</f>
        <v>1731.21</v>
      </c>
      <c r="G14" s="2468">
        <f>'Вхідні дані'!$D$24</f>
        <v>30579.98</v>
      </c>
      <c r="H14" s="2468">
        <f>F14*G14/1000</f>
        <v>52940.37</v>
      </c>
      <c r="I14" s="251">
        <f>H14/D14*1000</f>
        <v>26003.42</v>
      </c>
      <c r="M14" s="3">
        <f>H14/B14*1000</f>
        <v>4051.3284575902999</v>
      </c>
    </row>
    <row r="15" spans="1:15" ht="15.75" thickBot="1" x14ac:dyDescent="0.3">
      <c r="A15" s="3815" t="s">
        <v>820</v>
      </c>
      <c r="B15" s="3816"/>
      <c r="C15" s="3816"/>
      <c r="D15" s="3816"/>
      <c r="E15" s="3816"/>
      <c r="F15" s="3816"/>
      <c r="G15" s="3816"/>
      <c r="H15" s="3816"/>
      <c r="I15" s="3817"/>
      <c r="J15" s="258"/>
    </row>
    <row r="16" spans="1:15" x14ac:dyDescent="0.25">
      <c r="A16" s="1246" t="s">
        <v>136</v>
      </c>
      <c r="B16" s="2464">
        <f>B10</f>
        <v>13067.41</v>
      </c>
      <c r="C16" s="2465">
        <f>C10</f>
        <v>155.80000000000001</v>
      </c>
      <c r="D16" s="2570">
        <f>D10</f>
        <v>2035.9</v>
      </c>
      <c r="E16" s="2464">
        <f>E10</f>
        <v>8232</v>
      </c>
      <c r="F16" s="2464">
        <f>F10</f>
        <v>1731.21</v>
      </c>
      <c r="G16" s="2470">
        <f>'Вхідні дані'!$D$25</f>
        <v>136.58000000000001</v>
      </c>
      <c r="H16" s="2464">
        <f>F16*G16/1000</f>
        <v>236.45</v>
      </c>
      <c r="I16" s="2471">
        <f>H16/D16*1000</f>
        <v>116.14</v>
      </c>
      <c r="J16" s="258"/>
      <c r="L16" s="230"/>
      <c r="M16" s="3">
        <f>H16/B10*1000</f>
        <v>18.094633902203999</v>
      </c>
    </row>
    <row r="17" spans="1:16" x14ac:dyDescent="0.25">
      <c r="A17" s="277" t="s">
        <v>3</v>
      </c>
      <c r="B17" s="2466">
        <f t="shared" ref="B17:E20" si="1">B11</f>
        <v>0</v>
      </c>
      <c r="C17" s="2467">
        <f t="shared" si="1"/>
        <v>0</v>
      </c>
      <c r="D17" s="2466">
        <f t="shared" si="1"/>
        <v>0</v>
      </c>
      <c r="E17" s="2466">
        <v>0</v>
      </c>
      <c r="F17" s="2466">
        <f>F11</f>
        <v>0</v>
      </c>
      <c r="G17" s="2466">
        <v>0</v>
      </c>
      <c r="H17" s="2466">
        <f t="shared" si="0"/>
        <v>0</v>
      </c>
      <c r="I17" s="2472">
        <v>0</v>
      </c>
      <c r="J17" s="258"/>
      <c r="K17" s="256"/>
    </row>
    <row r="18" spans="1:16" x14ac:dyDescent="0.25">
      <c r="A18" s="277" t="s">
        <v>173</v>
      </c>
      <c r="B18" s="2466">
        <f t="shared" si="1"/>
        <v>0</v>
      </c>
      <c r="C18" s="2467">
        <f t="shared" si="1"/>
        <v>0</v>
      </c>
      <c r="D18" s="2466">
        <f t="shared" si="1"/>
        <v>0</v>
      </c>
      <c r="E18" s="2466">
        <v>0</v>
      </c>
      <c r="F18" s="2466">
        <f>F12</f>
        <v>0</v>
      </c>
      <c r="G18" s="2466">
        <v>0</v>
      </c>
      <c r="H18" s="2466">
        <f t="shared" si="0"/>
        <v>0</v>
      </c>
      <c r="I18" s="2472">
        <v>0</v>
      </c>
      <c r="J18" s="258"/>
    </row>
    <row r="19" spans="1:16" x14ac:dyDescent="0.25">
      <c r="A19" s="277" t="s">
        <v>98</v>
      </c>
      <c r="B19" s="2466">
        <f>B13</f>
        <v>0</v>
      </c>
      <c r="C19" s="2467">
        <f t="shared" si="1"/>
        <v>0</v>
      </c>
      <c r="D19" s="2466">
        <f t="shared" si="1"/>
        <v>0</v>
      </c>
      <c r="E19" s="2466">
        <f t="shared" si="1"/>
        <v>0</v>
      </c>
      <c r="F19" s="2466">
        <f>F13</f>
        <v>0</v>
      </c>
      <c r="G19" s="2466">
        <f>'Вхідні дані'!$D$25*'Вхідні дані'!$D$27</f>
        <v>0</v>
      </c>
      <c r="H19" s="2466">
        <f>F19*G19/1000</f>
        <v>0</v>
      </c>
      <c r="I19" s="2472">
        <v>0</v>
      </c>
      <c r="J19" s="258"/>
      <c r="K19" s="248"/>
    </row>
    <row r="20" spans="1:16" ht="15.75" thickBot="1" x14ac:dyDescent="0.3">
      <c r="A20" s="1247" t="s">
        <v>99</v>
      </c>
      <c r="B20" s="2468">
        <f t="shared" si="1"/>
        <v>13067.41</v>
      </c>
      <c r="C20" s="2469">
        <f t="shared" si="1"/>
        <v>155.80000000000001</v>
      </c>
      <c r="D20" s="2468">
        <f>D14</f>
        <v>2035.9</v>
      </c>
      <c r="E20" s="2468">
        <f t="shared" si="1"/>
        <v>8232</v>
      </c>
      <c r="F20" s="2468">
        <f>F14</f>
        <v>1731.21</v>
      </c>
      <c r="G20" s="2473">
        <f>'Вхідні дані'!$D$25</f>
        <v>136.58000000000001</v>
      </c>
      <c r="H20" s="2468">
        <f>F20*G20/1000</f>
        <v>236.45</v>
      </c>
      <c r="I20" s="2474">
        <f>H20/D20*1000</f>
        <v>116.14</v>
      </c>
      <c r="J20" s="258"/>
      <c r="M20" s="3">
        <f>H20/B14*1000</f>
        <v>18.094633902203999</v>
      </c>
    </row>
    <row r="21" spans="1:16" ht="15.75" thickBot="1" x14ac:dyDescent="0.3">
      <c r="A21" s="3815" t="s">
        <v>821</v>
      </c>
      <c r="B21" s="3816"/>
      <c r="C21" s="3816"/>
      <c r="D21" s="3816"/>
      <c r="E21" s="3816"/>
      <c r="F21" s="3816"/>
      <c r="G21" s="3816"/>
      <c r="H21" s="3816"/>
      <c r="I21" s="3817"/>
      <c r="J21" s="258"/>
    </row>
    <row r="22" spans="1:16" x14ac:dyDescent="0.25">
      <c r="A22" s="1246" t="s">
        <v>136</v>
      </c>
      <c r="B22" s="2464" t="s">
        <v>326</v>
      </c>
      <c r="C22" s="2464" t="s">
        <v>326</v>
      </c>
      <c r="D22" s="2464" t="s">
        <v>326</v>
      </c>
      <c r="E22" s="2464" t="s">
        <v>326</v>
      </c>
      <c r="F22" s="2464">
        <f>F10</f>
        <v>1731.21</v>
      </c>
      <c r="G22" s="2464">
        <f>'Вхідні дані'!$D$26</f>
        <v>840</v>
      </c>
      <c r="H22" s="2470">
        <f>F22*G22/1000</f>
        <v>1454.22</v>
      </c>
      <c r="I22" s="2471" t="s">
        <v>326</v>
      </c>
      <c r="J22" s="258"/>
      <c r="K22" s="1518"/>
      <c r="L22" s="1518"/>
      <c r="M22" s="1518"/>
      <c r="N22" s="1518"/>
      <c r="O22" s="1519"/>
      <c r="P22" s="1520"/>
    </row>
    <row r="23" spans="1:16" x14ac:dyDescent="0.25">
      <c r="A23" s="277" t="s">
        <v>3</v>
      </c>
      <c r="B23" s="2466" t="s">
        <v>326</v>
      </c>
      <c r="C23" s="2466" t="s">
        <v>326</v>
      </c>
      <c r="D23" s="2466" t="s">
        <v>326</v>
      </c>
      <c r="E23" s="2466" t="s">
        <v>326</v>
      </c>
      <c r="F23" s="2466">
        <f>F22*(B11/B10)</f>
        <v>0</v>
      </c>
      <c r="G23" s="2466">
        <v>0</v>
      </c>
      <c r="H23" s="2466">
        <f>F23*G23/1000</f>
        <v>0</v>
      </c>
      <c r="I23" s="2472" t="s">
        <v>326</v>
      </c>
      <c r="J23" s="258"/>
      <c r="K23" s="1518"/>
      <c r="L23" s="1518"/>
      <c r="M23" s="1518"/>
      <c r="N23" s="1518"/>
      <c r="O23" s="1519"/>
      <c r="P23" s="1520"/>
    </row>
    <row r="24" spans="1:16" x14ac:dyDescent="0.25">
      <c r="A24" s="277" t="s">
        <v>173</v>
      </c>
      <c r="B24" s="2466" t="s">
        <v>326</v>
      </c>
      <c r="C24" s="2466" t="s">
        <v>326</v>
      </c>
      <c r="D24" s="2466" t="s">
        <v>326</v>
      </c>
      <c r="E24" s="2466" t="s">
        <v>326</v>
      </c>
      <c r="F24" s="2466">
        <f>F22*(B12/B10)</f>
        <v>0</v>
      </c>
      <c r="G24" s="2466">
        <v>0</v>
      </c>
      <c r="H24" s="2466">
        <f>F24*G24/1000</f>
        <v>0</v>
      </c>
      <c r="I24" s="2472" t="s">
        <v>326</v>
      </c>
      <c r="J24" s="258"/>
      <c r="K24" s="1518"/>
      <c r="L24" s="1518"/>
      <c r="M24" s="1518"/>
      <c r="N24" s="1518"/>
      <c r="O24" s="1519"/>
      <c r="P24" s="1520"/>
    </row>
    <row r="25" spans="1:16" x14ac:dyDescent="0.25">
      <c r="A25" s="277" t="s">
        <v>98</v>
      </c>
      <c r="B25" s="2466" t="s">
        <v>326</v>
      </c>
      <c r="C25" s="2466" t="s">
        <v>326</v>
      </c>
      <c r="D25" s="2466" t="s">
        <v>326</v>
      </c>
      <c r="E25" s="2466" t="s">
        <v>326</v>
      </c>
      <c r="F25" s="2571">
        <f>F22*(B13/B10)</f>
        <v>0</v>
      </c>
      <c r="G25" s="2466">
        <f>'Вхідні дані'!$D$26</f>
        <v>840</v>
      </c>
      <c r="H25" s="2466">
        <f>F25*G25/1000</f>
        <v>0</v>
      </c>
      <c r="I25" s="2472" t="s">
        <v>326</v>
      </c>
      <c r="J25" s="258"/>
      <c r="K25" s="1518"/>
      <c r="L25" s="1518"/>
      <c r="M25" s="1518"/>
      <c r="N25" s="1518"/>
      <c r="O25" s="1519"/>
      <c r="P25" s="1520"/>
    </row>
    <row r="26" spans="1:16" ht="15.75" thickBot="1" x14ac:dyDescent="0.3">
      <c r="A26" s="1247" t="s">
        <v>99</v>
      </c>
      <c r="B26" s="2468" t="s">
        <v>326</v>
      </c>
      <c r="C26" s="2468" t="s">
        <v>326</v>
      </c>
      <c r="D26" s="2468" t="s">
        <v>326</v>
      </c>
      <c r="E26" s="2468" t="s">
        <v>326</v>
      </c>
      <c r="F26" s="2466">
        <f>F22*(B14/B10)</f>
        <v>1731.21</v>
      </c>
      <c r="G26" s="2468">
        <f>'Вхідні дані'!$D$26</f>
        <v>840</v>
      </c>
      <c r="H26" s="2473">
        <f>F26*G26/1000</f>
        <v>1454.22</v>
      </c>
      <c r="I26" s="2474" t="s">
        <v>326</v>
      </c>
      <c r="J26" s="258"/>
      <c r="K26" s="1518"/>
      <c r="L26" s="1518"/>
      <c r="M26" s="1518"/>
      <c r="N26" s="1518"/>
      <c r="O26" s="1519"/>
      <c r="P26" s="1520"/>
    </row>
    <row r="27" spans="1:16" x14ac:dyDescent="0.25">
      <c r="A27" s="1246" t="s">
        <v>3234</v>
      </c>
      <c r="B27" s="2464">
        <f>B10</f>
        <v>13067.41</v>
      </c>
      <c r="C27" s="2465">
        <f>C10</f>
        <v>155.80000000000001</v>
      </c>
      <c r="D27" s="2570">
        <f>D10</f>
        <v>2035.9</v>
      </c>
      <c r="E27" s="2464">
        <f>E10</f>
        <v>8232</v>
      </c>
      <c r="F27" s="2464" t="s">
        <v>326</v>
      </c>
      <c r="G27" s="2464" t="s">
        <v>326</v>
      </c>
      <c r="H27" s="2464">
        <f>H10+H16+H22</f>
        <v>54631.040000000001</v>
      </c>
      <c r="I27" s="2471">
        <f>H27/D27*1000</f>
        <v>26833.85</v>
      </c>
      <c r="J27" s="258"/>
    </row>
    <row r="28" spans="1:16" x14ac:dyDescent="0.25">
      <c r="A28" s="277" t="s">
        <v>3</v>
      </c>
      <c r="B28" s="2466">
        <f t="shared" ref="B28:D31" si="2">B11</f>
        <v>0</v>
      </c>
      <c r="C28" s="2467">
        <f t="shared" si="2"/>
        <v>0</v>
      </c>
      <c r="D28" s="2466">
        <f t="shared" si="2"/>
        <v>0</v>
      </c>
      <c r="E28" s="2466">
        <f>E11</f>
        <v>0</v>
      </c>
      <c r="F28" s="2466" t="s">
        <v>326</v>
      </c>
      <c r="G28" s="2466" t="s">
        <v>326</v>
      </c>
      <c r="H28" s="2466">
        <f>H11+H17+H23</f>
        <v>0</v>
      </c>
      <c r="I28" s="2472">
        <v>0</v>
      </c>
      <c r="J28" s="258"/>
    </row>
    <row r="29" spans="1:16" x14ac:dyDescent="0.25">
      <c r="A29" s="277" t="s">
        <v>173</v>
      </c>
      <c r="B29" s="2466">
        <f t="shared" si="2"/>
        <v>0</v>
      </c>
      <c r="C29" s="2467">
        <f t="shared" si="2"/>
        <v>0</v>
      </c>
      <c r="D29" s="2466">
        <f t="shared" si="2"/>
        <v>0</v>
      </c>
      <c r="E29" s="2466">
        <f>E12</f>
        <v>0</v>
      </c>
      <c r="F29" s="2466" t="s">
        <v>326</v>
      </c>
      <c r="G29" s="2466" t="s">
        <v>326</v>
      </c>
      <c r="H29" s="2466">
        <f>H12+H18+H24</f>
        <v>0</v>
      </c>
      <c r="I29" s="2472">
        <v>0</v>
      </c>
      <c r="J29" s="258"/>
    </row>
    <row r="30" spans="1:16" x14ac:dyDescent="0.25">
      <c r="A30" s="277" t="s">
        <v>98</v>
      </c>
      <c r="B30" s="2466">
        <f t="shared" si="2"/>
        <v>0</v>
      </c>
      <c r="C30" s="2467">
        <f t="shared" si="2"/>
        <v>0</v>
      </c>
      <c r="D30" s="2571">
        <f t="shared" si="2"/>
        <v>0</v>
      </c>
      <c r="E30" s="2466">
        <f>E13</f>
        <v>0</v>
      </c>
      <c r="F30" s="2466" t="s">
        <v>326</v>
      </c>
      <c r="G30" s="2466" t="s">
        <v>326</v>
      </c>
      <c r="H30" s="2466">
        <f>H13+H19+H25</f>
        <v>0</v>
      </c>
      <c r="I30" s="2472">
        <v>0</v>
      </c>
      <c r="J30" s="258"/>
    </row>
    <row r="31" spans="1:16" ht="15.75" thickBot="1" x14ac:dyDescent="0.3">
      <c r="A31" s="1247" t="s">
        <v>99</v>
      </c>
      <c r="B31" s="2468">
        <f t="shared" si="2"/>
        <v>13067.41</v>
      </c>
      <c r="C31" s="2469">
        <f t="shared" si="2"/>
        <v>155.80000000000001</v>
      </c>
      <c r="D31" s="2572">
        <f t="shared" si="2"/>
        <v>2035.9</v>
      </c>
      <c r="E31" s="2468">
        <f>E14</f>
        <v>8232</v>
      </c>
      <c r="F31" s="2468" t="s">
        <v>326</v>
      </c>
      <c r="G31" s="2468" t="s">
        <v>326</v>
      </c>
      <c r="H31" s="2468">
        <f>H14+H20+H26</f>
        <v>54631.040000000001</v>
      </c>
      <c r="I31" s="2474">
        <f>H31/D31*1000</f>
        <v>26833.85</v>
      </c>
      <c r="J31" s="258"/>
    </row>
    <row r="32" spans="1:16" x14ac:dyDescent="0.25">
      <c r="A32" s="1248" t="s">
        <v>278</v>
      </c>
      <c r="B32" s="2473">
        <v>0</v>
      </c>
      <c r="C32" s="2473">
        <v>0</v>
      </c>
      <c r="D32" s="2473">
        <v>0</v>
      </c>
      <c r="E32" s="2473">
        <v>0</v>
      </c>
      <c r="F32" s="2473">
        <v>0</v>
      </c>
      <c r="G32" s="2473">
        <v>0</v>
      </c>
      <c r="H32" s="2473">
        <v>0</v>
      </c>
      <c r="I32" s="2475">
        <v>0</v>
      </c>
    </row>
    <row r="33" spans="1:9" x14ac:dyDescent="0.25">
      <c r="A33" s="277" t="s">
        <v>3</v>
      </c>
      <c r="B33" s="2466">
        <v>0</v>
      </c>
      <c r="C33" s="2466">
        <v>0</v>
      </c>
      <c r="D33" s="2466">
        <v>0</v>
      </c>
      <c r="E33" s="2466">
        <v>0</v>
      </c>
      <c r="F33" s="2466">
        <v>0</v>
      </c>
      <c r="G33" s="2466">
        <v>0</v>
      </c>
      <c r="H33" s="2466">
        <v>0</v>
      </c>
      <c r="I33" s="2472">
        <v>0</v>
      </c>
    </row>
    <row r="34" spans="1:9" x14ac:dyDescent="0.25">
      <c r="A34" s="277" t="s">
        <v>173</v>
      </c>
      <c r="B34" s="2466">
        <v>0</v>
      </c>
      <c r="C34" s="2466">
        <v>0</v>
      </c>
      <c r="D34" s="2466">
        <v>0</v>
      </c>
      <c r="E34" s="2466">
        <v>0</v>
      </c>
      <c r="F34" s="2466">
        <v>0</v>
      </c>
      <c r="G34" s="2466">
        <v>0</v>
      </c>
      <c r="H34" s="2466">
        <v>0</v>
      </c>
      <c r="I34" s="2472">
        <v>0</v>
      </c>
    </row>
    <row r="35" spans="1:9" x14ac:dyDescent="0.25">
      <c r="A35" s="277" t="s">
        <v>98</v>
      </c>
      <c r="B35" s="2466">
        <v>0</v>
      </c>
      <c r="C35" s="2466">
        <v>0</v>
      </c>
      <c r="D35" s="2466">
        <v>0</v>
      </c>
      <c r="E35" s="2466">
        <v>0</v>
      </c>
      <c r="F35" s="2466">
        <v>0</v>
      </c>
      <c r="G35" s="2466">
        <v>0</v>
      </c>
      <c r="H35" s="2466">
        <v>0</v>
      </c>
      <c r="I35" s="2472">
        <v>0</v>
      </c>
    </row>
    <row r="36" spans="1:9" x14ac:dyDescent="0.25">
      <c r="A36" s="277" t="s">
        <v>99</v>
      </c>
      <c r="B36" s="2466">
        <v>0</v>
      </c>
      <c r="C36" s="2466">
        <v>0</v>
      </c>
      <c r="D36" s="2466">
        <v>0</v>
      </c>
      <c r="E36" s="2466">
        <v>0</v>
      </c>
      <c r="F36" s="2466">
        <v>0</v>
      </c>
      <c r="G36" s="2466">
        <v>0</v>
      </c>
      <c r="H36" s="2466">
        <v>0</v>
      </c>
      <c r="I36" s="2472">
        <v>0</v>
      </c>
    </row>
    <row r="37" spans="1:9" x14ac:dyDescent="0.25">
      <c r="A37" s="277" t="s">
        <v>279</v>
      </c>
      <c r="B37" s="2466">
        <v>0</v>
      </c>
      <c r="C37" s="2466">
        <v>0</v>
      </c>
      <c r="D37" s="2466">
        <v>0</v>
      </c>
      <c r="E37" s="2466">
        <v>0</v>
      </c>
      <c r="F37" s="2466">
        <v>0</v>
      </c>
      <c r="G37" s="2466">
        <v>0</v>
      </c>
      <c r="H37" s="2466">
        <v>0</v>
      </c>
      <c r="I37" s="2472">
        <v>0</v>
      </c>
    </row>
    <row r="38" spans="1:9" x14ac:dyDescent="0.25">
      <c r="A38" s="277" t="s">
        <v>3</v>
      </c>
      <c r="B38" s="2466">
        <v>0</v>
      </c>
      <c r="C38" s="2466">
        <v>0</v>
      </c>
      <c r="D38" s="2466">
        <v>0</v>
      </c>
      <c r="E38" s="2466">
        <v>0</v>
      </c>
      <c r="F38" s="2466">
        <v>0</v>
      </c>
      <c r="G38" s="2466">
        <v>0</v>
      </c>
      <c r="H38" s="2466">
        <v>0</v>
      </c>
      <c r="I38" s="2472">
        <v>0</v>
      </c>
    </row>
    <row r="39" spans="1:9" x14ac:dyDescent="0.25">
      <c r="A39" s="277" t="s">
        <v>173</v>
      </c>
      <c r="B39" s="2466">
        <v>0</v>
      </c>
      <c r="C39" s="2466">
        <v>0</v>
      </c>
      <c r="D39" s="2466">
        <v>0</v>
      </c>
      <c r="E39" s="2466">
        <v>0</v>
      </c>
      <c r="F39" s="2466">
        <v>0</v>
      </c>
      <c r="G39" s="2466">
        <v>0</v>
      </c>
      <c r="H39" s="2466">
        <v>0</v>
      </c>
      <c r="I39" s="2472">
        <v>0</v>
      </c>
    </row>
    <row r="40" spans="1:9" x14ac:dyDescent="0.25">
      <c r="A40" s="277" t="s">
        <v>98</v>
      </c>
      <c r="B40" s="2466">
        <v>0</v>
      </c>
      <c r="C40" s="2466">
        <v>0</v>
      </c>
      <c r="D40" s="2466">
        <v>0</v>
      </c>
      <c r="E40" s="2466">
        <v>0</v>
      </c>
      <c r="F40" s="2466">
        <v>0</v>
      </c>
      <c r="G40" s="2466">
        <v>0</v>
      </c>
      <c r="H40" s="2466">
        <v>0</v>
      </c>
      <c r="I40" s="2472">
        <v>0</v>
      </c>
    </row>
    <row r="41" spans="1:9" x14ac:dyDescent="0.25">
      <c r="A41" s="277" t="s">
        <v>99</v>
      </c>
      <c r="B41" s="2466">
        <v>0</v>
      </c>
      <c r="C41" s="2466">
        <v>0</v>
      </c>
      <c r="D41" s="2466">
        <v>0</v>
      </c>
      <c r="E41" s="2466">
        <v>0</v>
      </c>
      <c r="F41" s="2466">
        <v>0</v>
      </c>
      <c r="G41" s="2466">
        <v>0</v>
      </c>
      <c r="H41" s="2466">
        <v>0</v>
      </c>
      <c r="I41" s="2472">
        <v>0</v>
      </c>
    </row>
    <row r="42" spans="1:9" ht="13.9" customHeight="1" x14ac:dyDescent="0.25">
      <c r="A42" s="277" t="s">
        <v>280</v>
      </c>
      <c r="B42" s="2466">
        <v>0</v>
      </c>
      <c r="C42" s="2466">
        <v>0</v>
      </c>
      <c r="D42" s="2466">
        <v>0</v>
      </c>
      <c r="E42" s="2466">
        <v>0</v>
      </c>
      <c r="F42" s="2466">
        <v>0</v>
      </c>
      <c r="G42" s="2466">
        <v>0</v>
      </c>
      <c r="H42" s="2466">
        <v>0</v>
      </c>
      <c r="I42" s="2472">
        <v>0</v>
      </c>
    </row>
    <row r="43" spans="1:9" x14ac:dyDescent="0.25">
      <c r="A43" s="277" t="s">
        <v>3</v>
      </c>
      <c r="B43" s="2466">
        <v>0</v>
      </c>
      <c r="C43" s="2466">
        <v>0</v>
      </c>
      <c r="D43" s="2466">
        <v>0</v>
      </c>
      <c r="E43" s="2466">
        <v>0</v>
      </c>
      <c r="F43" s="2466">
        <v>0</v>
      </c>
      <c r="G43" s="2466">
        <v>0</v>
      </c>
      <c r="H43" s="2466">
        <v>0</v>
      </c>
      <c r="I43" s="2472">
        <v>0</v>
      </c>
    </row>
    <row r="44" spans="1:9" x14ac:dyDescent="0.25">
      <c r="A44" s="277" t="s">
        <v>173</v>
      </c>
      <c r="B44" s="2466">
        <v>0</v>
      </c>
      <c r="C44" s="2466">
        <v>0</v>
      </c>
      <c r="D44" s="2466">
        <v>0</v>
      </c>
      <c r="E44" s="2466">
        <v>0</v>
      </c>
      <c r="F44" s="2466">
        <v>0</v>
      </c>
      <c r="G44" s="2466">
        <v>0</v>
      </c>
      <c r="H44" s="2466">
        <v>0</v>
      </c>
      <c r="I44" s="2472">
        <v>0</v>
      </c>
    </row>
    <row r="45" spans="1:9" x14ac:dyDescent="0.25">
      <c r="A45" s="277" t="s">
        <v>98</v>
      </c>
      <c r="B45" s="2466">
        <v>0</v>
      </c>
      <c r="C45" s="2466">
        <v>0</v>
      </c>
      <c r="D45" s="2466">
        <v>0</v>
      </c>
      <c r="E45" s="2466">
        <v>0</v>
      </c>
      <c r="F45" s="2466">
        <v>0</v>
      </c>
      <c r="G45" s="2466">
        <v>0</v>
      </c>
      <c r="H45" s="2466">
        <v>0</v>
      </c>
      <c r="I45" s="2472">
        <v>0</v>
      </c>
    </row>
    <row r="46" spans="1:9" ht="15.75" thickBot="1" x14ac:dyDescent="0.3">
      <c r="A46" s="1249" t="s">
        <v>99</v>
      </c>
      <c r="B46" s="2476"/>
      <c r="C46" s="2476"/>
      <c r="D46" s="2476"/>
      <c r="E46" s="2476"/>
      <c r="F46" s="2476"/>
      <c r="G46" s="2476"/>
      <c r="H46" s="2476"/>
      <c r="I46" s="2477"/>
    </row>
    <row r="47" spans="1:9" ht="25.5" x14ac:dyDescent="0.25">
      <c r="A47" s="1250" t="s">
        <v>281</v>
      </c>
      <c r="B47" s="2478">
        <f>B27+B32+B37+B42</f>
        <v>13067.41</v>
      </c>
      <c r="C47" s="2479">
        <f>D47/B47*1000</f>
        <v>155.80000000000001</v>
      </c>
      <c r="D47" s="2573">
        <f>D27+D32+D37+D42</f>
        <v>2035.9</v>
      </c>
      <c r="E47" s="2464" t="s">
        <v>326</v>
      </c>
      <c r="F47" s="2464" t="s">
        <v>326</v>
      </c>
      <c r="G47" s="2464" t="s">
        <v>326</v>
      </c>
      <c r="H47" s="2478">
        <f>H27+H32+H37+H42</f>
        <v>54631.040000000001</v>
      </c>
      <c r="I47" s="2480">
        <f>H47/D47*1000</f>
        <v>26833.85</v>
      </c>
    </row>
    <row r="48" spans="1:9" x14ac:dyDescent="0.25">
      <c r="A48" s="277" t="s">
        <v>3</v>
      </c>
      <c r="B48" s="2466">
        <f t="shared" ref="B48:D51" si="3">B28+B33+B38+B43</f>
        <v>0</v>
      </c>
      <c r="C48" s="2467">
        <v>0</v>
      </c>
      <c r="D48" s="2466">
        <f t="shared" si="3"/>
        <v>0</v>
      </c>
      <c r="E48" s="2466" t="s">
        <v>326</v>
      </c>
      <c r="F48" s="2466" t="s">
        <v>326</v>
      </c>
      <c r="G48" s="2466" t="s">
        <v>326</v>
      </c>
      <c r="H48" s="2466">
        <f>H28+H33+H38+H43</f>
        <v>0</v>
      </c>
      <c r="I48" s="2472">
        <v>0</v>
      </c>
    </row>
    <row r="49" spans="1:9" x14ac:dyDescent="0.25">
      <c r="A49" s="277" t="s">
        <v>173</v>
      </c>
      <c r="B49" s="2466">
        <f t="shared" si="3"/>
        <v>0</v>
      </c>
      <c r="C49" s="2467">
        <v>0</v>
      </c>
      <c r="D49" s="2466">
        <f t="shared" si="3"/>
        <v>0</v>
      </c>
      <c r="E49" s="2466" t="s">
        <v>326</v>
      </c>
      <c r="F49" s="2466" t="s">
        <v>326</v>
      </c>
      <c r="G49" s="2466" t="s">
        <v>326</v>
      </c>
      <c r="H49" s="2466">
        <f>H29+H34+H39+H44</f>
        <v>0</v>
      </c>
      <c r="I49" s="2472">
        <v>0</v>
      </c>
    </row>
    <row r="50" spans="1:9" x14ac:dyDescent="0.25">
      <c r="A50" s="277" t="s">
        <v>98</v>
      </c>
      <c r="B50" s="2466">
        <f t="shared" si="3"/>
        <v>0</v>
      </c>
      <c r="C50" s="2467">
        <v>0</v>
      </c>
      <c r="D50" s="2571">
        <f t="shared" si="3"/>
        <v>0</v>
      </c>
      <c r="E50" s="2466" t="s">
        <v>326</v>
      </c>
      <c r="F50" s="2466" t="s">
        <v>326</v>
      </c>
      <c r="G50" s="2466" t="s">
        <v>326</v>
      </c>
      <c r="H50" s="2466">
        <f>H30+H35+H40+H45</f>
        <v>0</v>
      </c>
      <c r="I50" s="2472">
        <v>0</v>
      </c>
    </row>
    <row r="51" spans="1:9" ht="15.75" thickBot="1" x14ac:dyDescent="0.3">
      <c r="A51" s="1247" t="s">
        <v>99</v>
      </c>
      <c r="B51" s="2468">
        <f t="shared" si="3"/>
        <v>13067.41</v>
      </c>
      <c r="C51" s="2469">
        <f>D51/B51*1000</f>
        <v>155.80000000000001</v>
      </c>
      <c r="D51" s="2572">
        <f t="shared" si="3"/>
        <v>2035.9</v>
      </c>
      <c r="E51" s="2468" t="s">
        <v>326</v>
      </c>
      <c r="F51" s="2468" t="s">
        <v>326</v>
      </c>
      <c r="G51" s="2468" t="s">
        <v>326</v>
      </c>
      <c r="H51" s="2468">
        <f>H31+H36+H41+H46</f>
        <v>54631.040000000001</v>
      </c>
      <c r="I51" s="2474">
        <f>H51/D51*1000</f>
        <v>26833.85</v>
      </c>
    </row>
    <row r="52" spans="1:9" ht="15" customHeight="1" x14ac:dyDescent="0.25">
      <c r="A52" s="3819"/>
      <c r="B52" s="3819"/>
      <c r="C52" s="3819"/>
      <c r="D52" s="3819"/>
      <c r="E52" s="3819"/>
      <c r="F52" s="3819"/>
      <c r="G52" s="3819"/>
      <c r="H52" s="3819"/>
      <c r="I52" s="3819"/>
    </row>
    <row r="53" spans="1:9" ht="15" customHeight="1" x14ac:dyDescent="0.25">
      <c r="A53" s="2755"/>
      <c r="B53" s="2755"/>
      <c r="C53" s="2755"/>
      <c r="D53" s="2755"/>
      <c r="E53" s="2755"/>
      <c r="F53" s="2755"/>
      <c r="G53" s="2755"/>
      <c r="H53" s="2755"/>
      <c r="I53" s="2755"/>
    </row>
    <row r="54" spans="1:9" ht="15" customHeight="1" x14ac:dyDescent="0.25">
      <c r="A54" s="2755"/>
      <c r="B54" s="2755"/>
      <c r="C54" s="2755"/>
      <c r="D54" s="2755"/>
      <c r="E54" s="2755"/>
      <c r="F54" s="2755"/>
      <c r="G54" s="2755"/>
      <c r="H54" s="2755"/>
      <c r="I54" s="2755"/>
    </row>
    <row r="55" spans="1:9" ht="15" customHeight="1" x14ac:dyDescent="0.25">
      <c r="A55" s="2755"/>
      <c r="B55" s="2755"/>
      <c r="C55" s="2755"/>
      <c r="D55" s="2755"/>
      <c r="E55" s="2755"/>
      <c r="F55" s="2755"/>
      <c r="G55" s="2755"/>
      <c r="H55" s="2755"/>
      <c r="I55" s="2755"/>
    </row>
    <row r="56" spans="1:9" x14ac:dyDescent="0.25">
      <c r="A56" s="4"/>
      <c r="B56" s="4"/>
      <c r="C56" s="4"/>
    </row>
    <row r="57" spans="1:9" ht="26.25" customHeight="1" x14ac:dyDescent="0.25">
      <c r="A57" s="3820" t="str">
        <f>'Вхідні дані'!B13</f>
        <v>Начальник Адміністрації морського порту Чорноморськ</v>
      </c>
      <c r="B57" s="3820"/>
      <c r="C57" s="2745"/>
      <c r="D57" s="3818" t="s">
        <v>137</v>
      </c>
      <c r="E57" s="3818"/>
      <c r="F57" s="2746"/>
      <c r="G57" s="3820" t="str">
        <f>'Вхідні дані'!F13</f>
        <v>Максим ШИРОКОВ</v>
      </c>
      <c r="H57" s="3820"/>
      <c r="I57" s="3820"/>
    </row>
    <row r="58" spans="1:9" x14ac:dyDescent="0.25">
      <c r="A58" s="2747" t="s">
        <v>3259</v>
      </c>
      <c r="B58" s="2748"/>
      <c r="C58" s="2748"/>
      <c r="D58" s="3818" t="s">
        <v>101</v>
      </c>
      <c r="E58" s="3818"/>
      <c r="F58" s="2746"/>
      <c r="G58" s="3818" t="s">
        <v>277</v>
      </c>
      <c r="H58" s="3818"/>
      <c r="I58" s="3818"/>
    </row>
    <row r="59" spans="1:9" x14ac:dyDescent="0.25">
      <c r="A59" s="4"/>
      <c r="B59" s="25"/>
      <c r="C59" s="25"/>
    </row>
    <row r="61" spans="1:9" ht="30" x14ac:dyDescent="0.25">
      <c r="C61" s="24" t="s">
        <v>829</v>
      </c>
    </row>
    <row r="63" spans="1:9" ht="51.75" customHeight="1" x14ac:dyDescent="0.25">
      <c r="A63" s="3814" t="s">
        <v>822</v>
      </c>
      <c r="B63" s="3814"/>
      <c r="C63" s="3814"/>
      <c r="D63" s="233"/>
      <c r="E63" s="233"/>
    </row>
    <row r="64" spans="1:9" ht="30.75" thickBot="1" x14ac:dyDescent="0.3">
      <c r="D64" s="2746" t="s">
        <v>2709</v>
      </c>
      <c r="E64" s="2746" t="s">
        <v>2710</v>
      </c>
      <c r="F64" s="3807" t="s">
        <v>2711</v>
      </c>
      <c r="G64" s="3807"/>
      <c r="H64" s="2746"/>
      <c r="I64" s="2746"/>
    </row>
    <row r="65" spans="1:34" ht="72.75" customHeight="1" thickBot="1" x14ac:dyDescent="0.3">
      <c r="A65" s="237" t="s">
        <v>8</v>
      </c>
      <c r="B65" s="237" t="s">
        <v>3466</v>
      </c>
      <c r="C65" s="242" t="str">
        <f>'Вхідні дані'!F6</f>
        <v>2022-2023</v>
      </c>
      <c r="D65" s="3590" t="str">
        <f>'Вхідні дані'!F6</f>
        <v>2022-2023</v>
      </c>
      <c r="E65" s="3590" t="str">
        <f>'Вхідні дані'!F6</f>
        <v>2022-2023</v>
      </c>
      <c r="F65" s="3591" t="s">
        <v>2221</v>
      </c>
      <c r="G65" s="3592" t="s">
        <v>2222</v>
      </c>
      <c r="H65" s="3593" t="s">
        <v>2708</v>
      </c>
      <c r="I65" s="2746"/>
    </row>
    <row r="66" spans="1:34" ht="28.5" x14ac:dyDescent="0.25">
      <c r="A66" s="264" t="s">
        <v>2708</v>
      </c>
      <c r="B66" s="235" t="s">
        <v>22</v>
      </c>
      <c r="C66" s="265">
        <f>C67+C68+C69+C70</f>
        <v>10668.84</v>
      </c>
      <c r="D66" s="3594">
        <f>SUM(D67:D70)</f>
        <v>1395.04</v>
      </c>
      <c r="E66" s="3594">
        <f>SUM(E67:E70)</f>
        <v>9273.7999999999993</v>
      </c>
      <c r="F66" s="3594">
        <f t="shared" ref="F66:G66" si="4">SUM(F67:F70)</f>
        <v>1395.04</v>
      </c>
      <c r="G66" s="3595">
        <f t="shared" si="4"/>
        <v>9514.44</v>
      </c>
      <c r="H66" s="3596">
        <f>F66+G66</f>
        <v>10909.48</v>
      </c>
      <c r="I66" s="3597"/>
    </row>
    <row r="67" spans="1:34" x14ac:dyDescent="0.25">
      <c r="A67" s="245" t="s">
        <v>3</v>
      </c>
      <c r="B67" s="235" t="s">
        <v>22</v>
      </c>
      <c r="C67" s="241">
        <f>'Д 7_РП'!G27</f>
        <v>0</v>
      </c>
      <c r="D67" s="3594">
        <f>'Д 7_РП'!G28</f>
        <v>0</v>
      </c>
      <c r="E67" s="3598">
        <f>'Д 7_РП'!G29</f>
        <v>0</v>
      </c>
      <c r="F67" s="3599">
        <f>D67+J76</f>
        <v>0</v>
      </c>
      <c r="G67" s="3597">
        <f>E67+I76</f>
        <v>0</v>
      </c>
      <c r="H67" s="3596">
        <f>F67+G67</f>
        <v>0</v>
      </c>
      <c r="I67" s="3597"/>
    </row>
    <row r="68" spans="1:34" x14ac:dyDescent="0.25">
      <c r="A68" s="245" t="s">
        <v>169</v>
      </c>
      <c r="B68" s="235" t="s">
        <v>22</v>
      </c>
      <c r="C68" s="241">
        <f>'Д 7_РП'!G30</f>
        <v>0</v>
      </c>
      <c r="D68" s="3594">
        <f>'Д 7_РП'!G31</f>
        <v>0</v>
      </c>
      <c r="E68" s="3598">
        <f>'Д 7_РП'!G32</f>
        <v>0</v>
      </c>
      <c r="F68" s="3600">
        <f t="shared" ref="F68:F69" si="5">D68+J77</f>
        <v>0</v>
      </c>
      <c r="G68" s="3597">
        <f t="shared" ref="G68" si="6">E68+I77</f>
        <v>0</v>
      </c>
      <c r="H68" s="3596">
        <f>F68+G68</f>
        <v>0</v>
      </c>
      <c r="I68" s="3597"/>
    </row>
    <row r="69" spans="1:34" x14ac:dyDescent="0.25">
      <c r="A69" s="245" t="s">
        <v>749</v>
      </c>
      <c r="B69" s="235" t="s">
        <v>22</v>
      </c>
      <c r="C69" s="241">
        <f>'Д 7_РП'!G33</f>
        <v>0</v>
      </c>
      <c r="D69" s="3594">
        <f>'Д 7_РП'!G34</f>
        <v>0</v>
      </c>
      <c r="E69" s="3599">
        <f>'Д 7_РП'!G35</f>
        <v>0</v>
      </c>
      <c r="F69" s="3599">
        <f t="shared" si="5"/>
        <v>0</v>
      </c>
      <c r="G69" s="3597">
        <f>E69+I78</f>
        <v>0</v>
      </c>
      <c r="H69" s="3596">
        <f>F69+G69</f>
        <v>0</v>
      </c>
      <c r="I69" s="3597"/>
    </row>
    <row r="70" spans="1:34" x14ac:dyDescent="0.25">
      <c r="A70" s="245" t="s">
        <v>162</v>
      </c>
      <c r="B70" s="235" t="s">
        <v>22</v>
      </c>
      <c r="C70" s="241">
        <f>'Д 7_РП'!G36</f>
        <v>10668.84</v>
      </c>
      <c r="D70" s="3594">
        <f>'Д 7_РП'!G37</f>
        <v>1395.04</v>
      </c>
      <c r="E70" s="3599">
        <f>'Д 7_РП'!G38</f>
        <v>9273.7999999999993</v>
      </c>
      <c r="F70" s="3599">
        <f>D70+J79</f>
        <v>1395.04</v>
      </c>
      <c r="G70" s="3597">
        <f>E70+I79</f>
        <v>9514.44</v>
      </c>
      <c r="H70" s="3596">
        <f>F70+G70</f>
        <v>10909.48</v>
      </c>
      <c r="I70" s="3597"/>
    </row>
    <row r="71" spans="1:34" x14ac:dyDescent="0.25">
      <c r="A71" s="259" t="s">
        <v>3</v>
      </c>
      <c r="B71" s="235" t="s">
        <v>4</v>
      </c>
      <c r="C71" s="244">
        <f>C67/C$66</f>
        <v>0</v>
      </c>
      <c r="D71" s="3601">
        <f t="shared" ref="D71:G71" si="7">D67/D$66</f>
        <v>0</v>
      </c>
      <c r="E71" s="3601">
        <f t="shared" si="7"/>
        <v>0</v>
      </c>
      <c r="F71" s="3601">
        <f t="shared" si="7"/>
        <v>0</v>
      </c>
      <c r="G71" s="3602">
        <f t="shared" si="7"/>
        <v>0</v>
      </c>
      <c r="H71" s="3603">
        <f t="shared" ref="H71:H74" si="8">ROUND(H67/H$66,7)</f>
        <v>0</v>
      </c>
      <c r="I71" s="3604"/>
    </row>
    <row r="72" spans="1:34" x14ac:dyDescent="0.25">
      <c r="A72" s="259" t="s">
        <v>169</v>
      </c>
      <c r="B72" s="235" t="s">
        <v>4</v>
      </c>
      <c r="C72" s="244">
        <f>C68/$C$66</f>
        <v>0</v>
      </c>
      <c r="D72" s="3601">
        <f t="shared" ref="D72:G72" si="9">D68/D$66</f>
        <v>0</v>
      </c>
      <c r="E72" s="3601">
        <f t="shared" si="9"/>
        <v>0</v>
      </c>
      <c r="F72" s="3601">
        <f t="shared" si="9"/>
        <v>0</v>
      </c>
      <c r="G72" s="3602">
        <f t="shared" si="9"/>
        <v>0</v>
      </c>
      <c r="H72" s="3603">
        <f t="shared" si="8"/>
        <v>0</v>
      </c>
      <c r="I72" s="3604"/>
    </row>
    <row r="73" spans="1:34" x14ac:dyDescent="0.25">
      <c r="A73" s="259" t="s">
        <v>749</v>
      </c>
      <c r="B73" s="235" t="s">
        <v>4</v>
      </c>
      <c r="C73" s="244">
        <f>C69/$C$66</f>
        <v>0</v>
      </c>
      <c r="D73" s="3601">
        <f t="shared" ref="D73:G73" si="10">D69/D$66</f>
        <v>0</v>
      </c>
      <c r="E73" s="3601">
        <f t="shared" si="10"/>
        <v>0</v>
      </c>
      <c r="F73" s="3601">
        <f t="shared" si="10"/>
        <v>0</v>
      </c>
      <c r="G73" s="3602">
        <f t="shared" si="10"/>
        <v>0</v>
      </c>
      <c r="H73" s="3603">
        <f t="shared" si="8"/>
        <v>0</v>
      </c>
      <c r="I73" s="3604"/>
      <c r="AG73" s="24"/>
      <c r="AH73" s="24"/>
    </row>
    <row r="74" spans="1:34" x14ac:dyDescent="0.25">
      <c r="A74" s="259" t="s">
        <v>162</v>
      </c>
      <c r="B74" s="235" t="s">
        <v>4</v>
      </c>
      <c r="C74" s="244">
        <f>C70/$C$66</f>
        <v>1</v>
      </c>
      <c r="D74" s="3601">
        <f t="shared" ref="D74:G74" si="11">D70/D$66</f>
        <v>1</v>
      </c>
      <c r="E74" s="3601">
        <f t="shared" si="11"/>
        <v>1</v>
      </c>
      <c r="F74" s="3601">
        <f t="shared" si="11"/>
        <v>1</v>
      </c>
      <c r="G74" s="3602">
        <f t="shared" si="11"/>
        <v>1</v>
      </c>
      <c r="H74" s="3605">
        <f t="shared" si="8"/>
        <v>1</v>
      </c>
      <c r="I74" s="3604"/>
      <c r="J74" s="2117" t="s">
        <v>2221</v>
      </c>
      <c r="AG74" s="24"/>
      <c r="AH74" s="24"/>
    </row>
    <row r="75" spans="1:34" ht="42.75" x14ac:dyDescent="0.25">
      <c r="A75" s="3577" t="s">
        <v>2109</v>
      </c>
      <c r="B75" s="3578" t="s">
        <v>22</v>
      </c>
      <c r="C75" s="3579">
        <f>'Д 7_РП'!G39</f>
        <v>2398.5700000000002</v>
      </c>
      <c r="D75" s="3580">
        <f>C75/C66*D66</f>
        <v>313.63</v>
      </c>
      <c r="E75" s="3581">
        <f>C75/C66*E66</f>
        <v>2084.94</v>
      </c>
      <c r="F75" s="3582">
        <f>AF75</f>
        <v>1.66</v>
      </c>
      <c r="G75" s="3582">
        <f t="shared" ref="G75:H79" si="12">AG75</f>
        <v>240.64</v>
      </c>
      <c r="H75" s="3589">
        <f t="shared" si="12"/>
        <v>2157.9299999999998</v>
      </c>
      <c r="I75" s="243">
        <f>'Д 7_РП'!G63</f>
        <v>240.64</v>
      </c>
      <c r="J75" s="248">
        <f>'Д 7_РП'!G55</f>
        <v>0</v>
      </c>
      <c r="K75" s="3">
        <f>F75/G75*I75</f>
        <v>1.66</v>
      </c>
      <c r="L75" s="3">
        <f>F75/G75*J75</f>
        <v>0</v>
      </c>
      <c r="M75" s="3">
        <v>188.67239333826899</v>
      </c>
      <c r="AF75" s="3">
        <f>D116</f>
        <v>1.66</v>
      </c>
      <c r="AG75" s="248">
        <f>'Д 7_РП'!G55+'Д 7_РП'!G63</f>
        <v>240.64</v>
      </c>
      <c r="AH75" s="248">
        <f>C75-AG75</f>
        <v>2157.9299999999998</v>
      </c>
    </row>
    <row r="76" spans="1:34" x14ac:dyDescent="0.25">
      <c r="A76" s="3583" t="s">
        <v>3</v>
      </c>
      <c r="B76" s="235" t="s">
        <v>22</v>
      </c>
      <c r="C76" s="2118">
        <f>'Д 7_РП'!D223</f>
        <v>0</v>
      </c>
      <c r="D76" s="241">
        <f>D$75/D$66*D67</f>
        <v>0</v>
      </c>
      <c r="E76" s="241">
        <f>E$75/E$66*E67</f>
        <v>0</v>
      </c>
      <c r="G76" s="24">
        <f t="shared" si="12"/>
        <v>0</v>
      </c>
      <c r="H76" s="2263">
        <f t="shared" si="12"/>
        <v>0</v>
      </c>
      <c r="I76" s="24">
        <f>I$75*E71</f>
        <v>0</v>
      </c>
      <c r="J76" s="24">
        <f>J$75*D71</f>
        <v>0</v>
      </c>
      <c r="M76" s="3">
        <v>153.36333836218</v>
      </c>
      <c r="AG76" s="1135">
        <f>$AG$75*C71</f>
        <v>0</v>
      </c>
      <c r="AH76" s="243">
        <f>$AH$75*C71</f>
        <v>0</v>
      </c>
    </row>
    <row r="77" spans="1:34" x14ac:dyDescent="0.25">
      <c r="A77" s="3583" t="s">
        <v>169</v>
      </c>
      <c r="B77" s="235" t="s">
        <v>22</v>
      </c>
      <c r="C77" s="2118">
        <f t="shared" ref="C77" si="13">C$75/C$66*C68</f>
        <v>0</v>
      </c>
      <c r="D77" s="241">
        <f t="shared" ref="D77:E79" si="14">D$75/D$66*D68</f>
        <v>0</v>
      </c>
      <c r="E77" s="241">
        <f t="shared" si="14"/>
        <v>0</v>
      </c>
      <c r="G77" s="24">
        <f t="shared" si="12"/>
        <v>0</v>
      </c>
      <c r="H77" s="2263">
        <f t="shared" si="12"/>
        <v>0</v>
      </c>
      <c r="I77" s="24">
        <f t="shared" ref="I77:I79" si="15">I$75*E72</f>
        <v>0</v>
      </c>
      <c r="J77" s="24">
        <f t="shared" ref="J77:J79" si="16">J$75*D72</f>
        <v>0</v>
      </c>
      <c r="M77" s="3">
        <v>2.4826971101601099E-2</v>
      </c>
      <c r="AG77" s="1135">
        <f>$AG$75*C72</f>
        <v>0</v>
      </c>
      <c r="AH77" s="243">
        <f>$AH$75*C72</f>
        <v>0</v>
      </c>
    </row>
    <row r="78" spans="1:34" x14ac:dyDescent="0.25">
      <c r="A78" s="3583" t="s">
        <v>749</v>
      </c>
      <c r="B78" s="235" t="s">
        <v>22</v>
      </c>
      <c r="C78" s="2118">
        <f>C75/C66*C69</f>
        <v>0</v>
      </c>
      <c r="D78" s="241">
        <f t="shared" si="14"/>
        <v>0</v>
      </c>
      <c r="E78" s="241">
        <f t="shared" si="14"/>
        <v>0</v>
      </c>
      <c r="G78" s="24">
        <f t="shared" si="12"/>
        <v>0</v>
      </c>
      <c r="H78" s="2263">
        <f t="shared" si="12"/>
        <v>0</v>
      </c>
      <c r="I78" s="24">
        <f>I$75*E73</f>
        <v>0</v>
      </c>
      <c r="J78" s="24">
        <f t="shared" si="16"/>
        <v>0</v>
      </c>
      <c r="M78" s="3">
        <v>19.748899953146399</v>
      </c>
      <c r="AG78" s="1135">
        <f>$AG$75*C73</f>
        <v>0</v>
      </c>
      <c r="AH78" s="243">
        <f>$AH$75*C73</f>
        <v>0</v>
      </c>
    </row>
    <row r="79" spans="1:34" x14ac:dyDescent="0.25">
      <c r="A79" s="3584" t="s">
        <v>162</v>
      </c>
      <c r="B79" s="3585" t="s">
        <v>22</v>
      </c>
      <c r="C79" s="3586">
        <f>C75/C66*C70</f>
        <v>2398.5700000000002</v>
      </c>
      <c r="D79" s="3587">
        <f t="shared" si="14"/>
        <v>313.63</v>
      </c>
      <c r="E79" s="3587">
        <f t="shared" si="14"/>
        <v>2084.94</v>
      </c>
      <c r="F79" s="3588"/>
      <c r="G79" s="3588">
        <f t="shared" si="12"/>
        <v>240.64</v>
      </c>
      <c r="H79" s="2263">
        <f t="shared" si="12"/>
        <v>2157.9299999999998</v>
      </c>
      <c r="I79" s="24">
        <f t="shared" si="15"/>
        <v>240.64</v>
      </c>
      <c r="J79" s="24">
        <f t="shared" si="16"/>
        <v>0</v>
      </c>
      <c r="M79" s="3">
        <v>15.535328051841301</v>
      </c>
      <c r="AG79" s="1135">
        <f>$AG$75*C74</f>
        <v>240.64</v>
      </c>
      <c r="AH79" s="243">
        <f>$AH$75*C74</f>
        <v>2157.9299999999998</v>
      </c>
    </row>
    <row r="80" spans="1:34" ht="42.75" hidden="1" x14ac:dyDescent="0.25">
      <c r="A80" s="1217" t="s">
        <v>827</v>
      </c>
      <c r="B80" s="235" t="s">
        <v>823</v>
      </c>
      <c r="C80" s="2118">
        <f>'Д 7_РП'!D227</f>
        <v>0</v>
      </c>
      <c r="D80" s="3"/>
    </row>
    <row r="81" spans="1:8" hidden="1" x14ac:dyDescent="0.25">
      <c r="A81" s="245" t="s">
        <v>3</v>
      </c>
      <c r="B81" s="235" t="s">
        <v>823</v>
      </c>
      <c r="C81" s="2118">
        <f>'Д 7_РП'!D228</f>
        <v>0</v>
      </c>
      <c r="D81" s="3"/>
    </row>
    <row r="82" spans="1:8" hidden="1" x14ac:dyDescent="0.25">
      <c r="A82" s="245" t="s">
        <v>169</v>
      </c>
      <c r="B82" s="235" t="s">
        <v>823</v>
      </c>
      <c r="C82" s="2118">
        <f>'Д 7_РП'!D229</f>
        <v>0</v>
      </c>
      <c r="D82" s="3"/>
    </row>
    <row r="83" spans="1:8" hidden="1" x14ac:dyDescent="0.25">
      <c r="A83" s="245" t="s">
        <v>749</v>
      </c>
      <c r="B83" s="235" t="s">
        <v>823</v>
      </c>
      <c r="C83" s="2118">
        <f>'Д 7_РП'!D230</f>
        <v>0</v>
      </c>
      <c r="D83" s="3"/>
    </row>
    <row r="84" spans="1:8" ht="15.75" hidden="1" thickBot="1" x14ac:dyDescent="0.3">
      <c r="A84" s="260" t="s">
        <v>162</v>
      </c>
      <c r="B84" s="236" t="s">
        <v>823</v>
      </c>
      <c r="C84" s="2118">
        <f>'Д 7_РП'!D231</f>
        <v>0</v>
      </c>
      <c r="D84" s="3"/>
    </row>
    <row r="85" spans="1:8" ht="28.5" hidden="1" x14ac:dyDescent="0.25">
      <c r="A85" s="264" t="s">
        <v>828</v>
      </c>
      <c r="B85" s="234" t="s">
        <v>823</v>
      </c>
      <c r="C85" s="2118">
        <f>'Д 7_РП'!D232</f>
        <v>0</v>
      </c>
      <c r="D85" s="3"/>
      <c r="E85" s="3"/>
      <c r="F85" s="3"/>
      <c r="G85" s="3"/>
      <c r="H85" s="3"/>
    </row>
    <row r="86" spans="1:8" hidden="1" x14ac:dyDescent="0.25">
      <c r="A86" s="245" t="s">
        <v>3</v>
      </c>
      <c r="B86" s="235" t="s">
        <v>823</v>
      </c>
      <c r="C86" s="2118">
        <f>'Д 7_РП'!D233</f>
        <v>0</v>
      </c>
      <c r="D86" s="3"/>
    </row>
    <row r="87" spans="1:8" hidden="1" x14ac:dyDescent="0.25">
      <c r="A87" s="245" t="s">
        <v>169</v>
      </c>
      <c r="B87" s="235" t="s">
        <v>823</v>
      </c>
      <c r="C87" s="2118">
        <f>'Д 7_РП'!D234</f>
        <v>0</v>
      </c>
      <c r="D87" s="3"/>
    </row>
    <row r="88" spans="1:8" hidden="1" x14ac:dyDescent="0.25">
      <c r="A88" s="245" t="s">
        <v>749</v>
      </c>
      <c r="B88" s="235" t="s">
        <v>823</v>
      </c>
      <c r="C88" s="2118">
        <f>'Д 7_РП'!D235</f>
        <v>0</v>
      </c>
      <c r="D88" s="3"/>
    </row>
    <row r="89" spans="1:8" ht="15.75" hidden="1" thickBot="1" x14ac:dyDescent="0.3">
      <c r="A89" s="260" t="s">
        <v>162</v>
      </c>
      <c r="B89" s="236" t="s">
        <v>823</v>
      </c>
      <c r="C89" s="2118">
        <f>'Д 7_РП'!D236</f>
        <v>0</v>
      </c>
      <c r="D89" s="3"/>
    </row>
    <row r="90" spans="1:8" x14ac:dyDescent="0.25">
      <c r="A90" s="261"/>
      <c r="B90" s="243"/>
      <c r="D90" s="3"/>
    </row>
    <row r="91" spans="1:8" x14ac:dyDescent="0.25">
      <c r="C91" s="243">
        <f>C66+C75</f>
        <v>13067.41</v>
      </c>
      <c r="D91" s="243"/>
      <c r="E91" s="243"/>
      <c r="F91" s="24">
        <v>153.32824873022301</v>
      </c>
    </row>
    <row r="92" spans="1:8" x14ac:dyDescent="0.25">
      <c r="F92" s="24">
        <v>2.4859221599508301E-2</v>
      </c>
    </row>
    <row r="93" spans="1:8" x14ac:dyDescent="0.25">
      <c r="F93" s="24">
        <v>19.781090170412799</v>
      </c>
    </row>
    <row r="94" spans="1:8" x14ac:dyDescent="0.25">
      <c r="F94" s="24">
        <v>15.538195216033399</v>
      </c>
    </row>
    <row r="95" spans="1:8" x14ac:dyDescent="0.25">
      <c r="C95" s="24" t="s">
        <v>830</v>
      </c>
    </row>
    <row r="97" spans="1:14" ht="15" customHeight="1" x14ac:dyDescent="0.25">
      <c r="A97" s="233" t="s">
        <v>815</v>
      </c>
      <c r="B97" s="247">
        <f>'Вхідні дані'!F7</f>
        <v>2021</v>
      </c>
      <c r="C97" s="233" t="s">
        <v>461</v>
      </c>
    </row>
    <row r="98" spans="1:14" ht="15.75" thickBot="1" x14ac:dyDescent="0.3">
      <c r="A98" s="3"/>
      <c r="B98" s="3"/>
      <c r="C98" s="3"/>
    </row>
    <row r="99" spans="1:14" ht="30.75" thickBot="1" x14ac:dyDescent="0.3">
      <c r="A99" s="237" t="s">
        <v>8</v>
      </c>
      <c r="B99" s="238" t="s">
        <v>3466</v>
      </c>
      <c r="C99" s="238" t="s">
        <v>824</v>
      </c>
    </row>
    <row r="100" spans="1:14" ht="30" x14ac:dyDescent="0.25">
      <c r="A100" s="252" t="s">
        <v>3152</v>
      </c>
      <c r="B100" s="262"/>
      <c r="C100" s="266">
        <v>2191453</v>
      </c>
    </row>
    <row r="101" spans="1:14" ht="30" x14ac:dyDescent="0.25">
      <c r="A101" s="253" t="s">
        <v>3153</v>
      </c>
      <c r="B101" s="239"/>
      <c r="C101" s="246">
        <v>1871438</v>
      </c>
      <c r="E101" s="24">
        <f>N112*C75</f>
        <v>0</v>
      </c>
    </row>
    <row r="102" spans="1:14" x14ac:dyDescent="0.25">
      <c r="A102" s="253" t="s">
        <v>816</v>
      </c>
      <c r="B102" s="263"/>
      <c r="C102" s="255">
        <f>C100/C101</f>
        <v>1.171</v>
      </c>
    </row>
    <row r="103" spans="1:14" ht="30" x14ac:dyDescent="0.25">
      <c r="A103" s="253" t="s">
        <v>825</v>
      </c>
      <c r="B103" s="239"/>
      <c r="C103" s="239">
        <v>1.171</v>
      </c>
    </row>
    <row r="104" spans="1:14" ht="36" customHeight="1" thickBot="1" x14ac:dyDescent="0.3">
      <c r="A104" s="254" t="s">
        <v>826</v>
      </c>
      <c r="B104" s="240"/>
      <c r="C104" s="257">
        <f>C103*7000</f>
        <v>8197</v>
      </c>
    </row>
    <row r="108" spans="1:14" x14ac:dyDescent="0.25">
      <c r="A108" s="269"/>
      <c r="B108" s="269"/>
      <c r="C108" s="269"/>
    </row>
    <row r="110" spans="1:14" ht="15.75" thickBot="1" x14ac:dyDescent="0.3">
      <c r="A110" s="24" t="s">
        <v>3467</v>
      </c>
      <c r="E110" s="24" t="s">
        <v>2221</v>
      </c>
      <c r="F110" s="24" t="s">
        <v>2222</v>
      </c>
      <c r="G110" s="2130" t="s">
        <v>2713</v>
      </c>
      <c r="H110" s="2130" t="s">
        <v>2100</v>
      </c>
      <c r="L110" s="2117" t="s">
        <v>2712</v>
      </c>
      <c r="M110" s="2117" t="s">
        <v>4</v>
      </c>
      <c r="N110" s="2133" t="s">
        <v>2719</v>
      </c>
    </row>
    <row r="111" spans="1:14" x14ac:dyDescent="0.25">
      <c r="A111" s="1246" t="s">
        <v>136</v>
      </c>
      <c r="B111" s="243">
        <f>B10</f>
        <v>13067.41</v>
      </c>
      <c r="C111" s="243">
        <f>B111-D75</f>
        <v>12753.78</v>
      </c>
      <c r="D111" s="24">
        <f>'Д 7_РП'!G95-D116</f>
        <v>8.7149999999999999</v>
      </c>
      <c r="E111" s="24">
        <f>SUM(E112:E115)</f>
        <v>0</v>
      </c>
      <c r="F111" s="24">
        <f>SUM(F112:F115)</f>
        <v>7.4770000000000003</v>
      </c>
      <c r="G111" s="2131">
        <f>SUM(G112:G115)</f>
        <v>1</v>
      </c>
      <c r="H111" s="2132">
        <f>SUM(H112:H115)</f>
        <v>1</v>
      </c>
      <c r="I111" s="2120">
        <f>F75</f>
        <v>1.66</v>
      </c>
      <c r="J111" s="2121">
        <f>K75</f>
        <v>1.66</v>
      </c>
      <c r="K111" s="2121">
        <f>L75</f>
        <v>0</v>
      </c>
      <c r="L111" s="3">
        <f>D111+I111</f>
        <v>10.375</v>
      </c>
      <c r="M111" s="2119" t="e">
        <f>SUM(M112:M115)</f>
        <v>#DIV/0!</v>
      </c>
      <c r="N111" s="2134">
        <f>G111-H111</f>
        <v>0</v>
      </c>
    </row>
    <row r="112" spans="1:14" x14ac:dyDescent="0.25">
      <c r="A112" s="277" t="s">
        <v>3</v>
      </c>
      <c r="B112" s="243">
        <f>B11</f>
        <v>0</v>
      </c>
      <c r="C112" s="243">
        <f t="shared" ref="C112:C115" si="17">B112-D76</f>
        <v>0</v>
      </c>
      <c r="D112" s="24">
        <f>'Д 7_РП'!G96</f>
        <v>0</v>
      </c>
      <c r="E112" s="24">
        <f>'Д 7_РП'!G97</f>
        <v>0</v>
      </c>
      <c r="F112" s="24">
        <f>'Д 7_РП'!G100</f>
        <v>0</v>
      </c>
      <c r="G112" s="2131">
        <f>ROUND(D112/D$111,7)</f>
        <v>0</v>
      </c>
      <c r="H112" s="2132">
        <f>H71</f>
        <v>0</v>
      </c>
      <c r="I112" s="2120" t="e">
        <f>J112+K112</f>
        <v>#DIV/0!</v>
      </c>
      <c r="J112" s="2121" t="e">
        <f>J$111/E$111*E112</f>
        <v>#DIV/0!</v>
      </c>
      <c r="K112" s="2121">
        <f>K$111/F$111*F112</f>
        <v>0</v>
      </c>
      <c r="L112" s="3" t="e">
        <f t="shared" ref="L112:L115" si="18">D112+I112</f>
        <v>#DIV/0!</v>
      </c>
      <c r="M112" s="2119" t="e">
        <f>ROUND(L112/L$111,4)</f>
        <v>#DIV/0!</v>
      </c>
      <c r="N112" s="2134">
        <f t="shared" ref="N112:N115" si="19">G112-H112</f>
        <v>0</v>
      </c>
    </row>
    <row r="113" spans="1:14" x14ac:dyDescent="0.25">
      <c r="A113" s="277" t="s">
        <v>173</v>
      </c>
      <c r="B113" s="243">
        <f>B12</f>
        <v>0</v>
      </c>
      <c r="C113" s="243">
        <f t="shared" si="17"/>
        <v>0</v>
      </c>
      <c r="D113" s="24">
        <f>'Д 7_РП'!G103</f>
        <v>0</v>
      </c>
      <c r="E113" s="24">
        <f>'Д 7_РП'!G104</f>
        <v>0</v>
      </c>
      <c r="F113" s="24">
        <f>'Д 7_РП'!G105</f>
        <v>0</v>
      </c>
      <c r="G113" s="2131">
        <f>ROUND(D113/D$111,7)</f>
        <v>0</v>
      </c>
      <c r="H113" s="2132">
        <f t="shared" ref="H113:H115" si="20">H72</f>
        <v>0</v>
      </c>
      <c r="I113" s="2120" t="e">
        <f t="shared" ref="I113:I115" si="21">J113+K113</f>
        <v>#DIV/0!</v>
      </c>
      <c r="J113" s="2121" t="e">
        <f t="shared" ref="J113:J115" si="22">J$111/E$111*E113</f>
        <v>#DIV/0!</v>
      </c>
      <c r="K113" s="2121">
        <f t="shared" ref="K113:K115" si="23">K$111/F$111*F113</f>
        <v>0</v>
      </c>
      <c r="L113" s="3" t="e">
        <f t="shared" si="18"/>
        <v>#DIV/0!</v>
      </c>
      <c r="M113" s="2119" t="e">
        <f>ROUND(L113/L$111,4)</f>
        <v>#DIV/0!</v>
      </c>
      <c r="N113" s="2134">
        <f t="shared" si="19"/>
        <v>0</v>
      </c>
    </row>
    <row r="114" spans="1:14" x14ac:dyDescent="0.25">
      <c r="A114" s="277" t="s">
        <v>98</v>
      </c>
      <c r="B114" s="243">
        <f>B13</f>
        <v>0</v>
      </c>
      <c r="C114" s="243">
        <f t="shared" si="17"/>
        <v>0</v>
      </c>
      <c r="D114" s="24">
        <f>'Д 7_РП'!G106</f>
        <v>0</v>
      </c>
      <c r="E114" s="24">
        <f>'Д 7_РП'!G107</f>
        <v>0</v>
      </c>
      <c r="F114" s="24">
        <f>'Д 7_РП'!G108</f>
        <v>0</v>
      </c>
      <c r="G114" s="2131">
        <f>ROUND(D114/D$111,5)</f>
        <v>0</v>
      </c>
      <c r="H114" s="2132">
        <f t="shared" si="20"/>
        <v>0</v>
      </c>
      <c r="I114" s="2120" t="e">
        <f t="shared" si="21"/>
        <v>#DIV/0!</v>
      </c>
      <c r="J114" s="2121" t="e">
        <f t="shared" si="22"/>
        <v>#DIV/0!</v>
      </c>
      <c r="K114" s="2121">
        <f t="shared" si="23"/>
        <v>0</v>
      </c>
      <c r="L114" s="3" t="e">
        <f t="shared" si="18"/>
        <v>#DIV/0!</v>
      </c>
      <c r="M114" s="2119" t="e">
        <f>ROUND(L114/L$111,4)</f>
        <v>#DIV/0!</v>
      </c>
      <c r="N114" s="2134">
        <f t="shared" si="19"/>
        <v>0</v>
      </c>
    </row>
    <row r="115" spans="1:14" ht="15.75" thickBot="1" x14ac:dyDescent="0.3">
      <c r="A115" s="1247" t="s">
        <v>99</v>
      </c>
      <c r="B115" s="243">
        <f>B14</f>
        <v>13067.41</v>
      </c>
      <c r="C115" s="243">
        <f t="shared" si="17"/>
        <v>12753.78</v>
      </c>
      <c r="D115" s="24">
        <f>'Д 7_РП'!G109</f>
        <v>8.7149999999999999</v>
      </c>
      <c r="E115" s="24">
        <f>'Д 7_РП'!G113</f>
        <v>0</v>
      </c>
      <c r="F115" s="24">
        <f>'Д 7_РП'!G111</f>
        <v>7.4770000000000003</v>
      </c>
      <c r="G115" s="2131">
        <f>ROUND(D115/D$111,7)</f>
        <v>1</v>
      </c>
      <c r="H115" s="2132">
        <f t="shared" si="20"/>
        <v>1</v>
      </c>
      <c r="I115" s="2120" t="e">
        <f t="shared" si="21"/>
        <v>#DIV/0!</v>
      </c>
      <c r="J115" s="2121" t="e">
        <f t="shared" si="22"/>
        <v>#DIV/0!</v>
      </c>
      <c r="K115" s="2121">
        <f t="shared" si="23"/>
        <v>0</v>
      </c>
      <c r="L115" s="3" t="e">
        <f t="shared" si="18"/>
        <v>#DIV/0!</v>
      </c>
      <c r="M115" s="2119" t="e">
        <f>ROUND(L115/L$111,4)</f>
        <v>#DIV/0!</v>
      </c>
      <c r="N115" s="2134">
        <f t="shared" si="19"/>
        <v>0</v>
      </c>
    </row>
    <row r="116" spans="1:14" x14ac:dyDescent="0.25">
      <c r="D116" s="24">
        <f>'Д 7_РП'!G112</f>
        <v>1.66</v>
      </c>
    </row>
    <row r="120" spans="1:14" x14ac:dyDescent="0.25">
      <c r="A120" s="2263" t="s">
        <v>2862</v>
      </c>
      <c r="B120" s="2264">
        <f>SUM(B121:B124)</f>
        <v>57114.85</v>
      </c>
      <c r="C120" s="2265">
        <f>SUM(C121:C124)</f>
        <v>1</v>
      </c>
    </row>
    <row r="121" spans="1:14" x14ac:dyDescent="0.25">
      <c r="A121" s="2263" t="str">
        <f>A9</f>
        <v>Постачання природного газу</v>
      </c>
      <c r="B121" s="2264">
        <f>H10</f>
        <v>52940.37</v>
      </c>
      <c r="C121" s="2265">
        <f>B121/B120</f>
        <v>0.93</v>
      </c>
    </row>
    <row r="122" spans="1:14" x14ac:dyDescent="0.25">
      <c r="A122" s="2263" t="str">
        <f>A15</f>
        <v>Транспортування природного газу</v>
      </c>
      <c r="B122" s="2264">
        <f>H16</f>
        <v>236.45</v>
      </c>
      <c r="C122" s="2265">
        <f>B122/B120</f>
        <v>0</v>
      </c>
    </row>
    <row r="123" spans="1:14" x14ac:dyDescent="0.25">
      <c r="A123" s="2263" t="str">
        <f>A21</f>
        <v>Розподіл природного газу</v>
      </c>
      <c r="B123" s="2264">
        <f>H22</f>
        <v>1454.22</v>
      </c>
      <c r="C123" s="2265">
        <f>B123/B120</f>
        <v>0.03</v>
      </c>
    </row>
    <row r="124" spans="1:14" x14ac:dyDescent="0.25">
      <c r="A124" s="2263" t="s">
        <v>2203</v>
      </c>
      <c r="B124" s="2264">
        <f>'Д 9_ЕЕ'!D208</f>
        <v>2483.81</v>
      </c>
      <c r="C124" s="2265">
        <f>B124/B120</f>
        <v>0.04</v>
      </c>
    </row>
    <row r="137" spans="1:9" x14ac:dyDescent="0.25">
      <c r="A137" s="3814" t="s">
        <v>2866</v>
      </c>
      <c r="B137" s="3814"/>
      <c r="C137" s="3814"/>
      <c r="D137" s="3814"/>
      <c r="E137" s="3814"/>
    </row>
    <row r="138" spans="1:9" ht="15.75" thickBot="1" x14ac:dyDescent="0.3">
      <c r="D138" s="2268" t="s">
        <v>992</v>
      </c>
    </row>
    <row r="139" spans="1:9" ht="64.5" thickBot="1" x14ac:dyDescent="0.3">
      <c r="A139" s="1245" t="s">
        <v>129</v>
      </c>
      <c r="B139" s="191" t="s">
        <v>130</v>
      </c>
      <c r="C139" s="191" t="s">
        <v>132</v>
      </c>
      <c r="D139" s="191" t="s">
        <v>2868</v>
      </c>
      <c r="E139" s="191" t="s">
        <v>134</v>
      </c>
      <c r="F139" s="3"/>
      <c r="G139" s="3"/>
      <c r="H139" s="3"/>
      <c r="I139" s="3"/>
    </row>
    <row r="140" spans="1:9" ht="15.75" thickBot="1" x14ac:dyDescent="0.3">
      <c r="A140" s="3821" t="s">
        <v>819</v>
      </c>
      <c r="B140" s="3822"/>
      <c r="C140" s="3822"/>
      <c r="D140" s="3822"/>
      <c r="E140" s="3822"/>
      <c r="G140" s="2266"/>
      <c r="H140" s="2266"/>
      <c r="I140" s="2266"/>
    </row>
    <row r="141" spans="1:9" x14ac:dyDescent="0.25">
      <c r="A141" s="2271" t="s">
        <v>136</v>
      </c>
      <c r="B141" s="2574">
        <f>B10</f>
        <v>13067.41</v>
      </c>
      <c r="C141" s="2574">
        <f>F10</f>
        <v>1731.21</v>
      </c>
      <c r="D141" s="2574">
        <f>'Вхідні дані'!$D$23</f>
        <v>0</v>
      </c>
      <c r="E141" s="2574">
        <f>H10</f>
        <v>52940.37</v>
      </c>
      <c r="F141" s="3"/>
      <c r="G141" s="3"/>
      <c r="H141" s="3"/>
      <c r="I141" s="3"/>
    </row>
    <row r="142" spans="1:9" x14ac:dyDescent="0.25">
      <c r="A142" s="2271" t="s">
        <v>2863</v>
      </c>
      <c r="B142" s="2574">
        <f>B11</f>
        <v>0</v>
      </c>
      <c r="C142" s="2574">
        <f>F11</f>
        <v>0</v>
      </c>
      <c r="D142" s="2574">
        <v>0</v>
      </c>
      <c r="E142" s="2574">
        <f>H11</f>
        <v>0</v>
      </c>
      <c r="F142" s="3"/>
      <c r="G142" s="3"/>
      <c r="H142" s="3"/>
      <c r="I142" s="3"/>
    </row>
    <row r="143" spans="1:9" x14ac:dyDescent="0.25">
      <c r="A143" s="2272" t="s">
        <v>2864</v>
      </c>
      <c r="B143" s="2575"/>
      <c r="C143" s="2575">
        <v>0</v>
      </c>
      <c r="D143" s="2575">
        <f>D142</f>
        <v>0</v>
      </c>
      <c r="E143" s="2576">
        <f>C143*D143/1000</f>
        <v>0</v>
      </c>
      <c r="F143" s="3"/>
      <c r="G143" s="3"/>
      <c r="H143" s="3"/>
      <c r="I143" s="3"/>
    </row>
    <row r="144" spans="1:9" x14ac:dyDescent="0.25">
      <c r="A144" s="2272" t="s">
        <v>2865</v>
      </c>
      <c r="B144" s="2575"/>
      <c r="C144" s="2575">
        <f>K6</f>
        <v>0</v>
      </c>
      <c r="D144" s="2575">
        <v>0</v>
      </c>
      <c r="E144" s="2576">
        <f>C144*D144/1000</f>
        <v>0</v>
      </c>
      <c r="F144" s="3"/>
      <c r="G144" s="3"/>
      <c r="H144" s="3"/>
      <c r="I144" s="3"/>
    </row>
    <row r="145" spans="1:9" x14ac:dyDescent="0.25">
      <c r="A145" s="2271" t="s">
        <v>173</v>
      </c>
      <c r="B145" s="2574">
        <f>B12</f>
        <v>0</v>
      </c>
      <c r="C145" s="2574">
        <f>F12</f>
        <v>0</v>
      </c>
      <c r="D145" s="2574">
        <v>0</v>
      </c>
      <c r="E145" s="2574">
        <f t="shared" ref="E145:E147" si="24">C145*D145/1000</f>
        <v>0</v>
      </c>
      <c r="F145" s="3"/>
      <c r="G145" s="3"/>
      <c r="H145" s="3"/>
      <c r="I145" s="3"/>
    </row>
    <row r="146" spans="1:9" x14ac:dyDescent="0.25">
      <c r="A146" s="2271" t="s">
        <v>98</v>
      </c>
      <c r="B146" s="2574">
        <f t="shared" ref="B146:B159" si="25">B13</f>
        <v>0</v>
      </c>
      <c r="C146" s="2574">
        <f t="shared" ref="C146:C147" si="26">F13</f>
        <v>0</v>
      </c>
      <c r="D146" s="2574">
        <f>'Вхідні дані'!$D$24</f>
        <v>30579.98</v>
      </c>
      <c r="E146" s="2574">
        <f>C146*D146/1000</f>
        <v>0</v>
      </c>
      <c r="F146" s="3"/>
      <c r="G146" s="3"/>
      <c r="H146" s="3"/>
      <c r="I146" s="3"/>
    </row>
    <row r="147" spans="1:9" x14ac:dyDescent="0.25">
      <c r="A147" s="2271" t="s">
        <v>99</v>
      </c>
      <c r="B147" s="2574">
        <f t="shared" si="25"/>
        <v>13067.41</v>
      </c>
      <c r="C147" s="2574">
        <f t="shared" si="26"/>
        <v>1731.21</v>
      </c>
      <c r="D147" s="2574">
        <f>'Вхідні дані'!$D$24</f>
        <v>30579.98</v>
      </c>
      <c r="E147" s="2574">
        <f t="shared" si="24"/>
        <v>52940.366999999998</v>
      </c>
      <c r="F147" s="3"/>
      <c r="G147" s="3"/>
      <c r="H147" s="3"/>
      <c r="I147" s="3"/>
    </row>
    <row r="148" spans="1:9" x14ac:dyDescent="0.25">
      <c r="A148" s="3810" t="str">
        <f>A15</f>
        <v>Транспортування природного газу</v>
      </c>
      <c r="B148" s="3810"/>
      <c r="C148" s="3810"/>
      <c r="D148" s="3810"/>
      <c r="E148" s="3810"/>
    </row>
    <row r="149" spans="1:9" x14ac:dyDescent="0.25">
      <c r="A149" s="2271" t="s">
        <v>136</v>
      </c>
      <c r="B149" s="2574">
        <f t="shared" si="25"/>
        <v>13067.41</v>
      </c>
      <c r="C149" s="2574">
        <f t="shared" ref="C149:C153" si="27">F16</f>
        <v>1731.21</v>
      </c>
      <c r="D149" s="2574">
        <f>G16</f>
        <v>136.58000000000001</v>
      </c>
      <c r="E149" s="2574">
        <f>H16</f>
        <v>236.45</v>
      </c>
    </row>
    <row r="150" spans="1:9" x14ac:dyDescent="0.25">
      <c r="A150" s="2271" t="s">
        <v>3</v>
      </c>
      <c r="B150" s="2574">
        <f t="shared" si="25"/>
        <v>0</v>
      </c>
      <c r="C150" s="2574">
        <f t="shared" si="27"/>
        <v>0</v>
      </c>
      <c r="D150" s="2574">
        <f t="shared" ref="D150:D153" si="28">G17</f>
        <v>0</v>
      </c>
      <c r="E150" s="2574">
        <f t="shared" ref="E150:E153" si="29">H17</f>
        <v>0</v>
      </c>
    </row>
    <row r="151" spans="1:9" x14ac:dyDescent="0.25">
      <c r="A151" s="2271" t="s">
        <v>173</v>
      </c>
      <c r="B151" s="2574">
        <f t="shared" si="25"/>
        <v>0</v>
      </c>
      <c r="C151" s="2574">
        <f t="shared" si="27"/>
        <v>0</v>
      </c>
      <c r="D151" s="2574">
        <f t="shared" si="28"/>
        <v>0</v>
      </c>
      <c r="E151" s="2574">
        <f t="shared" si="29"/>
        <v>0</v>
      </c>
    </row>
    <row r="152" spans="1:9" x14ac:dyDescent="0.25">
      <c r="A152" s="2271" t="s">
        <v>98</v>
      </c>
      <c r="B152" s="2574">
        <f t="shared" si="25"/>
        <v>0</v>
      </c>
      <c r="C152" s="2574">
        <f t="shared" si="27"/>
        <v>0</v>
      </c>
      <c r="D152" s="2574">
        <f t="shared" si="28"/>
        <v>0</v>
      </c>
      <c r="E152" s="2574">
        <f t="shared" si="29"/>
        <v>0</v>
      </c>
    </row>
    <row r="153" spans="1:9" x14ac:dyDescent="0.25">
      <c r="A153" s="2271" t="s">
        <v>99</v>
      </c>
      <c r="B153" s="2574">
        <f t="shared" si="25"/>
        <v>13067.41</v>
      </c>
      <c r="C153" s="2574">
        <f t="shared" si="27"/>
        <v>1731.21</v>
      </c>
      <c r="D153" s="2574">
        <f t="shared" si="28"/>
        <v>136.58000000000001</v>
      </c>
      <c r="E153" s="2574">
        <f t="shared" si="29"/>
        <v>236.45</v>
      </c>
    </row>
    <row r="154" spans="1:9" x14ac:dyDescent="0.25">
      <c r="A154" s="3814" t="str">
        <f>A21</f>
        <v>Розподіл природного газу</v>
      </c>
      <c r="B154" s="3814"/>
      <c r="C154" s="3814"/>
      <c r="D154" s="3814"/>
      <c r="E154" s="3814"/>
    </row>
    <row r="155" spans="1:9" x14ac:dyDescent="0.25">
      <c r="A155" s="2271" t="s">
        <v>136</v>
      </c>
      <c r="B155" s="232" t="str">
        <f t="shared" si="25"/>
        <v>х</v>
      </c>
      <c r="C155" s="2574">
        <f t="shared" ref="C155:C159" si="30">F22</f>
        <v>1731.21</v>
      </c>
      <c r="D155" s="2574">
        <f>G22</f>
        <v>840</v>
      </c>
      <c r="E155" s="2574">
        <f>H22</f>
        <v>1454.22</v>
      </c>
    </row>
    <row r="156" spans="1:9" x14ac:dyDescent="0.25">
      <c r="A156" s="2271" t="s">
        <v>3</v>
      </c>
      <c r="B156" s="232" t="str">
        <f t="shared" si="25"/>
        <v>х</v>
      </c>
      <c r="C156" s="2574">
        <f t="shared" si="30"/>
        <v>0</v>
      </c>
      <c r="D156" s="2574">
        <f t="shared" ref="D156:D159" si="31">G23</f>
        <v>0</v>
      </c>
      <c r="E156" s="2574">
        <f t="shared" ref="E156:E159" si="32">H23</f>
        <v>0</v>
      </c>
    </row>
    <row r="157" spans="1:9" x14ac:dyDescent="0.25">
      <c r="A157" s="2271" t="s">
        <v>173</v>
      </c>
      <c r="B157" s="232" t="str">
        <f t="shared" si="25"/>
        <v>х</v>
      </c>
      <c r="C157" s="2574">
        <f t="shared" si="30"/>
        <v>0</v>
      </c>
      <c r="D157" s="2574">
        <f t="shared" si="31"/>
        <v>0</v>
      </c>
      <c r="E157" s="2574">
        <f t="shared" si="32"/>
        <v>0</v>
      </c>
    </row>
    <row r="158" spans="1:9" x14ac:dyDescent="0.25">
      <c r="A158" s="2271" t="s">
        <v>98</v>
      </c>
      <c r="B158" s="232" t="str">
        <f t="shared" si="25"/>
        <v>х</v>
      </c>
      <c r="C158" s="2574">
        <f t="shared" si="30"/>
        <v>0</v>
      </c>
      <c r="D158" s="2574">
        <f t="shared" si="31"/>
        <v>840</v>
      </c>
      <c r="E158" s="2574">
        <f t="shared" si="32"/>
        <v>0</v>
      </c>
    </row>
    <row r="159" spans="1:9" x14ac:dyDescent="0.25">
      <c r="A159" s="2271" t="s">
        <v>99</v>
      </c>
      <c r="B159" s="232" t="str">
        <f t="shared" si="25"/>
        <v>х</v>
      </c>
      <c r="C159" s="2574">
        <f t="shared" si="30"/>
        <v>1731.21</v>
      </c>
      <c r="D159" s="2574">
        <f t="shared" si="31"/>
        <v>840</v>
      </c>
      <c r="E159" s="2574">
        <f t="shared" si="32"/>
        <v>1454.22</v>
      </c>
    </row>
    <row r="160" spans="1:9" x14ac:dyDescent="0.25">
      <c r="A160" s="3814" t="s">
        <v>2867</v>
      </c>
      <c r="B160" s="3814"/>
      <c r="C160" s="3814"/>
      <c r="D160" s="3814"/>
      <c r="E160" s="3814"/>
    </row>
    <row r="161" spans="1:9" s="2269" customFormat="1" x14ac:dyDescent="0.25">
      <c r="A161" s="2270" t="s">
        <v>136</v>
      </c>
      <c r="B161" s="2577">
        <f>B27</f>
        <v>13067.41</v>
      </c>
      <c r="C161" s="2577" t="str">
        <f>F27</f>
        <v>х</v>
      </c>
      <c r="D161" s="2577" t="str">
        <f>G27</f>
        <v>х</v>
      </c>
      <c r="E161" s="2577">
        <f>H27</f>
        <v>54631.040000000001</v>
      </c>
      <c r="F161" s="2267"/>
      <c r="G161" s="2267"/>
      <c r="H161" s="2267"/>
      <c r="I161" s="2267"/>
    </row>
    <row r="162" spans="1:9" x14ac:dyDescent="0.25">
      <c r="A162" s="2271" t="s">
        <v>3</v>
      </c>
      <c r="B162" s="2577">
        <f t="shared" ref="B162:B165" si="33">B28</f>
        <v>0</v>
      </c>
      <c r="C162" s="2577" t="str">
        <f t="shared" ref="C162:C165" si="34">F28</f>
        <v>х</v>
      </c>
      <c r="D162" s="2577" t="str">
        <f t="shared" ref="D162:D165" si="35">G28</f>
        <v>х</v>
      </c>
      <c r="E162" s="2574">
        <f t="shared" ref="E162:E165" si="36">H28</f>
        <v>0</v>
      </c>
    </row>
    <row r="163" spans="1:9" x14ac:dyDescent="0.25">
      <c r="A163" s="2271" t="s">
        <v>173</v>
      </c>
      <c r="B163" s="2577">
        <f t="shared" si="33"/>
        <v>0</v>
      </c>
      <c r="C163" s="2577" t="str">
        <f t="shared" si="34"/>
        <v>х</v>
      </c>
      <c r="D163" s="2577" t="str">
        <f t="shared" si="35"/>
        <v>х</v>
      </c>
      <c r="E163" s="2574">
        <f t="shared" si="36"/>
        <v>0</v>
      </c>
    </row>
    <row r="164" spans="1:9" x14ac:dyDescent="0.25">
      <c r="A164" s="2271" t="s">
        <v>98</v>
      </c>
      <c r="B164" s="2577">
        <f t="shared" si="33"/>
        <v>0</v>
      </c>
      <c r="C164" s="2577" t="str">
        <f t="shared" si="34"/>
        <v>х</v>
      </c>
      <c r="D164" s="2577" t="str">
        <f t="shared" si="35"/>
        <v>х</v>
      </c>
      <c r="E164" s="2574">
        <f t="shared" si="36"/>
        <v>0</v>
      </c>
    </row>
    <row r="165" spans="1:9" x14ac:dyDescent="0.25">
      <c r="A165" s="2271" t="s">
        <v>99</v>
      </c>
      <c r="B165" s="2577">
        <f t="shared" si="33"/>
        <v>13067.41</v>
      </c>
      <c r="C165" s="2577" t="str">
        <f t="shared" si="34"/>
        <v>х</v>
      </c>
      <c r="D165" s="2577" t="str">
        <f t="shared" si="35"/>
        <v>х</v>
      </c>
      <c r="E165" s="2574">
        <f t="shared" si="36"/>
        <v>54631.040000000001</v>
      </c>
    </row>
  </sheetData>
  <mergeCells count="23">
    <mergeCell ref="A57:B57"/>
    <mergeCell ref="A148:E148"/>
    <mergeCell ref="A154:E154"/>
    <mergeCell ref="A160:E160"/>
    <mergeCell ref="G58:I58"/>
    <mergeCell ref="A137:E137"/>
    <mergeCell ref="A140:E140"/>
    <mergeCell ref="F2:H2"/>
    <mergeCell ref="F64:G64"/>
    <mergeCell ref="F1:I1"/>
    <mergeCell ref="A4:I4"/>
    <mergeCell ref="A5:I5"/>
    <mergeCell ref="A7:I7"/>
    <mergeCell ref="A63:C63"/>
    <mergeCell ref="A9:I9"/>
    <mergeCell ref="A15:I15"/>
    <mergeCell ref="A21:I21"/>
    <mergeCell ref="D57:E57"/>
    <mergeCell ref="D58:E58"/>
    <mergeCell ref="A52:C52"/>
    <mergeCell ref="D52:F52"/>
    <mergeCell ref="G52:I52"/>
    <mergeCell ref="G57:I57"/>
  </mergeCells>
  <printOptions horizontalCentered="1"/>
  <pageMargins left="0.43307086614173229" right="0.27559055118110237" top="0.78740157480314965" bottom="0.23622047244094491" header="0.62992125984251968" footer="0.23622047244094491"/>
  <pageSetup paperSize="9" fitToHeight="0" orientation="landscape" r:id="rId1"/>
  <headerFooter differentFirst="1">
    <oddHeader>&amp;Rпродовження додатку 8</oddHeader>
  </headerFooter>
  <rowBreaks count="1" manualBreakCount="1">
    <brk id="29" max="8"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E223"/>
  <sheetViews>
    <sheetView zoomScale="118" zoomScaleNormal="118" zoomScaleSheetLayoutView="85" workbookViewId="0">
      <selection activeCell="B146" sqref="B146:P173"/>
    </sheetView>
  </sheetViews>
  <sheetFormatPr defaultColWidth="9.140625" defaultRowHeight="18.75" outlineLevelRow="1" x14ac:dyDescent="0.3"/>
  <cols>
    <col min="1" max="1" width="2.42578125" style="26" customWidth="1"/>
    <col min="2" max="2" width="31.28515625" style="26" customWidth="1"/>
    <col min="3" max="3" width="14.5703125" style="26" customWidth="1"/>
    <col min="4" max="4" width="13.7109375" style="26" customWidth="1"/>
    <col min="5" max="6" width="11" style="26" customWidth="1"/>
    <col min="7" max="7" width="10.5703125" style="26" customWidth="1"/>
    <col min="8" max="8" width="9.7109375" style="26" customWidth="1"/>
    <col min="9" max="9" width="9.5703125" style="26" customWidth="1"/>
    <col min="10" max="10" width="9.7109375" style="26" customWidth="1"/>
    <col min="11" max="11" width="10.140625" style="26" customWidth="1"/>
    <col min="12" max="12" width="10.7109375" style="26" customWidth="1"/>
    <col min="13" max="13" width="9.85546875" style="26" customWidth="1"/>
    <col min="14" max="14" width="9.28515625" style="26" customWidth="1"/>
    <col min="15" max="15" width="9.7109375" style="26" customWidth="1"/>
    <col min="16" max="16" width="10.7109375" style="26" customWidth="1"/>
    <col min="17" max="17" width="16.42578125" style="26" customWidth="1"/>
    <col min="18" max="18" width="16.140625" style="1566" customWidth="1"/>
    <col min="19" max="19" width="17.7109375" style="26" customWidth="1"/>
    <col min="20" max="20" width="12.85546875" style="1343" customWidth="1"/>
    <col min="21" max="16384" width="9.140625" style="26"/>
  </cols>
  <sheetData>
    <row r="1" spans="1:31" ht="42" customHeight="1" x14ac:dyDescent="0.3">
      <c r="A1" s="2521"/>
      <c r="B1" s="2521"/>
      <c r="C1" s="2521"/>
      <c r="D1" s="2521"/>
      <c r="E1" s="2521"/>
      <c r="F1" s="2521"/>
      <c r="G1" s="2521"/>
      <c r="H1" s="2521"/>
      <c r="I1" s="2521"/>
      <c r="J1" s="2521"/>
      <c r="K1" s="2521"/>
      <c r="L1" s="3843" t="s">
        <v>3414</v>
      </c>
      <c r="M1" s="3843"/>
      <c r="N1" s="3843"/>
      <c r="O1" s="3843"/>
      <c r="P1" s="3843"/>
      <c r="Q1" s="155" t="s">
        <v>643</v>
      </c>
    </row>
    <row r="2" spans="1:31" ht="19.5" customHeight="1" x14ac:dyDescent="0.3">
      <c r="A2" s="2521"/>
      <c r="B2" s="2521"/>
      <c r="C2" s="2521"/>
      <c r="D2" s="2521"/>
      <c r="E2" s="2521"/>
      <c r="F2" s="2521"/>
      <c r="G2" s="2521"/>
      <c r="H2" s="2521"/>
      <c r="I2" s="2521"/>
      <c r="J2" s="2521"/>
      <c r="K2" s="2521"/>
      <c r="L2" s="2521" t="str">
        <f>'Вхідні дані'!F1</f>
        <v>станом на 01.06.2022 року</v>
      </c>
      <c r="M2" s="2521"/>
      <c r="N2" s="2521"/>
      <c r="O2" s="2521"/>
      <c r="P2" s="2521"/>
      <c r="Q2" s="18"/>
    </row>
    <row r="3" spans="1:31" x14ac:dyDescent="0.3">
      <c r="A3" s="2521"/>
      <c r="B3" s="3844" t="s">
        <v>450</v>
      </c>
      <c r="C3" s="3844"/>
      <c r="D3" s="3844"/>
      <c r="E3" s="3844"/>
      <c r="F3" s="3844"/>
      <c r="G3" s="3844"/>
      <c r="H3" s="3844"/>
      <c r="I3" s="3844"/>
      <c r="J3" s="3844"/>
      <c r="K3" s="3721"/>
      <c r="L3" s="3721"/>
      <c r="M3" s="3721"/>
      <c r="N3" s="3721"/>
      <c r="O3" s="3721"/>
      <c r="P3" s="3721"/>
      <c r="Q3" s="155" t="s">
        <v>643</v>
      </c>
    </row>
    <row r="4" spans="1:31" x14ac:dyDescent="0.3">
      <c r="A4" s="2521"/>
      <c r="B4" s="3844" t="s">
        <v>282</v>
      </c>
      <c r="C4" s="3844"/>
      <c r="D4" s="3844"/>
      <c r="E4" s="3844"/>
      <c r="F4" s="3844"/>
      <c r="G4" s="3844"/>
      <c r="H4" s="3844"/>
      <c r="I4" s="3844"/>
      <c r="J4" s="3844"/>
      <c r="K4" s="3844"/>
      <c r="L4" s="3844"/>
      <c r="M4" s="3844"/>
      <c r="N4" s="3844"/>
      <c r="O4" s="3844"/>
      <c r="P4" s="3844"/>
    </row>
    <row r="5" spans="1:31" x14ac:dyDescent="0.3">
      <c r="A5" s="2521"/>
      <c r="B5" s="3845" t="s">
        <v>220</v>
      </c>
      <c r="C5" s="3846"/>
      <c r="D5" s="3846"/>
      <c r="E5" s="3846"/>
      <c r="F5" s="3846"/>
      <c r="G5" s="3846"/>
      <c r="H5" s="3846"/>
      <c r="I5" s="3846"/>
      <c r="J5" s="3846"/>
      <c r="K5" s="3846"/>
      <c r="L5" s="3846"/>
      <c r="M5" s="3846"/>
      <c r="N5" s="3846"/>
      <c r="O5" s="3846"/>
      <c r="P5" s="3846"/>
      <c r="Q5" s="155"/>
    </row>
    <row r="6" spans="1:31" x14ac:dyDescent="0.3">
      <c r="A6" s="2521"/>
      <c r="B6" s="3847" t="s">
        <v>111</v>
      </c>
      <c r="C6" s="3847" t="s">
        <v>35</v>
      </c>
      <c r="D6" s="2582" t="s">
        <v>138</v>
      </c>
      <c r="E6" s="3842" t="s">
        <v>19</v>
      </c>
      <c r="F6" s="3842" t="s">
        <v>20</v>
      </c>
      <c r="G6" s="3842" t="s">
        <v>21</v>
      </c>
      <c r="H6" s="3842" t="s">
        <v>10</v>
      </c>
      <c r="I6" s="3842" t="s">
        <v>11</v>
      </c>
      <c r="J6" s="3842" t="s">
        <v>12</v>
      </c>
      <c r="K6" s="3842" t="s">
        <v>13</v>
      </c>
      <c r="L6" s="3842" t="s">
        <v>139</v>
      </c>
      <c r="M6" s="3842" t="s">
        <v>15</v>
      </c>
      <c r="N6" s="3842" t="s">
        <v>16</v>
      </c>
      <c r="O6" s="3842" t="s">
        <v>17</v>
      </c>
      <c r="P6" s="3842" t="s">
        <v>18</v>
      </c>
      <c r="Q6" s="155" t="s">
        <v>757</v>
      </c>
    </row>
    <row r="7" spans="1:31" x14ac:dyDescent="0.3">
      <c r="A7" s="2521"/>
      <c r="B7" s="3848"/>
      <c r="C7" s="3848"/>
      <c r="D7" s="2582" t="str">
        <f>'Вхідні дані'!$F$6</f>
        <v>2022-2023</v>
      </c>
      <c r="E7" s="3833"/>
      <c r="F7" s="3833"/>
      <c r="G7" s="3833"/>
      <c r="H7" s="3833"/>
      <c r="I7" s="3833"/>
      <c r="J7" s="3833"/>
      <c r="K7" s="3833"/>
      <c r="L7" s="3833"/>
      <c r="M7" s="3833"/>
      <c r="N7" s="3833"/>
      <c r="O7" s="3833"/>
      <c r="P7" s="3833"/>
      <c r="Q7" s="155"/>
    </row>
    <row r="8" spans="1:31" x14ac:dyDescent="0.3">
      <c r="A8" s="2521"/>
      <c r="B8" s="3008">
        <v>1</v>
      </c>
      <c r="C8" s="2582">
        <v>2</v>
      </c>
      <c r="D8" s="2582">
        <v>3</v>
      </c>
      <c r="E8" s="2582">
        <v>4</v>
      </c>
      <c r="F8" s="2582">
        <v>5</v>
      </c>
      <c r="G8" s="2582">
        <v>6</v>
      </c>
      <c r="H8" s="2582">
        <v>7</v>
      </c>
      <c r="I8" s="2582">
        <v>8</v>
      </c>
      <c r="J8" s="2582">
        <v>9</v>
      </c>
      <c r="K8" s="2582">
        <v>10</v>
      </c>
      <c r="L8" s="2582">
        <v>11</v>
      </c>
      <c r="M8" s="2582">
        <v>12</v>
      </c>
      <c r="N8" s="2582">
        <v>13</v>
      </c>
      <c r="O8" s="2582">
        <v>14</v>
      </c>
      <c r="P8" s="2582">
        <v>15</v>
      </c>
    </row>
    <row r="9" spans="1:31" x14ac:dyDescent="0.3">
      <c r="A9" s="2521"/>
      <c r="B9" s="3860" t="s">
        <v>193</v>
      </c>
      <c r="C9" s="3861"/>
      <c r="D9" s="3861"/>
      <c r="E9" s="3861"/>
      <c r="F9" s="3861"/>
      <c r="G9" s="3861"/>
      <c r="H9" s="3861"/>
      <c r="I9" s="3861"/>
      <c r="J9" s="3861"/>
      <c r="K9" s="3861"/>
      <c r="L9" s="3861"/>
      <c r="M9" s="3861"/>
      <c r="N9" s="3861"/>
      <c r="O9" s="3861"/>
      <c r="P9" s="3862"/>
    </row>
    <row r="10" spans="1:31" ht="25.5" x14ac:dyDescent="0.3">
      <c r="A10" s="2521"/>
      <c r="B10" s="2585" t="s">
        <v>185</v>
      </c>
      <c r="C10" s="2582" t="s">
        <v>22</v>
      </c>
      <c r="D10" s="3009">
        <f>'Д 7_РП'!G24</f>
        <v>13067.41</v>
      </c>
      <c r="E10" s="3009">
        <f>'Д 7_РП'!H24</f>
        <v>367.96</v>
      </c>
      <c r="F10" s="3009">
        <f>'Д 7_РП'!I24</f>
        <v>1644.68</v>
      </c>
      <c r="G10" s="3009">
        <f>'Д 7_РП'!J24</f>
        <v>2137.44</v>
      </c>
      <c r="H10" s="3009">
        <f>'Д 7_РП'!K24</f>
        <v>2615.36</v>
      </c>
      <c r="I10" s="3009">
        <f>'Д 7_РП'!L24</f>
        <v>1981.08</v>
      </c>
      <c r="J10" s="3009">
        <f>'Д 7_РП'!M24</f>
        <v>2019.96</v>
      </c>
      <c r="K10" s="3009">
        <f>'Д 7_РП'!N24</f>
        <v>465.46</v>
      </c>
      <c r="L10" s="3009">
        <f>'Д 7_РП'!O24</f>
        <v>443.52</v>
      </c>
      <c r="M10" s="3009">
        <f>'Д 7_РП'!P24</f>
        <v>358.59</v>
      </c>
      <c r="N10" s="3009">
        <f>'Д 7_РП'!Q24</f>
        <v>344.57</v>
      </c>
      <c r="O10" s="3009">
        <f>'Д 7_РП'!R24</f>
        <v>345.56</v>
      </c>
      <c r="P10" s="3009">
        <f>'Д 7_РП'!S24</f>
        <v>343.23</v>
      </c>
      <c r="S10" s="3823" t="s">
        <v>19</v>
      </c>
      <c r="T10" s="3823" t="s">
        <v>20</v>
      </c>
      <c r="U10" s="3823" t="s">
        <v>21</v>
      </c>
      <c r="V10" s="3823" t="s">
        <v>10</v>
      </c>
      <c r="W10" s="3823" t="s">
        <v>11</v>
      </c>
      <c r="X10" s="3823" t="s">
        <v>12</v>
      </c>
      <c r="Y10" s="3823" t="s">
        <v>13</v>
      </c>
      <c r="Z10" s="3823" t="s">
        <v>139</v>
      </c>
      <c r="AA10" s="3823" t="s">
        <v>15</v>
      </c>
      <c r="AB10" s="3823" t="s">
        <v>16</v>
      </c>
      <c r="AC10" s="3823" t="s">
        <v>17</v>
      </c>
      <c r="AD10" s="3823" t="s">
        <v>18</v>
      </c>
    </row>
    <row r="11" spans="1:31" ht="38.25" x14ac:dyDescent="0.3">
      <c r="A11" s="2521"/>
      <c r="B11" s="2585" t="s">
        <v>140</v>
      </c>
      <c r="C11" s="2582" t="s">
        <v>78</v>
      </c>
      <c r="D11" s="3009">
        <f>D12/D10*1000</f>
        <v>10.89</v>
      </c>
      <c r="E11" s="3009">
        <f>E12/E10*1000</f>
        <v>41.61</v>
      </c>
      <c r="F11" s="3009">
        <f t="shared" ref="F11:P11" si="0">F12/F10*1000</f>
        <v>9</v>
      </c>
      <c r="G11" s="3009">
        <f t="shared" si="0"/>
        <v>7.03</v>
      </c>
      <c r="H11" s="3009">
        <f t="shared" si="0"/>
        <v>8.09</v>
      </c>
      <c r="I11" s="3009">
        <f t="shared" si="0"/>
        <v>9.34</v>
      </c>
      <c r="J11" s="3009">
        <f t="shared" si="0"/>
        <v>4.34</v>
      </c>
      <c r="K11" s="3009">
        <f t="shared" si="0"/>
        <v>13.08</v>
      </c>
      <c r="L11" s="3009">
        <f t="shared" si="0"/>
        <v>21.65</v>
      </c>
      <c r="M11" s="3009">
        <f t="shared" si="0"/>
        <v>22.42</v>
      </c>
      <c r="N11" s="3009">
        <f t="shared" si="0"/>
        <v>22.29</v>
      </c>
      <c r="O11" s="3009">
        <f t="shared" si="0"/>
        <v>23.76</v>
      </c>
      <c r="P11" s="3009">
        <f t="shared" si="0"/>
        <v>26.43</v>
      </c>
      <c r="S11" s="3824"/>
      <c r="T11" s="3824"/>
      <c r="U11" s="3824"/>
      <c r="V11" s="3824"/>
      <c r="W11" s="3824"/>
      <c r="X11" s="3824"/>
      <c r="Y11" s="3824"/>
      <c r="Z11" s="3824"/>
      <c r="AA11" s="3824"/>
      <c r="AB11" s="3824"/>
      <c r="AC11" s="3824"/>
      <c r="AD11" s="3824"/>
    </row>
    <row r="12" spans="1:31" ht="25.5" x14ac:dyDescent="0.3">
      <c r="A12" s="2521"/>
      <c r="B12" s="2585" t="s">
        <v>141</v>
      </c>
      <c r="C12" s="2582" t="s">
        <v>142</v>
      </c>
      <c r="D12" s="3009">
        <f>E12+F12+G12+H12+I12+J12+K12+L12+M12+N12+O12+P12</f>
        <v>142.28</v>
      </c>
      <c r="E12" s="3009">
        <f>76.546*0.2</f>
        <v>15.31</v>
      </c>
      <c r="F12" s="3009">
        <f>74.051*0.2</f>
        <v>14.81</v>
      </c>
      <c r="G12" s="3009">
        <f>75.171*0.2</f>
        <v>15.03</v>
      </c>
      <c r="H12" s="3009">
        <f>105.869*0.2</f>
        <v>21.17</v>
      </c>
      <c r="I12" s="3009">
        <f>92.568*0.2</f>
        <v>18.510000000000002</v>
      </c>
      <c r="J12" s="3009">
        <f>43.798*0.2</f>
        <v>8.76</v>
      </c>
      <c r="K12" s="3009">
        <f>30.456*0.2</f>
        <v>6.09</v>
      </c>
      <c r="L12" s="3009">
        <f>47.976*0.2</f>
        <v>9.6</v>
      </c>
      <c r="M12" s="3009">
        <f>40.208*0.2</f>
        <v>8.0399999999999991</v>
      </c>
      <c r="N12" s="3009">
        <f>38.383*0.2</f>
        <v>7.68</v>
      </c>
      <c r="O12" s="3009">
        <f>41.06*0.2</f>
        <v>8.2100000000000009</v>
      </c>
      <c r="P12" s="3009">
        <f>45.35*0.2</f>
        <v>9.07</v>
      </c>
      <c r="Q12" s="155"/>
      <c r="R12" s="1568"/>
      <c r="S12" s="2526">
        <f>E12</f>
        <v>15.31</v>
      </c>
      <c r="T12" s="2526">
        <f t="shared" ref="T12:AD12" si="1">F12</f>
        <v>14.81</v>
      </c>
      <c r="U12" s="2526">
        <f t="shared" si="1"/>
        <v>15.03</v>
      </c>
      <c r="V12" s="2526">
        <f t="shared" si="1"/>
        <v>21.17</v>
      </c>
      <c r="W12" s="2526">
        <f t="shared" si="1"/>
        <v>18.510000000000002</v>
      </c>
      <c r="X12" s="2526">
        <f t="shared" si="1"/>
        <v>8.76</v>
      </c>
      <c r="Y12" s="2526">
        <f t="shared" si="1"/>
        <v>6.09</v>
      </c>
      <c r="Z12" s="2526">
        <f t="shared" si="1"/>
        <v>9.6</v>
      </c>
      <c r="AA12" s="2526">
        <f t="shared" si="1"/>
        <v>8.0399999999999991</v>
      </c>
      <c r="AB12" s="2526">
        <f t="shared" si="1"/>
        <v>7.68</v>
      </c>
      <c r="AC12" s="2526">
        <f t="shared" si="1"/>
        <v>8.2100000000000009</v>
      </c>
      <c r="AD12" s="2526">
        <f t="shared" si="1"/>
        <v>9.07</v>
      </c>
    </row>
    <row r="13" spans="1:31" ht="25.5" x14ac:dyDescent="0.3">
      <c r="A13" s="2521"/>
      <c r="B13" s="3010" t="str">
        <f>'Вхідні дані'!$B$29</f>
        <v>Тариф на електричну енергію, без ПДВ</v>
      </c>
      <c r="C13" s="2582" t="s">
        <v>759</v>
      </c>
      <c r="D13" s="3011">
        <f>'Ціна ее'!C14</f>
        <v>2.2023999999999999</v>
      </c>
      <c r="E13" s="3011">
        <f>'Ціна ее'!C14</f>
        <v>2.2023999999999999</v>
      </c>
      <c r="F13" s="3011">
        <f>'Ціна ее'!C14</f>
        <v>2.2023999999999999</v>
      </c>
      <c r="G13" s="3011">
        <f>'Ціна ее'!C14</f>
        <v>2.2023999999999999</v>
      </c>
      <c r="H13" s="3011">
        <f>'Ціна ее'!C14</f>
        <v>2.2023999999999999</v>
      </c>
      <c r="I13" s="3011">
        <f>'Ціна ее'!C14</f>
        <v>2.2023999999999999</v>
      </c>
      <c r="J13" s="3011">
        <f>'Ціна ее'!C14</f>
        <v>2.2023999999999999</v>
      </c>
      <c r="K13" s="3011">
        <f>'Ціна ее'!C14</f>
        <v>2.2023999999999999</v>
      </c>
      <c r="L13" s="3011">
        <f>'Ціна ее'!C14</f>
        <v>2.2023999999999999</v>
      </c>
      <c r="M13" s="3011">
        <f>'Ціна ее'!C14</f>
        <v>2.2023999999999999</v>
      </c>
      <c r="N13" s="3011">
        <f>'Ціна ее'!C14</f>
        <v>2.2023999999999999</v>
      </c>
      <c r="O13" s="3011">
        <f>'Ціна ее'!C14</f>
        <v>2.2023999999999999</v>
      </c>
      <c r="P13" s="3011">
        <f>'Ціна ее'!C14</f>
        <v>2.2023999999999999</v>
      </c>
      <c r="Q13" s="155" t="s">
        <v>643</v>
      </c>
      <c r="R13" s="1566">
        <f>SUM(S13:AD13)</f>
        <v>711400</v>
      </c>
      <c r="S13" s="2527">
        <f>S12*5*1000</f>
        <v>76550</v>
      </c>
      <c r="T13" s="2527">
        <f t="shared" ref="T13:AD13" si="2">T12*5*1000</f>
        <v>74050</v>
      </c>
      <c r="U13" s="2527">
        <f t="shared" si="2"/>
        <v>75150</v>
      </c>
      <c r="V13" s="2527">
        <f t="shared" si="2"/>
        <v>105850</v>
      </c>
      <c r="W13" s="2527">
        <f t="shared" si="2"/>
        <v>92550</v>
      </c>
      <c r="X13" s="2527">
        <f t="shared" si="2"/>
        <v>43800</v>
      </c>
      <c r="Y13" s="2527">
        <f t="shared" si="2"/>
        <v>30450</v>
      </c>
      <c r="Z13" s="2527">
        <f t="shared" si="2"/>
        <v>48000</v>
      </c>
      <c r="AA13" s="2527">
        <f t="shared" si="2"/>
        <v>40200</v>
      </c>
      <c r="AB13" s="2527">
        <f t="shared" si="2"/>
        <v>38400</v>
      </c>
      <c r="AC13" s="2527">
        <f t="shared" si="2"/>
        <v>41050</v>
      </c>
      <c r="AD13" s="2527">
        <f t="shared" si="2"/>
        <v>45350</v>
      </c>
      <c r="AE13" s="26" t="s">
        <v>3163</v>
      </c>
    </row>
    <row r="14" spans="1:31" ht="25.9" customHeight="1" x14ac:dyDescent="0.3">
      <c r="A14" s="2521"/>
      <c r="B14" s="3010" t="s">
        <v>758</v>
      </c>
      <c r="C14" s="2582" t="s">
        <v>40</v>
      </c>
      <c r="D14" s="3012">
        <f>D12*D13</f>
        <v>313.36</v>
      </c>
      <c r="E14" s="3012">
        <f>E12*E13</f>
        <v>33.72</v>
      </c>
      <c r="F14" s="3012">
        <f t="shared" ref="F14:P14" si="3">F12*F13</f>
        <v>32.619999999999997</v>
      </c>
      <c r="G14" s="3012">
        <f t="shared" si="3"/>
        <v>33.1</v>
      </c>
      <c r="H14" s="3012">
        <f t="shared" si="3"/>
        <v>46.62</v>
      </c>
      <c r="I14" s="3012">
        <f t="shared" si="3"/>
        <v>40.770000000000003</v>
      </c>
      <c r="J14" s="3012">
        <f t="shared" si="3"/>
        <v>19.29</v>
      </c>
      <c r="K14" s="3012">
        <f t="shared" si="3"/>
        <v>13.41</v>
      </c>
      <c r="L14" s="3012">
        <f t="shared" si="3"/>
        <v>21.14</v>
      </c>
      <c r="M14" s="3012">
        <f t="shared" si="3"/>
        <v>17.71</v>
      </c>
      <c r="N14" s="3012">
        <f t="shared" si="3"/>
        <v>16.91</v>
      </c>
      <c r="O14" s="3012">
        <f t="shared" si="3"/>
        <v>18.079999999999998</v>
      </c>
      <c r="P14" s="3012">
        <f t="shared" si="3"/>
        <v>19.98</v>
      </c>
      <c r="Q14" s="155" t="s">
        <v>643</v>
      </c>
    </row>
    <row r="15" spans="1:31" ht="38.25" x14ac:dyDescent="0.3">
      <c r="A15" s="2521"/>
      <c r="B15" s="3010" t="str">
        <f>'Вхідні дані'!$B$31</f>
        <v>Тариф на послуги з розподілу електричної енергії, 2 клас напруги, без ПДВ</v>
      </c>
      <c r="C15" s="2582" t="s">
        <v>759</v>
      </c>
      <c r="D15" s="3013">
        <f>'Ціна ее'!$D$13</f>
        <v>1.02695</v>
      </c>
      <c r="E15" s="3013">
        <f>'Ціна ее'!$D$13</f>
        <v>1.02695</v>
      </c>
      <c r="F15" s="3013">
        <f>'Ціна ее'!$D$13</f>
        <v>1.02695</v>
      </c>
      <c r="G15" s="3013">
        <f>'Ціна ее'!$D$13</f>
        <v>1.02695</v>
      </c>
      <c r="H15" s="3013">
        <f>'Ціна ее'!$D$13</f>
        <v>1.02695</v>
      </c>
      <c r="I15" s="3013">
        <f>'Ціна ее'!$D$13</f>
        <v>1.02695</v>
      </c>
      <c r="J15" s="3013">
        <f>'Ціна ее'!$D$13</f>
        <v>1.02695</v>
      </c>
      <c r="K15" s="3013">
        <f>'Ціна ее'!$D$13</f>
        <v>1.02695</v>
      </c>
      <c r="L15" s="3013">
        <f>'Ціна ее'!$D$13</f>
        <v>1.02695</v>
      </c>
      <c r="M15" s="3013">
        <f>'Ціна ее'!$D$13</f>
        <v>1.02695</v>
      </c>
      <c r="N15" s="3013">
        <f>'Ціна ее'!$D$13</f>
        <v>1.02695</v>
      </c>
      <c r="O15" s="3013">
        <f>'Ціна ее'!$D$13</f>
        <v>1.02695</v>
      </c>
      <c r="P15" s="3013">
        <f>'Ціна ее'!$D$13</f>
        <v>1.02695</v>
      </c>
      <c r="Q15" s="155" t="s">
        <v>643</v>
      </c>
    </row>
    <row r="16" spans="1:31" x14ac:dyDescent="0.3">
      <c r="A16" s="2521"/>
      <c r="B16" s="3010" t="s">
        <v>760</v>
      </c>
      <c r="C16" s="2582" t="s">
        <v>40</v>
      </c>
      <c r="D16" s="3014">
        <f>D12*D15-X16</f>
        <v>146.11000000000001</v>
      </c>
      <c r="E16" s="3014">
        <f>E12*E15</f>
        <v>15.72</v>
      </c>
      <c r="F16" s="3014">
        <f t="shared" ref="F16:P16" si="4">F12*F15</f>
        <v>15.21</v>
      </c>
      <c r="G16" s="3014">
        <f t="shared" si="4"/>
        <v>15.44</v>
      </c>
      <c r="H16" s="3014">
        <f t="shared" si="4"/>
        <v>21.74</v>
      </c>
      <c r="I16" s="3014">
        <f t="shared" si="4"/>
        <v>19.010000000000002</v>
      </c>
      <c r="J16" s="3014">
        <f t="shared" si="4"/>
        <v>9</v>
      </c>
      <c r="K16" s="3014">
        <f t="shared" si="4"/>
        <v>6.25</v>
      </c>
      <c r="L16" s="3014">
        <f t="shared" si="4"/>
        <v>9.86</v>
      </c>
      <c r="M16" s="3014">
        <f t="shared" si="4"/>
        <v>8.26</v>
      </c>
      <c r="N16" s="3014">
        <f t="shared" si="4"/>
        <v>7.89</v>
      </c>
      <c r="O16" s="3014">
        <f t="shared" si="4"/>
        <v>8.43</v>
      </c>
      <c r="P16" s="3014">
        <f t="shared" si="4"/>
        <v>9.31</v>
      </c>
      <c r="Q16" s="155" t="s">
        <v>643</v>
      </c>
      <c r="T16" s="1573"/>
      <c r="V16" s="1343"/>
      <c r="Z16" s="1343"/>
    </row>
    <row r="17" spans="1:19" ht="25.5" x14ac:dyDescent="0.3">
      <c r="A17" s="2521"/>
      <c r="B17" s="2585" t="s">
        <v>143</v>
      </c>
      <c r="C17" s="2582" t="s">
        <v>40</v>
      </c>
      <c r="D17" s="3015">
        <f>D14+D16</f>
        <v>459.47</v>
      </c>
      <c r="E17" s="3015">
        <f>E14+E16</f>
        <v>49.44</v>
      </c>
      <c r="F17" s="3015">
        <f t="shared" ref="F17:P17" si="5">F14+F16</f>
        <v>47.83</v>
      </c>
      <c r="G17" s="3015">
        <f t="shared" si="5"/>
        <v>48.54</v>
      </c>
      <c r="H17" s="3015">
        <f t="shared" si="5"/>
        <v>68.36</v>
      </c>
      <c r="I17" s="3015">
        <f t="shared" si="5"/>
        <v>59.78</v>
      </c>
      <c r="J17" s="3015">
        <f t="shared" si="5"/>
        <v>28.29</v>
      </c>
      <c r="K17" s="3015">
        <f t="shared" si="5"/>
        <v>19.66</v>
      </c>
      <c r="L17" s="3015">
        <f t="shared" si="5"/>
        <v>31</v>
      </c>
      <c r="M17" s="3015">
        <f t="shared" si="5"/>
        <v>25.97</v>
      </c>
      <c r="N17" s="3015">
        <f t="shared" si="5"/>
        <v>24.8</v>
      </c>
      <c r="O17" s="3015">
        <f t="shared" si="5"/>
        <v>26.51</v>
      </c>
      <c r="P17" s="3015">
        <f t="shared" si="5"/>
        <v>29.29</v>
      </c>
      <c r="Q17" s="26">
        <v>3277.51676837277</v>
      </c>
      <c r="R17" s="1572">
        <f>Q17-D17</f>
        <v>2818.05</v>
      </c>
    </row>
    <row r="18" spans="1:19" ht="25.5" x14ac:dyDescent="0.3">
      <c r="A18" s="2521"/>
      <c r="B18" s="2585" t="s">
        <v>186</v>
      </c>
      <c r="C18" s="3016" t="s">
        <v>144</v>
      </c>
      <c r="D18" s="3017">
        <f>D12*$E$102</f>
        <v>91.89</v>
      </c>
      <c r="E18" s="3017">
        <f t="shared" ref="E18:P18" si="6">E12*$E$102</f>
        <v>9.89</v>
      </c>
      <c r="F18" s="3017">
        <f t="shared" si="6"/>
        <v>9.56</v>
      </c>
      <c r="G18" s="3017">
        <f t="shared" si="6"/>
        <v>9.7100000000000009</v>
      </c>
      <c r="H18" s="3017">
        <f t="shared" si="6"/>
        <v>13.67</v>
      </c>
      <c r="I18" s="3017">
        <f t="shared" si="6"/>
        <v>11.95</v>
      </c>
      <c r="J18" s="3017">
        <f t="shared" si="6"/>
        <v>5.66</v>
      </c>
      <c r="K18" s="3017">
        <f t="shared" si="6"/>
        <v>3.93</v>
      </c>
      <c r="L18" s="3017">
        <f t="shared" si="6"/>
        <v>6.2</v>
      </c>
      <c r="M18" s="3017">
        <f t="shared" si="6"/>
        <v>5.19</v>
      </c>
      <c r="N18" s="3017">
        <f t="shared" si="6"/>
        <v>4.96</v>
      </c>
      <c r="O18" s="3017">
        <f t="shared" si="6"/>
        <v>5.3</v>
      </c>
      <c r="P18" s="3017">
        <f t="shared" si="6"/>
        <v>5.86</v>
      </c>
      <c r="Q18" s="26">
        <f>D12*E102</f>
        <v>91.890115199999997</v>
      </c>
    </row>
    <row r="19" spans="1:19" ht="38.25" x14ac:dyDescent="0.3">
      <c r="A19" s="2521"/>
      <c r="B19" s="2585" t="str">
        <f>'Вхідні дані'!$B$33</f>
        <v>Тариф для розрахунку плати за перетікання реактивної електроенергії, без ПДВ</v>
      </c>
      <c r="C19" s="3016" t="s">
        <v>761</v>
      </c>
      <c r="D19" s="3018">
        <f>(0.0445156+0.09997)/2</f>
        <v>7.2239999999999999E-2</v>
      </c>
      <c r="E19" s="3018">
        <f>D19</f>
        <v>7.2239999999999999E-2</v>
      </c>
      <c r="F19" s="3018">
        <f t="shared" ref="F19:P19" si="7">E19</f>
        <v>7.2239999999999999E-2</v>
      </c>
      <c r="G19" s="3018">
        <f t="shared" si="7"/>
        <v>7.2239999999999999E-2</v>
      </c>
      <c r="H19" s="3018">
        <f t="shared" si="7"/>
        <v>7.2239999999999999E-2</v>
      </c>
      <c r="I19" s="3018">
        <f t="shared" si="7"/>
        <v>7.2239999999999999E-2</v>
      </c>
      <c r="J19" s="3018">
        <f t="shared" si="7"/>
        <v>7.2239999999999999E-2</v>
      </c>
      <c r="K19" s="3018">
        <f t="shared" si="7"/>
        <v>7.2239999999999999E-2</v>
      </c>
      <c r="L19" s="3018">
        <f t="shared" si="7"/>
        <v>7.2239999999999999E-2</v>
      </c>
      <c r="M19" s="3018">
        <f t="shared" si="7"/>
        <v>7.2239999999999999E-2</v>
      </c>
      <c r="N19" s="3018">
        <f t="shared" si="7"/>
        <v>7.2239999999999999E-2</v>
      </c>
      <c r="O19" s="3018">
        <f t="shared" si="7"/>
        <v>7.2239999999999999E-2</v>
      </c>
      <c r="P19" s="3018">
        <f t="shared" si="7"/>
        <v>7.2239999999999999E-2</v>
      </c>
      <c r="Q19" s="155" t="s">
        <v>643</v>
      </c>
    </row>
    <row r="20" spans="1:19" ht="25.5" x14ac:dyDescent="0.3">
      <c r="A20" s="2521"/>
      <c r="B20" s="2585" t="s">
        <v>780</v>
      </c>
      <c r="C20" s="2582" t="s">
        <v>40</v>
      </c>
      <c r="D20" s="3019">
        <f>D18*D19</f>
        <v>6.6379999999999999</v>
      </c>
      <c r="E20" s="3014">
        <f t="shared" ref="E20:P20" si="8">E18*E19</f>
        <v>0.71</v>
      </c>
      <c r="F20" s="3014">
        <f t="shared" si="8"/>
        <v>0.69</v>
      </c>
      <c r="G20" s="3014">
        <f t="shared" si="8"/>
        <v>0.7</v>
      </c>
      <c r="H20" s="3014">
        <f t="shared" si="8"/>
        <v>0.99</v>
      </c>
      <c r="I20" s="3014">
        <f t="shared" si="8"/>
        <v>0.86</v>
      </c>
      <c r="J20" s="3014">
        <f t="shared" si="8"/>
        <v>0.41</v>
      </c>
      <c r="K20" s="3014">
        <f t="shared" si="8"/>
        <v>0.28000000000000003</v>
      </c>
      <c r="L20" s="3014">
        <f t="shared" si="8"/>
        <v>0.45</v>
      </c>
      <c r="M20" s="3014">
        <f t="shared" si="8"/>
        <v>0.37</v>
      </c>
      <c r="N20" s="3014">
        <f t="shared" si="8"/>
        <v>0.36</v>
      </c>
      <c r="O20" s="3014">
        <f t="shared" si="8"/>
        <v>0.38</v>
      </c>
      <c r="P20" s="3014">
        <f t="shared" si="8"/>
        <v>0.42</v>
      </c>
      <c r="Q20" s="26">
        <v>21.511892959166701</v>
      </c>
    </row>
    <row r="21" spans="1:19" ht="25.5" x14ac:dyDescent="0.3">
      <c r="A21" s="2521"/>
      <c r="B21" s="2585" t="s">
        <v>779</v>
      </c>
      <c r="C21" s="3016" t="s">
        <v>144</v>
      </c>
      <c r="D21" s="3017">
        <v>0</v>
      </c>
      <c r="E21" s="3017">
        <v>0</v>
      </c>
      <c r="F21" s="3017">
        <v>0</v>
      </c>
      <c r="G21" s="3017">
        <v>0</v>
      </c>
      <c r="H21" s="3017">
        <v>0</v>
      </c>
      <c r="I21" s="3017">
        <v>0</v>
      </c>
      <c r="J21" s="3017">
        <v>0</v>
      </c>
      <c r="K21" s="3017">
        <v>0</v>
      </c>
      <c r="L21" s="3017">
        <v>0</v>
      </c>
      <c r="M21" s="3017">
        <v>0</v>
      </c>
      <c r="N21" s="3017">
        <v>0</v>
      </c>
      <c r="O21" s="3017">
        <v>0</v>
      </c>
      <c r="P21" s="3017">
        <v>0</v>
      </c>
      <c r="Q21" s="155" t="s">
        <v>643</v>
      </c>
    </row>
    <row r="22" spans="1:19" ht="38.25" x14ac:dyDescent="0.3">
      <c r="A22" s="2521"/>
      <c r="B22" s="2585" t="str">
        <f>'Вхідні дані'!$B$35</f>
        <v>Тариф для розрахунку плати за генерацію реактивної електроенергії, без ПДВ</v>
      </c>
      <c r="C22" s="3016" t="s">
        <v>761</v>
      </c>
      <c r="D22" s="3018">
        <f>'Вхідні дані'!$D$35</f>
        <v>0</v>
      </c>
      <c r="E22" s="3018">
        <f>D22</f>
        <v>0</v>
      </c>
      <c r="F22" s="3018">
        <f t="shared" ref="F22:P22" si="9">E22</f>
        <v>0</v>
      </c>
      <c r="G22" s="3018">
        <f t="shared" si="9"/>
        <v>0</v>
      </c>
      <c r="H22" s="3018">
        <f t="shared" si="9"/>
        <v>0</v>
      </c>
      <c r="I22" s="3018">
        <f t="shared" si="9"/>
        <v>0</v>
      </c>
      <c r="J22" s="3018">
        <f t="shared" si="9"/>
        <v>0</v>
      </c>
      <c r="K22" s="3018">
        <f t="shared" si="9"/>
        <v>0</v>
      </c>
      <c r="L22" s="3018">
        <f t="shared" si="9"/>
        <v>0</v>
      </c>
      <c r="M22" s="3018">
        <f t="shared" si="9"/>
        <v>0</v>
      </c>
      <c r="N22" s="3018">
        <f t="shared" si="9"/>
        <v>0</v>
      </c>
      <c r="O22" s="3018">
        <f t="shared" si="9"/>
        <v>0</v>
      </c>
      <c r="P22" s="3018">
        <f t="shared" si="9"/>
        <v>0</v>
      </c>
      <c r="Q22" s="155" t="s">
        <v>643</v>
      </c>
    </row>
    <row r="23" spans="1:19" ht="25.5" x14ac:dyDescent="0.3">
      <c r="A23" s="2521"/>
      <c r="B23" s="2585" t="s">
        <v>781</v>
      </c>
      <c r="C23" s="2582" t="s">
        <v>40</v>
      </c>
      <c r="D23" s="3014">
        <f t="shared" ref="D23:P23" si="10">D21*D22</f>
        <v>0</v>
      </c>
      <c r="E23" s="3014">
        <f t="shared" si="10"/>
        <v>0</v>
      </c>
      <c r="F23" s="3014">
        <f t="shared" si="10"/>
        <v>0</v>
      </c>
      <c r="G23" s="3014">
        <f t="shared" si="10"/>
        <v>0</v>
      </c>
      <c r="H23" s="3014">
        <f t="shared" si="10"/>
        <v>0</v>
      </c>
      <c r="I23" s="3014">
        <f t="shared" si="10"/>
        <v>0</v>
      </c>
      <c r="J23" s="3014">
        <f t="shared" si="10"/>
        <v>0</v>
      </c>
      <c r="K23" s="3014">
        <f t="shared" si="10"/>
        <v>0</v>
      </c>
      <c r="L23" s="3014">
        <f t="shared" si="10"/>
        <v>0</v>
      </c>
      <c r="M23" s="3014">
        <f t="shared" si="10"/>
        <v>0</v>
      </c>
      <c r="N23" s="3014">
        <f t="shared" si="10"/>
        <v>0</v>
      </c>
      <c r="O23" s="3014">
        <f t="shared" si="10"/>
        <v>0</v>
      </c>
      <c r="P23" s="3014">
        <f t="shared" si="10"/>
        <v>0</v>
      </c>
      <c r="Q23" s="155" t="s">
        <v>643</v>
      </c>
    </row>
    <row r="24" spans="1:19" ht="25.5" x14ac:dyDescent="0.3">
      <c r="A24" s="2521"/>
      <c r="B24" s="2585" t="s">
        <v>839</v>
      </c>
      <c r="C24" s="2582" t="s">
        <v>40</v>
      </c>
      <c r="D24" s="3015">
        <f>D23+D20</f>
        <v>6.64</v>
      </c>
      <c r="E24" s="3015">
        <f t="shared" ref="E24:P24" si="11">E23+E20</f>
        <v>0.71</v>
      </c>
      <c r="F24" s="3015">
        <f t="shared" si="11"/>
        <v>0.69</v>
      </c>
      <c r="G24" s="3015">
        <f t="shared" si="11"/>
        <v>0.7</v>
      </c>
      <c r="H24" s="3015">
        <f t="shared" si="11"/>
        <v>0.99</v>
      </c>
      <c r="I24" s="3015">
        <f t="shared" si="11"/>
        <v>0.86</v>
      </c>
      <c r="J24" s="3015">
        <f t="shared" si="11"/>
        <v>0.41</v>
      </c>
      <c r="K24" s="3015">
        <f t="shared" si="11"/>
        <v>0.28000000000000003</v>
      </c>
      <c r="L24" s="3015">
        <f t="shared" si="11"/>
        <v>0.45</v>
      </c>
      <c r="M24" s="3015">
        <f t="shared" si="11"/>
        <v>0.37</v>
      </c>
      <c r="N24" s="3015">
        <f t="shared" si="11"/>
        <v>0.36</v>
      </c>
      <c r="O24" s="3015">
        <f t="shared" si="11"/>
        <v>0.38</v>
      </c>
      <c r="P24" s="3015">
        <f t="shared" si="11"/>
        <v>0.42</v>
      </c>
      <c r="Q24" s="155">
        <v>29.828108736250002</v>
      </c>
      <c r="R24" s="1567">
        <f>Q24-D24</f>
        <v>23.19</v>
      </c>
    </row>
    <row r="25" spans="1:19" ht="38.25" x14ac:dyDescent="0.3">
      <c r="A25" s="2521"/>
      <c r="B25" s="2585" t="s">
        <v>187</v>
      </c>
      <c r="C25" s="2582" t="s">
        <v>40</v>
      </c>
      <c r="D25" s="3020">
        <f>D17+D24</f>
        <v>466.11</v>
      </c>
      <c r="E25" s="3020">
        <f t="shared" ref="E25:P25" si="12">E17+E24</f>
        <v>50.15</v>
      </c>
      <c r="F25" s="3020">
        <f t="shared" si="12"/>
        <v>48.52</v>
      </c>
      <c r="G25" s="3020">
        <f t="shared" si="12"/>
        <v>49.24</v>
      </c>
      <c r="H25" s="3020">
        <f t="shared" si="12"/>
        <v>69.349999999999994</v>
      </c>
      <c r="I25" s="3020">
        <f t="shared" si="12"/>
        <v>60.64</v>
      </c>
      <c r="J25" s="3020">
        <f t="shared" si="12"/>
        <v>28.7</v>
      </c>
      <c r="K25" s="3020">
        <f t="shared" si="12"/>
        <v>19.940000000000001</v>
      </c>
      <c r="L25" s="3020">
        <f t="shared" si="12"/>
        <v>31.45</v>
      </c>
      <c r="M25" s="3020">
        <f t="shared" si="12"/>
        <v>26.34</v>
      </c>
      <c r="N25" s="3020">
        <f t="shared" si="12"/>
        <v>25.16</v>
      </c>
      <c r="O25" s="3020">
        <f t="shared" si="12"/>
        <v>26.89</v>
      </c>
      <c r="P25" s="3020">
        <f t="shared" si="12"/>
        <v>29.71</v>
      </c>
      <c r="Q25" s="1343">
        <v>3303.63</v>
      </c>
      <c r="R25" s="1567">
        <f>Q25-D25</f>
        <v>2837.52</v>
      </c>
    </row>
    <row r="26" spans="1:19" ht="15" customHeight="1" x14ac:dyDescent="0.3">
      <c r="A26" s="2521"/>
      <c r="B26" s="3857" t="s">
        <v>188</v>
      </c>
      <c r="C26" s="3858"/>
      <c r="D26" s="3858"/>
      <c r="E26" s="3858"/>
      <c r="F26" s="3858"/>
      <c r="G26" s="3858"/>
      <c r="H26" s="3858"/>
      <c r="I26" s="3858"/>
      <c r="J26" s="3858"/>
      <c r="K26" s="3858"/>
      <c r="L26" s="3858"/>
      <c r="M26" s="3858"/>
      <c r="N26" s="3858"/>
      <c r="O26" s="3858"/>
      <c r="P26" s="3859"/>
    </row>
    <row r="27" spans="1:19" ht="38.25" x14ac:dyDescent="0.3">
      <c r="A27" s="2521"/>
      <c r="B27" s="2585" t="s">
        <v>2705</v>
      </c>
      <c r="C27" s="3021" t="s">
        <v>189</v>
      </c>
      <c r="D27" s="3017">
        <f t="shared" ref="D27:P27" si="13">D28+D29</f>
        <v>9459.3799999999992</v>
      </c>
      <c r="E27" s="3022">
        <f t="shared" si="13"/>
        <v>287.68</v>
      </c>
      <c r="F27" s="3023">
        <f t="shared" si="13"/>
        <v>1207.48</v>
      </c>
      <c r="G27" s="3023">
        <f t="shared" si="13"/>
        <v>1508.8</v>
      </c>
      <c r="H27" s="3023">
        <f t="shared" si="13"/>
        <v>1768.16</v>
      </c>
      <c r="I27" s="3023">
        <f t="shared" si="13"/>
        <v>1482.96</v>
      </c>
      <c r="J27" s="3023">
        <f t="shared" si="13"/>
        <v>1458.26</v>
      </c>
      <c r="K27" s="3023">
        <f t="shared" si="13"/>
        <v>326.2</v>
      </c>
      <c r="L27" s="3023">
        <f t="shared" si="13"/>
        <v>287.68</v>
      </c>
      <c r="M27" s="3023">
        <f t="shared" si="13"/>
        <v>278.39999999999998</v>
      </c>
      <c r="N27" s="3023">
        <f t="shared" si="13"/>
        <v>287.68</v>
      </c>
      <c r="O27" s="3023">
        <f t="shared" si="13"/>
        <v>287.68</v>
      </c>
      <c r="P27" s="3023">
        <f t="shared" si="13"/>
        <v>278.39999999999998</v>
      </c>
      <c r="S27" s="1574"/>
    </row>
    <row r="28" spans="1:19" x14ac:dyDescent="0.3">
      <c r="A28" s="2521"/>
      <c r="B28" s="3024" t="s">
        <v>631</v>
      </c>
      <c r="C28" s="3021" t="s">
        <v>189</v>
      </c>
      <c r="D28" s="3017">
        <f>'Д 7_РП'!G77+'Д 7_РП'!G85+'Д 7_РП'!G89+'Д 7_РП'!G93</f>
        <v>1198.73</v>
      </c>
      <c r="E28" s="3017">
        <f>'Д 7_РП'!H77+'Д 7_РП'!H85+'Д 7_РП'!H89+'Д 7_РП'!H93</f>
        <v>52.73</v>
      </c>
      <c r="F28" s="3017">
        <f>'Д 7_РП'!I77+'Д 7_РП'!I85+'Д 7_РП'!I89+'Д 7_РП'!I93</f>
        <v>139.44999999999999</v>
      </c>
      <c r="G28" s="3017">
        <f>'Д 7_РП'!J77+'Д 7_РП'!J85+'Д 7_РП'!J89+'Д 7_РП'!J93</f>
        <v>168.94</v>
      </c>
      <c r="H28" s="3017">
        <f>'Д 7_РП'!K77+'Д 7_РП'!K85+'Д 7_РП'!K89+'Д 7_РП'!K93</f>
        <v>193.62</v>
      </c>
      <c r="I28" s="3017">
        <f>'Д 7_РП'!L77+'Д 7_РП'!L85+'Д 7_РП'!L89+'Д 7_РП'!L93</f>
        <v>164.03</v>
      </c>
      <c r="J28" s="3017">
        <f>'Д 7_РП'!M77+'Д 7_РП'!M85+'Д 7_РП'!M89+'Д 7_РП'!M93</f>
        <v>164.13</v>
      </c>
      <c r="K28" s="3017">
        <f>'Д 7_РП'!N77+'Д 7_РП'!N85+'Д 7_РП'!N89+'Д 7_РП'!N93</f>
        <v>55.58</v>
      </c>
      <c r="L28" s="3017">
        <f>'Д 7_РП'!O77+'Д 7_РП'!O85+'Д 7_РП'!O89+'Д 7_РП'!O93</f>
        <v>52.73</v>
      </c>
      <c r="M28" s="3017">
        <f>'Д 7_РП'!P77+'Д 7_РП'!P85+'Д 7_РП'!P89+'Д 7_РП'!P93</f>
        <v>51.03</v>
      </c>
      <c r="N28" s="3017">
        <f>'Д 7_РП'!Q77+'Д 7_РП'!Q85+'Д 7_РП'!Q89+'Д 7_РП'!Q93</f>
        <v>52.73</v>
      </c>
      <c r="O28" s="3017">
        <f>'Д 7_РП'!R77+'Д 7_РП'!R85+'Д 7_РП'!R89+'Д 7_РП'!R93</f>
        <v>52.73</v>
      </c>
      <c r="P28" s="3017">
        <f>'Д 7_РП'!S77+'Д 7_РП'!S85+'Д 7_РП'!S89+'Д 7_РП'!S93</f>
        <v>51.03</v>
      </c>
      <c r="Q28" s="155" t="s">
        <v>832</v>
      </c>
      <c r="S28" s="1574"/>
    </row>
    <row r="29" spans="1:19" x14ac:dyDescent="0.3">
      <c r="A29" s="2521"/>
      <c r="B29" s="3024" t="s">
        <v>630</v>
      </c>
      <c r="C29" s="3021" t="s">
        <v>189</v>
      </c>
      <c r="D29" s="3017">
        <f>'Д 7_РП'!G80+'Д 7_РП'!G86+'Д 7_РП'!G90+'Д 7_РП'!G94</f>
        <v>8260.65</v>
      </c>
      <c r="E29" s="3017">
        <f>'Д 7_РП'!H80+'Д 7_РП'!H86+'Д 7_РП'!H90+'Д 7_РП'!H94</f>
        <v>234.95</v>
      </c>
      <c r="F29" s="3017">
        <f>'Д 7_РП'!I80+'Д 7_РП'!I86+'Д 7_РП'!I90+'Д 7_РП'!I94</f>
        <v>1068.03</v>
      </c>
      <c r="G29" s="3017">
        <f>'Д 7_РП'!J80+'Д 7_РП'!J86+'Д 7_РП'!J90+'Д 7_РП'!J94</f>
        <v>1339.86</v>
      </c>
      <c r="H29" s="3017">
        <f>'Д 7_РП'!K80+'Д 7_РП'!K86+'Д 7_РП'!K90+'Д 7_РП'!K94</f>
        <v>1574.54</v>
      </c>
      <c r="I29" s="3017">
        <f>'Д 7_РП'!L80+'Д 7_РП'!L86+'Д 7_РП'!L90+'Д 7_РП'!L94</f>
        <v>1318.93</v>
      </c>
      <c r="J29" s="3017">
        <f>'Д 7_РП'!M80+'Д 7_РП'!M86+'Д 7_РП'!M90+'Д 7_РП'!M94</f>
        <v>1294.1300000000001</v>
      </c>
      <c r="K29" s="3017">
        <f>'Д 7_РП'!N80+'Д 7_РП'!N86+'Д 7_РП'!N90+'Д 7_РП'!N94</f>
        <v>270.62</v>
      </c>
      <c r="L29" s="3017">
        <f>'Д 7_РП'!O80+'Д 7_РП'!O86+'Д 7_РП'!O90+'Д 7_РП'!O94</f>
        <v>234.95</v>
      </c>
      <c r="M29" s="3017">
        <f>'Д 7_РП'!P80+'Д 7_РП'!P86+'Д 7_РП'!P90+'Д 7_РП'!P94</f>
        <v>227.37</v>
      </c>
      <c r="N29" s="3017">
        <f>'Д 7_РП'!Q80+'Д 7_РП'!Q86+'Д 7_РП'!Q90+'Д 7_РП'!Q94</f>
        <v>234.95</v>
      </c>
      <c r="O29" s="3017">
        <f>'Д 7_РП'!R80+'Д 7_РП'!R86+'Д 7_РП'!R90+'Д 7_РП'!R94</f>
        <v>234.95</v>
      </c>
      <c r="P29" s="3017">
        <f>'Д 7_РП'!S80+'Д 7_РП'!S86+'Д 7_РП'!S90+'Д 7_РП'!S94</f>
        <v>227.37</v>
      </c>
      <c r="Q29" s="155" t="s">
        <v>832</v>
      </c>
      <c r="S29" s="1574"/>
    </row>
    <row r="30" spans="1:19" ht="38.25" x14ac:dyDescent="0.3">
      <c r="A30" s="2521"/>
      <c r="B30" s="2585" t="s">
        <v>784</v>
      </c>
      <c r="C30" s="2582" t="s">
        <v>190</v>
      </c>
      <c r="D30" s="3025">
        <f>D33/D27*1000</f>
        <v>64.3</v>
      </c>
      <c r="E30" s="3025">
        <f t="shared" ref="E30:P30" si="14">E33/E27*1000</f>
        <v>118.5</v>
      </c>
      <c r="F30" s="3025">
        <f t="shared" si="14"/>
        <v>52.46</v>
      </c>
      <c r="G30" s="3025">
        <f t="shared" si="14"/>
        <v>55.96</v>
      </c>
      <c r="H30" s="3025">
        <f t="shared" si="14"/>
        <v>50.61</v>
      </c>
      <c r="I30" s="3025">
        <f t="shared" si="14"/>
        <v>55.22</v>
      </c>
      <c r="J30" s="3025">
        <f t="shared" si="14"/>
        <v>39.700000000000003</v>
      </c>
      <c r="K30" s="3025">
        <f t="shared" si="14"/>
        <v>127.59</v>
      </c>
      <c r="L30" s="3025">
        <f t="shared" si="14"/>
        <v>125.45</v>
      </c>
      <c r="M30" s="3025">
        <f t="shared" si="14"/>
        <v>119.11</v>
      </c>
      <c r="N30" s="3025">
        <f t="shared" si="14"/>
        <v>127.68</v>
      </c>
      <c r="O30" s="3025">
        <f t="shared" si="14"/>
        <v>107.97</v>
      </c>
      <c r="P30" s="3025">
        <f t="shared" si="14"/>
        <v>66.239999999999995</v>
      </c>
      <c r="Q30" s="26" t="s">
        <v>643</v>
      </c>
    </row>
    <row r="31" spans="1:19" x14ac:dyDescent="0.3">
      <c r="A31" s="2521"/>
      <c r="B31" s="3024" t="s">
        <v>631</v>
      </c>
      <c r="C31" s="2582" t="s">
        <v>190</v>
      </c>
      <c r="D31" s="3025">
        <f t="shared" ref="D31:P32" si="15">D34/D28*1000</f>
        <v>74.849999999999994</v>
      </c>
      <c r="E31" s="3025">
        <f t="shared" si="15"/>
        <v>118.34</v>
      </c>
      <c r="F31" s="3025">
        <f t="shared" si="15"/>
        <v>60.6</v>
      </c>
      <c r="G31" s="3025">
        <f t="shared" si="15"/>
        <v>80.319999999999993</v>
      </c>
      <c r="H31" s="3025">
        <f t="shared" si="15"/>
        <v>62.6</v>
      </c>
      <c r="I31" s="3025">
        <f t="shared" si="15"/>
        <v>67.37</v>
      </c>
      <c r="J31" s="3025">
        <f t="shared" si="15"/>
        <v>58.12</v>
      </c>
      <c r="K31" s="3025">
        <f t="shared" si="15"/>
        <v>128.46</v>
      </c>
      <c r="L31" s="3025">
        <f t="shared" si="15"/>
        <v>84.77</v>
      </c>
      <c r="M31" s="3025">
        <f t="shared" si="15"/>
        <v>84.07</v>
      </c>
      <c r="N31" s="3025">
        <f t="shared" si="15"/>
        <v>126.49</v>
      </c>
      <c r="O31" s="3025">
        <f t="shared" si="15"/>
        <v>69.22</v>
      </c>
      <c r="P31" s="3025">
        <f t="shared" si="15"/>
        <v>49.77</v>
      </c>
      <c r="Q31" s="155" t="s">
        <v>832</v>
      </c>
    </row>
    <row r="32" spans="1:19" x14ac:dyDescent="0.3">
      <c r="A32" s="2521"/>
      <c r="B32" s="3024" t="s">
        <v>630</v>
      </c>
      <c r="C32" s="2582" t="s">
        <v>190</v>
      </c>
      <c r="D32" s="3025">
        <f t="shared" si="15"/>
        <v>62.77</v>
      </c>
      <c r="E32" s="3025">
        <f t="shared" si="15"/>
        <v>118.54</v>
      </c>
      <c r="F32" s="3025">
        <f t="shared" si="15"/>
        <v>51.39</v>
      </c>
      <c r="G32" s="3025">
        <f t="shared" si="15"/>
        <v>52.89</v>
      </c>
      <c r="H32" s="3025">
        <f t="shared" si="15"/>
        <v>49.14</v>
      </c>
      <c r="I32" s="3025">
        <f t="shared" si="15"/>
        <v>53.71</v>
      </c>
      <c r="J32" s="3025">
        <f t="shared" si="15"/>
        <v>37.369999999999997</v>
      </c>
      <c r="K32" s="3025">
        <f t="shared" si="15"/>
        <v>127.41</v>
      </c>
      <c r="L32" s="3025">
        <f t="shared" si="15"/>
        <v>134.58000000000001</v>
      </c>
      <c r="M32" s="3025">
        <f t="shared" si="15"/>
        <v>126.97</v>
      </c>
      <c r="N32" s="3025">
        <f t="shared" si="15"/>
        <v>127.94</v>
      </c>
      <c r="O32" s="3025">
        <f t="shared" si="15"/>
        <v>116.66</v>
      </c>
      <c r="P32" s="3025">
        <f t="shared" si="15"/>
        <v>69.930000000000007</v>
      </c>
      <c r="Q32" s="155" t="s">
        <v>832</v>
      </c>
    </row>
    <row r="33" spans="1:22" ht="25.5" x14ac:dyDescent="0.3">
      <c r="A33" s="2521"/>
      <c r="B33" s="2585" t="s">
        <v>783</v>
      </c>
      <c r="C33" s="2582" t="s">
        <v>192</v>
      </c>
      <c r="D33" s="3023">
        <f>D34+D35</f>
        <v>608.24</v>
      </c>
      <c r="E33" s="3023">
        <f t="shared" ref="E33:P33" si="16">E34+E35</f>
        <v>34.090000000000003</v>
      </c>
      <c r="F33" s="3023">
        <f t="shared" si="16"/>
        <v>63.34</v>
      </c>
      <c r="G33" s="3023">
        <f t="shared" si="16"/>
        <v>84.43</v>
      </c>
      <c r="H33" s="3023">
        <f t="shared" si="16"/>
        <v>89.49</v>
      </c>
      <c r="I33" s="3023">
        <f t="shared" si="16"/>
        <v>81.89</v>
      </c>
      <c r="J33" s="3023">
        <f t="shared" si="16"/>
        <v>57.9</v>
      </c>
      <c r="K33" s="3023">
        <f t="shared" si="16"/>
        <v>41.62</v>
      </c>
      <c r="L33" s="3023">
        <f t="shared" si="16"/>
        <v>36.090000000000003</v>
      </c>
      <c r="M33" s="3023">
        <f t="shared" si="16"/>
        <v>33.159999999999997</v>
      </c>
      <c r="N33" s="3023">
        <f t="shared" si="16"/>
        <v>36.729999999999997</v>
      </c>
      <c r="O33" s="3023">
        <f t="shared" si="16"/>
        <v>31.06</v>
      </c>
      <c r="P33" s="3023">
        <f t="shared" si="16"/>
        <v>18.440000000000001</v>
      </c>
      <c r="S33" s="1343">
        <f>R33-D33</f>
        <v>-608.24</v>
      </c>
    </row>
    <row r="34" spans="1:22" x14ac:dyDescent="0.3">
      <c r="A34" s="2521"/>
      <c r="B34" s="3024" t="s">
        <v>631</v>
      </c>
      <c r="C34" s="2582" t="s">
        <v>192</v>
      </c>
      <c r="D34" s="3023">
        <f>SUM(E34:P34)</f>
        <v>89.73</v>
      </c>
      <c r="E34" s="3023">
        <f t="shared" ref="E34:P34" si="17">E134/1000</f>
        <v>6.24</v>
      </c>
      <c r="F34" s="3023">
        <f t="shared" si="17"/>
        <v>8.4499999999999993</v>
      </c>
      <c r="G34" s="3023">
        <f t="shared" si="17"/>
        <v>13.57</v>
      </c>
      <c r="H34" s="3023">
        <f t="shared" si="17"/>
        <v>12.12</v>
      </c>
      <c r="I34" s="3023">
        <f t="shared" si="17"/>
        <v>11.05</v>
      </c>
      <c r="J34" s="3023">
        <f t="shared" si="17"/>
        <v>9.5399999999999991</v>
      </c>
      <c r="K34" s="3023">
        <f t="shared" si="17"/>
        <v>7.14</v>
      </c>
      <c r="L34" s="3023">
        <f t="shared" si="17"/>
        <v>4.47</v>
      </c>
      <c r="M34" s="3023">
        <f t="shared" si="17"/>
        <v>4.29</v>
      </c>
      <c r="N34" s="3023">
        <f t="shared" si="17"/>
        <v>6.67</v>
      </c>
      <c r="O34" s="3023">
        <f t="shared" si="17"/>
        <v>3.65</v>
      </c>
      <c r="P34" s="3023">
        <f t="shared" si="17"/>
        <v>2.54</v>
      </c>
      <c r="Q34" s="155" t="s">
        <v>832</v>
      </c>
      <c r="S34" s="1575">
        <f>R34-D34</f>
        <v>-89.73</v>
      </c>
    </row>
    <row r="35" spans="1:22" x14ac:dyDescent="0.3">
      <c r="A35" s="2521"/>
      <c r="B35" s="3024" t="s">
        <v>630</v>
      </c>
      <c r="C35" s="2582" t="s">
        <v>192</v>
      </c>
      <c r="D35" s="3023">
        <f>SUM(E35:P35)</f>
        <v>518.51</v>
      </c>
      <c r="E35" s="3023">
        <f>E135/1000</f>
        <v>27.85</v>
      </c>
      <c r="F35" s="3023">
        <f t="shared" ref="F35:P35" si="18">F135/1000</f>
        <v>54.89</v>
      </c>
      <c r="G35" s="3023">
        <f t="shared" si="18"/>
        <v>70.86</v>
      </c>
      <c r="H35" s="3023">
        <f t="shared" si="18"/>
        <v>77.37</v>
      </c>
      <c r="I35" s="3023">
        <f t="shared" si="18"/>
        <v>70.84</v>
      </c>
      <c r="J35" s="3023">
        <f t="shared" si="18"/>
        <v>48.36</v>
      </c>
      <c r="K35" s="3023">
        <f t="shared" si="18"/>
        <v>34.479999999999997</v>
      </c>
      <c r="L35" s="3023">
        <f t="shared" si="18"/>
        <v>31.62</v>
      </c>
      <c r="M35" s="3023">
        <f t="shared" si="18"/>
        <v>28.87</v>
      </c>
      <c r="N35" s="3023">
        <f t="shared" si="18"/>
        <v>30.06</v>
      </c>
      <c r="O35" s="3023">
        <f t="shared" si="18"/>
        <v>27.41</v>
      </c>
      <c r="P35" s="3023">
        <f t="shared" si="18"/>
        <v>15.9</v>
      </c>
      <c r="Q35" s="155" t="s">
        <v>832</v>
      </c>
      <c r="S35" s="1575">
        <f>R35-D35</f>
        <v>-518.51</v>
      </c>
    </row>
    <row r="36" spans="1:22" ht="25.5" x14ac:dyDescent="0.3">
      <c r="A36" s="2521"/>
      <c r="B36" s="3010" t="str">
        <f>'Вхідні дані'!$B$29</f>
        <v>Тариф на електричну енергію, без ПДВ</v>
      </c>
      <c r="C36" s="2582" t="s">
        <v>759</v>
      </c>
      <c r="D36" s="3011">
        <f>D13</f>
        <v>2.2023999999999999</v>
      </c>
      <c r="E36" s="3011">
        <f t="shared" ref="E36:P36" si="19">E13</f>
        <v>2.2023999999999999</v>
      </c>
      <c r="F36" s="3011">
        <f t="shared" si="19"/>
        <v>2.2023999999999999</v>
      </c>
      <c r="G36" s="3011">
        <f t="shared" si="19"/>
        <v>2.2023999999999999</v>
      </c>
      <c r="H36" s="3011">
        <f t="shared" si="19"/>
        <v>2.2023999999999999</v>
      </c>
      <c r="I36" s="3011">
        <f t="shared" si="19"/>
        <v>2.2023999999999999</v>
      </c>
      <c r="J36" s="3011">
        <f t="shared" si="19"/>
        <v>2.2023999999999999</v>
      </c>
      <c r="K36" s="3011">
        <f t="shared" si="19"/>
        <v>2.2023999999999999</v>
      </c>
      <c r="L36" s="3011">
        <f t="shared" si="19"/>
        <v>2.2023999999999999</v>
      </c>
      <c r="M36" s="3011">
        <f t="shared" si="19"/>
        <v>2.2023999999999999</v>
      </c>
      <c r="N36" s="3011">
        <f t="shared" si="19"/>
        <v>2.2023999999999999</v>
      </c>
      <c r="O36" s="3011">
        <f t="shared" si="19"/>
        <v>2.2023999999999999</v>
      </c>
      <c r="P36" s="3011">
        <f t="shared" si="19"/>
        <v>2.2023999999999999</v>
      </c>
      <c r="Q36" s="155" t="s">
        <v>643</v>
      </c>
    </row>
    <row r="37" spans="1:22" ht="25.5" x14ac:dyDescent="0.3">
      <c r="A37" s="2521"/>
      <c r="B37" s="3010" t="s">
        <v>802</v>
      </c>
      <c r="C37" s="2582" t="s">
        <v>40</v>
      </c>
      <c r="D37" s="3012">
        <f>D33*D36</f>
        <v>1339.59</v>
      </c>
      <c r="E37" s="3012">
        <f t="shared" ref="E37:P37" si="20">E33*E36</f>
        <v>75.08</v>
      </c>
      <c r="F37" s="3012">
        <f t="shared" si="20"/>
        <v>139.5</v>
      </c>
      <c r="G37" s="3012">
        <f t="shared" si="20"/>
        <v>185.95</v>
      </c>
      <c r="H37" s="3012">
        <f t="shared" si="20"/>
        <v>197.09</v>
      </c>
      <c r="I37" s="3012">
        <f t="shared" si="20"/>
        <v>180.35</v>
      </c>
      <c r="J37" s="3012">
        <f t="shared" si="20"/>
        <v>127.52</v>
      </c>
      <c r="K37" s="3012">
        <f t="shared" si="20"/>
        <v>91.66</v>
      </c>
      <c r="L37" s="3012">
        <f t="shared" si="20"/>
        <v>79.48</v>
      </c>
      <c r="M37" s="3012">
        <f t="shared" si="20"/>
        <v>73.03</v>
      </c>
      <c r="N37" s="3012">
        <f t="shared" si="20"/>
        <v>80.89</v>
      </c>
      <c r="O37" s="3012">
        <f t="shared" si="20"/>
        <v>68.41</v>
      </c>
      <c r="P37" s="3012">
        <f t="shared" si="20"/>
        <v>40.61</v>
      </c>
      <c r="Q37" s="155" t="s">
        <v>643</v>
      </c>
      <c r="R37" s="1566">
        <v>5037.10976603974</v>
      </c>
    </row>
    <row r="38" spans="1:22" x14ac:dyDescent="0.3">
      <c r="A38" s="2521"/>
      <c r="B38" s="3024" t="s">
        <v>631</v>
      </c>
      <c r="C38" s="2582" t="s">
        <v>40</v>
      </c>
      <c r="D38" s="3009">
        <f>D34*D36</f>
        <v>197.62</v>
      </c>
      <c r="E38" s="3009">
        <f t="shared" ref="E38:P38" si="21">E34*E36</f>
        <v>13.74</v>
      </c>
      <c r="F38" s="3009">
        <f t="shared" si="21"/>
        <v>18.61</v>
      </c>
      <c r="G38" s="3009">
        <f t="shared" si="21"/>
        <v>29.89</v>
      </c>
      <c r="H38" s="3009">
        <f t="shared" si="21"/>
        <v>26.69</v>
      </c>
      <c r="I38" s="3009">
        <f t="shared" si="21"/>
        <v>24.34</v>
      </c>
      <c r="J38" s="3009">
        <f t="shared" si="21"/>
        <v>21.01</v>
      </c>
      <c r="K38" s="3009">
        <f t="shared" si="21"/>
        <v>15.73</v>
      </c>
      <c r="L38" s="3009">
        <f t="shared" si="21"/>
        <v>9.84</v>
      </c>
      <c r="M38" s="3009">
        <f t="shared" si="21"/>
        <v>9.4499999999999993</v>
      </c>
      <c r="N38" s="3009">
        <f t="shared" si="21"/>
        <v>14.69</v>
      </c>
      <c r="O38" s="3009">
        <f t="shared" si="21"/>
        <v>8.0399999999999991</v>
      </c>
      <c r="P38" s="3009">
        <f t="shared" si="21"/>
        <v>5.59</v>
      </c>
      <c r="Q38" s="155" t="s">
        <v>832</v>
      </c>
    </row>
    <row r="39" spans="1:22" x14ac:dyDescent="0.3">
      <c r="A39" s="2521"/>
      <c r="B39" s="3024" t="s">
        <v>630</v>
      </c>
      <c r="C39" s="2582" t="s">
        <v>40</v>
      </c>
      <c r="D39" s="3009">
        <f>D35*D36</f>
        <v>1141.97</v>
      </c>
      <c r="E39" s="3009">
        <f t="shared" ref="E39:P39" si="22">E35*E36</f>
        <v>61.34</v>
      </c>
      <c r="F39" s="3009">
        <f t="shared" si="22"/>
        <v>120.89</v>
      </c>
      <c r="G39" s="3009">
        <f t="shared" si="22"/>
        <v>156.06</v>
      </c>
      <c r="H39" s="3009">
        <f t="shared" si="22"/>
        <v>170.4</v>
      </c>
      <c r="I39" s="3009">
        <f t="shared" si="22"/>
        <v>156.02000000000001</v>
      </c>
      <c r="J39" s="3009">
        <f t="shared" si="22"/>
        <v>106.51</v>
      </c>
      <c r="K39" s="3009">
        <f t="shared" si="22"/>
        <v>75.94</v>
      </c>
      <c r="L39" s="3009">
        <f t="shared" si="22"/>
        <v>69.64</v>
      </c>
      <c r="M39" s="3009">
        <f t="shared" si="22"/>
        <v>63.58</v>
      </c>
      <c r="N39" s="3009">
        <f t="shared" si="22"/>
        <v>66.2</v>
      </c>
      <c r="O39" s="3009">
        <f t="shared" si="22"/>
        <v>60.37</v>
      </c>
      <c r="P39" s="3009">
        <f t="shared" si="22"/>
        <v>35.020000000000003</v>
      </c>
      <c r="Q39" s="155" t="s">
        <v>832</v>
      </c>
    </row>
    <row r="40" spans="1:22" ht="38.25" x14ac:dyDescent="0.3">
      <c r="A40" s="2521"/>
      <c r="B40" s="3010" t="str">
        <f>'Вхідні дані'!$B$31</f>
        <v>Тариф на послуги з розподілу електричної енергії, 2 клас напруги, без ПДВ</v>
      </c>
      <c r="C40" s="2582" t="s">
        <v>759</v>
      </c>
      <c r="D40" s="3013">
        <f>'Вхідні дані'!$D$31</f>
        <v>1.02695</v>
      </c>
      <c r="E40" s="3013">
        <f>D40</f>
        <v>1.02695</v>
      </c>
      <c r="F40" s="3013">
        <f t="shared" ref="F40:P40" si="23">E40</f>
        <v>1.02695</v>
      </c>
      <c r="G40" s="3013">
        <f t="shared" si="23"/>
        <v>1.02695</v>
      </c>
      <c r="H40" s="3013">
        <f t="shared" si="23"/>
        <v>1.02695</v>
      </c>
      <c r="I40" s="3013">
        <f t="shared" si="23"/>
        <v>1.02695</v>
      </c>
      <c r="J40" s="3013">
        <f t="shared" si="23"/>
        <v>1.02695</v>
      </c>
      <c r="K40" s="3013">
        <f t="shared" si="23"/>
        <v>1.02695</v>
      </c>
      <c r="L40" s="3013">
        <f t="shared" si="23"/>
        <v>1.02695</v>
      </c>
      <c r="M40" s="3013">
        <f t="shared" si="23"/>
        <v>1.02695</v>
      </c>
      <c r="N40" s="3013">
        <f t="shared" si="23"/>
        <v>1.02695</v>
      </c>
      <c r="O40" s="3013">
        <f t="shared" si="23"/>
        <v>1.02695</v>
      </c>
      <c r="P40" s="3013">
        <f t="shared" si="23"/>
        <v>1.02695</v>
      </c>
      <c r="Q40" s="155" t="s">
        <v>643</v>
      </c>
    </row>
    <row r="41" spans="1:22" ht="25.5" x14ac:dyDescent="0.3">
      <c r="A41" s="2521"/>
      <c r="B41" s="3010" t="s">
        <v>803</v>
      </c>
      <c r="C41" s="2582" t="s">
        <v>40</v>
      </c>
      <c r="D41" s="3014">
        <f>D33*D40-X41</f>
        <v>624.63</v>
      </c>
      <c r="E41" s="3014">
        <f t="shared" ref="E41:P41" si="24">E33*E40</f>
        <v>35.01</v>
      </c>
      <c r="F41" s="3014">
        <f t="shared" si="24"/>
        <v>65.05</v>
      </c>
      <c r="G41" s="3014">
        <f t="shared" si="24"/>
        <v>86.71</v>
      </c>
      <c r="H41" s="3014">
        <f t="shared" si="24"/>
        <v>91.9</v>
      </c>
      <c r="I41" s="3014">
        <f t="shared" si="24"/>
        <v>84.1</v>
      </c>
      <c r="J41" s="3014">
        <f t="shared" si="24"/>
        <v>59.46</v>
      </c>
      <c r="K41" s="3014">
        <f t="shared" si="24"/>
        <v>42.74</v>
      </c>
      <c r="L41" s="3014">
        <f t="shared" si="24"/>
        <v>37.06</v>
      </c>
      <c r="M41" s="3014">
        <f t="shared" si="24"/>
        <v>34.049999999999997</v>
      </c>
      <c r="N41" s="3014">
        <f t="shared" si="24"/>
        <v>37.72</v>
      </c>
      <c r="O41" s="3014">
        <f t="shared" si="24"/>
        <v>31.9</v>
      </c>
      <c r="P41" s="3014">
        <f t="shared" si="24"/>
        <v>18.940000000000001</v>
      </c>
      <c r="Q41" s="155" t="s">
        <v>643</v>
      </c>
      <c r="V41" s="1343"/>
    </row>
    <row r="42" spans="1:22" x14ac:dyDescent="0.3">
      <c r="A42" s="2521"/>
      <c r="B42" s="3024" t="s">
        <v>631</v>
      </c>
      <c r="C42" s="2582" t="s">
        <v>40</v>
      </c>
      <c r="D42" s="3017">
        <f>D34*D40</f>
        <v>92.15</v>
      </c>
      <c r="E42" s="3017">
        <f t="shared" ref="E42:P42" si="25">E34*E40</f>
        <v>6.41</v>
      </c>
      <c r="F42" s="3017">
        <f t="shared" si="25"/>
        <v>8.68</v>
      </c>
      <c r="G42" s="3017">
        <f t="shared" si="25"/>
        <v>13.94</v>
      </c>
      <c r="H42" s="3017">
        <f t="shared" si="25"/>
        <v>12.45</v>
      </c>
      <c r="I42" s="3017">
        <f t="shared" si="25"/>
        <v>11.35</v>
      </c>
      <c r="J42" s="3017">
        <f t="shared" si="25"/>
        <v>9.8000000000000007</v>
      </c>
      <c r="K42" s="3017">
        <f t="shared" si="25"/>
        <v>7.33</v>
      </c>
      <c r="L42" s="3017">
        <f t="shared" si="25"/>
        <v>4.59</v>
      </c>
      <c r="M42" s="3017">
        <f t="shared" si="25"/>
        <v>4.41</v>
      </c>
      <c r="N42" s="3017">
        <f t="shared" si="25"/>
        <v>6.85</v>
      </c>
      <c r="O42" s="3017">
        <f t="shared" si="25"/>
        <v>3.75</v>
      </c>
      <c r="P42" s="3017">
        <f t="shared" si="25"/>
        <v>2.61</v>
      </c>
      <c r="Q42" s="155" t="s">
        <v>832</v>
      </c>
    </row>
    <row r="43" spans="1:22" x14ac:dyDescent="0.3">
      <c r="A43" s="2521"/>
      <c r="B43" s="3024" t="s">
        <v>630</v>
      </c>
      <c r="C43" s="2582" t="s">
        <v>40</v>
      </c>
      <c r="D43" s="3017">
        <f>D35*D40</f>
        <v>532.48</v>
      </c>
      <c r="E43" s="3017">
        <f t="shared" ref="E43:P43" si="26">E35*E40</f>
        <v>28.6</v>
      </c>
      <c r="F43" s="3017">
        <f t="shared" si="26"/>
        <v>56.37</v>
      </c>
      <c r="G43" s="3017">
        <f t="shared" si="26"/>
        <v>72.77</v>
      </c>
      <c r="H43" s="3017">
        <f t="shared" si="26"/>
        <v>79.459999999999994</v>
      </c>
      <c r="I43" s="3017">
        <f t="shared" si="26"/>
        <v>72.75</v>
      </c>
      <c r="J43" s="3017">
        <f t="shared" si="26"/>
        <v>49.66</v>
      </c>
      <c r="K43" s="3017">
        <f t="shared" si="26"/>
        <v>35.409999999999997</v>
      </c>
      <c r="L43" s="3017">
        <f t="shared" si="26"/>
        <v>32.47</v>
      </c>
      <c r="M43" s="3017">
        <f t="shared" si="26"/>
        <v>29.65</v>
      </c>
      <c r="N43" s="3017">
        <f t="shared" si="26"/>
        <v>30.87</v>
      </c>
      <c r="O43" s="3017">
        <f t="shared" si="26"/>
        <v>28.15</v>
      </c>
      <c r="P43" s="3017">
        <f t="shared" si="26"/>
        <v>16.329999999999998</v>
      </c>
      <c r="Q43" s="155" t="s">
        <v>832</v>
      </c>
    </row>
    <row r="44" spans="1:22" ht="25.5" x14ac:dyDescent="0.3">
      <c r="A44" s="2521"/>
      <c r="B44" s="2585" t="s">
        <v>833</v>
      </c>
      <c r="C44" s="2582" t="s">
        <v>40</v>
      </c>
      <c r="D44" s="3015">
        <f>D37+D41</f>
        <v>1964.22</v>
      </c>
      <c r="E44" s="3015">
        <f t="shared" ref="E44:P44" si="27">E37+E41</f>
        <v>110.09</v>
      </c>
      <c r="F44" s="3015">
        <f t="shared" si="27"/>
        <v>204.55</v>
      </c>
      <c r="G44" s="3015">
        <f t="shared" si="27"/>
        <v>272.66000000000003</v>
      </c>
      <c r="H44" s="3015">
        <f t="shared" si="27"/>
        <v>288.99</v>
      </c>
      <c r="I44" s="3015">
        <f t="shared" si="27"/>
        <v>264.45</v>
      </c>
      <c r="J44" s="3015">
        <f t="shared" si="27"/>
        <v>186.98</v>
      </c>
      <c r="K44" s="3015">
        <f t="shared" si="27"/>
        <v>134.4</v>
      </c>
      <c r="L44" s="3015">
        <f t="shared" si="27"/>
        <v>116.54</v>
      </c>
      <c r="M44" s="3015">
        <f t="shared" si="27"/>
        <v>107.08</v>
      </c>
      <c r="N44" s="3015">
        <f t="shared" si="27"/>
        <v>118.61</v>
      </c>
      <c r="O44" s="3015">
        <f t="shared" si="27"/>
        <v>100.31</v>
      </c>
      <c r="P44" s="3015">
        <f t="shared" si="27"/>
        <v>59.55</v>
      </c>
      <c r="Q44" s="155" t="s">
        <v>643</v>
      </c>
      <c r="R44" s="1566">
        <v>7319.8803239470999</v>
      </c>
      <c r="S44" s="1343">
        <f>D44-R44</f>
        <v>-5355.66</v>
      </c>
    </row>
    <row r="45" spans="1:22" x14ac:dyDescent="0.3">
      <c r="A45" s="2521"/>
      <c r="B45" s="3024" t="s">
        <v>631</v>
      </c>
      <c r="C45" s="2582" t="s">
        <v>40</v>
      </c>
      <c r="D45" s="3017">
        <f t="shared" ref="D45:P46" si="28">D38+D42</f>
        <v>289.77</v>
      </c>
      <c r="E45" s="3017">
        <f t="shared" si="28"/>
        <v>20.149999999999999</v>
      </c>
      <c r="F45" s="3017">
        <f t="shared" si="28"/>
        <v>27.29</v>
      </c>
      <c r="G45" s="3017">
        <f t="shared" si="28"/>
        <v>43.83</v>
      </c>
      <c r="H45" s="3017">
        <f t="shared" si="28"/>
        <v>39.14</v>
      </c>
      <c r="I45" s="3017">
        <f t="shared" si="28"/>
        <v>35.69</v>
      </c>
      <c r="J45" s="3017">
        <f t="shared" si="28"/>
        <v>30.81</v>
      </c>
      <c r="K45" s="3017">
        <f t="shared" si="28"/>
        <v>23.06</v>
      </c>
      <c r="L45" s="3017">
        <f t="shared" si="28"/>
        <v>14.43</v>
      </c>
      <c r="M45" s="3017">
        <f t="shared" si="28"/>
        <v>13.86</v>
      </c>
      <c r="N45" s="3017">
        <f t="shared" si="28"/>
        <v>21.54</v>
      </c>
      <c r="O45" s="3017">
        <f t="shared" si="28"/>
        <v>11.79</v>
      </c>
      <c r="P45" s="3017">
        <f t="shared" si="28"/>
        <v>8.1999999999999993</v>
      </c>
      <c r="Q45" s="155" t="s">
        <v>832</v>
      </c>
    </row>
    <row r="46" spans="1:22" x14ac:dyDescent="0.3">
      <c r="A46" s="2521"/>
      <c r="B46" s="3024" t="s">
        <v>630</v>
      </c>
      <c r="C46" s="2582" t="s">
        <v>40</v>
      </c>
      <c r="D46" s="3017">
        <f t="shared" si="28"/>
        <v>1674.45</v>
      </c>
      <c r="E46" s="3017">
        <f t="shared" si="28"/>
        <v>89.94</v>
      </c>
      <c r="F46" s="3017">
        <f t="shared" si="28"/>
        <v>177.26</v>
      </c>
      <c r="G46" s="3017">
        <f t="shared" si="28"/>
        <v>228.83</v>
      </c>
      <c r="H46" s="3017">
        <f t="shared" si="28"/>
        <v>249.86</v>
      </c>
      <c r="I46" s="3017">
        <f t="shared" si="28"/>
        <v>228.77</v>
      </c>
      <c r="J46" s="3017">
        <f t="shared" si="28"/>
        <v>156.16999999999999</v>
      </c>
      <c r="K46" s="3017">
        <f t="shared" si="28"/>
        <v>111.35</v>
      </c>
      <c r="L46" s="3017">
        <f t="shared" si="28"/>
        <v>102.11</v>
      </c>
      <c r="M46" s="3017">
        <f t="shared" si="28"/>
        <v>93.23</v>
      </c>
      <c r="N46" s="3017">
        <f t="shared" si="28"/>
        <v>97.07</v>
      </c>
      <c r="O46" s="3017">
        <f t="shared" si="28"/>
        <v>88.52</v>
      </c>
      <c r="P46" s="3017">
        <f t="shared" si="28"/>
        <v>51.35</v>
      </c>
      <c r="Q46" s="155" t="s">
        <v>832</v>
      </c>
    </row>
    <row r="47" spans="1:22" ht="25.5" x14ac:dyDescent="0.3">
      <c r="A47" s="2521"/>
      <c r="B47" s="2585" t="s">
        <v>835</v>
      </c>
      <c r="C47" s="3016" t="s">
        <v>144</v>
      </c>
      <c r="D47" s="3017">
        <f t="shared" ref="D47:F49" si="29">D33*$F$102</f>
        <v>31.66</v>
      </c>
      <c r="E47" s="3017">
        <f t="shared" si="29"/>
        <v>1.77</v>
      </c>
      <c r="F47" s="3017">
        <f t="shared" si="29"/>
        <v>3.3</v>
      </c>
      <c r="G47" s="3017">
        <f t="shared" ref="G47:P47" si="30">G33*$F$102</f>
        <v>4.4000000000000004</v>
      </c>
      <c r="H47" s="3017">
        <f t="shared" si="30"/>
        <v>4.66</v>
      </c>
      <c r="I47" s="3017">
        <f t="shared" si="30"/>
        <v>4.26</v>
      </c>
      <c r="J47" s="3017">
        <f t="shared" si="30"/>
        <v>3.01</v>
      </c>
      <c r="K47" s="3017">
        <f t="shared" si="30"/>
        <v>2.17</v>
      </c>
      <c r="L47" s="3017">
        <f t="shared" si="30"/>
        <v>1.88</v>
      </c>
      <c r="M47" s="3017">
        <f t="shared" si="30"/>
        <v>1.73</v>
      </c>
      <c r="N47" s="3017">
        <f t="shared" si="30"/>
        <v>1.91</v>
      </c>
      <c r="O47" s="3017">
        <f t="shared" si="30"/>
        <v>1.62</v>
      </c>
      <c r="P47" s="3017">
        <f t="shared" si="30"/>
        <v>0.96</v>
      </c>
      <c r="Q47" s="155" t="s">
        <v>643</v>
      </c>
    </row>
    <row r="48" spans="1:22" x14ac:dyDescent="0.3">
      <c r="A48" s="2521"/>
      <c r="B48" s="3024" t="s">
        <v>631</v>
      </c>
      <c r="C48" s="3016" t="s">
        <v>144</v>
      </c>
      <c r="D48" s="3017">
        <f t="shared" si="29"/>
        <v>4.67</v>
      </c>
      <c r="E48" s="3017">
        <f t="shared" si="29"/>
        <v>0.32</v>
      </c>
      <c r="F48" s="3017">
        <f t="shared" si="29"/>
        <v>0.44</v>
      </c>
      <c r="G48" s="3017">
        <f t="shared" ref="G48:P48" si="31">G34*$F$102</f>
        <v>0.71</v>
      </c>
      <c r="H48" s="3017">
        <f t="shared" si="31"/>
        <v>0.63</v>
      </c>
      <c r="I48" s="3017">
        <f t="shared" si="31"/>
        <v>0.57999999999999996</v>
      </c>
      <c r="J48" s="3017">
        <f t="shared" si="31"/>
        <v>0.5</v>
      </c>
      <c r="K48" s="3017">
        <f t="shared" si="31"/>
        <v>0.37</v>
      </c>
      <c r="L48" s="3017">
        <f t="shared" si="31"/>
        <v>0.23</v>
      </c>
      <c r="M48" s="3017">
        <f t="shared" si="31"/>
        <v>0.22</v>
      </c>
      <c r="N48" s="3017">
        <f t="shared" si="31"/>
        <v>0.35</v>
      </c>
      <c r="O48" s="3017">
        <f t="shared" si="31"/>
        <v>0.19</v>
      </c>
      <c r="P48" s="3017">
        <f t="shared" si="31"/>
        <v>0.13</v>
      </c>
      <c r="Q48" s="155" t="s">
        <v>832</v>
      </c>
    </row>
    <row r="49" spans="1:19" x14ac:dyDescent="0.3">
      <c r="A49" s="2521"/>
      <c r="B49" s="3024" t="s">
        <v>630</v>
      </c>
      <c r="C49" s="3016" t="s">
        <v>144</v>
      </c>
      <c r="D49" s="3017">
        <f t="shared" si="29"/>
        <v>26.99</v>
      </c>
      <c r="E49" s="3017">
        <f t="shared" si="29"/>
        <v>1.45</v>
      </c>
      <c r="F49" s="3017">
        <f t="shared" si="29"/>
        <v>2.86</v>
      </c>
      <c r="G49" s="3017">
        <f t="shared" ref="G49:P49" si="32">G35*$F$102</f>
        <v>3.69</v>
      </c>
      <c r="H49" s="3017">
        <f t="shared" si="32"/>
        <v>4.03</v>
      </c>
      <c r="I49" s="3017">
        <f t="shared" si="32"/>
        <v>3.69</v>
      </c>
      <c r="J49" s="3017">
        <f t="shared" si="32"/>
        <v>2.52</v>
      </c>
      <c r="K49" s="3017">
        <f t="shared" si="32"/>
        <v>1.8</v>
      </c>
      <c r="L49" s="3017">
        <f t="shared" si="32"/>
        <v>1.65</v>
      </c>
      <c r="M49" s="3017">
        <f t="shared" si="32"/>
        <v>1.5</v>
      </c>
      <c r="N49" s="3017">
        <f t="shared" si="32"/>
        <v>1.56</v>
      </c>
      <c r="O49" s="3017">
        <f t="shared" si="32"/>
        <v>1.43</v>
      </c>
      <c r="P49" s="3017">
        <f t="shared" si="32"/>
        <v>0.83</v>
      </c>
      <c r="Q49" s="155" t="s">
        <v>832</v>
      </c>
    </row>
    <row r="50" spans="1:19" ht="38.25" x14ac:dyDescent="0.3">
      <c r="A50" s="2521"/>
      <c r="B50" s="2585" t="str">
        <f>'Вхідні дані'!$B$33</f>
        <v>Тариф для розрахунку плати за перетікання реактивної електроенергії, без ПДВ</v>
      </c>
      <c r="C50" s="3033" t="s">
        <v>761</v>
      </c>
      <c r="D50" s="3018">
        <f>'Вхідні дані'!$D$33</f>
        <v>6.096E-2</v>
      </c>
      <c r="E50" s="3018">
        <f>D50</f>
        <v>6.096E-2</v>
      </c>
      <c r="F50" s="3018">
        <f t="shared" ref="F50:P50" si="33">E50</f>
        <v>6.096E-2</v>
      </c>
      <c r="G50" s="3018">
        <f t="shared" si="33"/>
        <v>6.096E-2</v>
      </c>
      <c r="H50" s="3018">
        <f t="shared" si="33"/>
        <v>6.096E-2</v>
      </c>
      <c r="I50" s="3018">
        <f t="shared" si="33"/>
        <v>6.096E-2</v>
      </c>
      <c r="J50" s="3018">
        <f t="shared" si="33"/>
        <v>6.096E-2</v>
      </c>
      <c r="K50" s="3018">
        <f t="shared" si="33"/>
        <v>6.096E-2</v>
      </c>
      <c r="L50" s="3018">
        <f t="shared" si="33"/>
        <v>6.096E-2</v>
      </c>
      <c r="M50" s="3018">
        <f t="shared" si="33"/>
        <v>6.096E-2</v>
      </c>
      <c r="N50" s="3018">
        <f t="shared" si="33"/>
        <v>6.096E-2</v>
      </c>
      <c r="O50" s="3018">
        <f t="shared" si="33"/>
        <v>6.096E-2</v>
      </c>
      <c r="P50" s="3018">
        <f t="shared" si="33"/>
        <v>6.096E-2</v>
      </c>
      <c r="Q50" s="155" t="s">
        <v>643</v>
      </c>
    </row>
    <row r="51" spans="1:19" ht="38.25" x14ac:dyDescent="0.3">
      <c r="A51" s="2521"/>
      <c r="B51" s="2585" t="s">
        <v>834</v>
      </c>
      <c r="C51" s="2582" t="s">
        <v>40</v>
      </c>
      <c r="D51" s="3014">
        <f t="shared" ref="D51:P51" si="34">D47*D50</f>
        <v>1.93</v>
      </c>
      <c r="E51" s="3014">
        <f t="shared" si="34"/>
        <v>0.11</v>
      </c>
      <c r="F51" s="3014">
        <f t="shared" si="34"/>
        <v>0.2</v>
      </c>
      <c r="G51" s="3014">
        <f t="shared" si="34"/>
        <v>0.27</v>
      </c>
      <c r="H51" s="3014">
        <f t="shared" si="34"/>
        <v>0.28000000000000003</v>
      </c>
      <c r="I51" s="3014">
        <f t="shared" si="34"/>
        <v>0.26</v>
      </c>
      <c r="J51" s="3014">
        <f t="shared" si="34"/>
        <v>0.18</v>
      </c>
      <c r="K51" s="3014">
        <f t="shared" si="34"/>
        <v>0.13</v>
      </c>
      <c r="L51" s="3014">
        <f t="shared" si="34"/>
        <v>0.11</v>
      </c>
      <c r="M51" s="3014">
        <f t="shared" si="34"/>
        <v>0.11</v>
      </c>
      <c r="N51" s="3014">
        <f t="shared" si="34"/>
        <v>0.12</v>
      </c>
      <c r="O51" s="3014">
        <f t="shared" si="34"/>
        <v>0.1</v>
      </c>
      <c r="P51" s="3014">
        <f t="shared" si="34"/>
        <v>0.06</v>
      </c>
      <c r="Q51" s="155" t="s">
        <v>643</v>
      </c>
    </row>
    <row r="52" spans="1:19" x14ac:dyDescent="0.3">
      <c r="A52" s="2521"/>
      <c r="B52" s="3024" t="s">
        <v>631</v>
      </c>
      <c r="C52" s="2582" t="s">
        <v>40</v>
      </c>
      <c r="D52" s="3017">
        <f>D48*D50</f>
        <v>0.28000000000000003</v>
      </c>
      <c r="E52" s="3017">
        <f t="shared" ref="E52:P52" si="35">E48*E50</f>
        <v>0.02</v>
      </c>
      <c r="F52" s="3017">
        <f t="shared" si="35"/>
        <v>0.03</v>
      </c>
      <c r="G52" s="3017">
        <f t="shared" si="35"/>
        <v>0.04</v>
      </c>
      <c r="H52" s="3017">
        <f t="shared" si="35"/>
        <v>0.04</v>
      </c>
      <c r="I52" s="3017">
        <f t="shared" si="35"/>
        <v>0.04</v>
      </c>
      <c r="J52" s="3017">
        <f t="shared" si="35"/>
        <v>0.03</v>
      </c>
      <c r="K52" s="3017">
        <f t="shared" si="35"/>
        <v>0.02</v>
      </c>
      <c r="L52" s="3017">
        <f t="shared" si="35"/>
        <v>0.01</v>
      </c>
      <c r="M52" s="3017">
        <f t="shared" si="35"/>
        <v>0.01</v>
      </c>
      <c r="N52" s="3017">
        <f t="shared" si="35"/>
        <v>0.02</v>
      </c>
      <c r="O52" s="3017">
        <f t="shared" si="35"/>
        <v>0.01</v>
      </c>
      <c r="P52" s="3017">
        <f t="shared" si="35"/>
        <v>0.01</v>
      </c>
      <c r="Q52" s="155" t="s">
        <v>832</v>
      </c>
    </row>
    <row r="53" spans="1:19" x14ac:dyDescent="0.3">
      <c r="A53" s="2521"/>
      <c r="B53" s="3024" t="s">
        <v>630</v>
      </c>
      <c r="C53" s="2582" t="s">
        <v>40</v>
      </c>
      <c r="D53" s="3017">
        <f>D49*D50</f>
        <v>1.65</v>
      </c>
      <c r="E53" s="3017">
        <f t="shared" ref="E53:P53" si="36">E49*E50</f>
        <v>0.09</v>
      </c>
      <c r="F53" s="3017">
        <f t="shared" si="36"/>
        <v>0.17</v>
      </c>
      <c r="G53" s="3017">
        <f t="shared" si="36"/>
        <v>0.22</v>
      </c>
      <c r="H53" s="3017">
        <f t="shared" si="36"/>
        <v>0.25</v>
      </c>
      <c r="I53" s="3017">
        <f t="shared" si="36"/>
        <v>0.22</v>
      </c>
      <c r="J53" s="3017">
        <f t="shared" si="36"/>
        <v>0.15</v>
      </c>
      <c r="K53" s="3017">
        <f t="shared" si="36"/>
        <v>0.11</v>
      </c>
      <c r="L53" s="3017">
        <f t="shared" si="36"/>
        <v>0.1</v>
      </c>
      <c r="M53" s="3017">
        <f t="shared" si="36"/>
        <v>0.09</v>
      </c>
      <c r="N53" s="3017">
        <f t="shared" si="36"/>
        <v>0.1</v>
      </c>
      <c r="O53" s="3017">
        <f t="shared" si="36"/>
        <v>0.09</v>
      </c>
      <c r="P53" s="3017">
        <f t="shared" si="36"/>
        <v>0.05</v>
      </c>
      <c r="Q53" s="155" t="s">
        <v>832</v>
      </c>
    </row>
    <row r="54" spans="1:19" ht="25.5" x14ac:dyDescent="0.3">
      <c r="A54" s="2521"/>
      <c r="B54" s="2585" t="s">
        <v>836</v>
      </c>
      <c r="C54" s="3016" t="s">
        <v>144</v>
      </c>
      <c r="D54" s="3017">
        <f>D33*$F$103</f>
        <v>0.08</v>
      </c>
      <c r="E54" s="3017">
        <f t="shared" ref="E54:P54" si="37">E33*$F$103</f>
        <v>0</v>
      </c>
      <c r="F54" s="3017">
        <f t="shared" si="37"/>
        <v>0.01</v>
      </c>
      <c r="G54" s="3017">
        <f t="shared" si="37"/>
        <v>0.01</v>
      </c>
      <c r="H54" s="3017">
        <f t="shared" si="37"/>
        <v>0.01</v>
      </c>
      <c r="I54" s="3017">
        <f t="shared" si="37"/>
        <v>0.01</v>
      </c>
      <c r="J54" s="3017">
        <f t="shared" si="37"/>
        <v>0.01</v>
      </c>
      <c r="K54" s="3017">
        <f t="shared" si="37"/>
        <v>0.01</v>
      </c>
      <c r="L54" s="3017">
        <f t="shared" si="37"/>
        <v>0</v>
      </c>
      <c r="M54" s="3017">
        <f t="shared" si="37"/>
        <v>0</v>
      </c>
      <c r="N54" s="3017">
        <f t="shared" si="37"/>
        <v>0</v>
      </c>
      <c r="O54" s="3017">
        <f t="shared" si="37"/>
        <v>0</v>
      </c>
      <c r="P54" s="3017">
        <f t="shared" si="37"/>
        <v>0</v>
      </c>
      <c r="Q54" s="155" t="s">
        <v>643</v>
      </c>
    </row>
    <row r="55" spans="1:19" x14ac:dyDescent="0.3">
      <c r="A55" s="2521"/>
      <c r="B55" s="3024" t="s">
        <v>631</v>
      </c>
      <c r="C55" s="3016" t="s">
        <v>144</v>
      </c>
      <c r="D55" s="3017">
        <f>D34*$F$103</f>
        <v>0.01</v>
      </c>
      <c r="E55" s="3017">
        <f t="shared" ref="E55:P55" si="38">E34*$F$103</f>
        <v>0</v>
      </c>
      <c r="F55" s="3017">
        <f t="shared" si="38"/>
        <v>0</v>
      </c>
      <c r="G55" s="3017">
        <f t="shared" si="38"/>
        <v>0</v>
      </c>
      <c r="H55" s="3017">
        <f t="shared" si="38"/>
        <v>0</v>
      </c>
      <c r="I55" s="3017">
        <f t="shared" si="38"/>
        <v>0</v>
      </c>
      <c r="J55" s="3017">
        <f t="shared" si="38"/>
        <v>0</v>
      </c>
      <c r="K55" s="3017">
        <f t="shared" si="38"/>
        <v>0</v>
      </c>
      <c r="L55" s="3017">
        <f t="shared" si="38"/>
        <v>0</v>
      </c>
      <c r="M55" s="3017">
        <f t="shared" si="38"/>
        <v>0</v>
      </c>
      <c r="N55" s="3017">
        <f t="shared" si="38"/>
        <v>0</v>
      </c>
      <c r="O55" s="3017">
        <f t="shared" si="38"/>
        <v>0</v>
      </c>
      <c r="P55" s="3017">
        <f t="shared" si="38"/>
        <v>0</v>
      </c>
      <c r="Q55" s="155" t="s">
        <v>832</v>
      </c>
    </row>
    <row r="56" spans="1:19" x14ac:dyDescent="0.3">
      <c r="A56" s="2521"/>
      <c r="B56" s="3024" t="s">
        <v>630</v>
      </c>
      <c r="C56" s="3016" t="s">
        <v>144</v>
      </c>
      <c r="D56" s="3017">
        <f>D35*$F$103</f>
        <v>7.0000000000000007E-2</v>
      </c>
      <c r="E56" s="3017">
        <f t="shared" ref="E56:P56" si="39">E35*$F$103</f>
        <v>0</v>
      </c>
      <c r="F56" s="3017">
        <f t="shared" si="39"/>
        <v>0.01</v>
      </c>
      <c r="G56" s="3017">
        <f t="shared" si="39"/>
        <v>0.01</v>
      </c>
      <c r="H56" s="3017">
        <f t="shared" si="39"/>
        <v>0.01</v>
      </c>
      <c r="I56" s="3017">
        <f t="shared" si="39"/>
        <v>0.01</v>
      </c>
      <c r="J56" s="3017">
        <f t="shared" si="39"/>
        <v>0.01</v>
      </c>
      <c r="K56" s="3017">
        <f t="shared" si="39"/>
        <v>0</v>
      </c>
      <c r="L56" s="3017">
        <f t="shared" si="39"/>
        <v>0</v>
      </c>
      <c r="M56" s="3017">
        <f t="shared" si="39"/>
        <v>0</v>
      </c>
      <c r="N56" s="3017">
        <f t="shared" si="39"/>
        <v>0</v>
      </c>
      <c r="O56" s="3017">
        <f t="shared" si="39"/>
        <v>0</v>
      </c>
      <c r="P56" s="3017">
        <f t="shared" si="39"/>
        <v>0</v>
      </c>
      <c r="Q56" s="155" t="s">
        <v>832</v>
      </c>
    </row>
    <row r="57" spans="1:19" ht="38.25" x14ac:dyDescent="0.3">
      <c r="A57" s="2521"/>
      <c r="B57" s="2585" t="str">
        <f>'Вхідні дані'!$B$35</f>
        <v>Тариф для розрахунку плати за генерацію реактивної електроенергії, без ПДВ</v>
      </c>
      <c r="C57" s="3033" t="s">
        <v>761</v>
      </c>
      <c r="D57" s="3018">
        <f>'Вхідні дані'!$D$35</f>
        <v>0</v>
      </c>
      <c r="E57" s="3018">
        <f t="shared" ref="E57:P57" si="40">D57</f>
        <v>0</v>
      </c>
      <c r="F57" s="3018">
        <f t="shared" si="40"/>
        <v>0</v>
      </c>
      <c r="G57" s="3018">
        <f t="shared" si="40"/>
        <v>0</v>
      </c>
      <c r="H57" s="3018">
        <f t="shared" si="40"/>
        <v>0</v>
      </c>
      <c r="I57" s="3018">
        <f t="shared" si="40"/>
        <v>0</v>
      </c>
      <c r="J57" s="3018">
        <f t="shared" si="40"/>
        <v>0</v>
      </c>
      <c r="K57" s="3018">
        <f t="shared" si="40"/>
        <v>0</v>
      </c>
      <c r="L57" s="3018">
        <f t="shared" si="40"/>
        <v>0</v>
      </c>
      <c r="M57" s="3018">
        <f t="shared" si="40"/>
        <v>0</v>
      </c>
      <c r="N57" s="3018">
        <f t="shared" si="40"/>
        <v>0</v>
      </c>
      <c r="O57" s="3018">
        <f t="shared" si="40"/>
        <v>0</v>
      </c>
      <c r="P57" s="3018">
        <f t="shared" si="40"/>
        <v>0</v>
      </c>
      <c r="Q57" s="155" t="s">
        <v>643</v>
      </c>
    </row>
    <row r="58" spans="1:19" ht="38.25" x14ac:dyDescent="0.3">
      <c r="A58" s="2521"/>
      <c r="B58" s="2585" t="s">
        <v>837</v>
      </c>
      <c r="C58" s="2582" t="s">
        <v>40</v>
      </c>
      <c r="D58" s="3014">
        <f>D54*D57</f>
        <v>0</v>
      </c>
      <c r="E58" s="3014">
        <f t="shared" ref="E58:P58" si="41">E54*E57</f>
        <v>0</v>
      </c>
      <c r="F58" s="3014">
        <f t="shared" si="41"/>
        <v>0</v>
      </c>
      <c r="G58" s="3014">
        <f t="shared" si="41"/>
        <v>0</v>
      </c>
      <c r="H58" s="3014">
        <f t="shared" si="41"/>
        <v>0</v>
      </c>
      <c r="I58" s="3014">
        <f t="shared" si="41"/>
        <v>0</v>
      </c>
      <c r="J58" s="3014">
        <f t="shared" si="41"/>
        <v>0</v>
      </c>
      <c r="K58" s="3014">
        <f t="shared" si="41"/>
        <v>0</v>
      </c>
      <c r="L58" s="3014">
        <f t="shared" si="41"/>
        <v>0</v>
      </c>
      <c r="M58" s="3014">
        <f t="shared" si="41"/>
        <v>0</v>
      </c>
      <c r="N58" s="3014">
        <f t="shared" si="41"/>
        <v>0</v>
      </c>
      <c r="O58" s="3014">
        <f t="shared" si="41"/>
        <v>0</v>
      </c>
      <c r="P58" s="3014">
        <f t="shared" si="41"/>
        <v>0</v>
      </c>
    </row>
    <row r="59" spans="1:19" x14ac:dyDescent="0.3">
      <c r="A59" s="2521"/>
      <c r="B59" s="3024" t="s">
        <v>631</v>
      </c>
      <c r="C59" s="2582" t="s">
        <v>40</v>
      </c>
      <c r="D59" s="3017">
        <f>D55*D57</f>
        <v>0</v>
      </c>
      <c r="E59" s="3017">
        <f t="shared" ref="E59:O59" si="42">E55*E57</f>
        <v>0</v>
      </c>
      <c r="F59" s="3017">
        <f t="shared" si="42"/>
        <v>0</v>
      </c>
      <c r="G59" s="3017">
        <f t="shared" si="42"/>
        <v>0</v>
      </c>
      <c r="H59" s="3017">
        <f t="shared" si="42"/>
        <v>0</v>
      </c>
      <c r="I59" s="3017">
        <f t="shared" si="42"/>
        <v>0</v>
      </c>
      <c r="J59" s="3017">
        <f t="shared" si="42"/>
        <v>0</v>
      </c>
      <c r="K59" s="3017">
        <f t="shared" si="42"/>
        <v>0</v>
      </c>
      <c r="L59" s="3017">
        <f t="shared" si="42"/>
        <v>0</v>
      </c>
      <c r="M59" s="3017">
        <f t="shared" si="42"/>
        <v>0</v>
      </c>
      <c r="N59" s="3017">
        <f t="shared" si="42"/>
        <v>0</v>
      </c>
      <c r="O59" s="3017">
        <f t="shared" si="42"/>
        <v>0</v>
      </c>
      <c r="P59" s="3017">
        <f>P55*P57</f>
        <v>0</v>
      </c>
    </row>
    <row r="60" spans="1:19" x14ac:dyDescent="0.3">
      <c r="A60" s="2521"/>
      <c r="B60" s="3024" t="s">
        <v>630</v>
      </c>
      <c r="C60" s="2582" t="s">
        <v>40</v>
      </c>
      <c r="D60" s="3017">
        <f>D56*D57</f>
        <v>0</v>
      </c>
      <c r="E60" s="3017">
        <f t="shared" ref="E60:P60" si="43">E56*E57</f>
        <v>0</v>
      </c>
      <c r="F60" s="3017">
        <f t="shared" si="43"/>
        <v>0</v>
      </c>
      <c r="G60" s="3017">
        <f t="shared" si="43"/>
        <v>0</v>
      </c>
      <c r="H60" s="3017">
        <f t="shared" si="43"/>
        <v>0</v>
      </c>
      <c r="I60" s="3017">
        <f t="shared" si="43"/>
        <v>0</v>
      </c>
      <c r="J60" s="3017">
        <f t="shared" si="43"/>
        <v>0</v>
      </c>
      <c r="K60" s="3017">
        <f t="shared" si="43"/>
        <v>0</v>
      </c>
      <c r="L60" s="3017">
        <f t="shared" si="43"/>
        <v>0</v>
      </c>
      <c r="M60" s="3017">
        <f t="shared" si="43"/>
        <v>0</v>
      </c>
      <c r="N60" s="3017">
        <f t="shared" si="43"/>
        <v>0</v>
      </c>
      <c r="O60" s="3017">
        <f t="shared" si="43"/>
        <v>0</v>
      </c>
      <c r="P60" s="3017">
        <f t="shared" si="43"/>
        <v>0</v>
      </c>
    </row>
    <row r="61" spans="1:19" ht="25.5" x14ac:dyDescent="0.3">
      <c r="A61" s="2521"/>
      <c r="B61" s="2585" t="s">
        <v>840</v>
      </c>
      <c r="C61" s="2582" t="s">
        <v>40</v>
      </c>
      <c r="D61" s="3015">
        <f>D51+D58</f>
        <v>1.93</v>
      </c>
      <c r="E61" s="3015">
        <f t="shared" ref="E61:P61" si="44">E51+E58</f>
        <v>0.11</v>
      </c>
      <c r="F61" s="3015">
        <f t="shared" si="44"/>
        <v>0.2</v>
      </c>
      <c r="G61" s="3015">
        <f t="shared" si="44"/>
        <v>0.27</v>
      </c>
      <c r="H61" s="3015">
        <f t="shared" si="44"/>
        <v>0.28000000000000003</v>
      </c>
      <c r="I61" s="3015">
        <f t="shared" si="44"/>
        <v>0.26</v>
      </c>
      <c r="J61" s="3015">
        <f t="shared" si="44"/>
        <v>0.18</v>
      </c>
      <c r="K61" s="3015">
        <f t="shared" si="44"/>
        <v>0.13</v>
      </c>
      <c r="L61" s="3015">
        <f t="shared" si="44"/>
        <v>0.11</v>
      </c>
      <c r="M61" s="3015">
        <f t="shared" si="44"/>
        <v>0.11</v>
      </c>
      <c r="N61" s="3015">
        <f t="shared" si="44"/>
        <v>0.12</v>
      </c>
      <c r="O61" s="3015">
        <f t="shared" si="44"/>
        <v>0.1</v>
      </c>
      <c r="P61" s="3015">
        <f t="shared" si="44"/>
        <v>0.06</v>
      </c>
    </row>
    <row r="62" spans="1:19" x14ac:dyDescent="0.3">
      <c r="A62" s="2521"/>
      <c r="B62" s="3024" t="s">
        <v>631</v>
      </c>
      <c r="C62" s="2582" t="s">
        <v>40</v>
      </c>
      <c r="D62" s="3017">
        <f>D52+D59</f>
        <v>0.28000000000000003</v>
      </c>
      <c r="E62" s="3017">
        <f t="shared" ref="E62:P63" si="45">E52+E59</f>
        <v>0.02</v>
      </c>
      <c r="F62" s="3017">
        <f t="shared" si="45"/>
        <v>0.03</v>
      </c>
      <c r="G62" s="3017">
        <f t="shared" si="45"/>
        <v>0.04</v>
      </c>
      <c r="H62" s="3017">
        <f t="shared" si="45"/>
        <v>0.04</v>
      </c>
      <c r="I62" s="3017">
        <f t="shared" si="45"/>
        <v>0.04</v>
      </c>
      <c r="J62" s="3017">
        <f t="shared" si="45"/>
        <v>0.03</v>
      </c>
      <c r="K62" s="3017">
        <f t="shared" si="45"/>
        <v>0.02</v>
      </c>
      <c r="L62" s="3017">
        <f t="shared" si="45"/>
        <v>0.01</v>
      </c>
      <c r="M62" s="3017">
        <f t="shared" si="45"/>
        <v>0.01</v>
      </c>
      <c r="N62" s="3017">
        <f t="shared" si="45"/>
        <v>0.02</v>
      </c>
      <c r="O62" s="3017">
        <f t="shared" si="45"/>
        <v>0.01</v>
      </c>
      <c r="P62" s="3017">
        <f t="shared" si="45"/>
        <v>0.01</v>
      </c>
    </row>
    <row r="63" spans="1:19" x14ac:dyDescent="0.3">
      <c r="A63" s="2521"/>
      <c r="B63" s="3024" t="s">
        <v>630</v>
      </c>
      <c r="C63" s="2582" t="s">
        <v>40</v>
      </c>
      <c r="D63" s="3017">
        <f>D53+D60</f>
        <v>1.65</v>
      </c>
      <c r="E63" s="3017">
        <f t="shared" si="45"/>
        <v>0.09</v>
      </c>
      <c r="F63" s="3017">
        <f t="shared" si="45"/>
        <v>0.17</v>
      </c>
      <c r="G63" s="3017">
        <f t="shared" si="45"/>
        <v>0.22</v>
      </c>
      <c r="H63" s="3017">
        <f t="shared" si="45"/>
        <v>0.25</v>
      </c>
      <c r="I63" s="3017">
        <f t="shared" si="45"/>
        <v>0.22</v>
      </c>
      <c r="J63" s="3017">
        <f t="shared" si="45"/>
        <v>0.15</v>
      </c>
      <c r="K63" s="3017">
        <f t="shared" si="45"/>
        <v>0.11</v>
      </c>
      <c r="L63" s="3017">
        <f t="shared" si="45"/>
        <v>0.1</v>
      </c>
      <c r="M63" s="3017">
        <f t="shared" si="45"/>
        <v>0.09</v>
      </c>
      <c r="N63" s="3017">
        <f t="shared" si="45"/>
        <v>0.1</v>
      </c>
      <c r="O63" s="3017">
        <f t="shared" si="45"/>
        <v>0.09</v>
      </c>
      <c r="P63" s="3017">
        <f t="shared" si="45"/>
        <v>0.05</v>
      </c>
    </row>
    <row r="64" spans="1:19" ht="38.25" x14ac:dyDescent="0.3">
      <c r="A64" s="2521"/>
      <c r="B64" s="2585" t="s">
        <v>838</v>
      </c>
      <c r="C64" s="2582" t="s">
        <v>40</v>
      </c>
      <c r="D64" s="3020">
        <f>D61+D44</f>
        <v>1966.15</v>
      </c>
      <c r="E64" s="3020">
        <f t="shared" ref="E64:P64" si="46">E61+E44</f>
        <v>110.2</v>
      </c>
      <c r="F64" s="3020">
        <f t="shared" si="46"/>
        <v>204.75</v>
      </c>
      <c r="G64" s="3020">
        <f t="shared" si="46"/>
        <v>272.93</v>
      </c>
      <c r="H64" s="3020">
        <f t="shared" si="46"/>
        <v>289.27</v>
      </c>
      <c r="I64" s="3020">
        <f t="shared" si="46"/>
        <v>264.70999999999998</v>
      </c>
      <c r="J64" s="3020">
        <f t="shared" si="46"/>
        <v>187.16</v>
      </c>
      <c r="K64" s="3020">
        <f t="shared" si="46"/>
        <v>134.53</v>
      </c>
      <c r="L64" s="3020">
        <f t="shared" si="46"/>
        <v>116.65</v>
      </c>
      <c r="M64" s="3020">
        <f t="shared" si="46"/>
        <v>107.19</v>
      </c>
      <c r="N64" s="3020">
        <f t="shared" si="46"/>
        <v>118.73</v>
      </c>
      <c r="O64" s="3020">
        <f t="shared" si="46"/>
        <v>100.41</v>
      </c>
      <c r="P64" s="3020">
        <f t="shared" si="46"/>
        <v>59.61</v>
      </c>
      <c r="R64" s="1568">
        <f>Q64-D64</f>
        <v>-1966.15</v>
      </c>
      <c r="S64" s="26">
        <f>D64/D27*1000</f>
        <v>207.851888813009</v>
      </c>
    </row>
    <row r="65" spans="1:22" x14ac:dyDescent="0.3">
      <c r="A65" s="2521"/>
      <c r="B65" s="3024" t="s">
        <v>631</v>
      </c>
      <c r="C65" s="2582" t="s">
        <v>40</v>
      </c>
      <c r="D65" s="3023">
        <f>D62+D45</f>
        <v>290.05</v>
      </c>
      <c r="E65" s="3023">
        <f t="shared" ref="E65:P66" si="47">E62+E45</f>
        <v>20.170000000000002</v>
      </c>
      <c r="F65" s="3023">
        <f t="shared" si="47"/>
        <v>27.32</v>
      </c>
      <c r="G65" s="3023">
        <f t="shared" si="47"/>
        <v>43.87</v>
      </c>
      <c r="H65" s="3023">
        <f t="shared" si="47"/>
        <v>39.18</v>
      </c>
      <c r="I65" s="3023">
        <f t="shared" si="47"/>
        <v>35.729999999999997</v>
      </c>
      <c r="J65" s="3023">
        <f t="shared" si="47"/>
        <v>30.84</v>
      </c>
      <c r="K65" s="3023">
        <f t="shared" si="47"/>
        <v>23.08</v>
      </c>
      <c r="L65" s="3023">
        <f t="shared" si="47"/>
        <v>14.44</v>
      </c>
      <c r="M65" s="3023">
        <f t="shared" si="47"/>
        <v>13.87</v>
      </c>
      <c r="N65" s="3023">
        <f t="shared" si="47"/>
        <v>21.56</v>
      </c>
      <c r="O65" s="3023">
        <f t="shared" si="47"/>
        <v>11.8</v>
      </c>
      <c r="P65" s="3023">
        <f t="shared" si="47"/>
        <v>8.2100000000000009</v>
      </c>
      <c r="R65" s="1568">
        <f>Q65-D65</f>
        <v>-290.05</v>
      </c>
      <c r="S65" s="26">
        <f>D65/D28*1000</f>
        <v>241.96441233638899</v>
      </c>
    </row>
    <row r="66" spans="1:22" x14ac:dyDescent="0.3">
      <c r="A66" s="2521"/>
      <c r="B66" s="3024" t="s">
        <v>630</v>
      </c>
      <c r="C66" s="2582" t="s">
        <v>40</v>
      </c>
      <c r="D66" s="3023">
        <f>D63+D46</f>
        <v>1676.1</v>
      </c>
      <c r="E66" s="3023">
        <f t="shared" si="47"/>
        <v>90.03</v>
      </c>
      <c r="F66" s="3023">
        <f t="shared" si="47"/>
        <v>177.43</v>
      </c>
      <c r="G66" s="3023">
        <f t="shared" si="47"/>
        <v>229.05</v>
      </c>
      <c r="H66" s="3023">
        <f t="shared" si="47"/>
        <v>250.11</v>
      </c>
      <c r="I66" s="3023">
        <f t="shared" si="47"/>
        <v>228.99</v>
      </c>
      <c r="J66" s="3023">
        <f t="shared" si="47"/>
        <v>156.32</v>
      </c>
      <c r="K66" s="3023">
        <f t="shared" si="47"/>
        <v>111.46</v>
      </c>
      <c r="L66" s="3023">
        <f t="shared" si="47"/>
        <v>102.21</v>
      </c>
      <c r="M66" s="3023">
        <f t="shared" si="47"/>
        <v>93.32</v>
      </c>
      <c r="N66" s="3023">
        <f t="shared" si="47"/>
        <v>97.17</v>
      </c>
      <c r="O66" s="3023">
        <f t="shared" si="47"/>
        <v>88.61</v>
      </c>
      <c r="P66" s="3023">
        <f t="shared" si="47"/>
        <v>51.4</v>
      </c>
      <c r="R66" s="1568">
        <f>Q66-D66</f>
        <v>-1676.1</v>
      </c>
      <c r="S66" s="26">
        <f>D66/D29*1000</f>
        <v>202.90170870330999</v>
      </c>
    </row>
    <row r="67" spans="1:22" x14ac:dyDescent="0.3">
      <c r="A67" s="2521"/>
      <c r="B67" s="3857" t="s">
        <v>283</v>
      </c>
      <c r="C67" s="3858"/>
      <c r="D67" s="3858"/>
      <c r="E67" s="3858"/>
      <c r="F67" s="3858"/>
      <c r="G67" s="3858"/>
      <c r="H67" s="3858"/>
      <c r="I67" s="3858"/>
      <c r="J67" s="3858"/>
      <c r="K67" s="3858"/>
      <c r="L67" s="3858"/>
      <c r="M67" s="3858"/>
      <c r="N67" s="3858"/>
      <c r="O67" s="3858"/>
      <c r="P67" s="3859"/>
    </row>
    <row r="68" spans="1:22" ht="38.25" x14ac:dyDescent="0.3">
      <c r="A68" s="2521"/>
      <c r="B68" s="2585" t="s">
        <v>2705</v>
      </c>
      <c r="C68" s="2582" t="s">
        <v>189</v>
      </c>
      <c r="D68" s="3023">
        <f>D27</f>
        <v>9459.3799999999992</v>
      </c>
      <c r="E68" s="3023">
        <f t="shared" ref="E68:P68" si="48">E27</f>
        <v>287.68</v>
      </c>
      <c r="F68" s="3023">
        <f t="shared" si="48"/>
        <v>1207.48</v>
      </c>
      <c r="G68" s="3023">
        <f t="shared" si="48"/>
        <v>1508.8</v>
      </c>
      <c r="H68" s="3023">
        <f t="shared" si="48"/>
        <v>1768.16</v>
      </c>
      <c r="I68" s="3023">
        <f t="shared" si="48"/>
        <v>1482.96</v>
      </c>
      <c r="J68" s="3023">
        <f t="shared" si="48"/>
        <v>1458.26</v>
      </c>
      <c r="K68" s="3023">
        <f t="shared" si="48"/>
        <v>326.2</v>
      </c>
      <c r="L68" s="3023">
        <f t="shared" si="48"/>
        <v>287.68</v>
      </c>
      <c r="M68" s="3023">
        <f t="shared" si="48"/>
        <v>278.39999999999998</v>
      </c>
      <c r="N68" s="3023">
        <f t="shared" si="48"/>
        <v>287.68</v>
      </c>
      <c r="O68" s="3023">
        <f t="shared" si="48"/>
        <v>287.68</v>
      </c>
      <c r="P68" s="3023">
        <f t="shared" si="48"/>
        <v>278.39999999999998</v>
      </c>
    </row>
    <row r="69" spans="1:22" ht="38.25" x14ac:dyDescent="0.3">
      <c r="A69" s="2521"/>
      <c r="B69" s="2585" t="s">
        <v>284</v>
      </c>
      <c r="C69" s="2582" t="s">
        <v>190</v>
      </c>
      <c r="D69" s="3026">
        <f>D70/D68*1000</f>
        <v>6.3E-2</v>
      </c>
      <c r="E69" s="3026">
        <f t="shared" ref="E69:K69" si="49">E70/E68*1000</f>
        <v>0.17399999999999999</v>
      </c>
      <c r="F69" s="3026">
        <f t="shared" si="49"/>
        <v>4.1000000000000002E-2</v>
      </c>
      <c r="G69" s="3026">
        <f t="shared" si="49"/>
        <v>3.3000000000000002E-2</v>
      </c>
      <c r="H69" s="3026">
        <f t="shared" si="49"/>
        <v>2.8000000000000001E-2</v>
      </c>
      <c r="I69" s="3026">
        <f t="shared" si="49"/>
        <v>3.4000000000000002E-2</v>
      </c>
      <c r="J69" s="3026">
        <f t="shared" si="49"/>
        <v>3.4000000000000002E-2</v>
      </c>
      <c r="K69" s="3026">
        <f t="shared" si="49"/>
        <v>0.153</v>
      </c>
      <c r="L69" s="3026">
        <v>0</v>
      </c>
      <c r="M69" s="3026">
        <v>0</v>
      </c>
      <c r="N69" s="3026">
        <v>0</v>
      </c>
      <c r="O69" s="3026">
        <v>0</v>
      </c>
      <c r="P69" s="3026">
        <v>0</v>
      </c>
      <c r="Q69" s="26" t="s">
        <v>851</v>
      </c>
    </row>
    <row r="70" spans="1:22" ht="25.5" x14ac:dyDescent="0.3">
      <c r="A70" s="2521"/>
      <c r="B70" s="2585" t="s">
        <v>191</v>
      </c>
      <c r="C70" s="2582" t="s">
        <v>192</v>
      </c>
      <c r="D70" s="3023">
        <f>SUM(E70:P70)</f>
        <v>0.6</v>
      </c>
      <c r="E70" s="3023">
        <f>(O186+P186)/1000</f>
        <v>0.05</v>
      </c>
      <c r="F70" s="3023">
        <f>Q186/1000</f>
        <v>0.05</v>
      </c>
      <c r="G70" s="3023">
        <f>R186/1000</f>
        <v>0.05</v>
      </c>
      <c r="H70" s="3023">
        <f>E186/1000</f>
        <v>0.05</v>
      </c>
      <c r="I70" s="3023">
        <f t="shared" ref="I70:J70" si="50">F186/1000</f>
        <v>0.05</v>
      </c>
      <c r="J70" s="3023">
        <f t="shared" si="50"/>
        <v>0.05</v>
      </c>
      <c r="K70" s="3023">
        <f>(H186+I186)/1000</f>
        <v>0.05</v>
      </c>
      <c r="L70" s="3023">
        <f>J186/1000</f>
        <v>0.05</v>
      </c>
      <c r="M70" s="3023">
        <f t="shared" ref="M70:P70" si="51">K186/1000</f>
        <v>0.05</v>
      </c>
      <c r="N70" s="3023">
        <f t="shared" si="51"/>
        <v>0.05</v>
      </c>
      <c r="O70" s="3023">
        <f t="shared" si="51"/>
        <v>0.05</v>
      </c>
      <c r="P70" s="3023">
        <f t="shared" si="51"/>
        <v>0.05</v>
      </c>
    </row>
    <row r="71" spans="1:22" ht="25.5" x14ac:dyDescent="0.3">
      <c r="A71" s="2521"/>
      <c r="B71" s="3010" t="str">
        <f>'Вхідні дані'!$B$29</f>
        <v>Тариф на електричну енергію, без ПДВ</v>
      </c>
      <c r="C71" s="2582" t="s">
        <v>759</v>
      </c>
      <c r="D71" s="3011">
        <f>'Вхідні дані'!$D$29</f>
        <v>2.2023999999999999</v>
      </c>
      <c r="E71" s="3011">
        <f t="shared" ref="E71:P71" si="52">D71</f>
        <v>2.2023999999999999</v>
      </c>
      <c r="F71" s="3011">
        <f t="shared" si="52"/>
        <v>2.2023999999999999</v>
      </c>
      <c r="G71" s="3011">
        <f t="shared" si="52"/>
        <v>2.2023999999999999</v>
      </c>
      <c r="H71" s="3011">
        <f t="shared" si="52"/>
        <v>2.2023999999999999</v>
      </c>
      <c r="I71" s="3011">
        <f t="shared" si="52"/>
        <v>2.2023999999999999</v>
      </c>
      <c r="J71" s="3011">
        <f t="shared" si="52"/>
        <v>2.2023999999999999</v>
      </c>
      <c r="K71" s="3011">
        <f t="shared" si="52"/>
        <v>2.2023999999999999</v>
      </c>
      <c r="L71" s="3011">
        <f t="shared" si="52"/>
        <v>2.2023999999999999</v>
      </c>
      <c r="M71" s="3011">
        <f t="shared" si="52"/>
        <v>2.2023999999999999</v>
      </c>
      <c r="N71" s="3011">
        <f t="shared" si="52"/>
        <v>2.2023999999999999</v>
      </c>
      <c r="O71" s="3011">
        <f t="shared" si="52"/>
        <v>2.2023999999999999</v>
      </c>
      <c r="P71" s="3011">
        <f t="shared" si="52"/>
        <v>2.2023999999999999</v>
      </c>
      <c r="Q71" s="155" t="s">
        <v>643</v>
      </c>
    </row>
    <row r="72" spans="1:22" x14ac:dyDescent="0.3">
      <c r="A72" s="2521"/>
      <c r="B72" s="3010" t="s">
        <v>758</v>
      </c>
      <c r="C72" s="2582" t="s">
        <v>40</v>
      </c>
      <c r="D72" s="3012">
        <f>D70*D71</f>
        <v>1.32</v>
      </c>
      <c r="E72" s="3012">
        <f t="shared" ref="E72:P72" si="53">E70*E71</f>
        <v>0.11</v>
      </c>
      <c r="F72" s="3012">
        <f t="shared" si="53"/>
        <v>0.11</v>
      </c>
      <c r="G72" s="3012">
        <f t="shared" si="53"/>
        <v>0.11</v>
      </c>
      <c r="H72" s="3012">
        <f t="shared" si="53"/>
        <v>0.11</v>
      </c>
      <c r="I72" s="3012">
        <f t="shared" si="53"/>
        <v>0.11</v>
      </c>
      <c r="J72" s="3012">
        <f t="shared" si="53"/>
        <v>0.11</v>
      </c>
      <c r="K72" s="3012">
        <f t="shared" si="53"/>
        <v>0.11</v>
      </c>
      <c r="L72" s="3012">
        <f t="shared" si="53"/>
        <v>0.11</v>
      </c>
      <c r="M72" s="3012">
        <f t="shared" si="53"/>
        <v>0.11</v>
      </c>
      <c r="N72" s="3012">
        <f t="shared" si="53"/>
        <v>0.11</v>
      </c>
      <c r="O72" s="3012">
        <f t="shared" si="53"/>
        <v>0.11</v>
      </c>
      <c r="P72" s="3012">
        <f t="shared" si="53"/>
        <v>0.11</v>
      </c>
      <c r="Q72" s="155" t="s">
        <v>643</v>
      </c>
    </row>
    <row r="73" spans="1:22" ht="38.25" x14ac:dyDescent="0.3">
      <c r="A73" s="2521"/>
      <c r="B73" s="3010" t="str">
        <f>'Вхідні дані'!$B$31</f>
        <v>Тариф на послуги з розподілу електричної енергії, 2 клас напруги, без ПДВ</v>
      </c>
      <c r="C73" s="2582" t="s">
        <v>759</v>
      </c>
      <c r="D73" s="3013">
        <f>'Вхідні дані'!$D$31</f>
        <v>1.02695</v>
      </c>
      <c r="E73" s="3013">
        <f t="shared" ref="E73:P73" si="54">D73</f>
        <v>1.02695</v>
      </c>
      <c r="F73" s="3013">
        <f t="shared" si="54"/>
        <v>1.02695</v>
      </c>
      <c r="G73" s="3013">
        <f t="shared" si="54"/>
        <v>1.02695</v>
      </c>
      <c r="H73" s="3013">
        <f t="shared" si="54"/>
        <v>1.02695</v>
      </c>
      <c r="I73" s="3013">
        <f t="shared" si="54"/>
        <v>1.02695</v>
      </c>
      <c r="J73" s="3013">
        <f t="shared" si="54"/>
        <v>1.02695</v>
      </c>
      <c r="K73" s="3013">
        <f t="shared" si="54"/>
        <v>1.02695</v>
      </c>
      <c r="L73" s="3013">
        <f t="shared" si="54"/>
        <v>1.02695</v>
      </c>
      <c r="M73" s="3013">
        <f t="shared" si="54"/>
        <v>1.02695</v>
      </c>
      <c r="N73" s="3013">
        <f t="shared" si="54"/>
        <v>1.02695</v>
      </c>
      <c r="O73" s="3013">
        <f t="shared" si="54"/>
        <v>1.02695</v>
      </c>
      <c r="P73" s="3013">
        <f t="shared" si="54"/>
        <v>1.02695</v>
      </c>
      <c r="Q73" s="155" t="s">
        <v>643</v>
      </c>
    </row>
    <row r="74" spans="1:22" x14ac:dyDescent="0.3">
      <c r="A74" s="2521"/>
      <c r="B74" s="3010" t="s">
        <v>760</v>
      </c>
      <c r="C74" s="2582" t="s">
        <v>40</v>
      </c>
      <c r="D74" s="3014">
        <f>D70*D73-X74</f>
        <v>0.62</v>
      </c>
      <c r="E74" s="3014">
        <f t="shared" ref="E74:P74" si="55">E70*E73</f>
        <v>0.05</v>
      </c>
      <c r="F74" s="3014">
        <f t="shared" si="55"/>
        <v>0.05</v>
      </c>
      <c r="G74" s="3014">
        <f t="shared" si="55"/>
        <v>0.05</v>
      </c>
      <c r="H74" s="3014">
        <f t="shared" si="55"/>
        <v>0.05</v>
      </c>
      <c r="I74" s="3014">
        <f t="shared" si="55"/>
        <v>0.05</v>
      </c>
      <c r="J74" s="3014">
        <f t="shared" si="55"/>
        <v>0.05</v>
      </c>
      <c r="K74" s="3014">
        <f t="shared" si="55"/>
        <v>0.05</v>
      </c>
      <c r="L74" s="3014">
        <f t="shared" si="55"/>
        <v>0.05</v>
      </c>
      <c r="M74" s="3014">
        <f t="shared" si="55"/>
        <v>0.05</v>
      </c>
      <c r="N74" s="3014">
        <f t="shared" si="55"/>
        <v>0.05</v>
      </c>
      <c r="O74" s="3014">
        <f t="shared" si="55"/>
        <v>0.05</v>
      </c>
      <c r="P74" s="3014">
        <f t="shared" si="55"/>
        <v>0.05</v>
      </c>
      <c r="Q74" s="155" t="s">
        <v>643</v>
      </c>
      <c r="T74" s="1573"/>
      <c r="V74" s="1343"/>
    </row>
    <row r="75" spans="1:22" ht="25.5" x14ac:dyDescent="0.3">
      <c r="A75" s="2521"/>
      <c r="B75" s="2585" t="s">
        <v>143</v>
      </c>
      <c r="C75" s="2582" t="s">
        <v>40</v>
      </c>
      <c r="D75" s="3015">
        <f>D72+D74</f>
        <v>1.94</v>
      </c>
      <c r="E75" s="3015">
        <f t="shared" ref="E75:P75" si="56">E72+E74</f>
        <v>0.16</v>
      </c>
      <c r="F75" s="3015">
        <f t="shared" si="56"/>
        <v>0.16</v>
      </c>
      <c r="G75" s="3015">
        <f t="shared" si="56"/>
        <v>0.16</v>
      </c>
      <c r="H75" s="3015">
        <f t="shared" si="56"/>
        <v>0.16</v>
      </c>
      <c r="I75" s="3015">
        <f t="shared" si="56"/>
        <v>0.16</v>
      </c>
      <c r="J75" s="3015">
        <f t="shared" si="56"/>
        <v>0.16</v>
      </c>
      <c r="K75" s="3015">
        <f t="shared" si="56"/>
        <v>0.16</v>
      </c>
      <c r="L75" s="3015">
        <f t="shared" si="56"/>
        <v>0.16</v>
      </c>
      <c r="M75" s="3015">
        <f t="shared" si="56"/>
        <v>0.16</v>
      </c>
      <c r="N75" s="3015">
        <f t="shared" si="56"/>
        <v>0.16</v>
      </c>
      <c r="O75" s="3015">
        <f t="shared" si="56"/>
        <v>0.16</v>
      </c>
      <c r="P75" s="3015">
        <f t="shared" si="56"/>
        <v>0.16</v>
      </c>
    </row>
    <row r="76" spans="1:22" ht="25.5" x14ac:dyDescent="0.3">
      <c r="A76" s="2521"/>
      <c r="B76" s="2585" t="s">
        <v>186</v>
      </c>
      <c r="C76" s="3016" t="s">
        <v>144</v>
      </c>
      <c r="D76" s="3017">
        <f>D70*$G$102</f>
        <v>0</v>
      </c>
      <c r="E76" s="3017">
        <f t="shared" ref="E76:P76" si="57">E70*$G$102</f>
        <v>0</v>
      </c>
      <c r="F76" s="3017">
        <f t="shared" si="57"/>
        <v>0</v>
      </c>
      <c r="G76" s="3017">
        <f t="shared" si="57"/>
        <v>0</v>
      </c>
      <c r="H76" s="3017">
        <f t="shared" si="57"/>
        <v>0</v>
      </c>
      <c r="I76" s="3017">
        <f t="shared" si="57"/>
        <v>0</v>
      </c>
      <c r="J76" s="3017">
        <f t="shared" si="57"/>
        <v>0</v>
      </c>
      <c r="K76" s="3017">
        <f t="shared" si="57"/>
        <v>0</v>
      </c>
      <c r="L76" s="3017">
        <f t="shared" si="57"/>
        <v>0</v>
      </c>
      <c r="M76" s="3017">
        <f t="shared" si="57"/>
        <v>0</v>
      </c>
      <c r="N76" s="3017">
        <f t="shared" si="57"/>
        <v>0</v>
      </c>
      <c r="O76" s="3017">
        <f t="shared" si="57"/>
        <v>0</v>
      </c>
      <c r="P76" s="3017">
        <f t="shared" si="57"/>
        <v>0</v>
      </c>
    </row>
    <row r="77" spans="1:22" ht="38.25" x14ac:dyDescent="0.3">
      <c r="A77" s="2521"/>
      <c r="B77" s="2585" t="str">
        <f>'Вхідні дані'!$B$33</f>
        <v>Тариф для розрахунку плати за перетікання реактивної електроенергії, без ПДВ</v>
      </c>
      <c r="C77" s="3033" t="s">
        <v>761</v>
      </c>
      <c r="D77" s="3018">
        <f>'Вхідні дані'!$D$33</f>
        <v>6.096E-2</v>
      </c>
      <c r="E77" s="3018">
        <f t="shared" ref="E77:P77" si="58">D77</f>
        <v>6.096E-2</v>
      </c>
      <c r="F77" s="3018">
        <f t="shared" si="58"/>
        <v>6.096E-2</v>
      </c>
      <c r="G77" s="3018">
        <f t="shared" si="58"/>
        <v>6.096E-2</v>
      </c>
      <c r="H77" s="3018">
        <f t="shared" si="58"/>
        <v>6.096E-2</v>
      </c>
      <c r="I77" s="3018">
        <f t="shared" si="58"/>
        <v>6.096E-2</v>
      </c>
      <c r="J77" s="3018">
        <f t="shared" si="58"/>
        <v>6.096E-2</v>
      </c>
      <c r="K77" s="3018">
        <f t="shared" si="58"/>
        <v>6.096E-2</v>
      </c>
      <c r="L77" s="3018">
        <f t="shared" si="58"/>
        <v>6.096E-2</v>
      </c>
      <c r="M77" s="3018">
        <f t="shared" si="58"/>
        <v>6.096E-2</v>
      </c>
      <c r="N77" s="3018">
        <f t="shared" si="58"/>
        <v>6.096E-2</v>
      </c>
      <c r="O77" s="3018">
        <f t="shared" si="58"/>
        <v>6.096E-2</v>
      </c>
      <c r="P77" s="3018">
        <f t="shared" si="58"/>
        <v>6.096E-2</v>
      </c>
      <c r="Q77" s="155" t="s">
        <v>643</v>
      </c>
    </row>
    <row r="78" spans="1:22" ht="25.5" x14ac:dyDescent="0.3">
      <c r="A78" s="2521"/>
      <c r="B78" s="2585" t="s">
        <v>780</v>
      </c>
      <c r="C78" s="2582" t="s">
        <v>40</v>
      </c>
      <c r="D78" s="3014">
        <f>D76*D77</f>
        <v>0</v>
      </c>
      <c r="E78" s="3014">
        <f t="shared" ref="E78:P78" si="59">E76*E77</f>
        <v>0</v>
      </c>
      <c r="F78" s="3014">
        <f t="shared" si="59"/>
        <v>0</v>
      </c>
      <c r="G78" s="3014">
        <f t="shared" si="59"/>
        <v>0</v>
      </c>
      <c r="H78" s="3014">
        <f t="shared" si="59"/>
        <v>0</v>
      </c>
      <c r="I78" s="3014">
        <f t="shared" si="59"/>
        <v>0</v>
      </c>
      <c r="J78" s="3014">
        <f t="shared" si="59"/>
        <v>0</v>
      </c>
      <c r="K78" s="3014">
        <f t="shared" si="59"/>
        <v>0</v>
      </c>
      <c r="L78" s="3014">
        <f t="shared" si="59"/>
        <v>0</v>
      </c>
      <c r="M78" s="3014">
        <f t="shared" si="59"/>
        <v>0</v>
      </c>
      <c r="N78" s="3014">
        <f t="shared" si="59"/>
        <v>0</v>
      </c>
      <c r="O78" s="3014">
        <f t="shared" si="59"/>
        <v>0</v>
      </c>
      <c r="P78" s="3014">
        <f t="shared" si="59"/>
        <v>0</v>
      </c>
    </row>
    <row r="79" spans="1:22" ht="25.5" x14ac:dyDescent="0.3">
      <c r="A79" s="2521"/>
      <c r="B79" s="2585" t="s">
        <v>779</v>
      </c>
      <c r="C79" s="3016" t="s">
        <v>144</v>
      </c>
      <c r="D79" s="3017">
        <f t="shared" ref="D79:P79" si="60">D70*$D$103</f>
        <v>0.02</v>
      </c>
      <c r="E79" s="3017">
        <f t="shared" si="60"/>
        <v>0</v>
      </c>
      <c r="F79" s="3017">
        <f t="shared" si="60"/>
        <v>0</v>
      </c>
      <c r="G79" s="3017">
        <f t="shared" si="60"/>
        <v>0</v>
      </c>
      <c r="H79" s="3017">
        <f t="shared" si="60"/>
        <v>0</v>
      </c>
      <c r="I79" s="3017">
        <f t="shared" si="60"/>
        <v>0</v>
      </c>
      <c r="J79" s="3017">
        <f t="shared" si="60"/>
        <v>0</v>
      </c>
      <c r="K79" s="3017">
        <f t="shared" si="60"/>
        <v>0</v>
      </c>
      <c r="L79" s="3017">
        <f t="shared" si="60"/>
        <v>0</v>
      </c>
      <c r="M79" s="3017">
        <f t="shared" si="60"/>
        <v>0</v>
      </c>
      <c r="N79" s="3017">
        <f t="shared" si="60"/>
        <v>0</v>
      </c>
      <c r="O79" s="3017">
        <f t="shared" si="60"/>
        <v>0</v>
      </c>
      <c r="P79" s="3017">
        <f t="shared" si="60"/>
        <v>0</v>
      </c>
      <c r="Q79" s="155" t="s">
        <v>643</v>
      </c>
    </row>
    <row r="80" spans="1:22" ht="38.25" x14ac:dyDescent="0.3">
      <c r="A80" s="2521"/>
      <c r="B80" s="2585" t="str">
        <f>'Вхідні дані'!$B$35</f>
        <v>Тариф для розрахунку плати за генерацію реактивної електроенергії, без ПДВ</v>
      </c>
      <c r="C80" s="3033" t="s">
        <v>761</v>
      </c>
      <c r="D80" s="3018">
        <f>'Вхідні дані'!$D$35</f>
        <v>0</v>
      </c>
      <c r="E80" s="3018">
        <f t="shared" ref="E80:P80" si="61">D80</f>
        <v>0</v>
      </c>
      <c r="F80" s="3018">
        <f t="shared" si="61"/>
        <v>0</v>
      </c>
      <c r="G80" s="3018">
        <f t="shared" si="61"/>
        <v>0</v>
      </c>
      <c r="H80" s="3018">
        <f t="shared" si="61"/>
        <v>0</v>
      </c>
      <c r="I80" s="3018">
        <f t="shared" si="61"/>
        <v>0</v>
      </c>
      <c r="J80" s="3018">
        <f t="shared" si="61"/>
        <v>0</v>
      </c>
      <c r="K80" s="3018">
        <f t="shared" si="61"/>
        <v>0</v>
      </c>
      <c r="L80" s="3018">
        <f t="shared" si="61"/>
        <v>0</v>
      </c>
      <c r="M80" s="3018">
        <f t="shared" si="61"/>
        <v>0</v>
      </c>
      <c r="N80" s="3018">
        <f t="shared" si="61"/>
        <v>0</v>
      </c>
      <c r="O80" s="3018">
        <f t="shared" si="61"/>
        <v>0</v>
      </c>
      <c r="P80" s="3018">
        <f t="shared" si="61"/>
        <v>0</v>
      </c>
      <c r="Q80" s="155" t="s">
        <v>643</v>
      </c>
    </row>
    <row r="81" spans="1:18" ht="25.5" x14ac:dyDescent="0.3">
      <c r="A81" s="2521"/>
      <c r="B81" s="2585" t="s">
        <v>781</v>
      </c>
      <c r="C81" s="2582" t="s">
        <v>40</v>
      </c>
      <c r="D81" s="3014">
        <f>D79*D80</f>
        <v>0</v>
      </c>
      <c r="E81" s="3014">
        <f t="shared" ref="E81:P81" si="62">E79*E80</f>
        <v>0</v>
      </c>
      <c r="F81" s="3014">
        <f t="shared" si="62"/>
        <v>0</v>
      </c>
      <c r="G81" s="3014">
        <f t="shared" si="62"/>
        <v>0</v>
      </c>
      <c r="H81" s="3014">
        <f t="shared" si="62"/>
        <v>0</v>
      </c>
      <c r="I81" s="3014">
        <f t="shared" si="62"/>
        <v>0</v>
      </c>
      <c r="J81" s="3014">
        <f t="shared" si="62"/>
        <v>0</v>
      </c>
      <c r="K81" s="3014">
        <f t="shared" si="62"/>
        <v>0</v>
      </c>
      <c r="L81" s="3014">
        <f t="shared" si="62"/>
        <v>0</v>
      </c>
      <c r="M81" s="3014">
        <f t="shared" si="62"/>
        <v>0</v>
      </c>
      <c r="N81" s="3014">
        <f t="shared" si="62"/>
        <v>0</v>
      </c>
      <c r="O81" s="3014">
        <f t="shared" si="62"/>
        <v>0</v>
      </c>
      <c r="P81" s="3014">
        <f t="shared" si="62"/>
        <v>0</v>
      </c>
      <c r="Q81" s="155" t="s">
        <v>643</v>
      </c>
    </row>
    <row r="82" spans="1:18" ht="25.5" x14ac:dyDescent="0.3">
      <c r="A82" s="2521"/>
      <c r="B82" s="2585" t="s">
        <v>839</v>
      </c>
      <c r="C82" s="2582" t="s">
        <v>40</v>
      </c>
      <c r="D82" s="3027">
        <f>D81+D78</f>
        <v>0</v>
      </c>
      <c r="E82" s="3027">
        <f t="shared" ref="E82:P82" si="63">E81+E78</f>
        <v>0</v>
      </c>
      <c r="F82" s="3027">
        <f t="shared" si="63"/>
        <v>0</v>
      </c>
      <c r="G82" s="3027">
        <f t="shared" si="63"/>
        <v>0</v>
      </c>
      <c r="H82" s="3027">
        <f t="shared" si="63"/>
        <v>0</v>
      </c>
      <c r="I82" s="3027">
        <f t="shared" si="63"/>
        <v>0</v>
      </c>
      <c r="J82" s="3027">
        <f t="shared" si="63"/>
        <v>0</v>
      </c>
      <c r="K82" s="3027">
        <f t="shared" si="63"/>
        <v>0</v>
      </c>
      <c r="L82" s="3027">
        <f t="shared" si="63"/>
        <v>0</v>
      </c>
      <c r="M82" s="3027">
        <f t="shared" si="63"/>
        <v>0</v>
      </c>
      <c r="N82" s="3027">
        <f t="shared" si="63"/>
        <v>0</v>
      </c>
      <c r="O82" s="3027">
        <f t="shared" si="63"/>
        <v>0</v>
      </c>
      <c r="P82" s="3027">
        <f t="shared" si="63"/>
        <v>0</v>
      </c>
      <c r="Q82" s="155"/>
      <c r="R82" s="1566">
        <f>D83/D68*1000</f>
        <v>0.205087437020185</v>
      </c>
    </row>
    <row r="83" spans="1:18" ht="38.25" x14ac:dyDescent="0.3">
      <c r="A83" s="2521"/>
      <c r="B83" s="2585" t="s">
        <v>1961</v>
      </c>
      <c r="C83" s="2582" t="s">
        <v>40</v>
      </c>
      <c r="D83" s="3028">
        <f>D75+D82</f>
        <v>1.94</v>
      </c>
      <c r="E83" s="3020">
        <f t="shared" ref="E83:P83" si="64">E75+E82</f>
        <v>0.16</v>
      </c>
      <c r="F83" s="3020">
        <f t="shared" si="64"/>
        <v>0.16</v>
      </c>
      <c r="G83" s="3020">
        <f t="shared" si="64"/>
        <v>0.16</v>
      </c>
      <c r="H83" s="3020">
        <f t="shared" si="64"/>
        <v>0.16</v>
      </c>
      <c r="I83" s="3020">
        <f t="shared" si="64"/>
        <v>0.16</v>
      </c>
      <c r="J83" s="3020">
        <f t="shared" si="64"/>
        <v>0.16</v>
      </c>
      <c r="K83" s="3020">
        <f t="shared" si="64"/>
        <v>0.16</v>
      </c>
      <c r="L83" s="3020">
        <f t="shared" si="64"/>
        <v>0.16</v>
      </c>
      <c r="M83" s="3020">
        <f t="shared" si="64"/>
        <v>0.16</v>
      </c>
      <c r="N83" s="3020">
        <f t="shared" si="64"/>
        <v>0.16</v>
      </c>
      <c r="O83" s="3020">
        <f t="shared" si="64"/>
        <v>0.16</v>
      </c>
      <c r="P83" s="3020">
        <f t="shared" si="64"/>
        <v>0.16</v>
      </c>
      <c r="Q83" s="155"/>
      <c r="R83" s="1568">
        <f>Q83-D83</f>
        <v>-1.94</v>
      </c>
    </row>
    <row r="84" spans="1:18" x14ac:dyDescent="0.3">
      <c r="A84" s="2521"/>
      <c r="B84" s="3029"/>
      <c r="C84" s="2747"/>
      <c r="D84" s="3030"/>
      <c r="E84" s="3030"/>
      <c r="F84" s="3030"/>
      <c r="G84" s="3030"/>
      <c r="H84" s="3030"/>
      <c r="I84" s="3030"/>
      <c r="J84" s="3030"/>
      <c r="K84" s="3030"/>
      <c r="L84" s="3030"/>
      <c r="M84" s="3030"/>
      <c r="N84" s="3030"/>
      <c r="O84" s="3030"/>
      <c r="P84" s="3030"/>
    </row>
    <row r="85" spans="1:18" x14ac:dyDescent="0.3">
      <c r="A85" s="2521"/>
      <c r="B85" s="3029"/>
      <c r="C85" s="2747"/>
      <c r="D85" s="3030"/>
      <c r="E85" s="3030"/>
      <c r="F85" s="3030"/>
      <c r="G85" s="3030"/>
      <c r="H85" s="3030"/>
      <c r="I85" s="3030"/>
      <c r="J85" s="3030"/>
      <c r="K85" s="3030"/>
      <c r="L85" s="3030"/>
      <c r="M85" s="3030"/>
      <c r="N85" s="3030"/>
      <c r="O85" s="3030"/>
      <c r="P85" s="3030"/>
    </row>
    <row r="86" spans="1:18" x14ac:dyDescent="0.3">
      <c r="A86" s="2521"/>
      <c r="B86" s="3029"/>
      <c r="C86" s="2747"/>
      <c r="D86" s="3030"/>
      <c r="E86" s="3030"/>
      <c r="F86" s="3030"/>
      <c r="G86" s="3030"/>
      <c r="H86" s="3030"/>
      <c r="I86" s="3030"/>
      <c r="J86" s="3030"/>
      <c r="K86" s="3030"/>
      <c r="L86" s="3030"/>
      <c r="M86" s="3030"/>
      <c r="N86" s="3030"/>
      <c r="O86" s="3030"/>
      <c r="P86" s="3030"/>
    </row>
    <row r="87" spans="1:18" x14ac:dyDescent="0.3">
      <c r="A87" s="2521"/>
      <c r="B87" s="2521"/>
      <c r="C87" s="2521"/>
      <c r="D87" s="2521"/>
      <c r="E87" s="2521"/>
      <c r="F87" s="2521"/>
      <c r="G87" s="2521"/>
      <c r="H87" s="2521"/>
      <c r="I87" s="2521"/>
      <c r="J87" s="2521"/>
      <c r="K87" s="2521"/>
      <c r="L87" s="2521"/>
      <c r="M87" s="2521"/>
      <c r="N87" s="2521"/>
      <c r="O87" s="2521"/>
      <c r="P87" s="2521"/>
    </row>
    <row r="88" spans="1:18" ht="18.75" customHeight="1" x14ac:dyDescent="0.3">
      <c r="A88" s="2521"/>
      <c r="B88" s="3820" t="str">
        <f>'Вхідні дані'!B13</f>
        <v>Начальник Адміністрації морського порту Чорноморськ</v>
      </c>
      <c r="C88" s="3820"/>
      <c r="D88" s="3820"/>
      <c r="E88" s="3820"/>
      <c r="F88" s="2521"/>
      <c r="G88" s="3863" t="s">
        <v>285</v>
      </c>
      <c r="H88" s="3864"/>
      <c r="I88" s="3864"/>
      <c r="J88" s="2521"/>
      <c r="K88" s="2521"/>
      <c r="L88" s="2521"/>
      <c r="M88" s="3865" t="str">
        <f>'Вхідні дані'!F13</f>
        <v>Максим ШИРОКОВ</v>
      </c>
      <c r="N88" s="3865"/>
      <c r="O88" s="3865"/>
      <c r="P88" s="3865"/>
    </row>
    <row r="89" spans="1:18" x14ac:dyDescent="0.3">
      <c r="A89" s="2521"/>
      <c r="B89" s="2521"/>
      <c r="C89" s="3031" t="s">
        <v>241</v>
      </c>
      <c r="D89" s="3032"/>
      <c r="E89" s="2521"/>
      <c r="F89" s="2521"/>
      <c r="G89" s="3863" t="s">
        <v>219</v>
      </c>
      <c r="H89" s="3864"/>
      <c r="I89" s="3864"/>
      <c r="J89" s="2521"/>
      <c r="K89" s="2521"/>
      <c r="L89" s="2521"/>
      <c r="M89" s="3863" t="s">
        <v>239</v>
      </c>
      <c r="N89" s="3863"/>
      <c r="O89" s="3863"/>
      <c r="P89" s="3863"/>
    </row>
    <row r="93" spans="1:18" x14ac:dyDescent="0.3">
      <c r="L93" s="26" t="s">
        <v>829</v>
      </c>
    </row>
    <row r="95" spans="1:18" x14ac:dyDescent="0.3">
      <c r="B95" s="274" t="s">
        <v>785</v>
      </c>
      <c r="C95" s="274"/>
      <c r="D95" s="274"/>
      <c r="E95" s="274"/>
      <c r="F95" s="274"/>
      <c r="H95" s="275">
        <f>'Вхідні дані'!F7</f>
        <v>2021</v>
      </c>
      <c r="I95" s="274" t="s">
        <v>786</v>
      </c>
      <c r="J95" s="274"/>
      <c r="K95" s="274"/>
      <c r="L95" s="274"/>
      <c r="M95" s="274"/>
    </row>
    <row r="96" spans="1:18" ht="19.5" thickBot="1" x14ac:dyDescent="0.35"/>
    <row r="97" spans="2:16" x14ac:dyDescent="0.3">
      <c r="B97" s="3866" t="s">
        <v>8</v>
      </c>
      <c r="C97" s="3850" t="s">
        <v>9</v>
      </c>
      <c r="D97" s="3852" t="s">
        <v>766</v>
      </c>
      <c r="E97" s="3854" t="s">
        <v>767</v>
      </c>
      <c r="F97" s="3855"/>
      <c r="G97" s="3855"/>
      <c r="H97" s="3855"/>
      <c r="I97" s="3855"/>
      <c r="J97" s="3855"/>
      <c r="K97" s="3855"/>
      <c r="L97" s="3855"/>
      <c r="M97" s="3856"/>
    </row>
    <row r="98" spans="2:16" ht="102.75" thickBot="1" x14ac:dyDescent="0.35">
      <c r="B98" s="3867"/>
      <c r="C98" s="3851"/>
      <c r="D98" s="3853"/>
      <c r="E98" s="182" t="s">
        <v>768</v>
      </c>
      <c r="F98" s="182" t="s">
        <v>769</v>
      </c>
      <c r="G98" s="182" t="s">
        <v>773</v>
      </c>
      <c r="H98" s="182" t="s">
        <v>774</v>
      </c>
      <c r="I98" s="182" t="s">
        <v>775</v>
      </c>
      <c r="J98" s="182" t="s">
        <v>770</v>
      </c>
      <c r="K98" s="182" t="s">
        <v>771</v>
      </c>
      <c r="L98" s="182" t="s">
        <v>776</v>
      </c>
      <c r="M98" s="183" t="s">
        <v>772</v>
      </c>
    </row>
    <row r="99" spans="2:16" ht="25.5" x14ac:dyDescent="0.3">
      <c r="B99" s="179" t="s">
        <v>3147</v>
      </c>
      <c r="C99" s="1517" t="s">
        <v>764</v>
      </c>
      <c r="D99" s="1534">
        <f>SUM(E99:M99)</f>
        <v>859444</v>
      </c>
      <c r="E99" s="1529">
        <v>150844</v>
      </c>
      <c r="F99" s="1529">
        <v>640507</v>
      </c>
      <c r="G99" s="1529">
        <v>552</v>
      </c>
      <c r="H99" s="1529">
        <v>6157</v>
      </c>
      <c r="I99" s="1529">
        <v>58999</v>
      </c>
      <c r="J99" s="1529">
        <v>2385</v>
      </c>
      <c r="K99" s="1529">
        <v>0</v>
      </c>
      <c r="L99" s="1529">
        <v>0</v>
      </c>
      <c r="M99" s="1530">
        <v>0</v>
      </c>
    </row>
    <row r="100" spans="2:16" ht="25.5" x14ac:dyDescent="0.3">
      <c r="B100" s="180" t="s">
        <v>3148</v>
      </c>
      <c r="C100" s="107" t="s">
        <v>765</v>
      </c>
      <c r="D100" s="185">
        <f t="shared" ref="D100:D101" si="65">SUM(E100:M100)</f>
        <v>25900.04</v>
      </c>
      <c r="E100" s="186">
        <v>5127.04</v>
      </c>
      <c r="F100" s="186">
        <v>20773</v>
      </c>
      <c r="G100" s="186">
        <v>0</v>
      </c>
      <c r="H100" s="186">
        <v>0</v>
      </c>
      <c r="I100" s="186">
        <v>0</v>
      </c>
      <c r="J100" s="186">
        <v>0</v>
      </c>
      <c r="K100" s="186"/>
      <c r="L100" s="186">
        <v>0</v>
      </c>
      <c r="M100" s="1531">
        <v>0</v>
      </c>
    </row>
    <row r="101" spans="2:16" ht="25.5" x14ac:dyDescent="0.3">
      <c r="B101" s="180" t="s">
        <v>3149</v>
      </c>
      <c r="C101" s="107" t="s">
        <v>765</v>
      </c>
      <c r="D101" s="1535">
        <f t="shared" si="65"/>
        <v>0</v>
      </c>
      <c r="E101" s="186">
        <v>0</v>
      </c>
      <c r="F101" s="186">
        <v>0</v>
      </c>
      <c r="G101" s="186">
        <v>0</v>
      </c>
      <c r="H101" s="186">
        <v>0</v>
      </c>
      <c r="I101" s="186">
        <v>0</v>
      </c>
      <c r="J101" s="186">
        <v>0</v>
      </c>
      <c r="K101" s="186"/>
      <c r="L101" s="186">
        <v>0</v>
      </c>
      <c r="M101" s="1531">
        <v>0</v>
      </c>
    </row>
    <row r="102" spans="2:16" ht="38.25" x14ac:dyDescent="0.3">
      <c r="B102" s="180" t="s">
        <v>3150</v>
      </c>
      <c r="C102" s="107"/>
      <c r="D102" s="1532">
        <v>0.23307</v>
      </c>
      <c r="E102" s="1564">
        <v>0.64583999999999997</v>
      </c>
      <c r="F102" s="1564">
        <v>5.2060000000000002E-2</v>
      </c>
      <c r="G102" s="1564">
        <v>2.5699999999999998E-3</v>
      </c>
      <c r="H102" s="1564">
        <f>H100/H99</f>
        <v>0</v>
      </c>
      <c r="I102" s="1564">
        <f>I100/I99</f>
        <v>0</v>
      </c>
      <c r="J102" s="1564">
        <v>0</v>
      </c>
      <c r="K102" s="1564">
        <v>0</v>
      </c>
      <c r="L102" s="1564">
        <v>0</v>
      </c>
      <c r="M102" s="1564">
        <v>0</v>
      </c>
    </row>
    <row r="103" spans="2:16" ht="26.25" thickBot="1" x14ac:dyDescent="0.35">
      <c r="B103" s="181" t="s">
        <v>3151</v>
      </c>
      <c r="C103" s="187"/>
      <c r="D103" s="1533">
        <v>3.0929999999999999E-2</v>
      </c>
      <c r="E103" s="1583">
        <v>0.10109</v>
      </c>
      <c r="F103" s="1583">
        <v>1.2999999999999999E-4</v>
      </c>
      <c r="G103" s="1583">
        <f t="shared" ref="G103:I103" si="66">G101/G99</f>
        <v>0</v>
      </c>
      <c r="H103" s="1583">
        <f t="shared" si="66"/>
        <v>0</v>
      </c>
      <c r="I103" s="1583">
        <f t="shared" si="66"/>
        <v>0</v>
      </c>
      <c r="J103" s="1583">
        <v>0</v>
      </c>
      <c r="K103" s="1583">
        <v>0</v>
      </c>
      <c r="L103" s="1583">
        <v>0</v>
      </c>
      <c r="M103" s="1583">
        <v>0</v>
      </c>
    </row>
    <row r="105" spans="2:16" x14ac:dyDescent="0.3">
      <c r="E105" s="1343"/>
    </row>
    <row r="106" spans="2:16" x14ac:dyDescent="0.3">
      <c r="B106" s="1576"/>
      <c r="C106" s="1576"/>
      <c r="D106" s="1576"/>
      <c r="E106" s="1565"/>
      <c r="F106" s="1576"/>
    </row>
    <row r="108" spans="2:16" x14ac:dyDescent="0.3">
      <c r="N108" s="26" t="s">
        <v>829</v>
      </c>
    </row>
    <row r="110" spans="2:16" ht="31.5" customHeight="1" x14ac:dyDescent="0.3">
      <c r="B110" s="3849" t="s">
        <v>842</v>
      </c>
      <c r="C110" s="3849"/>
      <c r="D110" s="3849"/>
      <c r="E110" s="3849"/>
      <c r="F110" s="3849"/>
      <c r="G110" s="3849"/>
      <c r="H110" s="3849"/>
      <c r="I110" s="3849"/>
      <c r="J110" s="3849"/>
      <c r="K110" s="3849"/>
      <c r="L110" s="3849"/>
      <c r="M110" s="3849"/>
      <c r="N110" s="3849"/>
      <c r="O110" s="3849"/>
      <c r="P110" s="3849"/>
    </row>
    <row r="111" spans="2:16" ht="19.5" thickBot="1" x14ac:dyDescent="0.35"/>
    <row r="112" spans="2:16" ht="31.5" customHeight="1" thickBot="1" x14ac:dyDescent="0.35">
      <c r="B112" s="189" t="s">
        <v>8</v>
      </c>
      <c r="C112" s="199" t="s">
        <v>793</v>
      </c>
      <c r="D112" s="204" t="s">
        <v>787</v>
      </c>
      <c r="E112" s="200" t="s">
        <v>19</v>
      </c>
      <c r="F112" s="191" t="s">
        <v>20</v>
      </c>
      <c r="G112" s="191" t="s">
        <v>21</v>
      </c>
      <c r="H112" s="191" t="s">
        <v>10</v>
      </c>
      <c r="I112" s="191" t="s">
        <v>11</v>
      </c>
      <c r="J112" s="191" t="s">
        <v>12</v>
      </c>
      <c r="K112" s="191" t="s">
        <v>13</v>
      </c>
      <c r="L112" s="191" t="s">
        <v>139</v>
      </c>
      <c r="M112" s="191" t="s">
        <v>15</v>
      </c>
      <c r="N112" s="191" t="s">
        <v>16</v>
      </c>
      <c r="O112" s="191" t="s">
        <v>17</v>
      </c>
      <c r="P112" s="192" t="s">
        <v>18</v>
      </c>
    </row>
    <row r="113" spans="2:31" ht="27.75" thickBot="1" x14ac:dyDescent="0.35">
      <c r="B113" s="3606" t="s">
        <v>788</v>
      </c>
      <c r="C113" s="3607" t="s">
        <v>3155</v>
      </c>
      <c r="D113" s="3608"/>
      <c r="E113" s="3609"/>
      <c r="F113" s="3610"/>
      <c r="G113" s="3610"/>
      <c r="H113" s="3610"/>
      <c r="I113" s="3610"/>
      <c r="J113" s="3610"/>
      <c r="K113" s="3610"/>
      <c r="L113" s="3610"/>
      <c r="M113" s="3610"/>
      <c r="N113" s="3610"/>
      <c r="O113" s="3610"/>
      <c r="P113" s="3611"/>
    </row>
    <row r="114" spans="2:31" ht="19.5" thickBot="1" x14ac:dyDescent="0.35">
      <c r="B114" s="3612" t="s">
        <v>789</v>
      </c>
      <c r="C114" s="3613" t="s">
        <v>3154</v>
      </c>
      <c r="D114" s="3614">
        <f>SUM(E114:P114)</f>
        <v>27657</v>
      </c>
      <c r="E114" s="3022">
        <f>804</f>
        <v>804</v>
      </c>
      <c r="F114" s="3023">
        <v>2663</v>
      </c>
      <c r="G114" s="3023">
        <v>6256</v>
      </c>
      <c r="H114" s="3023">
        <v>4176</v>
      </c>
      <c r="I114" s="3023">
        <v>4073</v>
      </c>
      <c r="J114" s="3023">
        <v>4572</v>
      </c>
      <c r="K114" s="3023">
        <v>1127</v>
      </c>
      <c r="L114" s="3023">
        <v>689</v>
      </c>
      <c r="M114" s="3023">
        <v>837</v>
      </c>
      <c r="N114" s="3023">
        <v>798</v>
      </c>
      <c r="O114" s="3023">
        <v>761</v>
      </c>
      <c r="P114" s="3615">
        <v>901</v>
      </c>
      <c r="Q114" s="2509" t="s">
        <v>3156</v>
      </c>
      <c r="S114" s="200" t="s">
        <v>19</v>
      </c>
      <c r="T114" s="191" t="s">
        <v>20</v>
      </c>
      <c r="U114" s="191" t="s">
        <v>21</v>
      </c>
      <c r="V114" s="191" t="s">
        <v>10</v>
      </c>
      <c r="W114" s="191" t="s">
        <v>11</v>
      </c>
      <c r="X114" s="191" t="s">
        <v>12</v>
      </c>
      <c r="Y114" s="191" t="s">
        <v>13</v>
      </c>
      <c r="Z114" s="191" t="s">
        <v>139</v>
      </c>
      <c r="AA114" s="191" t="s">
        <v>15</v>
      </c>
      <c r="AB114" s="191" t="s">
        <v>16</v>
      </c>
      <c r="AC114" s="191" t="s">
        <v>17</v>
      </c>
      <c r="AD114" s="192" t="s">
        <v>18</v>
      </c>
    </row>
    <row r="115" spans="2:31" x14ac:dyDescent="0.3">
      <c r="B115" s="3612" t="s">
        <v>790</v>
      </c>
      <c r="C115" s="3831" t="s">
        <v>3235</v>
      </c>
      <c r="D115" s="3614">
        <f>SUM(E115:P115)</f>
        <v>568976</v>
      </c>
      <c r="E115" s="3616">
        <f>S117</f>
        <v>32620</v>
      </c>
      <c r="F115" s="3616">
        <f t="shared" ref="F115:P115" si="67">T117</f>
        <v>59465</v>
      </c>
      <c r="G115" s="3616">
        <f t="shared" si="67"/>
        <v>76614</v>
      </c>
      <c r="H115" s="3616">
        <f t="shared" si="67"/>
        <v>83609</v>
      </c>
      <c r="I115" s="3616">
        <f t="shared" si="67"/>
        <v>76263</v>
      </c>
      <c r="J115" s="3616">
        <f t="shared" si="67"/>
        <v>52261</v>
      </c>
      <c r="K115" s="3616">
        <f t="shared" si="67"/>
        <v>39678</v>
      </c>
      <c r="L115" s="3616">
        <f t="shared" si="67"/>
        <v>34692</v>
      </c>
      <c r="M115" s="3616">
        <f t="shared" si="67"/>
        <v>31672</v>
      </c>
      <c r="N115" s="3616">
        <f t="shared" si="67"/>
        <v>35218</v>
      </c>
      <c r="O115" s="3616">
        <f t="shared" si="67"/>
        <v>29693</v>
      </c>
      <c r="P115" s="3616">
        <f t="shared" si="67"/>
        <v>17191</v>
      </c>
      <c r="R115" s="1568">
        <f>SUM(S115:AD115)</f>
        <v>580589</v>
      </c>
      <c r="S115" s="2518">
        <f>32470+816</f>
        <v>33286</v>
      </c>
      <c r="T115" s="2518">
        <f>(59787+892)</f>
        <v>60679</v>
      </c>
      <c r="U115" s="2519">
        <f>(77735+443)</f>
        <v>78178</v>
      </c>
      <c r="V115" s="2519">
        <f>(83735+1580)</f>
        <v>85315</v>
      </c>
      <c r="W115" s="2519">
        <f>(76157+1662)</f>
        <v>77819</v>
      </c>
      <c r="X115" s="2519">
        <f>(51578+1750)</f>
        <v>53328</v>
      </c>
      <c r="Y115" s="2519">
        <f>(40061+427)</f>
        <v>40488</v>
      </c>
      <c r="Z115" s="2519">
        <f>(34538+862)</f>
        <v>35400</v>
      </c>
      <c r="AA115" s="2519">
        <f>(31604+714)</f>
        <v>32318</v>
      </c>
      <c r="AB115" s="2519">
        <f>(35184+753)</f>
        <v>35937</v>
      </c>
      <c r="AC115" s="2519">
        <f>(29535+764)</f>
        <v>30299</v>
      </c>
      <c r="AD115" s="2519">
        <f>(16764+778)</f>
        <v>17542</v>
      </c>
    </row>
    <row r="116" spans="2:31" x14ac:dyDescent="0.3">
      <c r="B116" s="3612" t="s">
        <v>791</v>
      </c>
      <c r="C116" s="3831"/>
      <c r="D116" s="3614">
        <f>SUM(E116:P116)</f>
        <v>11613</v>
      </c>
      <c r="E116" s="3616">
        <f>S116</f>
        <v>666</v>
      </c>
      <c r="F116" s="3616">
        <f t="shared" ref="F116:P116" si="68">T116</f>
        <v>1214</v>
      </c>
      <c r="G116" s="3616">
        <f t="shared" si="68"/>
        <v>1564</v>
      </c>
      <c r="H116" s="3616">
        <f t="shared" si="68"/>
        <v>1706</v>
      </c>
      <c r="I116" s="3616">
        <f t="shared" si="68"/>
        <v>1556</v>
      </c>
      <c r="J116" s="3616">
        <f t="shared" si="68"/>
        <v>1067</v>
      </c>
      <c r="K116" s="3616">
        <f t="shared" si="68"/>
        <v>810</v>
      </c>
      <c r="L116" s="3616">
        <f t="shared" si="68"/>
        <v>708</v>
      </c>
      <c r="M116" s="3616">
        <f t="shared" si="68"/>
        <v>646</v>
      </c>
      <c r="N116" s="3616">
        <f t="shared" si="68"/>
        <v>719</v>
      </c>
      <c r="O116" s="3616">
        <f t="shared" si="68"/>
        <v>606</v>
      </c>
      <c r="P116" s="3616">
        <f t="shared" si="68"/>
        <v>351</v>
      </c>
      <c r="R116" s="1568">
        <f>SUM(S116:AD116)</f>
        <v>11613</v>
      </c>
      <c r="S116" s="2518">
        <f>S115*$AE$116</f>
        <v>666</v>
      </c>
      <c r="T116" s="2518">
        <f t="shared" ref="T116:AD116" si="69">T115*$AE$116</f>
        <v>1214</v>
      </c>
      <c r="U116" s="2518">
        <f t="shared" si="69"/>
        <v>1564</v>
      </c>
      <c r="V116" s="2518">
        <f t="shared" si="69"/>
        <v>1706</v>
      </c>
      <c r="W116" s="2518">
        <f t="shared" si="69"/>
        <v>1556</v>
      </c>
      <c r="X116" s="2518">
        <f t="shared" si="69"/>
        <v>1067</v>
      </c>
      <c r="Y116" s="2518">
        <f t="shared" si="69"/>
        <v>810</v>
      </c>
      <c r="Z116" s="2518">
        <f t="shared" si="69"/>
        <v>708</v>
      </c>
      <c r="AA116" s="2518">
        <f t="shared" si="69"/>
        <v>646</v>
      </c>
      <c r="AB116" s="2518">
        <f t="shared" si="69"/>
        <v>719</v>
      </c>
      <c r="AC116" s="2518">
        <f t="shared" si="69"/>
        <v>606</v>
      </c>
      <c r="AD116" s="2518">
        <f t="shared" si="69"/>
        <v>351</v>
      </c>
      <c r="AE116" s="26">
        <v>0.02</v>
      </c>
    </row>
    <row r="117" spans="2:31" hidden="1" outlineLevel="1" x14ac:dyDescent="0.3">
      <c r="B117" s="3612"/>
      <c r="C117" s="3617"/>
      <c r="D117" s="3614">
        <f>SUM(E117:P117)</f>
        <v>0</v>
      </c>
      <c r="E117" s="3616">
        <v>0</v>
      </c>
      <c r="F117" s="3618">
        <v>0</v>
      </c>
      <c r="G117" s="3618">
        <v>0</v>
      </c>
      <c r="H117" s="3618">
        <v>0</v>
      </c>
      <c r="I117" s="3618">
        <v>0</v>
      </c>
      <c r="J117" s="3618">
        <v>0</v>
      </c>
      <c r="K117" s="3618">
        <v>0</v>
      </c>
      <c r="L117" s="3618">
        <v>0</v>
      </c>
      <c r="M117" s="3618">
        <v>0</v>
      </c>
      <c r="N117" s="3618">
        <v>0</v>
      </c>
      <c r="O117" s="3618">
        <v>0</v>
      </c>
      <c r="P117" s="3619">
        <v>0</v>
      </c>
      <c r="R117" s="1568">
        <f>SUM(S117:AD117)</f>
        <v>568976</v>
      </c>
      <c r="S117" s="2518">
        <f>S115-S116</f>
        <v>32620</v>
      </c>
      <c r="T117" s="2518">
        <f t="shared" ref="T117:AD117" si="70">T115-T116</f>
        <v>59465</v>
      </c>
      <c r="U117" s="2518">
        <f t="shared" si="70"/>
        <v>76614</v>
      </c>
      <c r="V117" s="2518">
        <f t="shared" si="70"/>
        <v>83609</v>
      </c>
      <c r="W117" s="2518">
        <f t="shared" si="70"/>
        <v>76263</v>
      </c>
      <c r="X117" s="2518">
        <f t="shared" si="70"/>
        <v>52261</v>
      </c>
      <c r="Y117" s="2518">
        <f t="shared" si="70"/>
        <v>39678</v>
      </c>
      <c r="Z117" s="2518">
        <f t="shared" si="70"/>
        <v>34692</v>
      </c>
      <c r="AA117" s="2518">
        <f t="shared" si="70"/>
        <v>31672</v>
      </c>
      <c r="AB117" s="2518">
        <f t="shared" si="70"/>
        <v>35218</v>
      </c>
      <c r="AC117" s="2518">
        <f t="shared" si="70"/>
        <v>29693</v>
      </c>
      <c r="AD117" s="2518">
        <f t="shared" si="70"/>
        <v>17191</v>
      </c>
    </row>
    <row r="118" spans="2:31" hidden="1" outlineLevel="1" x14ac:dyDescent="0.3">
      <c r="B118" s="3620"/>
      <c r="C118" s="3621"/>
      <c r="D118" s="3614">
        <f>SUM(E118:P118)</f>
        <v>0</v>
      </c>
      <c r="E118" s="3616"/>
      <c r="F118" s="3618"/>
      <c r="G118" s="3618"/>
      <c r="H118" s="3618"/>
      <c r="I118" s="3618"/>
      <c r="J118" s="3618"/>
      <c r="K118" s="3618"/>
      <c r="L118" s="3618"/>
      <c r="M118" s="3618"/>
      <c r="N118" s="3618"/>
      <c r="O118" s="3618"/>
      <c r="P118" s="3619"/>
      <c r="R118" s="1568"/>
    </row>
    <row r="119" spans="2:31" collapsed="1" x14ac:dyDescent="0.3">
      <c r="B119" s="193" t="s">
        <v>792</v>
      </c>
      <c r="C119" s="271" t="s">
        <v>841</v>
      </c>
      <c r="D119" s="1522">
        <f t="shared" ref="D119:P119" si="71">SUM(D114:D118)</f>
        <v>608246</v>
      </c>
      <c r="E119" s="202">
        <f t="shared" si="71"/>
        <v>34090</v>
      </c>
      <c r="F119" s="194">
        <f t="shared" si="71"/>
        <v>63342</v>
      </c>
      <c r="G119" s="194">
        <f t="shared" si="71"/>
        <v>84434</v>
      </c>
      <c r="H119" s="194">
        <f t="shared" si="71"/>
        <v>89491</v>
      </c>
      <c r="I119" s="194">
        <f t="shared" si="71"/>
        <v>81892</v>
      </c>
      <c r="J119" s="194">
        <f t="shared" si="71"/>
        <v>57900</v>
      </c>
      <c r="K119" s="194">
        <f t="shared" si="71"/>
        <v>41615</v>
      </c>
      <c r="L119" s="194">
        <f t="shared" si="71"/>
        <v>36089</v>
      </c>
      <c r="M119" s="194">
        <f t="shared" si="71"/>
        <v>33155</v>
      </c>
      <c r="N119" s="194">
        <f t="shared" si="71"/>
        <v>36735</v>
      </c>
      <c r="O119" s="194">
        <f t="shared" si="71"/>
        <v>31060</v>
      </c>
      <c r="P119" s="195">
        <f t="shared" si="71"/>
        <v>18443</v>
      </c>
    </row>
    <row r="120" spans="2:31" x14ac:dyDescent="0.3">
      <c r="B120" s="190" t="s">
        <v>794</v>
      </c>
      <c r="C120" s="271" t="s">
        <v>841</v>
      </c>
      <c r="D120" s="1521">
        <f>D119*0</f>
        <v>0</v>
      </c>
      <c r="E120" s="201">
        <f>E119*0</f>
        <v>0</v>
      </c>
      <c r="F120" s="201">
        <f t="shared" ref="F120:P120" si="72">F119*0</f>
        <v>0</v>
      </c>
      <c r="G120" s="201">
        <f t="shared" si="72"/>
        <v>0</v>
      </c>
      <c r="H120" s="201">
        <f t="shared" si="72"/>
        <v>0</v>
      </c>
      <c r="I120" s="201">
        <f t="shared" si="72"/>
        <v>0</v>
      </c>
      <c r="J120" s="201">
        <f t="shared" si="72"/>
        <v>0</v>
      </c>
      <c r="K120" s="201">
        <f t="shared" si="72"/>
        <v>0</v>
      </c>
      <c r="L120" s="201">
        <f t="shared" si="72"/>
        <v>0</v>
      </c>
      <c r="M120" s="201">
        <f t="shared" si="72"/>
        <v>0</v>
      </c>
      <c r="N120" s="201">
        <f t="shared" si="72"/>
        <v>0</v>
      </c>
      <c r="O120" s="201">
        <f t="shared" si="72"/>
        <v>0</v>
      </c>
      <c r="P120" s="201">
        <f t="shared" si="72"/>
        <v>0</v>
      </c>
    </row>
    <row r="121" spans="2:31" ht="27.75" thickBot="1" x14ac:dyDescent="0.35">
      <c r="B121" s="196" t="s">
        <v>795</v>
      </c>
      <c r="C121" s="271" t="s">
        <v>841</v>
      </c>
      <c r="D121" s="205">
        <f>D119+D120</f>
        <v>608246</v>
      </c>
      <c r="E121" s="203">
        <f t="shared" ref="E121:P121" si="73">E119+E120</f>
        <v>34090</v>
      </c>
      <c r="F121" s="197">
        <f t="shared" si="73"/>
        <v>63342</v>
      </c>
      <c r="G121" s="197">
        <f t="shared" si="73"/>
        <v>84434</v>
      </c>
      <c r="H121" s="197">
        <f t="shared" si="73"/>
        <v>89491</v>
      </c>
      <c r="I121" s="197">
        <f t="shared" si="73"/>
        <v>81892</v>
      </c>
      <c r="J121" s="197">
        <f t="shared" si="73"/>
        <v>57900</v>
      </c>
      <c r="K121" s="197">
        <f t="shared" si="73"/>
        <v>41615</v>
      </c>
      <c r="L121" s="197">
        <f t="shared" si="73"/>
        <v>36089</v>
      </c>
      <c r="M121" s="197">
        <f t="shared" si="73"/>
        <v>33155</v>
      </c>
      <c r="N121" s="197">
        <f t="shared" si="73"/>
        <v>36735</v>
      </c>
      <c r="O121" s="197">
        <f t="shared" si="73"/>
        <v>31060</v>
      </c>
      <c r="P121" s="206">
        <f t="shared" si="73"/>
        <v>18443</v>
      </c>
    </row>
    <row r="122" spans="2:31" ht="41.25" customHeight="1" x14ac:dyDescent="0.3">
      <c r="B122" s="219" t="s">
        <v>3157</v>
      </c>
      <c r="C122" s="208" t="s">
        <v>22</v>
      </c>
      <c r="D122" s="211">
        <f>SUM(E122:P122)</f>
        <v>13067.43</v>
      </c>
      <c r="E122" s="184">
        <f>E123+E124</f>
        <v>367.96</v>
      </c>
      <c r="F122" s="184">
        <f t="shared" ref="F122:P122" si="74">F123+F124</f>
        <v>1644.68</v>
      </c>
      <c r="G122" s="184">
        <f t="shared" si="74"/>
        <v>2137.44</v>
      </c>
      <c r="H122" s="184">
        <f t="shared" si="74"/>
        <v>2615.37</v>
      </c>
      <c r="I122" s="184">
        <f t="shared" si="74"/>
        <v>1981.09</v>
      </c>
      <c r="J122" s="184">
        <f t="shared" si="74"/>
        <v>2019.96</v>
      </c>
      <c r="K122" s="184">
        <f t="shared" si="74"/>
        <v>465.46</v>
      </c>
      <c r="L122" s="184">
        <f t="shared" si="74"/>
        <v>443.53</v>
      </c>
      <c r="M122" s="184">
        <f t="shared" si="74"/>
        <v>358.59</v>
      </c>
      <c r="N122" s="184">
        <f t="shared" si="74"/>
        <v>344.56</v>
      </c>
      <c r="O122" s="184">
        <f t="shared" si="74"/>
        <v>345.56</v>
      </c>
      <c r="P122" s="212">
        <f t="shared" si="74"/>
        <v>343.23</v>
      </c>
    </row>
    <row r="123" spans="2:31" x14ac:dyDescent="0.3">
      <c r="B123" s="220" t="s">
        <v>631</v>
      </c>
      <c r="C123" s="209" t="s">
        <v>22</v>
      </c>
      <c r="D123" s="207">
        <f>SUM(E123:P123)</f>
        <v>1395.04</v>
      </c>
      <c r="E123" s="185">
        <f>'Розрахунки Річного плану'!M180</f>
        <v>60.11</v>
      </c>
      <c r="F123" s="185">
        <f>'Розрахунки Річного плану'!N180</f>
        <v>156.85</v>
      </c>
      <c r="G123" s="185">
        <f>'Розрахунки Річного плану'!O180</f>
        <v>200.07</v>
      </c>
      <c r="H123" s="185">
        <f>'Розрахунки Річного плану'!D180</f>
        <v>243.61</v>
      </c>
      <c r="I123" s="185">
        <f>'Розрахунки Річного плану'!E180</f>
        <v>177.74</v>
      </c>
      <c r="J123" s="185">
        <f>'Розрахунки Річного плану'!F180</f>
        <v>188.28</v>
      </c>
      <c r="K123" s="185">
        <f>'Розрахунки Річного плану'!G180</f>
        <v>69.08</v>
      </c>
      <c r="L123" s="185">
        <f>'Розрахунки Річного плану'!H180</f>
        <v>70.34</v>
      </c>
      <c r="M123" s="185">
        <f>'Розрахунки Річного плану'!I180</f>
        <v>58.51</v>
      </c>
      <c r="N123" s="185">
        <f>'Розрахунки Річного плану'!J180</f>
        <v>57.08</v>
      </c>
      <c r="O123" s="185">
        <f>'Розрахунки Річного плану'!K180</f>
        <v>56.94</v>
      </c>
      <c r="P123" s="185">
        <f>'Розрахунки Річного плану'!L180</f>
        <v>56.43</v>
      </c>
    </row>
    <row r="124" spans="2:31" x14ac:dyDescent="0.3">
      <c r="B124" s="220" t="s">
        <v>630</v>
      </c>
      <c r="C124" s="209" t="s">
        <v>22</v>
      </c>
      <c r="D124" s="207">
        <f>SUM(E124:P124)</f>
        <v>11672.39</v>
      </c>
      <c r="E124" s="185">
        <f>'Розрахунки Річного плану'!M181</f>
        <v>307.85000000000002</v>
      </c>
      <c r="F124" s="185">
        <f>'Розрахунки Річного плану'!N181</f>
        <v>1487.83</v>
      </c>
      <c r="G124" s="185">
        <f>'Розрахунки Річного плану'!O181</f>
        <v>1937.37</v>
      </c>
      <c r="H124" s="185">
        <f>'Розрахунки Річного плану'!D181</f>
        <v>2371.7600000000002</v>
      </c>
      <c r="I124" s="185">
        <f>'Розрахунки Річного плану'!E181</f>
        <v>1803.35</v>
      </c>
      <c r="J124" s="185">
        <f>'Розрахунки Річного плану'!F181</f>
        <v>1831.68</v>
      </c>
      <c r="K124" s="185">
        <f>'Розрахунки Річного плану'!G181</f>
        <v>396.38</v>
      </c>
      <c r="L124" s="185">
        <f>'Розрахунки Річного плану'!H181</f>
        <v>373.19</v>
      </c>
      <c r="M124" s="185">
        <f>'Розрахунки Річного плану'!I181</f>
        <v>300.08</v>
      </c>
      <c r="N124" s="185">
        <f>'Розрахунки Річного плану'!J181</f>
        <v>287.48</v>
      </c>
      <c r="O124" s="185">
        <f>'Розрахунки Річного плану'!K181</f>
        <v>288.62</v>
      </c>
      <c r="P124" s="185">
        <f>'Розрахунки Річного плану'!L181</f>
        <v>286.8</v>
      </c>
    </row>
    <row r="125" spans="2:31" x14ac:dyDescent="0.3">
      <c r="B125" s="220" t="s">
        <v>631</v>
      </c>
      <c r="C125" s="209" t="s">
        <v>4</v>
      </c>
      <c r="D125" s="214">
        <f>D123/D122</f>
        <v>0.10680000000000001</v>
      </c>
      <c r="E125" s="215">
        <f>E123/E122</f>
        <v>0.16339999999999999</v>
      </c>
      <c r="F125" s="215">
        <f t="shared" ref="F125:K125" si="75">F123/F122</f>
        <v>9.5399999999999999E-2</v>
      </c>
      <c r="G125" s="215">
        <f t="shared" si="75"/>
        <v>9.3600000000000003E-2</v>
      </c>
      <c r="H125" s="215">
        <f t="shared" si="75"/>
        <v>9.3100000000000002E-2</v>
      </c>
      <c r="I125" s="215">
        <f t="shared" si="75"/>
        <v>8.9700000000000002E-2</v>
      </c>
      <c r="J125" s="215">
        <f t="shared" si="75"/>
        <v>9.3200000000000005E-2</v>
      </c>
      <c r="K125" s="215">
        <f t="shared" si="75"/>
        <v>0.1484</v>
      </c>
      <c r="L125" s="215">
        <f>D125</f>
        <v>0.10680000000000001</v>
      </c>
      <c r="M125" s="215">
        <f>D125</f>
        <v>0.10680000000000001</v>
      </c>
      <c r="N125" s="215">
        <f>E125</f>
        <v>0.16339999999999999</v>
      </c>
      <c r="O125" s="215">
        <f>F125</f>
        <v>9.5399999999999999E-2</v>
      </c>
      <c r="P125" s="216">
        <f>G125</f>
        <v>9.3600000000000003E-2</v>
      </c>
    </row>
    <row r="126" spans="2:31" x14ac:dyDescent="0.3">
      <c r="B126" s="220" t="s">
        <v>630</v>
      </c>
      <c r="C126" s="209" t="s">
        <v>4</v>
      </c>
      <c r="D126" s="214">
        <f>D124/D122</f>
        <v>0.89319999999999999</v>
      </c>
      <c r="E126" s="215">
        <f t="shared" ref="E126:K126" si="76">E124/E122</f>
        <v>0.83660000000000001</v>
      </c>
      <c r="F126" s="215">
        <f t="shared" si="76"/>
        <v>0.90459999999999996</v>
      </c>
      <c r="G126" s="215">
        <f t="shared" si="76"/>
        <v>0.90639999999999998</v>
      </c>
      <c r="H126" s="215">
        <f t="shared" si="76"/>
        <v>0.90690000000000004</v>
      </c>
      <c r="I126" s="215">
        <f t="shared" si="76"/>
        <v>0.9103</v>
      </c>
      <c r="J126" s="215">
        <f t="shared" si="76"/>
        <v>0.90680000000000005</v>
      </c>
      <c r="K126" s="215">
        <f t="shared" si="76"/>
        <v>0.85160000000000002</v>
      </c>
      <c r="L126" s="215">
        <f>D126</f>
        <v>0.89319999999999999</v>
      </c>
      <c r="M126" s="215">
        <f>E126</f>
        <v>0.83660000000000001</v>
      </c>
      <c r="N126" s="215">
        <f>F126</f>
        <v>0.90459999999999996</v>
      </c>
      <c r="O126" s="215">
        <f>G126</f>
        <v>0.90639999999999998</v>
      </c>
      <c r="P126" s="216">
        <f>H126</f>
        <v>0.90690000000000004</v>
      </c>
    </row>
    <row r="127" spans="2:31" ht="74.25" customHeight="1" x14ac:dyDescent="0.3">
      <c r="B127" s="221" t="s">
        <v>3159</v>
      </c>
      <c r="C127" s="272" t="s">
        <v>841</v>
      </c>
      <c r="D127" s="207">
        <f t="shared" ref="D127:P127" si="77">D115+D116+D118</f>
        <v>580589</v>
      </c>
      <c r="E127" s="185">
        <f t="shared" si="77"/>
        <v>33286</v>
      </c>
      <c r="F127" s="185">
        <f t="shared" si="77"/>
        <v>60679</v>
      </c>
      <c r="G127" s="185">
        <f t="shared" si="77"/>
        <v>78178</v>
      </c>
      <c r="H127" s="185">
        <f t="shared" si="77"/>
        <v>85315</v>
      </c>
      <c r="I127" s="185">
        <f t="shared" si="77"/>
        <v>77819</v>
      </c>
      <c r="J127" s="185">
        <f t="shared" si="77"/>
        <v>53328</v>
      </c>
      <c r="K127" s="185">
        <f t="shared" si="77"/>
        <v>40488</v>
      </c>
      <c r="L127" s="185">
        <f t="shared" si="77"/>
        <v>35400</v>
      </c>
      <c r="M127" s="185">
        <f t="shared" si="77"/>
        <v>32318</v>
      </c>
      <c r="N127" s="185">
        <f t="shared" si="77"/>
        <v>35937</v>
      </c>
      <c r="O127" s="185">
        <f t="shared" si="77"/>
        <v>30299</v>
      </c>
      <c r="P127" s="213">
        <f t="shared" si="77"/>
        <v>17542</v>
      </c>
    </row>
    <row r="128" spans="2:31" x14ac:dyDescent="0.3">
      <c r="B128" s="220" t="s">
        <v>796</v>
      </c>
      <c r="C128" s="272" t="s">
        <v>841</v>
      </c>
      <c r="D128" s="207">
        <f>SUM(E128:P128)</f>
        <v>62083.79</v>
      </c>
      <c r="E128" s="185">
        <f>E127*E125</f>
        <v>5438.93</v>
      </c>
      <c r="F128" s="185">
        <f t="shared" ref="F128:P128" si="78">F127*F125</f>
        <v>5788.78</v>
      </c>
      <c r="G128" s="185">
        <f t="shared" si="78"/>
        <v>7317.46</v>
      </c>
      <c r="H128" s="185">
        <f t="shared" si="78"/>
        <v>7942.83</v>
      </c>
      <c r="I128" s="185">
        <f t="shared" si="78"/>
        <v>6980.36</v>
      </c>
      <c r="J128" s="185">
        <f t="shared" si="78"/>
        <v>4970.17</v>
      </c>
      <c r="K128" s="185">
        <f t="shared" si="78"/>
        <v>6008.42</v>
      </c>
      <c r="L128" s="185">
        <f t="shared" si="78"/>
        <v>3780.72</v>
      </c>
      <c r="M128" s="185">
        <f t="shared" si="78"/>
        <v>3451.56</v>
      </c>
      <c r="N128" s="185">
        <f t="shared" si="78"/>
        <v>5872.11</v>
      </c>
      <c r="O128" s="185">
        <f t="shared" si="78"/>
        <v>2890.52</v>
      </c>
      <c r="P128" s="213">
        <f t="shared" si="78"/>
        <v>1641.93</v>
      </c>
    </row>
    <row r="129" spans="2:20" x14ac:dyDescent="0.3">
      <c r="B129" s="220" t="s">
        <v>797</v>
      </c>
      <c r="C129" s="272" t="s">
        <v>841</v>
      </c>
      <c r="D129" s="207">
        <f>SUM(E129:P129)</f>
        <v>518505.21</v>
      </c>
      <c r="E129" s="185">
        <f t="shared" ref="E129:P129" si="79">E127-E128</f>
        <v>27847.07</v>
      </c>
      <c r="F129" s="185">
        <f t="shared" si="79"/>
        <v>54890.22</v>
      </c>
      <c r="G129" s="185">
        <f t="shared" si="79"/>
        <v>70860.539999999994</v>
      </c>
      <c r="H129" s="185">
        <f t="shared" si="79"/>
        <v>77372.17</v>
      </c>
      <c r="I129" s="185">
        <f t="shared" si="79"/>
        <v>70838.64</v>
      </c>
      <c r="J129" s="185">
        <f t="shared" si="79"/>
        <v>48357.83</v>
      </c>
      <c r="K129" s="185">
        <f t="shared" si="79"/>
        <v>34479.58</v>
      </c>
      <c r="L129" s="185">
        <f t="shared" si="79"/>
        <v>31619.279999999999</v>
      </c>
      <c r="M129" s="185">
        <f t="shared" si="79"/>
        <v>28866.44</v>
      </c>
      <c r="N129" s="185">
        <f t="shared" si="79"/>
        <v>30064.89</v>
      </c>
      <c r="O129" s="185">
        <f t="shared" si="79"/>
        <v>27408.48</v>
      </c>
      <c r="P129" s="213">
        <f t="shared" si="79"/>
        <v>15900.07</v>
      </c>
    </row>
    <row r="130" spans="2:20" ht="45.75" customHeight="1" x14ac:dyDescent="0.3">
      <c r="B130" s="221" t="s">
        <v>3160</v>
      </c>
      <c r="C130" s="272" t="s">
        <v>841</v>
      </c>
      <c r="D130" s="224">
        <f t="shared" ref="D130:P130" si="80">D114</f>
        <v>27657</v>
      </c>
      <c r="E130" s="217">
        <f t="shared" si="80"/>
        <v>804</v>
      </c>
      <c r="F130" s="217">
        <f t="shared" si="80"/>
        <v>2663</v>
      </c>
      <c r="G130" s="217">
        <f t="shared" si="80"/>
        <v>6256</v>
      </c>
      <c r="H130" s="217">
        <f t="shared" si="80"/>
        <v>4176</v>
      </c>
      <c r="I130" s="217">
        <f t="shared" si="80"/>
        <v>4073</v>
      </c>
      <c r="J130" s="217">
        <f t="shared" si="80"/>
        <v>4572</v>
      </c>
      <c r="K130" s="217">
        <f t="shared" si="80"/>
        <v>1127</v>
      </c>
      <c r="L130" s="217">
        <f t="shared" si="80"/>
        <v>689</v>
      </c>
      <c r="M130" s="217">
        <f t="shared" si="80"/>
        <v>837</v>
      </c>
      <c r="N130" s="217">
        <f t="shared" si="80"/>
        <v>798</v>
      </c>
      <c r="O130" s="217">
        <f t="shared" si="80"/>
        <v>761</v>
      </c>
      <c r="P130" s="218">
        <f t="shared" si="80"/>
        <v>901</v>
      </c>
    </row>
    <row r="131" spans="2:20" x14ac:dyDescent="0.3">
      <c r="B131" s="221"/>
      <c r="C131" s="272"/>
      <c r="D131" s="224">
        <f t="shared" ref="D131:P131" si="81">D117</f>
        <v>0</v>
      </c>
      <c r="E131" s="217">
        <f t="shared" si="81"/>
        <v>0</v>
      </c>
      <c r="F131" s="217">
        <f t="shared" si="81"/>
        <v>0</v>
      </c>
      <c r="G131" s="217">
        <f t="shared" si="81"/>
        <v>0</v>
      </c>
      <c r="H131" s="217">
        <f t="shared" si="81"/>
        <v>0</v>
      </c>
      <c r="I131" s="217">
        <f t="shared" si="81"/>
        <v>0</v>
      </c>
      <c r="J131" s="217">
        <f t="shared" si="81"/>
        <v>0</v>
      </c>
      <c r="K131" s="217">
        <f t="shared" si="81"/>
        <v>0</v>
      </c>
      <c r="L131" s="217">
        <f t="shared" si="81"/>
        <v>0</v>
      </c>
      <c r="M131" s="217">
        <f t="shared" si="81"/>
        <v>0</v>
      </c>
      <c r="N131" s="217">
        <f t="shared" si="81"/>
        <v>0</v>
      </c>
      <c r="O131" s="217">
        <f t="shared" si="81"/>
        <v>0</v>
      </c>
      <c r="P131" s="218">
        <f t="shared" si="81"/>
        <v>0</v>
      </c>
    </row>
    <row r="132" spans="2:20" ht="27" x14ac:dyDescent="0.3">
      <c r="B132" s="222" t="s">
        <v>798</v>
      </c>
      <c r="C132" s="272" t="s">
        <v>841</v>
      </c>
      <c r="D132" s="224">
        <f>D130+D128</f>
        <v>89740.79</v>
      </c>
      <c r="E132" s="217">
        <f>E130+E128</f>
        <v>6242.93</v>
      </c>
      <c r="F132" s="217">
        <f t="shared" ref="F132:P132" si="82">F130+F128</f>
        <v>8451.7800000000007</v>
      </c>
      <c r="G132" s="217">
        <f t="shared" si="82"/>
        <v>13573.46</v>
      </c>
      <c r="H132" s="217">
        <f t="shared" si="82"/>
        <v>12118.83</v>
      </c>
      <c r="I132" s="217">
        <f t="shared" si="82"/>
        <v>11053.36</v>
      </c>
      <c r="J132" s="217">
        <f t="shared" si="82"/>
        <v>9542.17</v>
      </c>
      <c r="K132" s="217">
        <f t="shared" si="82"/>
        <v>7135.42</v>
      </c>
      <c r="L132" s="217">
        <f t="shared" si="82"/>
        <v>4469.72</v>
      </c>
      <c r="M132" s="217">
        <f t="shared" si="82"/>
        <v>4288.5600000000004</v>
      </c>
      <c r="N132" s="217">
        <f t="shared" si="82"/>
        <v>6670.11</v>
      </c>
      <c r="O132" s="217">
        <f t="shared" si="82"/>
        <v>3651.52</v>
      </c>
      <c r="P132" s="218">
        <f t="shared" si="82"/>
        <v>2542.9299999999998</v>
      </c>
    </row>
    <row r="133" spans="2:20" ht="27" x14ac:dyDescent="0.3">
      <c r="B133" s="222" t="s">
        <v>800</v>
      </c>
      <c r="C133" s="272" t="s">
        <v>841</v>
      </c>
      <c r="D133" s="224">
        <f>D129+D131</f>
        <v>518505.21</v>
      </c>
      <c r="E133" s="217">
        <f>E129+E131</f>
        <v>27847.07</v>
      </c>
      <c r="F133" s="217">
        <f t="shared" ref="F133:P133" si="83">F129+F131</f>
        <v>54890.22</v>
      </c>
      <c r="G133" s="217">
        <f t="shared" si="83"/>
        <v>70860.539999999994</v>
      </c>
      <c r="H133" s="217">
        <f t="shared" si="83"/>
        <v>77372.17</v>
      </c>
      <c r="I133" s="217">
        <f t="shared" si="83"/>
        <v>70838.64</v>
      </c>
      <c r="J133" s="217">
        <f t="shared" si="83"/>
        <v>48357.83</v>
      </c>
      <c r="K133" s="217">
        <f t="shared" si="83"/>
        <v>34479.58</v>
      </c>
      <c r="L133" s="217">
        <f t="shared" si="83"/>
        <v>31619.279999999999</v>
      </c>
      <c r="M133" s="217">
        <f t="shared" si="83"/>
        <v>28866.44</v>
      </c>
      <c r="N133" s="217">
        <f t="shared" si="83"/>
        <v>30064.89</v>
      </c>
      <c r="O133" s="217">
        <f t="shared" si="83"/>
        <v>27408.48</v>
      </c>
      <c r="P133" s="218">
        <f t="shared" si="83"/>
        <v>15900.07</v>
      </c>
    </row>
    <row r="134" spans="2:20" ht="27" x14ac:dyDescent="0.3">
      <c r="B134" s="222" t="s">
        <v>799</v>
      </c>
      <c r="C134" s="272" t="s">
        <v>841</v>
      </c>
      <c r="D134" s="225">
        <f>D132</f>
        <v>89740.79</v>
      </c>
      <c r="E134" s="226">
        <f>E132</f>
        <v>6242.93</v>
      </c>
      <c r="F134" s="226">
        <f t="shared" ref="F134:P134" si="84">F132</f>
        <v>8451.7800000000007</v>
      </c>
      <c r="G134" s="226">
        <f t="shared" si="84"/>
        <v>13573.46</v>
      </c>
      <c r="H134" s="226">
        <f t="shared" si="84"/>
        <v>12118.83</v>
      </c>
      <c r="I134" s="226">
        <f t="shared" si="84"/>
        <v>11053.36</v>
      </c>
      <c r="J134" s="226">
        <f t="shared" si="84"/>
        <v>9542.17</v>
      </c>
      <c r="K134" s="226">
        <f t="shared" si="84"/>
        <v>7135.42</v>
      </c>
      <c r="L134" s="226">
        <f t="shared" si="84"/>
        <v>4469.72</v>
      </c>
      <c r="M134" s="226">
        <f t="shared" si="84"/>
        <v>4288.5600000000004</v>
      </c>
      <c r="N134" s="226">
        <f t="shared" si="84"/>
        <v>6670.11</v>
      </c>
      <c r="O134" s="226">
        <f t="shared" si="84"/>
        <v>3651.52</v>
      </c>
      <c r="P134" s="226">
        <f t="shared" si="84"/>
        <v>2542.9299999999998</v>
      </c>
      <c r="R134" s="1568"/>
    </row>
    <row r="135" spans="2:20" ht="27.75" thickBot="1" x14ac:dyDescent="0.35">
      <c r="B135" s="223" t="s">
        <v>801</v>
      </c>
      <c r="C135" s="210" t="s">
        <v>841</v>
      </c>
      <c r="D135" s="2520">
        <f>D133</f>
        <v>518505.21</v>
      </c>
      <c r="E135" s="2520">
        <f t="shared" ref="E135:P135" si="85">E133</f>
        <v>27847.07</v>
      </c>
      <c r="F135" s="2520">
        <f t="shared" si="85"/>
        <v>54890.22</v>
      </c>
      <c r="G135" s="2520">
        <f t="shared" si="85"/>
        <v>70860.539999999994</v>
      </c>
      <c r="H135" s="2520">
        <f t="shared" si="85"/>
        <v>77372.17</v>
      </c>
      <c r="I135" s="2520">
        <f t="shared" si="85"/>
        <v>70838.64</v>
      </c>
      <c r="J135" s="2520">
        <f t="shared" si="85"/>
        <v>48357.83</v>
      </c>
      <c r="K135" s="2520">
        <f t="shared" si="85"/>
        <v>34479.58</v>
      </c>
      <c r="L135" s="2520">
        <f t="shared" si="85"/>
        <v>31619.279999999999</v>
      </c>
      <c r="M135" s="2520">
        <f t="shared" si="85"/>
        <v>28866.44</v>
      </c>
      <c r="N135" s="2520">
        <f t="shared" si="85"/>
        <v>30064.89</v>
      </c>
      <c r="O135" s="2520">
        <f t="shared" si="85"/>
        <v>27408.48</v>
      </c>
      <c r="P135" s="2520">
        <f t="shared" si="85"/>
        <v>15900.07</v>
      </c>
      <c r="R135" s="1568"/>
    </row>
    <row r="138" spans="2:20" x14ac:dyDescent="0.3">
      <c r="B138" s="1576"/>
      <c r="C138" s="1576"/>
      <c r="D138" s="1576"/>
      <c r="E138" s="1576"/>
      <c r="F138" s="1576"/>
      <c r="G138" s="1576"/>
      <c r="H138" s="1576"/>
      <c r="I138" s="1576"/>
      <c r="J138" s="1576"/>
      <c r="K138" s="1576"/>
      <c r="L138" s="1576"/>
      <c r="M138" s="1576"/>
      <c r="N138" s="1576"/>
      <c r="O138" s="1576"/>
      <c r="P138" s="1576"/>
    </row>
    <row r="141" spans="2:20" x14ac:dyDescent="0.3">
      <c r="D141" s="1577">
        <f>D134+D135-D121</f>
        <v>0</v>
      </c>
      <c r="E141" s="1577">
        <f>E134+E135-E121</f>
        <v>0</v>
      </c>
      <c r="F141" s="1577">
        <f t="shared" ref="F141:P141" si="86">F134+F135-F121</f>
        <v>0</v>
      </c>
      <c r="G141" s="1577">
        <f t="shared" si="86"/>
        <v>0</v>
      </c>
      <c r="H141" s="1577">
        <f t="shared" si="86"/>
        <v>0</v>
      </c>
      <c r="I141" s="1577">
        <f t="shared" si="86"/>
        <v>0</v>
      </c>
      <c r="J141" s="1577">
        <f t="shared" si="86"/>
        <v>0</v>
      </c>
      <c r="K141" s="1577">
        <f t="shared" si="86"/>
        <v>0</v>
      </c>
      <c r="L141" s="1577">
        <f t="shared" si="86"/>
        <v>0</v>
      </c>
      <c r="M141" s="1577">
        <f t="shared" si="86"/>
        <v>0</v>
      </c>
      <c r="N141" s="1577">
        <f t="shared" si="86"/>
        <v>0</v>
      </c>
      <c r="O141" s="1577">
        <f t="shared" si="86"/>
        <v>0</v>
      </c>
      <c r="P141" s="1577">
        <f t="shared" si="86"/>
        <v>0</v>
      </c>
      <c r="T141" s="1343">
        <v>0</v>
      </c>
    </row>
    <row r="144" spans="2:20" x14ac:dyDescent="0.3">
      <c r="N144" s="26" t="s">
        <v>843</v>
      </c>
    </row>
    <row r="146" spans="2:17" x14ac:dyDescent="0.3">
      <c r="B146" s="3809" t="s">
        <v>450</v>
      </c>
      <c r="C146" s="3809"/>
      <c r="D146" s="3809"/>
      <c r="E146" s="3809"/>
      <c r="F146" s="3809"/>
      <c r="G146" s="3809"/>
      <c r="H146" s="3809"/>
      <c r="I146" s="3809"/>
      <c r="J146" s="3809"/>
      <c r="K146" s="3836"/>
      <c r="L146" s="3836"/>
      <c r="M146" s="3836"/>
      <c r="N146" s="3836"/>
      <c r="O146" s="3836"/>
      <c r="P146" s="3836"/>
      <c r="Q146" s="155"/>
    </row>
    <row r="147" spans="2:17" x14ac:dyDescent="0.3">
      <c r="B147" s="3837" t="s">
        <v>844</v>
      </c>
      <c r="C147" s="3837"/>
      <c r="D147" s="3837"/>
      <c r="E147" s="3837"/>
      <c r="F147" s="3837"/>
      <c r="G147" s="3837"/>
      <c r="H147" s="3837"/>
      <c r="I147" s="3837"/>
      <c r="J147" s="3837"/>
      <c r="K147" s="3837"/>
      <c r="L147" s="3837"/>
      <c r="M147" s="3837"/>
      <c r="N147" s="3837"/>
      <c r="O147" s="3837"/>
      <c r="P147" s="3837"/>
    </row>
    <row r="148" spans="2:17" ht="19.5" thickBot="1" x14ac:dyDescent="0.35">
      <c r="B148" s="3838" t="s">
        <v>220</v>
      </c>
      <c r="C148" s="3839"/>
      <c r="D148" s="3839"/>
      <c r="E148" s="3839"/>
      <c r="F148" s="3839"/>
      <c r="G148" s="3839"/>
      <c r="H148" s="3839"/>
      <c r="I148" s="3839"/>
      <c r="J148" s="3839"/>
      <c r="K148" s="3839"/>
      <c r="L148" s="3839"/>
      <c r="M148" s="3839"/>
      <c r="N148" s="3839"/>
      <c r="O148" s="3839"/>
      <c r="P148" s="3839"/>
      <c r="Q148" s="155"/>
    </row>
    <row r="149" spans="2:17" x14ac:dyDescent="0.3">
      <c r="B149" s="3840" t="s">
        <v>111</v>
      </c>
      <c r="C149" s="3832" t="s">
        <v>35</v>
      </c>
      <c r="D149" s="3622" t="s">
        <v>138</v>
      </c>
      <c r="E149" s="3832" t="s">
        <v>19</v>
      </c>
      <c r="F149" s="3832" t="s">
        <v>20</v>
      </c>
      <c r="G149" s="3832" t="s">
        <v>21</v>
      </c>
      <c r="H149" s="3832" t="s">
        <v>10</v>
      </c>
      <c r="I149" s="3832" t="s">
        <v>11</v>
      </c>
      <c r="J149" s="3832" t="s">
        <v>12</v>
      </c>
      <c r="K149" s="3832" t="s">
        <v>13</v>
      </c>
      <c r="L149" s="3832" t="s">
        <v>139</v>
      </c>
      <c r="M149" s="3832" t="s">
        <v>15</v>
      </c>
      <c r="N149" s="3832" t="s">
        <v>16</v>
      </c>
      <c r="O149" s="3832" t="s">
        <v>17</v>
      </c>
      <c r="P149" s="3834" t="s">
        <v>18</v>
      </c>
      <c r="Q149" s="155"/>
    </row>
    <row r="150" spans="2:17" x14ac:dyDescent="0.3">
      <c r="B150" s="3841"/>
      <c r="C150" s="3842"/>
      <c r="D150" s="2582" t="str">
        <f>'Вхідні дані'!$F$6</f>
        <v>2022-2023</v>
      </c>
      <c r="E150" s="3833"/>
      <c r="F150" s="3833"/>
      <c r="G150" s="3833"/>
      <c r="H150" s="3833"/>
      <c r="I150" s="3833"/>
      <c r="J150" s="3833"/>
      <c r="K150" s="3833"/>
      <c r="L150" s="3833"/>
      <c r="M150" s="3833"/>
      <c r="N150" s="3833"/>
      <c r="O150" s="3833"/>
      <c r="P150" s="3835"/>
      <c r="Q150" s="155"/>
    </row>
    <row r="151" spans="2:17" x14ac:dyDescent="0.3">
      <c r="B151" s="3623">
        <v>1</v>
      </c>
      <c r="C151" s="2582">
        <v>2</v>
      </c>
      <c r="D151" s="2582">
        <v>3</v>
      </c>
      <c r="E151" s="2582">
        <v>4</v>
      </c>
      <c r="F151" s="2582">
        <v>5</v>
      </c>
      <c r="G151" s="2582">
        <v>6</v>
      </c>
      <c r="H151" s="2582">
        <v>7</v>
      </c>
      <c r="I151" s="2582">
        <v>8</v>
      </c>
      <c r="J151" s="2582">
        <v>9</v>
      </c>
      <c r="K151" s="2582">
        <v>10</v>
      </c>
      <c r="L151" s="2582">
        <v>11</v>
      </c>
      <c r="M151" s="2582">
        <v>12</v>
      </c>
      <c r="N151" s="2582">
        <v>13</v>
      </c>
      <c r="O151" s="2582">
        <v>14</v>
      </c>
      <c r="P151" s="3624">
        <v>15</v>
      </c>
    </row>
    <row r="152" spans="2:17" ht="25.5" x14ac:dyDescent="0.3">
      <c r="B152" s="3625" t="s">
        <v>783</v>
      </c>
      <c r="C152" s="2582" t="s">
        <v>192</v>
      </c>
      <c r="D152" s="3023">
        <f>D153+D155+D154</f>
        <v>13.07</v>
      </c>
      <c r="E152" s="3023">
        <f t="shared" ref="E152:P152" si="87">E153+E155+E154</f>
        <v>1.17</v>
      </c>
      <c r="F152" s="3023">
        <f t="shared" si="87"/>
        <v>1.05</v>
      </c>
      <c r="G152" s="3023">
        <f t="shared" si="87"/>
        <v>1.18</v>
      </c>
      <c r="H152" s="3023">
        <f t="shared" si="87"/>
        <v>1.18</v>
      </c>
      <c r="I152" s="3023">
        <f t="shared" si="87"/>
        <v>1.06</v>
      </c>
      <c r="J152" s="3023">
        <f t="shared" si="87"/>
        <v>1.01</v>
      </c>
      <c r="K152" s="3023">
        <f t="shared" si="87"/>
        <v>1.02</v>
      </c>
      <c r="L152" s="3023">
        <f t="shared" si="87"/>
        <v>1.17</v>
      </c>
      <c r="M152" s="3023">
        <f t="shared" si="87"/>
        <v>1.1100000000000001</v>
      </c>
      <c r="N152" s="3023">
        <f t="shared" si="87"/>
        <v>1.02</v>
      </c>
      <c r="O152" s="3023">
        <f t="shared" si="87"/>
        <v>1.02</v>
      </c>
      <c r="P152" s="3615">
        <f t="shared" si="87"/>
        <v>1.08</v>
      </c>
    </row>
    <row r="153" spans="2:17" ht="25.5" x14ac:dyDescent="0.3">
      <c r="B153" s="3626" t="s">
        <v>1597</v>
      </c>
      <c r="C153" s="2582" t="s">
        <v>192</v>
      </c>
      <c r="D153" s="3023">
        <f>SUM(E153:P153)</f>
        <v>7.15</v>
      </c>
      <c r="E153" s="3023">
        <f>(O187+P187)/1000</f>
        <v>0.64</v>
      </c>
      <c r="F153" s="3023">
        <f>Q187/1000</f>
        <v>0.56999999999999995</v>
      </c>
      <c r="G153" s="3023">
        <f>R187/1000</f>
        <v>0.66</v>
      </c>
      <c r="H153" s="3023">
        <f>E187/1000</f>
        <v>0.63</v>
      </c>
      <c r="I153" s="3023">
        <f t="shared" ref="I153:J153" si="88">F187/1000</f>
        <v>0.57999999999999996</v>
      </c>
      <c r="J153" s="3023">
        <f t="shared" si="88"/>
        <v>0.55000000000000004</v>
      </c>
      <c r="K153" s="3023">
        <f>(H187+I187)/1000</f>
        <v>0.56000000000000005</v>
      </c>
      <c r="L153" s="3023">
        <f>J187/1000</f>
        <v>0.64</v>
      </c>
      <c r="M153" s="3023">
        <f t="shared" ref="M153:P153" si="89">K187/1000</f>
        <v>0.61</v>
      </c>
      <c r="N153" s="3023">
        <f t="shared" si="89"/>
        <v>0.56000000000000005</v>
      </c>
      <c r="O153" s="3023">
        <f t="shared" si="89"/>
        <v>0.56000000000000005</v>
      </c>
      <c r="P153" s="3023">
        <f t="shared" si="89"/>
        <v>0.59</v>
      </c>
      <c r="Q153" s="155"/>
    </row>
    <row r="154" spans="2:17" x14ac:dyDescent="0.3">
      <c r="B154" s="3626" t="s">
        <v>1598</v>
      </c>
      <c r="C154" s="2582" t="s">
        <v>192</v>
      </c>
      <c r="D154" s="3023">
        <f>SUM(E154:P154)</f>
        <v>0</v>
      </c>
      <c r="E154" s="3627">
        <f>E178</f>
        <v>0</v>
      </c>
      <c r="F154" s="3627">
        <f t="shared" ref="F154:P154" si="90">F178</f>
        <v>0</v>
      </c>
      <c r="G154" s="3627">
        <f t="shared" si="90"/>
        <v>0</v>
      </c>
      <c r="H154" s="3627">
        <f t="shared" si="90"/>
        <v>0</v>
      </c>
      <c r="I154" s="3627">
        <f t="shared" si="90"/>
        <v>0</v>
      </c>
      <c r="J154" s="3627">
        <f t="shared" si="90"/>
        <v>0</v>
      </c>
      <c r="K154" s="3627">
        <f t="shared" si="90"/>
        <v>0</v>
      </c>
      <c r="L154" s="3627">
        <f t="shared" si="90"/>
        <v>0</v>
      </c>
      <c r="M154" s="3627">
        <f t="shared" si="90"/>
        <v>0</v>
      </c>
      <c r="N154" s="3627">
        <f t="shared" si="90"/>
        <v>0</v>
      </c>
      <c r="O154" s="3627">
        <f t="shared" si="90"/>
        <v>0</v>
      </c>
      <c r="P154" s="3627">
        <f t="shared" si="90"/>
        <v>0</v>
      </c>
      <c r="Q154" s="155"/>
    </row>
    <row r="155" spans="2:17" x14ac:dyDescent="0.3">
      <c r="B155" s="3626" t="s">
        <v>845</v>
      </c>
      <c r="C155" s="2582" t="s">
        <v>192</v>
      </c>
      <c r="D155" s="3023">
        <f>SUM(E155:P155)</f>
        <v>5.92</v>
      </c>
      <c r="E155" s="3023">
        <f>(O188+P188)/1000</f>
        <v>0.53</v>
      </c>
      <c r="F155" s="3023">
        <f>Q188/1000</f>
        <v>0.48</v>
      </c>
      <c r="G155" s="3023">
        <f>R188/1000</f>
        <v>0.52</v>
      </c>
      <c r="H155" s="3023">
        <f>E188/1000</f>
        <v>0.55000000000000004</v>
      </c>
      <c r="I155" s="3023">
        <f t="shared" ref="I155:J155" si="91">F188/1000</f>
        <v>0.48</v>
      </c>
      <c r="J155" s="3023">
        <f t="shared" si="91"/>
        <v>0.46</v>
      </c>
      <c r="K155" s="3023">
        <f>(H188+I188)/1000</f>
        <v>0.46</v>
      </c>
      <c r="L155" s="3023">
        <f>J188/1000</f>
        <v>0.53</v>
      </c>
      <c r="M155" s="3023">
        <f t="shared" ref="M155:P155" si="92">K188/1000</f>
        <v>0.5</v>
      </c>
      <c r="N155" s="3023">
        <f t="shared" si="92"/>
        <v>0.46</v>
      </c>
      <c r="O155" s="3023">
        <f t="shared" si="92"/>
        <v>0.46</v>
      </c>
      <c r="P155" s="3023">
        <f t="shared" si="92"/>
        <v>0.49</v>
      </c>
      <c r="Q155" s="155"/>
    </row>
    <row r="156" spans="2:17" ht="24" customHeight="1" x14ac:dyDescent="0.3">
      <c r="B156" s="3628" t="str">
        <f>'Вхідні дані'!$B$29</f>
        <v>Тариф на електричну енергію, без ПДВ</v>
      </c>
      <c r="C156" s="2582" t="s">
        <v>759</v>
      </c>
      <c r="D156" s="3011">
        <f>'Вхідні дані'!$D$29</f>
        <v>2.2023999999999999</v>
      </c>
      <c r="E156" s="3011">
        <f t="shared" ref="E156:P156" si="93">D156</f>
        <v>2.2023999999999999</v>
      </c>
      <c r="F156" s="3011">
        <f t="shared" si="93"/>
        <v>2.2023999999999999</v>
      </c>
      <c r="G156" s="3011">
        <f t="shared" si="93"/>
        <v>2.2023999999999999</v>
      </c>
      <c r="H156" s="3011">
        <f t="shared" si="93"/>
        <v>2.2023999999999999</v>
      </c>
      <c r="I156" s="3011">
        <f t="shared" si="93"/>
        <v>2.2023999999999999</v>
      </c>
      <c r="J156" s="3011">
        <f t="shared" si="93"/>
        <v>2.2023999999999999</v>
      </c>
      <c r="K156" s="3011">
        <f t="shared" si="93"/>
        <v>2.2023999999999999</v>
      </c>
      <c r="L156" s="3011">
        <f t="shared" si="93"/>
        <v>2.2023999999999999</v>
      </c>
      <c r="M156" s="3011">
        <f t="shared" si="93"/>
        <v>2.2023999999999999</v>
      </c>
      <c r="N156" s="3011">
        <f t="shared" si="93"/>
        <v>2.2023999999999999</v>
      </c>
      <c r="O156" s="3011">
        <f t="shared" si="93"/>
        <v>2.2023999999999999</v>
      </c>
      <c r="P156" s="3629">
        <f t="shared" si="93"/>
        <v>2.2023999999999999</v>
      </c>
      <c r="Q156" s="155"/>
    </row>
    <row r="157" spans="2:17" ht="30" customHeight="1" x14ac:dyDescent="0.3">
      <c r="B157" s="3628" t="s">
        <v>802</v>
      </c>
      <c r="C157" s="2582" t="s">
        <v>40</v>
      </c>
      <c r="D157" s="3009">
        <f>D152*D156</f>
        <v>28.79</v>
      </c>
      <c r="E157" s="3009">
        <f t="shared" ref="E157:P157" si="94">E152*E156</f>
        <v>2.58</v>
      </c>
      <c r="F157" s="3009">
        <f t="shared" si="94"/>
        <v>2.31</v>
      </c>
      <c r="G157" s="3009">
        <f t="shared" si="94"/>
        <v>2.6</v>
      </c>
      <c r="H157" s="3009">
        <f t="shared" si="94"/>
        <v>2.6</v>
      </c>
      <c r="I157" s="3009">
        <f t="shared" si="94"/>
        <v>2.33</v>
      </c>
      <c r="J157" s="3009">
        <f t="shared" si="94"/>
        <v>2.2200000000000002</v>
      </c>
      <c r="K157" s="3009">
        <f t="shared" si="94"/>
        <v>2.25</v>
      </c>
      <c r="L157" s="3009">
        <f t="shared" si="94"/>
        <v>2.58</v>
      </c>
      <c r="M157" s="3009">
        <f t="shared" si="94"/>
        <v>2.44</v>
      </c>
      <c r="N157" s="3009">
        <f t="shared" si="94"/>
        <v>2.25</v>
      </c>
      <c r="O157" s="3009">
        <f t="shared" si="94"/>
        <v>2.25</v>
      </c>
      <c r="P157" s="3630">
        <f t="shared" si="94"/>
        <v>2.38</v>
      </c>
      <c r="Q157" s="155"/>
    </row>
    <row r="158" spans="2:17" ht="25.5" x14ac:dyDescent="0.3">
      <c r="B158" s="3626" t="str">
        <f>B153</f>
        <v>загальновиробничі потреби, крім ремонтів</v>
      </c>
      <c r="C158" s="2582" t="s">
        <v>40</v>
      </c>
      <c r="D158" s="3009">
        <f>D153*D156</f>
        <v>15.75</v>
      </c>
      <c r="E158" s="3009">
        <f>E153*E156</f>
        <v>1.41</v>
      </c>
      <c r="F158" s="3009">
        <f t="shared" ref="F158:P158" si="95">F153*F156</f>
        <v>1.26</v>
      </c>
      <c r="G158" s="3009">
        <f t="shared" si="95"/>
        <v>1.45</v>
      </c>
      <c r="H158" s="3009">
        <f t="shared" si="95"/>
        <v>1.39</v>
      </c>
      <c r="I158" s="3009">
        <f t="shared" si="95"/>
        <v>1.28</v>
      </c>
      <c r="J158" s="3009">
        <f t="shared" si="95"/>
        <v>1.21</v>
      </c>
      <c r="K158" s="3009">
        <f t="shared" si="95"/>
        <v>1.23</v>
      </c>
      <c r="L158" s="3009">
        <f t="shared" si="95"/>
        <v>1.41</v>
      </c>
      <c r="M158" s="3009">
        <f t="shared" si="95"/>
        <v>1.34</v>
      </c>
      <c r="N158" s="3009">
        <f t="shared" si="95"/>
        <v>1.23</v>
      </c>
      <c r="O158" s="3009">
        <f t="shared" si="95"/>
        <v>1.23</v>
      </c>
      <c r="P158" s="3630">
        <f t="shared" si="95"/>
        <v>1.3</v>
      </c>
      <c r="Q158" s="155"/>
    </row>
    <row r="159" spans="2:17" x14ac:dyDescent="0.3">
      <c r="B159" s="3626" t="str">
        <f>B154</f>
        <v>на ремонти</v>
      </c>
      <c r="C159" s="2582" t="s">
        <v>40</v>
      </c>
      <c r="D159" s="3009">
        <f>D154*D156</f>
        <v>0</v>
      </c>
      <c r="E159" s="3009">
        <f t="shared" ref="E159:P159" si="96">E154*E156</f>
        <v>0</v>
      </c>
      <c r="F159" s="3009">
        <f t="shared" si="96"/>
        <v>0</v>
      </c>
      <c r="G159" s="3009">
        <f t="shared" si="96"/>
        <v>0</v>
      </c>
      <c r="H159" s="3009">
        <f t="shared" si="96"/>
        <v>0</v>
      </c>
      <c r="I159" s="3009">
        <f t="shared" si="96"/>
        <v>0</v>
      </c>
      <c r="J159" s="3009">
        <f t="shared" si="96"/>
        <v>0</v>
      </c>
      <c r="K159" s="3009">
        <f t="shared" si="96"/>
        <v>0</v>
      </c>
      <c r="L159" s="3009">
        <f t="shared" si="96"/>
        <v>0</v>
      </c>
      <c r="M159" s="3009">
        <f t="shared" si="96"/>
        <v>0</v>
      </c>
      <c r="N159" s="3009">
        <f t="shared" si="96"/>
        <v>0</v>
      </c>
      <c r="O159" s="3009">
        <f t="shared" si="96"/>
        <v>0</v>
      </c>
      <c r="P159" s="3630">
        <f t="shared" si="96"/>
        <v>0</v>
      </c>
      <c r="Q159" s="155"/>
    </row>
    <row r="160" spans="2:17" x14ac:dyDescent="0.3">
      <c r="B160" s="3626" t="str">
        <f>B155</f>
        <v>загальногосподарські потреби</v>
      </c>
      <c r="C160" s="2582" t="s">
        <v>40</v>
      </c>
      <c r="D160" s="3009">
        <f>D155*D156</f>
        <v>13.04</v>
      </c>
      <c r="E160" s="3009">
        <f t="shared" ref="E160:P160" si="97">E155*E156</f>
        <v>1.17</v>
      </c>
      <c r="F160" s="3009">
        <f t="shared" si="97"/>
        <v>1.06</v>
      </c>
      <c r="G160" s="3009">
        <f t="shared" si="97"/>
        <v>1.1499999999999999</v>
      </c>
      <c r="H160" s="3009">
        <f t="shared" si="97"/>
        <v>1.21</v>
      </c>
      <c r="I160" s="3009">
        <f t="shared" si="97"/>
        <v>1.06</v>
      </c>
      <c r="J160" s="3009">
        <f t="shared" si="97"/>
        <v>1.01</v>
      </c>
      <c r="K160" s="3009">
        <f t="shared" si="97"/>
        <v>1.01</v>
      </c>
      <c r="L160" s="3009">
        <f t="shared" si="97"/>
        <v>1.17</v>
      </c>
      <c r="M160" s="3009">
        <f t="shared" si="97"/>
        <v>1.1000000000000001</v>
      </c>
      <c r="N160" s="3009">
        <f t="shared" si="97"/>
        <v>1.01</v>
      </c>
      <c r="O160" s="3009">
        <f t="shared" si="97"/>
        <v>1.01</v>
      </c>
      <c r="P160" s="3630">
        <f t="shared" si="97"/>
        <v>1.08</v>
      </c>
      <c r="Q160" s="155"/>
    </row>
    <row r="161" spans="2:22" ht="38.25" x14ac:dyDescent="0.3">
      <c r="B161" s="3628" t="str">
        <f>'Вхідні дані'!$B$31</f>
        <v>Тариф на послуги з розподілу електричної енергії, 2 клас напруги, без ПДВ</v>
      </c>
      <c r="C161" s="2582" t="s">
        <v>759</v>
      </c>
      <c r="D161" s="3013">
        <f>'Вхідні дані'!$D$31</f>
        <v>1.02695</v>
      </c>
      <c r="E161" s="3013">
        <f t="shared" ref="E161:P161" si="98">D161</f>
        <v>1.02695</v>
      </c>
      <c r="F161" s="3013">
        <f t="shared" si="98"/>
        <v>1.02695</v>
      </c>
      <c r="G161" s="3013">
        <f t="shared" si="98"/>
        <v>1.02695</v>
      </c>
      <c r="H161" s="3013">
        <f t="shared" si="98"/>
        <v>1.02695</v>
      </c>
      <c r="I161" s="3013">
        <f t="shared" si="98"/>
        <v>1.02695</v>
      </c>
      <c r="J161" s="3013">
        <f t="shared" si="98"/>
        <v>1.02695</v>
      </c>
      <c r="K161" s="3013">
        <f t="shared" si="98"/>
        <v>1.02695</v>
      </c>
      <c r="L161" s="3013">
        <f t="shared" si="98"/>
        <v>1.02695</v>
      </c>
      <c r="M161" s="3013">
        <f t="shared" si="98"/>
        <v>1.02695</v>
      </c>
      <c r="N161" s="3013">
        <f t="shared" si="98"/>
        <v>1.02695</v>
      </c>
      <c r="O161" s="3013">
        <f t="shared" si="98"/>
        <v>1.02695</v>
      </c>
      <c r="P161" s="3631">
        <f t="shared" si="98"/>
        <v>1.02695</v>
      </c>
      <c r="Q161" s="155"/>
    </row>
    <row r="162" spans="2:22" ht="25.5" x14ac:dyDescent="0.3">
      <c r="B162" s="3628" t="s">
        <v>803</v>
      </c>
      <c r="C162" s="2582" t="s">
        <v>40</v>
      </c>
      <c r="D162" s="3017">
        <f>D152*D161-X162</f>
        <v>13.42</v>
      </c>
      <c r="E162" s="3017">
        <f t="shared" ref="E162:P162" si="99">E152*E161</f>
        <v>1.2</v>
      </c>
      <c r="F162" s="3017">
        <f t="shared" si="99"/>
        <v>1.08</v>
      </c>
      <c r="G162" s="3017">
        <f t="shared" si="99"/>
        <v>1.21</v>
      </c>
      <c r="H162" s="3017">
        <f t="shared" si="99"/>
        <v>1.21</v>
      </c>
      <c r="I162" s="3017">
        <f t="shared" si="99"/>
        <v>1.0900000000000001</v>
      </c>
      <c r="J162" s="3017">
        <f t="shared" si="99"/>
        <v>1.04</v>
      </c>
      <c r="K162" s="3017">
        <f t="shared" si="99"/>
        <v>1.05</v>
      </c>
      <c r="L162" s="3017">
        <f t="shared" si="99"/>
        <v>1.2</v>
      </c>
      <c r="M162" s="3017">
        <f t="shared" si="99"/>
        <v>1.1399999999999999</v>
      </c>
      <c r="N162" s="3017">
        <f t="shared" si="99"/>
        <v>1.05</v>
      </c>
      <c r="O162" s="3017">
        <f t="shared" si="99"/>
        <v>1.05</v>
      </c>
      <c r="P162" s="3632">
        <f t="shared" si="99"/>
        <v>1.1100000000000001</v>
      </c>
      <c r="Q162" s="155"/>
      <c r="T162" s="1573"/>
      <c r="V162" s="1343"/>
    </row>
    <row r="163" spans="2:22" ht="25.5" x14ac:dyDescent="0.3">
      <c r="B163" s="3626" t="str">
        <f>B153</f>
        <v>загальновиробничі потреби, крім ремонтів</v>
      </c>
      <c r="C163" s="2582" t="s">
        <v>40</v>
      </c>
      <c r="D163" s="3017">
        <f>D153*D161</f>
        <v>7.34</v>
      </c>
      <c r="E163" s="3017">
        <f t="shared" ref="E163:P163" si="100">E153*E161</f>
        <v>0.66</v>
      </c>
      <c r="F163" s="3017">
        <f t="shared" si="100"/>
        <v>0.59</v>
      </c>
      <c r="G163" s="3017">
        <f t="shared" si="100"/>
        <v>0.68</v>
      </c>
      <c r="H163" s="3017">
        <f t="shared" si="100"/>
        <v>0.65</v>
      </c>
      <c r="I163" s="3017">
        <f t="shared" si="100"/>
        <v>0.6</v>
      </c>
      <c r="J163" s="3017">
        <f t="shared" si="100"/>
        <v>0.56000000000000005</v>
      </c>
      <c r="K163" s="3017">
        <f t="shared" si="100"/>
        <v>0.57999999999999996</v>
      </c>
      <c r="L163" s="3017">
        <f t="shared" si="100"/>
        <v>0.66</v>
      </c>
      <c r="M163" s="3017">
        <f t="shared" si="100"/>
        <v>0.63</v>
      </c>
      <c r="N163" s="3017">
        <f t="shared" si="100"/>
        <v>0.57999999999999996</v>
      </c>
      <c r="O163" s="3017">
        <f t="shared" si="100"/>
        <v>0.57999999999999996</v>
      </c>
      <c r="P163" s="3632">
        <f t="shared" si="100"/>
        <v>0.61</v>
      </c>
      <c r="Q163" s="155"/>
      <c r="T163" s="1573"/>
      <c r="V163" s="1343"/>
    </row>
    <row r="164" spans="2:22" x14ac:dyDescent="0.3">
      <c r="B164" s="3626" t="str">
        <f>B154</f>
        <v>на ремонти</v>
      </c>
      <c r="C164" s="2582" t="s">
        <v>40</v>
      </c>
      <c r="D164" s="3017">
        <f>D154*D161</f>
        <v>0</v>
      </c>
      <c r="E164" s="3017">
        <f t="shared" ref="E164:P164" si="101">E154*E161</f>
        <v>0</v>
      </c>
      <c r="F164" s="3017">
        <f t="shared" si="101"/>
        <v>0</v>
      </c>
      <c r="G164" s="3017">
        <f t="shared" si="101"/>
        <v>0</v>
      </c>
      <c r="H164" s="3017">
        <f t="shared" si="101"/>
        <v>0</v>
      </c>
      <c r="I164" s="3017">
        <f t="shared" si="101"/>
        <v>0</v>
      </c>
      <c r="J164" s="3017">
        <f t="shared" si="101"/>
        <v>0</v>
      </c>
      <c r="K164" s="3017">
        <f t="shared" si="101"/>
        <v>0</v>
      </c>
      <c r="L164" s="3017">
        <f t="shared" si="101"/>
        <v>0</v>
      </c>
      <c r="M164" s="3017">
        <f t="shared" si="101"/>
        <v>0</v>
      </c>
      <c r="N164" s="3017">
        <f t="shared" si="101"/>
        <v>0</v>
      </c>
      <c r="O164" s="3017">
        <f t="shared" si="101"/>
        <v>0</v>
      </c>
      <c r="P164" s="3632">
        <f t="shared" si="101"/>
        <v>0</v>
      </c>
      <c r="Q164" s="155"/>
      <c r="T164" s="1573"/>
      <c r="V164" s="1343"/>
    </row>
    <row r="165" spans="2:22" x14ac:dyDescent="0.3">
      <c r="B165" s="3626" t="str">
        <f>B155</f>
        <v>загальногосподарські потреби</v>
      </c>
      <c r="C165" s="2582" t="s">
        <v>40</v>
      </c>
      <c r="D165" s="3017">
        <f>D155*D161</f>
        <v>6.08</v>
      </c>
      <c r="E165" s="3017">
        <f t="shared" ref="E165:P165" si="102">E155*E161</f>
        <v>0.54</v>
      </c>
      <c r="F165" s="3017">
        <f t="shared" si="102"/>
        <v>0.49</v>
      </c>
      <c r="G165" s="3017">
        <f t="shared" si="102"/>
        <v>0.53</v>
      </c>
      <c r="H165" s="3017">
        <f t="shared" si="102"/>
        <v>0.56000000000000005</v>
      </c>
      <c r="I165" s="3017">
        <f t="shared" si="102"/>
        <v>0.49</v>
      </c>
      <c r="J165" s="3017">
        <f t="shared" si="102"/>
        <v>0.47</v>
      </c>
      <c r="K165" s="3017">
        <f t="shared" si="102"/>
        <v>0.47</v>
      </c>
      <c r="L165" s="3017">
        <f t="shared" si="102"/>
        <v>0.54</v>
      </c>
      <c r="M165" s="3017">
        <f t="shared" si="102"/>
        <v>0.51</v>
      </c>
      <c r="N165" s="3017">
        <f t="shared" si="102"/>
        <v>0.47</v>
      </c>
      <c r="O165" s="3017">
        <f t="shared" si="102"/>
        <v>0.47</v>
      </c>
      <c r="P165" s="3632">
        <f t="shared" si="102"/>
        <v>0.5</v>
      </c>
      <c r="Q165" s="155"/>
      <c r="T165" s="1573"/>
      <c r="V165" s="1343"/>
    </row>
    <row r="166" spans="2:22" ht="25.5" x14ac:dyDescent="0.3">
      <c r="B166" s="3625" t="s">
        <v>833</v>
      </c>
      <c r="C166" s="2582" t="s">
        <v>40</v>
      </c>
      <c r="D166" s="3017">
        <f>D157+D162</f>
        <v>42.21</v>
      </c>
      <c r="E166" s="3017">
        <f t="shared" ref="E166:P166" si="103">E157+E162</f>
        <v>3.78</v>
      </c>
      <c r="F166" s="3017">
        <f t="shared" si="103"/>
        <v>3.39</v>
      </c>
      <c r="G166" s="3017">
        <f t="shared" si="103"/>
        <v>3.81</v>
      </c>
      <c r="H166" s="3017">
        <f t="shared" si="103"/>
        <v>3.81</v>
      </c>
      <c r="I166" s="3017">
        <f t="shared" si="103"/>
        <v>3.42</v>
      </c>
      <c r="J166" s="3017">
        <f t="shared" si="103"/>
        <v>3.26</v>
      </c>
      <c r="K166" s="3017">
        <f t="shared" si="103"/>
        <v>3.3</v>
      </c>
      <c r="L166" s="3017">
        <f t="shared" si="103"/>
        <v>3.78</v>
      </c>
      <c r="M166" s="3017">
        <f t="shared" si="103"/>
        <v>3.58</v>
      </c>
      <c r="N166" s="3017">
        <f t="shared" si="103"/>
        <v>3.3</v>
      </c>
      <c r="O166" s="3017">
        <f t="shared" si="103"/>
        <v>3.3</v>
      </c>
      <c r="P166" s="3632">
        <f t="shared" si="103"/>
        <v>3.49</v>
      </c>
      <c r="Q166" s="155"/>
    </row>
    <row r="167" spans="2:22" ht="25.5" x14ac:dyDescent="0.3">
      <c r="B167" s="3626" t="str">
        <f>B158</f>
        <v>загальновиробничі потреби, крім ремонтів</v>
      </c>
      <c r="C167" s="2582" t="s">
        <v>40</v>
      </c>
      <c r="D167" s="3017">
        <f t="shared" ref="D167:P168" si="104">D158+D163</f>
        <v>23.09</v>
      </c>
      <c r="E167" s="3017">
        <f t="shared" si="104"/>
        <v>2.0699999999999998</v>
      </c>
      <c r="F167" s="3017">
        <f t="shared" si="104"/>
        <v>1.85</v>
      </c>
      <c r="G167" s="3017">
        <f t="shared" si="104"/>
        <v>2.13</v>
      </c>
      <c r="H167" s="3017">
        <f t="shared" si="104"/>
        <v>2.04</v>
      </c>
      <c r="I167" s="3017">
        <f t="shared" si="104"/>
        <v>1.88</v>
      </c>
      <c r="J167" s="3017">
        <f t="shared" si="104"/>
        <v>1.77</v>
      </c>
      <c r="K167" s="3017">
        <f t="shared" si="104"/>
        <v>1.81</v>
      </c>
      <c r="L167" s="3017">
        <f t="shared" si="104"/>
        <v>2.0699999999999998</v>
      </c>
      <c r="M167" s="3017">
        <f t="shared" si="104"/>
        <v>1.97</v>
      </c>
      <c r="N167" s="3017">
        <f t="shared" si="104"/>
        <v>1.81</v>
      </c>
      <c r="O167" s="3017">
        <f t="shared" si="104"/>
        <v>1.81</v>
      </c>
      <c r="P167" s="3632">
        <f t="shared" si="104"/>
        <v>1.91</v>
      </c>
      <c r="Q167" s="155"/>
    </row>
    <row r="168" spans="2:22" x14ac:dyDescent="0.3">
      <c r="B168" s="3626" t="str">
        <f>B159</f>
        <v>на ремонти</v>
      </c>
      <c r="C168" s="2582" t="s">
        <v>40</v>
      </c>
      <c r="D168" s="3017">
        <f t="shared" si="104"/>
        <v>0</v>
      </c>
      <c r="E168" s="3017">
        <f t="shared" si="104"/>
        <v>0</v>
      </c>
      <c r="F168" s="3017">
        <f t="shared" si="104"/>
        <v>0</v>
      </c>
      <c r="G168" s="3017">
        <f t="shared" si="104"/>
        <v>0</v>
      </c>
      <c r="H168" s="3017">
        <f t="shared" si="104"/>
        <v>0</v>
      </c>
      <c r="I168" s="3017">
        <f t="shared" si="104"/>
        <v>0</v>
      </c>
      <c r="J168" s="3017">
        <f t="shared" si="104"/>
        <v>0</v>
      </c>
      <c r="K168" s="3017">
        <f t="shared" si="104"/>
        <v>0</v>
      </c>
      <c r="L168" s="3017">
        <f t="shared" si="104"/>
        <v>0</v>
      </c>
      <c r="M168" s="3017">
        <f t="shared" si="104"/>
        <v>0</v>
      </c>
      <c r="N168" s="3017">
        <f t="shared" si="104"/>
        <v>0</v>
      </c>
      <c r="O168" s="3017">
        <f t="shared" si="104"/>
        <v>0</v>
      </c>
      <c r="P168" s="3632">
        <f t="shared" si="104"/>
        <v>0</v>
      </c>
      <c r="Q168" s="155"/>
    </row>
    <row r="169" spans="2:22" x14ac:dyDescent="0.3">
      <c r="B169" s="3626" t="str">
        <f>B160</f>
        <v>загальногосподарські потреби</v>
      </c>
      <c r="C169" s="2582" t="s">
        <v>40</v>
      </c>
      <c r="D169" s="3017">
        <f t="shared" ref="D169:P169" si="105">D160+D165</f>
        <v>19.12</v>
      </c>
      <c r="E169" s="3017">
        <f t="shared" si="105"/>
        <v>1.71</v>
      </c>
      <c r="F169" s="3017">
        <f t="shared" si="105"/>
        <v>1.55</v>
      </c>
      <c r="G169" s="3017">
        <f t="shared" si="105"/>
        <v>1.68</v>
      </c>
      <c r="H169" s="3017">
        <f t="shared" si="105"/>
        <v>1.77</v>
      </c>
      <c r="I169" s="3017">
        <f t="shared" si="105"/>
        <v>1.55</v>
      </c>
      <c r="J169" s="3017">
        <f t="shared" si="105"/>
        <v>1.48</v>
      </c>
      <c r="K169" s="3017">
        <f t="shared" si="105"/>
        <v>1.48</v>
      </c>
      <c r="L169" s="3017">
        <f t="shared" si="105"/>
        <v>1.71</v>
      </c>
      <c r="M169" s="3017">
        <f t="shared" si="105"/>
        <v>1.61</v>
      </c>
      <c r="N169" s="3017">
        <f t="shared" si="105"/>
        <v>1.48</v>
      </c>
      <c r="O169" s="3017">
        <f t="shared" si="105"/>
        <v>1.48</v>
      </c>
      <c r="P169" s="3632">
        <f t="shared" si="105"/>
        <v>1.58</v>
      </c>
      <c r="Q169" s="155"/>
    </row>
    <row r="170" spans="2:22" ht="25.5" x14ac:dyDescent="0.3">
      <c r="B170" s="3625" t="s">
        <v>1599</v>
      </c>
      <c r="C170" s="3016" t="s">
        <v>144</v>
      </c>
      <c r="D170" s="3017">
        <f>D154*$M$102</f>
        <v>0</v>
      </c>
      <c r="E170" s="3017">
        <f t="shared" ref="E170:P170" si="106">E154*$M$102</f>
        <v>0</v>
      </c>
      <c r="F170" s="3017">
        <f t="shared" si="106"/>
        <v>0</v>
      </c>
      <c r="G170" s="3017">
        <f t="shared" si="106"/>
        <v>0</v>
      </c>
      <c r="H170" s="3017">
        <f t="shared" si="106"/>
        <v>0</v>
      </c>
      <c r="I170" s="3017">
        <f t="shared" si="106"/>
        <v>0</v>
      </c>
      <c r="J170" s="3017">
        <f t="shared" si="106"/>
        <v>0</v>
      </c>
      <c r="K170" s="3017">
        <f t="shared" si="106"/>
        <v>0</v>
      </c>
      <c r="L170" s="3017">
        <f t="shared" si="106"/>
        <v>0</v>
      </c>
      <c r="M170" s="3017">
        <f t="shared" si="106"/>
        <v>0</v>
      </c>
      <c r="N170" s="3017">
        <f t="shared" si="106"/>
        <v>0</v>
      </c>
      <c r="O170" s="3017">
        <f t="shared" si="106"/>
        <v>0</v>
      </c>
      <c r="P170" s="3017">
        <f t="shared" si="106"/>
        <v>0</v>
      </c>
    </row>
    <row r="171" spans="2:22" ht="38.25" x14ac:dyDescent="0.3">
      <c r="B171" s="3625" t="str">
        <f>'Вхідні дані'!$B$33</f>
        <v>Тариф для розрахунку плати за перетікання реактивної електроенергії, без ПДВ</v>
      </c>
      <c r="C171" s="3033" t="s">
        <v>761</v>
      </c>
      <c r="D171" s="3018">
        <f>'Вхідні дані'!$D$33</f>
        <v>6.096E-2</v>
      </c>
      <c r="E171" s="3018">
        <f t="shared" ref="E171:P171" si="107">D171</f>
        <v>6.096E-2</v>
      </c>
      <c r="F171" s="3018">
        <f t="shared" si="107"/>
        <v>6.096E-2</v>
      </c>
      <c r="G171" s="3018">
        <f t="shared" si="107"/>
        <v>6.096E-2</v>
      </c>
      <c r="H171" s="3018">
        <f t="shared" si="107"/>
        <v>6.096E-2</v>
      </c>
      <c r="I171" s="3018">
        <f t="shared" si="107"/>
        <v>6.096E-2</v>
      </c>
      <c r="J171" s="3018">
        <f t="shared" si="107"/>
        <v>6.096E-2</v>
      </c>
      <c r="K171" s="3018">
        <f t="shared" si="107"/>
        <v>6.096E-2</v>
      </c>
      <c r="L171" s="3018">
        <f t="shared" si="107"/>
        <v>6.096E-2</v>
      </c>
      <c r="M171" s="3018">
        <f t="shared" si="107"/>
        <v>6.096E-2</v>
      </c>
      <c r="N171" s="3018">
        <f t="shared" si="107"/>
        <v>6.096E-2</v>
      </c>
      <c r="O171" s="3018">
        <f t="shared" si="107"/>
        <v>6.096E-2</v>
      </c>
      <c r="P171" s="3633">
        <f t="shared" si="107"/>
        <v>6.096E-2</v>
      </c>
      <c r="Q171" s="155" t="s">
        <v>643</v>
      </c>
    </row>
    <row r="172" spans="2:22" ht="25.5" x14ac:dyDescent="0.3">
      <c r="B172" s="3625" t="s">
        <v>780</v>
      </c>
      <c r="C172" s="2582" t="s">
        <v>40</v>
      </c>
      <c r="D172" s="3017">
        <f>D170*D171</f>
        <v>0</v>
      </c>
      <c r="E172" s="3017">
        <f t="shared" ref="E172:P172" si="108">E170*E171</f>
        <v>0</v>
      </c>
      <c r="F172" s="3017">
        <f t="shared" si="108"/>
        <v>0</v>
      </c>
      <c r="G172" s="3017">
        <f t="shared" si="108"/>
        <v>0</v>
      </c>
      <c r="H172" s="3017">
        <f t="shared" si="108"/>
        <v>0</v>
      </c>
      <c r="I172" s="3017">
        <f t="shared" si="108"/>
        <v>0</v>
      </c>
      <c r="J172" s="3017">
        <f t="shared" si="108"/>
        <v>0</v>
      </c>
      <c r="K172" s="3017">
        <f t="shared" si="108"/>
        <v>0</v>
      </c>
      <c r="L172" s="3017">
        <f t="shared" si="108"/>
        <v>0</v>
      </c>
      <c r="M172" s="3017">
        <f t="shared" si="108"/>
        <v>0</v>
      </c>
      <c r="N172" s="3017">
        <f t="shared" si="108"/>
        <v>0</v>
      </c>
      <c r="O172" s="3017">
        <f t="shared" si="108"/>
        <v>0</v>
      </c>
      <c r="P172" s="3632">
        <f t="shared" si="108"/>
        <v>0</v>
      </c>
    </row>
    <row r="173" spans="2:22" ht="26.25" thickBot="1" x14ac:dyDescent="0.35">
      <c r="B173" s="3634" t="s">
        <v>1600</v>
      </c>
      <c r="C173" s="3635" t="s">
        <v>40</v>
      </c>
      <c r="D173" s="3636">
        <f>D172+D168</f>
        <v>0</v>
      </c>
      <c r="E173" s="3636">
        <f t="shared" ref="E173:P173" si="109">E172+E168</f>
        <v>0</v>
      </c>
      <c r="F173" s="3636">
        <f t="shared" si="109"/>
        <v>0</v>
      </c>
      <c r="G173" s="3636">
        <f t="shared" si="109"/>
        <v>0</v>
      </c>
      <c r="H173" s="3636">
        <f t="shared" si="109"/>
        <v>0</v>
      </c>
      <c r="I173" s="3636">
        <f t="shared" si="109"/>
        <v>0</v>
      </c>
      <c r="J173" s="3636">
        <f t="shared" si="109"/>
        <v>0</v>
      </c>
      <c r="K173" s="3636">
        <f t="shared" si="109"/>
        <v>0</v>
      </c>
      <c r="L173" s="3636">
        <f t="shared" si="109"/>
        <v>0</v>
      </c>
      <c r="M173" s="3636">
        <f t="shared" si="109"/>
        <v>0</v>
      </c>
      <c r="N173" s="3636">
        <f t="shared" si="109"/>
        <v>0</v>
      </c>
      <c r="O173" s="3636">
        <f t="shared" si="109"/>
        <v>0</v>
      </c>
      <c r="P173" s="3637">
        <f t="shared" si="109"/>
        <v>0</v>
      </c>
      <c r="Q173" s="155"/>
    </row>
    <row r="177" spans="2:20" x14ac:dyDescent="0.3">
      <c r="E177" s="26" t="str">
        <f t="shared" ref="E177:P177" si="110">E6</f>
        <v>жовтень</v>
      </c>
      <c r="F177" s="26" t="str">
        <f t="shared" si="110"/>
        <v>листопад</v>
      </c>
      <c r="G177" s="26" t="str">
        <f t="shared" si="110"/>
        <v>грудень</v>
      </c>
      <c r="H177" s="26" t="str">
        <f t="shared" si="110"/>
        <v>січень</v>
      </c>
      <c r="I177" s="26" t="str">
        <f t="shared" si="110"/>
        <v>лютий</v>
      </c>
      <c r="J177" s="26" t="str">
        <f t="shared" si="110"/>
        <v>березень</v>
      </c>
      <c r="K177" s="26" t="str">
        <f t="shared" si="110"/>
        <v>квітень</v>
      </c>
      <c r="L177" s="26" t="str">
        <f t="shared" si="110"/>
        <v>травень</v>
      </c>
      <c r="M177" s="26" t="str">
        <f t="shared" si="110"/>
        <v>червень</v>
      </c>
      <c r="N177" s="26" t="str">
        <f t="shared" si="110"/>
        <v>липень</v>
      </c>
      <c r="O177" s="26" t="str">
        <f t="shared" si="110"/>
        <v>серпень</v>
      </c>
      <c r="P177" s="26" t="str">
        <f t="shared" si="110"/>
        <v>вересень</v>
      </c>
    </row>
    <row r="178" spans="2:20" x14ac:dyDescent="0.3">
      <c r="B178" s="276" t="str">
        <f>B168</f>
        <v>на ремонти</v>
      </c>
      <c r="C178" s="107" t="s">
        <v>192</v>
      </c>
      <c r="D178" s="186">
        <f>D179+D180</f>
        <v>0</v>
      </c>
      <c r="E178" s="188">
        <f>SUM(E179:E180)</f>
        <v>0</v>
      </c>
      <c r="F178" s="188">
        <f t="shared" ref="F178:P178" si="111">SUM(F179:F180)</f>
        <v>0</v>
      </c>
      <c r="G178" s="188">
        <f t="shared" si="111"/>
        <v>0</v>
      </c>
      <c r="H178" s="188">
        <f t="shared" si="111"/>
        <v>0</v>
      </c>
      <c r="I178" s="188">
        <f t="shared" si="111"/>
        <v>0</v>
      </c>
      <c r="J178" s="188">
        <f t="shared" si="111"/>
        <v>0</v>
      </c>
      <c r="K178" s="188">
        <f t="shared" si="111"/>
        <v>0</v>
      </c>
      <c r="L178" s="188">
        <f t="shared" si="111"/>
        <v>0</v>
      </c>
      <c r="M178" s="188">
        <f t="shared" si="111"/>
        <v>0</v>
      </c>
      <c r="N178" s="188">
        <f t="shared" si="111"/>
        <v>0</v>
      </c>
      <c r="O178" s="188">
        <f t="shared" si="111"/>
        <v>0</v>
      </c>
      <c r="P178" s="188">
        <f t="shared" si="111"/>
        <v>0</v>
      </c>
    </row>
    <row r="179" spans="2:20" x14ac:dyDescent="0.3">
      <c r="B179" s="1526" t="s">
        <v>2326</v>
      </c>
      <c r="C179" s="107" t="s">
        <v>192</v>
      </c>
      <c r="D179" s="186">
        <f>SUM(E179:P179)</f>
        <v>0</v>
      </c>
      <c r="E179" s="273">
        <f>(O184+P184)/1000</f>
        <v>0</v>
      </c>
      <c r="F179" s="273">
        <f>Q184/1000</f>
        <v>0</v>
      </c>
      <c r="G179" s="273">
        <f>R184/1000</f>
        <v>0</v>
      </c>
      <c r="H179" s="273">
        <f>E184/1000</f>
        <v>0</v>
      </c>
      <c r="I179" s="273">
        <f t="shared" ref="I179:J179" si="112">F184/1000</f>
        <v>0</v>
      </c>
      <c r="J179" s="273">
        <f t="shared" si="112"/>
        <v>0</v>
      </c>
      <c r="K179" s="273">
        <f>(H184+I184)/1000</f>
        <v>0</v>
      </c>
      <c r="L179" s="273">
        <f>J184/1000</f>
        <v>0</v>
      </c>
      <c r="M179" s="273">
        <f>K184/1000</f>
        <v>0</v>
      </c>
      <c r="N179" s="273">
        <f t="shared" ref="N179:P179" si="113">L184/1000</f>
        <v>0</v>
      </c>
      <c r="O179" s="273">
        <f t="shared" si="113"/>
        <v>0</v>
      </c>
      <c r="P179" s="273">
        <f t="shared" si="113"/>
        <v>0</v>
      </c>
    </row>
    <row r="180" spans="2:20" x14ac:dyDescent="0.3">
      <c r="B180" s="1526" t="s">
        <v>2327</v>
      </c>
      <c r="C180" s="107" t="s">
        <v>192</v>
      </c>
      <c r="D180" s="186">
        <f>SUM(E180:P180)</f>
        <v>0</v>
      </c>
      <c r="E180" s="273">
        <f>(O183+P183)/1000</f>
        <v>0</v>
      </c>
      <c r="F180" s="273">
        <f>Q183/1000</f>
        <v>0</v>
      </c>
      <c r="G180" s="273">
        <f>R183/1000</f>
        <v>0</v>
      </c>
      <c r="H180" s="273">
        <f>E183/1000</f>
        <v>0</v>
      </c>
      <c r="I180" s="273">
        <f t="shared" ref="I180:J180" si="114">F183/1000</f>
        <v>0</v>
      </c>
      <c r="J180" s="273">
        <f t="shared" si="114"/>
        <v>0</v>
      </c>
      <c r="K180" s="273">
        <f>(H183+I183)/1000</f>
        <v>0</v>
      </c>
      <c r="L180" s="273">
        <f>J183/1000</f>
        <v>0</v>
      </c>
      <c r="M180" s="273">
        <f t="shared" ref="M180:P180" si="115">K183/1000</f>
        <v>0</v>
      </c>
      <c r="N180" s="273">
        <f t="shared" si="115"/>
        <v>0</v>
      </c>
      <c r="O180" s="273">
        <f t="shared" si="115"/>
        <v>0</v>
      </c>
      <c r="P180" s="273">
        <f t="shared" si="115"/>
        <v>0</v>
      </c>
    </row>
    <row r="182" spans="2:20" x14ac:dyDescent="0.25">
      <c r="E182" s="1547" t="s">
        <v>10</v>
      </c>
      <c r="F182" s="1547" t="s">
        <v>11</v>
      </c>
      <c r="G182" s="1547" t="s">
        <v>12</v>
      </c>
      <c r="H182" s="1547" t="s">
        <v>2328</v>
      </c>
      <c r="I182" s="1547" t="s">
        <v>2329</v>
      </c>
      <c r="J182" s="1547" t="s">
        <v>139</v>
      </c>
      <c r="K182" s="1547" t="s">
        <v>15</v>
      </c>
      <c r="L182" s="1547" t="s">
        <v>16</v>
      </c>
      <c r="M182" s="1547" t="s">
        <v>17</v>
      </c>
      <c r="N182" s="1547" t="s">
        <v>18</v>
      </c>
      <c r="O182" s="1547" t="s">
        <v>2330</v>
      </c>
      <c r="P182" s="1547" t="s">
        <v>2331</v>
      </c>
      <c r="Q182" s="1547" t="s">
        <v>20</v>
      </c>
      <c r="R182" s="1569" t="s">
        <v>21</v>
      </c>
      <c r="S182" s="1547" t="s">
        <v>461</v>
      </c>
    </row>
    <row r="183" spans="2:20" x14ac:dyDescent="0.3">
      <c r="B183" s="26" t="s">
        <v>2332</v>
      </c>
      <c r="E183" s="26">
        <v>0</v>
      </c>
      <c r="F183" s="26">
        <v>0</v>
      </c>
      <c r="G183" s="26">
        <v>0</v>
      </c>
      <c r="H183" s="26">
        <v>0</v>
      </c>
      <c r="I183" s="26">
        <v>0</v>
      </c>
      <c r="J183" s="26">
        <v>0</v>
      </c>
      <c r="K183" s="26">
        <v>0</v>
      </c>
      <c r="L183" s="26">
        <v>0</v>
      </c>
      <c r="M183" s="26">
        <v>0</v>
      </c>
      <c r="N183" s="26">
        <v>0</v>
      </c>
      <c r="O183" s="26">
        <v>0</v>
      </c>
      <c r="P183" s="26">
        <v>0</v>
      </c>
      <c r="Q183" s="26">
        <v>0</v>
      </c>
      <c r="R183" s="1566">
        <v>0</v>
      </c>
      <c r="S183" s="1548">
        <v>0</v>
      </c>
    </row>
    <row r="184" spans="2:20" ht="15" x14ac:dyDescent="0.25">
      <c r="B184" s="26" t="s">
        <v>2333</v>
      </c>
      <c r="E184" s="26">
        <v>0</v>
      </c>
      <c r="F184" s="26">
        <v>0</v>
      </c>
      <c r="G184" s="26">
        <v>0</v>
      </c>
      <c r="H184" s="26">
        <v>0</v>
      </c>
      <c r="I184" s="26">
        <v>0</v>
      </c>
      <c r="J184" s="26">
        <v>0</v>
      </c>
      <c r="K184" s="26">
        <v>0</v>
      </c>
      <c r="L184" s="26">
        <v>0</v>
      </c>
      <c r="M184" s="26">
        <v>0</v>
      </c>
      <c r="N184" s="26">
        <v>0</v>
      </c>
      <c r="O184" s="26">
        <v>0</v>
      </c>
      <c r="P184" s="26">
        <v>0</v>
      </c>
      <c r="Q184" s="26">
        <v>0</v>
      </c>
      <c r="R184" s="26">
        <v>0</v>
      </c>
      <c r="S184" s="1548">
        <f>SUM(E184:R184)</f>
        <v>0</v>
      </c>
    </row>
    <row r="185" spans="2:20" x14ac:dyDescent="0.25">
      <c r="E185" s="1547" t="s">
        <v>10</v>
      </c>
      <c r="F185" s="1547" t="s">
        <v>11</v>
      </c>
      <c r="G185" s="1547" t="s">
        <v>12</v>
      </c>
      <c r="H185" s="1547" t="s">
        <v>2328</v>
      </c>
      <c r="I185" s="1547" t="s">
        <v>2329</v>
      </c>
      <c r="J185" s="1547" t="s">
        <v>139</v>
      </c>
      <c r="K185" s="1547" t="s">
        <v>15</v>
      </c>
      <c r="L185" s="1547" t="s">
        <v>16</v>
      </c>
      <c r="M185" s="1547" t="s">
        <v>17</v>
      </c>
      <c r="N185" s="1547" t="s">
        <v>18</v>
      </c>
      <c r="O185" s="1547" t="s">
        <v>2330</v>
      </c>
      <c r="P185" s="1547" t="s">
        <v>2331</v>
      </c>
      <c r="Q185" s="1547" t="s">
        <v>20</v>
      </c>
      <c r="R185" s="1569" t="s">
        <v>21</v>
      </c>
      <c r="S185" s="1547" t="s">
        <v>461</v>
      </c>
    </row>
    <row r="186" spans="2:20" ht="15" x14ac:dyDescent="0.25">
      <c r="B186" s="26" t="s">
        <v>2334</v>
      </c>
      <c r="E186" s="26">
        <v>46</v>
      </c>
      <c r="F186" s="26">
        <v>46</v>
      </c>
      <c r="G186" s="26">
        <v>46</v>
      </c>
      <c r="H186" s="26">
        <v>46</v>
      </c>
      <c r="I186" s="26">
        <v>0</v>
      </c>
      <c r="J186" s="26">
        <v>46</v>
      </c>
      <c r="K186" s="26">
        <v>46</v>
      </c>
      <c r="L186" s="26">
        <v>46</v>
      </c>
      <c r="M186" s="26">
        <v>46</v>
      </c>
      <c r="N186" s="26">
        <v>46</v>
      </c>
      <c r="O186" s="26">
        <v>46</v>
      </c>
      <c r="P186" s="26">
        <v>0</v>
      </c>
      <c r="Q186" s="26">
        <v>46</v>
      </c>
      <c r="R186" s="26">
        <v>46</v>
      </c>
      <c r="S186" s="26">
        <v>552</v>
      </c>
    </row>
    <row r="187" spans="2:20" x14ac:dyDescent="0.3">
      <c r="B187" s="26" t="s">
        <v>1824</v>
      </c>
      <c r="D187" s="1343">
        <f>D153</f>
        <v>7.15</v>
      </c>
      <c r="E187" s="1549">
        <v>631</v>
      </c>
      <c r="F187" s="1549">
        <v>580</v>
      </c>
      <c r="G187" s="1549">
        <v>553</v>
      </c>
      <c r="H187" s="1549">
        <v>561</v>
      </c>
      <c r="I187" s="1549">
        <v>0</v>
      </c>
      <c r="J187" s="1549">
        <v>641</v>
      </c>
      <c r="K187" s="1549">
        <v>608</v>
      </c>
      <c r="L187" s="1549">
        <v>555</v>
      </c>
      <c r="M187" s="1549">
        <v>559</v>
      </c>
      <c r="N187" s="1549">
        <v>594</v>
      </c>
      <c r="O187" s="1549">
        <v>641</v>
      </c>
      <c r="P187" s="1549">
        <v>0</v>
      </c>
      <c r="Q187" s="1549">
        <v>574</v>
      </c>
      <c r="R187" s="1570">
        <v>663</v>
      </c>
      <c r="S187" s="1549">
        <v>7160</v>
      </c>
      <c r="T187" s="1550">
        <f>D187-S187</f>
        <v>-7152.85</v>
      </c>
    </row>
    <row r="188" spans="2:20" x14ac:dyDescent="0.3">
      <c r="B188" s="26" t="s">
        <v>1825</v>
      </c>
      <c r="D188" s="1343">
        <f>D155</f>
        <v>5.92</v>
      </c>
      <c r="E188" s="26">
        <v>552</v>
      </c>
      <c r="F188" s="26">
        <v>479</v>
      </c>
      <c r="G188" s="26">
        <v>458</v>
      </c>
      <c r="H188" s="26">
        <v>464</v>
      </c>
      <c r="I188" s="26">
        <v>0</v>
      </c>
      <c r="J188" s="26">
        <v>531</v>
      </c>
      <c r="K188" s="26">
        <v>503</v>
      </c>
      <c r="L188" s="26">
        <v>459</v>
      </c>
      <c r="M188" s="26">
        <v>462</v>
      </c>
      <c r="N188" s="26">
        <v>492</v>
      </c>
      <c r="O188" s="26">
        <v>530</v>
      </c>
      <c r="P188" s="26">
        <v>0</v>
      </c>
      <c r="Q188" s="26">
        <v>475</v>
      </c>
      <c r="R188" s="1566">
        <v>523</v>
      </c>
      <c r="S188" s="26">
        <v>5928</v>
      </c>
      <c r="T188" s="1550">
        <f>D188-S188</f>
        <v>-5922.08</v>
      </c>
    </row>
    <row r="189" spans="2:20" x14ac:dyDescent="0.3">
      <c r="B189" s="26" t="s">
        <v>1365</v>
      </c>
      <c r="D189" s="26">
        <f>SUM(E189:R189)</f>
        <v>2294</v>
      </c>
      <c r="E189" s="26">
        <v>80</v>
      </c>
      <c r="F189" s="26">
        <v>174</v>
      </c>
      <c r="G189" s="26">
        <v>144</v>
      </c>
      <c r="H189" s="26">
        <v>234</v>
      </c>
      <c r="I189" s="26">
        <v>0</v>
      </c>
      <c r="J189" s="26">
        <v>264</v>
      </c>
      <c r="K189" s="26">
        <v>131</v>
      </c>
      <c r="L189" s="26">
        <v>162</v>
      </c>
      <c r="M189" s="26">
        <v>141</v>
      </c>
      <c r="N189" s="26">
        <v>193</v>
      </c>
      <c r="O189" s="26">
        <v>169</v>
      </c>
      <c r="P189" s="26">
        <v>0</v>
      </c>
      <c r="Q189" s="26">
        <v>321</v>
      </c>
      <c r="R189" s="1566">
        <v>281</v>
      </c>
      <c r="S189" s="26">
        <v>2294</v>
      </c>
    </row>
    <row r="190" spans="2:20" ht="19.5" thickBot="1" x14ac:dyDescent="0.35">
      <c r="B190" s="26" t="s">
        <v>1363</v>
      </c>
      <c r="D190" s="26">
        <f>SUM(E190:R190)</f>
        <v>0</v>
      </c>
    </row>
    <row r="191" spans="2:20" x14ac:dyDescent="0.3">
      <c r="B191" s="3827" t="s">
        <v>1816</v>
      </c>
      <c r="C191" s="3828"/>
      <c r="D191" s="1545" t="s">
        <v>138</v>
      </c>
      <c r="E191" s="3825" t="s">
        <v>19</v>
      </c>
      <c r="F191" s="3825" t="s">
        <v>20</v>
      </c>
      <c r="G191" s="3825" t="s">
        <v>21</v>
      </c>
      <c r="H191" s="3825" t="s">
        <v>10</v>
      </c>
      <c r="I191" s="3825" t="s">
        <v>11</v>
      </c>
      <c r="J191" s="3825" t="s">
        <v>12</v>
      </c>
      <c r="K191" s="3825" t="s">
        <v>13</v>
      </c>
      <c r="L191" s="3825" t="s">
        <v>139</v>
      </c>
      <c r="M191" s="3825" t="s">
        <v>15</v>
      </c>
      <c r="N191" s="3825" t="s">
        <v>16</v>
      </c>
      <c r="O191" s="3825" t="s">
        <v>17</v>
      </c>
      <c r="P191" s="3825" t="s">
        <v>18</v>
      </c>
    </row>
    <row r="192" spans="2:20" ht="19.5" thickBot="1" x14ac:dyDescent="0.35">
      <c r="B192" s="3829"/>
      <c r="C192" s="3830"/>
      <c r="D192" s="1545" t="str">
        <f>'Вхідні дані'!$F$6</f>
        <v>2022-2023</v>
      </c>
      <c r="E192" s="3826"/>
      <c r="F192" s="3826"/>
      <c r="G192" s="3826"/>
      <c r="H192" s="3826"/>
      <c r="I192" s="3826"/>
      <c r="J192" s="3826"/>
      <c r="K192" s="3826"/>
      <c r="L192" s="3826"/>
      <c r="M192" s="3826"/>
      <c r="N192" s="3826"/>
      <c r="O192" s="3826"/>
      <c r="P192" s="3826"/>
    </row>
    <row r="193" spans="2:20" s="37" customFormat="1" x14ac:dyDescent="0.3">
      <c r="B193" s="1551" t="s">
        <v>2337</v>
      </c>
      <c r="C193" s="1546" t="s">
        <v>192</v>
      </c>
      <c r="D193" s="1552">
        <f t="shared" ref="D193:P193" si="116">D194+D195+D198+D199+D200+D201+D202+D203+D204</f>
        <v>766.48</v>
      </c>
      <c r="E193" s="1553">
        <f t="shared" si="116"/>
        <v>50.79</v>
      </c>
      <c r="F193" s="1553">
        <f t="shared" si="116"/>
        <v>79.569999999999993</v>
      </c>
      <c r="G193" s="1553">
        <f t="shared" si="116"/>
        <v>100.97</v>
      </c>
      <c r="H193" s="1553">
        <f t="shared" si="116"/>
        <v>111.97</v>
      </c>
      <c r="I193" s="1553">
        <f t="shared" si="116"/>
        <v>101.68</v>
      </c>
      <c r="J193" s="1553">
        <f t="shared" si="116"/>
        <v>67.86</v>
      </c>
      <c r="K193" s="1553">
        <f t="shared" si="116"/>
        <v>49.01</v>
      </c>
      <c r="L193" s="1553">
        <f t="shared" si="116"/>
        <v>47.17</v>
      </c>
      <c r="M193" s="1553">
        <f t="shared" si="116"/>
        <v>42.49</v>
      </c>
      <c r="N193" s="1553">
        <f t="shared" si="116"/>
        <v>45.64</v>
      </c>
      <c r="O193" s="1553">
        <f t="shared" si="116"/>
        <v>40.479999999999997</v>
      </c>
      <c r="P193" s="1553">
        <f t="shared" si="116"/>
        <v>28.83</v>
      </c>
      <c r="Q193" s="1554">
        <f>SUM(E193:P193)</f>
        <v>766.46</v>
      </c>
      <c r="R193" s="1571">
        <f>D193-Q193</f>
        <v>0.02</v>
      </c>
      <c r="S193" s="1555">
        <v>3762.9459999999999</v>
      </c>
      <c r="T193" s="1554">
        <f>S193-Q193</f>
        <v>2996.49</v>
      </c>
    </row>
    <row r="194" spans="2:20" x14ac:dyDescent="0.3">
      <c r="B194" s="1556" t="s">
        <v>880</v>
      </c>
      <c r="C194" s="1527" t="s">
        <v>192</v>
      </c>
      <c r="D194" s="1557">
        <f t="shared" ref="D194:P194" si="117">D12</f>
        <v>142.28</v>
      </c>
      <c r="E194" s="1557">
        <f t="shared" si="117"/>
        <v>15.31</v>
      </c>
      <c r="F194" s="1557">
        <f t="shared" si="117"/>
        <v>14.81</v>
      </c>
      <c r="G194" s="1557">
        <f t="shared" si="117"/>
        <v>15.03</v>
      </c>
      <c r="H194" s="1557">
        <f t="shared" si="117"/>
        <v>21.17</v>
      </c>
      <c r="I194" s="1557">
        <f t="shared" si="117"/>
        <v>18.510000000000002</v>
      </c>
      <c r="J194" s="1557">
        <f t="shared" si="117"/>
        <v>8.76</v>
      </c>
      <c r="K194" s="1557">
        <f t="shared" si="117"/>
        <v>6.09</v>
      </c>
      <c r="L194" s="1557">
        <f t="shared" si="117"/>
        <v>9.6</v>
      </c>
      <c r="M194" s="1557">
        <f t="shared" si="117"/>
        <v>8.0399999999999991</v>
      </c>
      <c r="N194" s="1557">
        <f t="shared" si="117"/>
        <v>7.68</v>
      </c>
      <c r="O194" s="1557">
        <f t="shared" si="117"/>
        <v>8.2100000000000009</v>
      </c>
      <c r="P194" s="1557">
        <f t="shared" si="117"/>
        <v>9.07</v>
      </c>
      <c r="Q194" s="1554">
        <f t="shared" ref="Q194:Q203" si="118">SUM(E194:P194)</f>
        <v>142.28</v>
      </c>
      <c r="R194" s="1571">
        <f>D194-Q194</f>
        <v>0</v>
      </c>
    </row>
    <row r="195" spans="2:20" x14ac:dyDescent="0.3">
      <c r="B195" s="1556" t="s">
        <v>1823</v>
      </c>
      <c r="C195" s="1527" t="s">
        <v>192</v>
      </c>
      <c r="D195" s="1557">
        <f t="shared" ref="D195:P195" si="119">D33</f>
        <v>608.24</v>
      </c>
      <c r="E195" s="1557">
        <f t="shared" si="119"/>
        <v>34.090000000000003</v>
      </c>
      <c r="F195" s="1557">
        <f t="shared" si="119"/>
        <v>63.34</v>
      </c>
      <c r="G195" s="1557">
        <f t="shared" si="119"/>
        <v>84.43</v>
      </c>
      <c r="H195" s="1557">
        <f t="shared" si="119"/>
        <v>89.49</v>
      </c>
      <c r="I195" s="1557">
        <f t="shared" si="119"/>
        <v>81.89</v>
      </c>
      <c r="J195" s="1557">
        <f t="shared" si="119"/>
        <v>57.9</v>
      </c>
      <c r="K195" s="1557">
        <f t="shared" si="119"/>
        <v>41.62</v>
      </c>
      <c r="L195" s="1557">
        <f t="shared" si="119"/>
        <v>36.090000000000003</v>
      </c>
      <c r="M195" s="1557">
        <f t="shared" si="119"/>
        <v>33.159999999999997</v>
      </c>
      <c r="N195" s="1557">
        <f t="shared" si="119"/>
        <v>36.729999999999997</v>
      </c>
      <c r="O195" s="1557">
        <f t="shared" si="119"/>
        <v>31.06</v>
      </c>
      <c r="P195" s="1557">
        <f t="shared" si="119"/>
        <v>18.440000000000001</v>
      </c>
      <c r="Q195" s="1554">
        <f t="shared" si="118"/>
        <v>608.24</v>
      </c>
      <c r="R195" s="1571">
        <f t="shared" ref="R195:R203" si="120">D195-Q195</f>
        <v>0</v>
      </c>
    </row>
    <row r="196" spans="2:20" s="1560" customFormat="1" x14ac:dyDescent="0.3">
      <c r="B196" s="1558" t="s">
        <v>2335</v>
      </c>
      <c r="C196" s="1528" t="s">
        <v>192</v>
      </c>
      <c r="D196" s="1559">
        <f t="shared" ref="D196:P196" si="121">D34</f>
        <v>89.73</v>
      </c>
      <c r="E196" s="1559">
        <f t="shared" si="121"/>
        <v>6.24</v>
      </c>
      <c r="F196" s="1559">
        <f t="shared" si="121"/>
        <v>8.4499999999999993</v>
      </c>
      <c r="G196" s="1559">
        <f t="shared" si="121"/>
        <v>13.57</v>
      </c>
      <c r="H196" s="1559">
        <f t="shared" si="121"/>
        <v>12.12</v>
      </c>
      <c r="I196" s="1559">
        <f t="shared" si="121"/>
        <v>11.05</v>
      </c>
      <c r="J196" s="1559">
        <f t="shared" si="121"/>
        <v>9.5399999999999991</v>
      </c>
      <c r="K196" s="1559">
        <f t="shared" si="121"/>
        <v>7.14</v>
      </c>
      <c r="L196" s="1559">
        <f t="shared" si="121"/>
        <v>4.47</v>
      </c>
      <c r="M196" s="1559">
        <f t="shared" si="121"/>
        <v>4.29</v>
      </c>
      <c r="N196" s="1559">
        <f t="shared" si="121"/>
        <v>6.67</v>
      </c>
      <c r="O196" s="1559">
        <f t="shared" si="121"/>
        <v>3.65</v>
      </c>
      <c r="P196" s="1559">
        <f t="shared" si="121"/>
        <v>2.54</v>
      </c>
      <c r="Q196" s="1554">
        <f t="shared" si="118"/>
        <v>89.73</v>
      </c>
      <c r="R196" s="1571">
        <f t="shared" si="120"/>
        <v>0</v>
      </c>
      <c r="T196" s="1561"/>
    </row>
    <row r="197" spans="2:20" s="1560" customFormat="1" x14ac:dyDescent="0.3">
      <c r="B197" s="1558" t="s">
        <v>2336</v>
      </c>
      <c r="C197" s="1528" t="s">
        <v>192</v>
      </c>
      <c r="D197" s="1559">
        <f t="shared" ref="D197:P197" si="122">D35</f>
        <v>518.51</v>
      </c>
      <c r="E197" s="1559">
        <f t="shared" si="122"/>
        <v>27.85</v>
      </c>
      <c r="F197" s="1559">
        <f t="shared" si="122"/>
        <v>54.89</v>
      </c>
      <c r="G197" s="1559">
        <f t="shared" si="122"/>
        <v>70.86</v>
      </c>
      <c r="H197" s="1559">
        <f t="shared" si="122"/>
        <v>77.37</v>
      </c>
      <c r="I197" s="1559">
        <f t="shared" si="122"/>
        <v>70.84</v>
      </c>
      <c r="J197" s="1559">
        <f t="shared" si="122"/>
        <v>48.36</v>
      </c>
      <c r="K197" s="1559">
        <f t="shared" si="122"/>
        <v>34.479999999999997</v>
      </c>
      <c r="L197" s="1559">
        <f t="shared" si="122"/>
        <v>31.62</v>
      </c>
      <c r="M197" s="1559">
        <f t="shared" si="122"/>
        <v>28.87</v>
      </c>
      <c r="N197" s="1559">
        <f t="shared" si="122"/>
        <v>30.06</v>
      </c>
      <c r="O197" s="1559">
        <f t="shared" si="122"/>
        <v>27.41</v>
      </c>
      <c r="P197" s="1559">
        <f t="shared" si="122"/>
        <v>15.9</v>
      </c>
      <c r="Q197" s="1554">
        <f t="shared" si="118"/>
        <v>518.51</v>
      </c>
      <c r="R197" s="1571">
        <f t="shared" si="120"/>
        <v>0</v>
      </c>
      <c r="T197" s="1561"/>
    </row>
    <row r="198" spans="2:20" x14ac:dyDescent="0.3">
      <c r="B198" s="1556" t="s">
        <v>2117</v>
      </c>
      <c r="C198" s="1527" t="s">
        <v>192</v>
      </c>
      <c r="D198" s="1557">
        <f t="shared" ref="D198:P198" si="123">D70</f>
        <v>0.6</v>
      </c>
      <c r="E198" s="1557">
        <f t="shared" si="123"/>
        <v>0.05</v>
      </c>
      <c r="F198" s="1557">
        <f t="shared" si="123"/>
        <v>0.05</v>
      </c>
      <c r="G198" s="1557">
        <f t="shared" si="123"/>
        <v>0.05</v>
      </c>
      <c r="H198" s="1557">
        <f t="shared" si="123"/>
        <v>0.05</v>
      </c>
      <c r="I198" s="1557">
        <f t="shared" si="123"/>
        <v>0.05</v>
      </c>
      <c r="J198" s="1557">
        <f t="shared" si="123"/>
        <v>0.05</v>
      </c>
      <c r="K198" s="1557">
        <f t="shared" si="123"/>
        <v>0.05</v>
      </c>
      <c r="L198" s="1557">
        <f t="shared" si="123"/>
        <v>0.05</v>
      </c>
      <c r="M198" s="1557">
        <f t="shared" si="123"/>
        <v>0.05</v>
      </c>
      <c r="N198" s="1557">
        <f t="shared" si="123"/>
        <v>0.05</v>
      </c>
      <c r="O198" s="1557">
        <f t="shared" si="123"/>
        <v>0.05</v>
      </c>
      <c r="P198" s="1557">
        <f t="shared" si="123"/>
        <v>0.05</v>
      </c>
      <c r="Q198" s="1554">
        <f t="shared" si="118"/>
        <v>0.6</v>
      </c>
      <c r="R198" s="1571">
        <f t="shared" si="120"/>
        <v>0</v>
      </c>
    </row>
    <row r="199" spans="2:20" x14ac:dyDescent="0.3">
      <c r="B199" s="1556" t="s">
        <v>1375</v>
      </c>
      <c r="C199" s="1527" t="s">
        <v>192</v>
      </c>
      <c r="D199" s="1557">
        <f>D153</f>
        <v>7.15</v>
      </c>
      <c r="E199" s="1557">
        <f t="shared" ref="E199:P199" si="124">E153</f>
        <v>0.64</v>
      </c>
      <c r="F199" s="1557">
        <f t="shared" si="124"/>
        <v>0.56999999999999995</v>
      </c>
      <c r="G199" s="1557">
        <f t="shared" si="124"/>
        <v>0.66</v>
      </c>
      <c r="H199" s="1557">
        <f t="shared" si="124"/>
        <v>0.63</v>
      </c>
      <c r="I199" s="1557">
        <f t="shared" si="124"/>
        <v>0.57999999999999996</v>
      </c>
      <c r="J199" s="1557">
        <f t="shared" si="124"/>
        <v>0.55000000000000004</v>
      </c>
      <c r="K199" s="1557">
        <f t="shared" si="124"/>
        <v>0.56000000000000005</v>
      </c>
      <c r="L199" s="1557">
        <f t="shared" si="124"/>
        <v>0.64</v>
      </c>
      <c r="M199" s="1557">
        <f t="shared" si="124"/>
        <v>0.61</v>
      </c>
      <c r="N199" s="1557">
        <f t="shared" si="124"/>
        <v>0.56000000000000005</v>
      </c>
      <c r="O199" s="1557">
        <f t="shared" si="124"/>
        <v>0.56000000000000005</v>
      </c>
      <c r="P199" s="1557">
        <f t="shared" si="124"/>
        <v>0.59</v>
      </c>
      <c r="Q199" s="1554">
        <f t="shared" si="118"/>
        <v>7.15</v>
      </c>
      <c r="R199" s="1571">
        <f t="shared" si="120"/>
        <v>0</v>
      </c>
    </row>
    <row r="200" spans="2:20" x14ac:dyDescent="0.3">
      <c r="B200" s="1556" t="s">
        <v>2124</v>
      </c>
      <c r="C200" s="1527" t="s">
        <v>192</v>
      </c>
      <c r="D200" s="1557">
        <f>D155</f>
        <v>5.92</v>
      </c>
      <c r="E200" s="1557">
        <f>E155</f>
        <v>0.53</v>
      </c>
      <c r="F200" s="1557">
        <f>F155</f>
        <v>0.48</v>
      </c>
      <c r="G200" s="1557">
        <f t="shared" ref="G200:P200" si="125">G155</f>
        <v>0.52</v>
      </c>
      <c r="H200" s="1557">
        <f t="shared" si="125"/>
        <v>0.55000000000000004</v>
      </c>
      <c r="I200" s="1557">
        <f t="shared" si="125"/>
        <v>0.48</v>
      </c>
      <c r="J200" s="1557">
        <f t="shared" si="125"/>
        <v>0.46</v>
      </c>
      <c r="K200" s="1557">
        <f t="shared" si="125"/>
        <v>0.46</v>
      </c>
      <c r="L200" s="1557">
        <f t="shared" si="125"/>
        <v>0.53</v>
      </c>
      <c r="M200" s="1557">
        <f t="shared" si="125"/>
        <v>0.5</v>
      </c>
      <c r="N200" s="1557">
        <f t="shared" si="125"/>
        <v>0.46</v>
      </c>
      <c r="O200" s="1557">
        <f t="shared" si="125"/>
        <v>0.46</v>
      </c>
      <c r="P200" s="1557">
        <f t="shared" si="125"/>
        <v>0.49</v>
      </c>
      <c r="Q200" s="1554">
        <f t="shared" si="118"/>
        <v>5.92</v>
      </c>
      <c r="R200" s="1571">
        <f t="shared" si="120"/>
        <v>0</v>
      </c>
    </row>
    <row r="201" spans="2:20" x14ac:dyDescent="0.3">
      <c r="B201" s="1556" t="s">
        <v>1330</v>
      </c>
      <c r="C201" s="1527" t="s">
        <v>192</v>
      </c>
      <c r="D201" s="1557">
        <f>D154</f>
        <v>0</v>
      </c>
      <c r="E201" s="1557">
        <f t="shared" ref="E201:P201" si="126">E154</f>
        <v>0</v>
      </c>
      <c r="F201" s="1557">
        <f t="shared" si="126"/>
        <v>0</v>
      </c>
      <c r="G201" s="1557">
        <f t="shared" si="126"/>
        <v>0</v>
      </c>
      <c r="H201" s="1557">
        <f t="shared" si="126"/>
        <v>0</v>
      </c>
      <c r="I201" s="1557">
        <f t="shared" si="126"/>
        <v>0</v>
      </c>
      <c r="J201" s="1557">
        <f t="shared" si="126"/>
        <v>0</v>
      </c>
      <c r="K201" s="1557">
        <f t="shared" si="126"/>
        <v>0</v>
      </c>
      <c r="L201" s="1557">
        <f t="shared" si="126"/>
        <v>0</v>
      </c>
      <c r="M201" s="1557">
        <f t="shared" si="126"/>
        <v>0</v>
      </c>
      <c r="N201" s="1557">
        <f t="shared" si="126"/>
        <v>0</v>
      </c>
      <c r="O201" s="1557">
        <f t="shared" si="126"/>
        <v>0</v>
      </c>
      <c r="P201" s="1557">
        <f t="shared" si="126"/>
        <v>0</v>
      </c>
      <c r="Q201" s="1554">
        <f t="shared" si="118"/>
        <v>0</v>
      </c>
      <c r="R201" s="1571">
        <f t="shared" si="120"/>
        <v>0</v>
      </c>
    </row>
    <row r="202" spans="2:20" x14ac:dyDescent="0.3">
      <c r="B202" s="1556" t="s">
        <v>1374</v>
      </c>
      <c r="C202" s="1527" t="s">
        <v>192</v>
      </c>
      <c r="D202" s="1562">
        <f>D189/1000</f>
        <v>2.29</v>
      </c>
      <c r="E202" s="1557">
        <f>(O189+P189)/1000</f>
        <v>0.17</v>
      </c>
      <c r="F202" s="1557">
        <f>Q189/1000</f>
        <v>0.32</v>
      </c>
      <c r="G202" s="1557">
        <f>R189/1000</f>
        <v>0.28000000000000003</v>
      </c>
      <c r="H202" s="1557">
        <f>E189/1000</f>
        <v>0.08</v>
      </c>
      <c r="I202" s="1557">
        <f t="shared" ref="I202:J203" si="127">F189/1000</f>
        <v>0.17</v>
      </c>
      <c r="J202" s="1557">
        <f t="shared" si="127"/>
        <v>0.14000000000000001</v>
      </c>
      <c r="K202" s="1557">
        <f>(H189+I189)/1000</f>
        <v>0.23</v>
      </c>
      <c r="L202" s="1557">
        <f>J189/1000</f>
        <v>0.26</v>
      </c>
      <c r="M202" s="1557">
        <f t="shared" ref="M202:P203" si="128">K189/1000</f>
        <v>0.13</v>
      </c>
      <c r="N202" s="1557">
        <f t="shared" si="128"/>
        <v>0.16</v>
      </c>
      <c r="O202" s="1557">
        <f t="shared" si="128"/>
        <v>0.14000000000000001</v>
      </c>
      <c r="P202" s="1557">
        <f t="shared" si="128"/>
        <v>0.19</v>
      </c>
      <c r="Q202" s="1554">
        <f t="shared" si="118"/>
        <v>2.27</v>
      </c>
      <c r="R202" s="1571">
        <f t="shared" si="120"/>
        <v>0.02</v>
      </c>
    </row>
    <row r="203" spans="2:20" x14ac:dyDescent="0.3">
      <c r="B203" s="1556" t="s">
        <v>956</v>
      </c>
      <c r="C203" s="1527" t="s">
        <v>192</v>
      </c>
      <c r="D203" s="1562">
        <f>D190/1000</f>
        <v>0</v>
      </c>
      <c r="E203" s="1557">
        <f>(O190+P190)/1000</f>
        <v>0</v>
      </c>
      <c r="F203" s="1557">
        <f>Q190/1000</f>
        <v>0</v>
      </c>
      <c r="G203" s="1557">
        <f>R190/1000</f>
        <v>0</v>
      </c>
      <c r="H203" s="1557">
        <f>E190/1000</f>
        <v>0</v>
      </c>
      <c r="I203" s="1557">
        <f t="shared" si="127"/>
        <v>0</v>
      </c>
      <c r="J203" s="1557">
        <f t="shared" si="127"/>
        <v>0</v>
      </c>
      <c r="K203" s="1557">
        <f>(H190+I190)/1000</f>
        <v>0</v>
      </c>
      <c r="L203" s="1557">
        <f>J190/1000</f>
        <v>0</v>
      </c>
      <c r="M203" s="1557">
        <f t="shared" si="128"/>
        <v>0</v>
      </c>
      <c r="N203" s="1557">
        <f t="shared" si="128"/>
        <v>0</v>
      </c>
      <c r="O203" s="1557">
        <f t="shared" si="128"/>
        <v>0</v>
      </c>
      <c r="P203" s="1557">
        <f t="shared" si="128"/>
        <v>0</v>
      </c>
      <c r="Q203" s="1554">
        <f t="shared" si="118"/>
        <v>0</v>
      </c>
      <c r="R203" s="1571">
        <f t="shared" si="120"/>
        <v>0</v>
      </c>
    </row>
    <row r="204" spans="2:20" x14ac:dyDescent="0.3">
      <c r="B204" s="1563" t="s">
        <v>2179</v>
      </c>
      <c r="C204" s="1563"/>
      <c r="D204" s="2025"/>
      <c r="E204" s="1563"/>
      <c r="F204" s="1563"/>
      <c r="G204" s="1563"/>
      <c r="H204" s="1563"/>
      <c r="I204" s="1563"/>
      <c r="J204" s="1563"/>
      <c r="K204" s="1563"/>
      <c r="L204" s="1563"/>
      <c r="M204" s="1563"/>
      <c r="N204" s="1563"/>
      <c r="O204" s="1563"/>
      <c r="P204" s="1563"/>
    </row>
    <row r="205" spans="2:20" ht="19.5" thickBot="1" x14ac:dyDescent="0.35"/>
    <row r="206" spans="2:20" ht="15" customHeight="1" x14ac:dyDescent="0.3">
      <c r="B206" s="3827" t="s">
        <v>1000</v>
      </c>
      <c r="C206" s="3828"/>
      <c r="D206" s="1545" t="s">
        <v>138</v>
      </c>
      <c r="E206" s="3825" t="s">
        <v>19</v>
      </c>
      <c r="F206" s="3825" t="s">
        <v>20</v>
      </c>
      <c r="G206" s="3825" t="s">
        <v>21</v>
      </c>
      <c r="H206" s="3825" t="s">
        <v>10</v>
      </c>
      <c r="I206" s="3825" t="s">
        <v>11</v>
      </c>
      <c r="J206" s="3825" t="s">
        <v>12</v>
      </c>
      <c r="K206" s="3825" t="s">
        <v>13</v>
      </c>
      <c r="L206" s="3825" t="s">
        <v>139</v>
      </c>
      <c r="M206" s="3825" t="s">
        <v>15</v>
      </c>
      <c r="N206" s="3825" t="s">
        <v>16</v>
      </c>
      <c r="O206" s="3825" t="s">
        <v>17</v>
      </c>
      <c r="P206" s="3825" t="s">
        <v>18</v>
      </c>
      <c r="Q206" s="2521"/>
      <c r="R206" s="2522"/>
    </row>
    <row r="207" spans="2:20" ht="19.5" thickBot="1" x14ac:dyDescent="0.35">
      <c r="B207" s="3829"/>
      <c r="C207" s="3830"/>
      <c r="D207" s="1545" t="str">
        <f>'Вхідні дані'!$F$6</f>
        <v>2022-2023</v>
      </c>
      <c r="E207" s="3826"/>
      <c r="F207" s="3826"/>
      <c r="G207" s="3826"/>
      <c r="H207" s="3826"/>
      <c r="I207" s="3826"/>
      <c r="J207" s="3826"/>
      <c r="K207" s="3826"/>
      <c r="L207" s="3826"/>
      <c r="M207" s="3826"/>
      <c r="N207" s="3826"/>
      <c r="O207" s="3826"/>
      <c r="P207" s="3826"/>
      <c r="Q207" s="2521"/>
      <c r="R207" s="2522"/>
    </row>
    <row r="208" spans="2:20" ht="15" customHeight="1" x14ac:dyDescent="0.3">
      <c r="B208" s="1551" t="s">
        <v>2337</v>
      </c>
      <c r="C208" s="1546" t="s">
        <v>1704</v>
      </c>
      <c r="D208" s="1552">
        <f>D209+D210+D213+D214+D215+D216+D217+D218+D219</f>
        <v>2483.81</v>
      </c>
      <c r="E208" s="1553">
        <f t="shared" ref="E208" si="129">E209+E210+E213+E214+E215+E216+E217+E218+E219</f>
        <v>164.84</v>
      </c>
      <c r="F208" s="1553">
        <f>F209+F210+F213+F214+F215+F216+F217+F218+F219</f>
        <v>257.86</v>
      </c>
      <c r="G208" s="1553">
        <f t="shared" ref="G208" si="130">G209+G210+G213+G214+G215+G216+G217+G218+G219</f>
        <v>327.04000000000002</v>
      </c>
      <c r="H208" s="1553">
        <f t="shared" ref="H208" si="131">H209+H210+H213+H214+H215+H216+H217+H218+H219</f>
        <v>362.85</v>
      </c>
      <c r="I208" s="1553">
        <f t="shared" ref="I208" si="132">I209+I210+I213+I214+I215+I216+I217+I218+I219</f>
        <v>329.49</v>
      </c>
      <c r="J208" s="1553">
        <f t="shared" ref="J208" si="133">J209+J210+J213+J214+J215+J216+J217+J218+J219</f>
        <v>219.72</v>
      </c>
      <c r="K208" s="1553">
        <f t="shared" ref="K208" si="134">K209+K210+K213+K214+K215+K216+K217+K218+K219</f>
        <v>158.66</v>
      </c>
      <c r="L208" s="1553">
        <f t="shared" ref="L208" si="135">L209+L210+L213+L214+L215+L216+L217+L218+L219</f>
        <v>152.88</v>
      </c>
      <c r="M208" s="1553">
        <f t="shared" ref="M208" si="136">M209+M210+M213+M214+M215+M216+M217+M218+M219</f>
        <v>137.69</v>
      </c>
      <c r="N208" s="1553">
        <f t="shared" ref="N208" si="137">N209+N210+N213+N214+N215+N216+N217+N218+N219</f>
        <v>147.86000000000001</v>
      </c>
      <c r="O208" s="1553">
        <f t="shared" ref="O208" si="138">O209+O210+O213+O214+O215+O216+O217+O218+O219</f>
        <v>131.19999999999999</v>
      </c>
      <c r="P208" s="1553">
        <f t="shared" ref="P208" si="139">P209+P210+P213+P214+P215+P216+P217+P218+P219</f>
        <v>93.58</v>
      </c>
      <c r="Q208" s="2521"/>
      <c r="R208" s="2523"/>
      <c r="S208" s="1578"/>
      <c r="T208" s="26"/>
    </row>
    <row r="209" spans="2:20" ht="14.45" customHeight="1" x14ac:dyDescent="0.3">
      <c r="B209" s="1556" t="s">
        <v>880</v>
      </c>
      <c r="C209" s="1527" t="s">
        <v>1704</v>
      </c>
      <c r="D209" s="1584">
        <f t="shared" ref="D209:P209" si="140">D25</f>
        <v>466.11</v>
      </c>
      <c r="E209" s="1557">
        <f t="shared" si="140"/>
        <v>50.15</v>
      </c>
      <c r="F209" s="1557">
        <f t="shared" si="140"/>
        <v>48.52</v>
      </c>
      <c r="G209" s="1557">
        <f t="shared" si="140"/>
        <v>49.24</v>
      </c>
      <c r="H209" s="1557">
        <f t="shared" si="140"/>
        <v>69.349999999999994</v>
      </c>
      <c r="I209" s="1557">
        <f t="shared" si="140"/>
        <v>60.64</v>
      </c>
      <c r="J209" s="1557">
        <f t="shared" si="140"/>
        <v>28.7</v>
      </c>
      <c r="K209" s="1557">
        <f t="shared" si="140"/>
        <v>19.940000000000001</v>
      </c>
      <c r="L209" s="1557">
        <f t="shared" si="140"/>
        <v>31.45</v>
      </c>
      <c r="M209" s="1557">
        <f t="shared" si="140"/>
        <v>26.34</v>
      </c>
      <c r="N209" s="1557">
        <f t="shared" si="140"/>
        <v>25.16</v>
      </c>
      <c r="O209" s="1557">
        <f t="shared" si="140"/>
        <v>26.89</v>
      </c>
      <c r="P209" s="1557">
        <f t="shared" si="140"/>
        <v>29.71</v>
      </c>
      <c r="Q209" s="2524"/>
      <c r="R209" s="2522"/>
      <c r="S209" s="1579" t="s">
        <v>2356</v>
      </c>
      <c r="T209" s="26"/>
    </row>
    <row r="210" spans="2:20" x14ac:dyDescent="0.3">
      <c r="B210" s="1556" t="s">
        <v>1823</v>
      </c>
      <c r="C210" s="1527" t="s">
        <v>1704</v>
      </c>
      <c r="D210" s="1584">
        <f t="shared" ref="D210:P210" si="141">D64</f>
        <v>1966.15</v>
      </c>
      <c r="E210" s="1557">
        <f t="shared" si="141"/>
        <v>110.2</v>
      </c>
      <c r="F210" s="1557">
        <f t="shared" si="141"/>
        <v>204.75</v>
      </c>
      <c r="G210" s="1557">
        <f t="shared" si="141"/>
        <v>272.93</v>
      </c>
      <c r="H210" s="1557">
        <f t="shared" si="141"/>
        <v>289.27</v>
      </c>
      <c r="I210" s="1557">
        <f t="shared" si="141"/>
        <v>264.70999999999998</v>
      </c>
      <c r="J210" s="1557">
        <f t="shared" si="141"/>
        <v>187.16</v>
      </c>
      <c r="K210" s="1557">
        <f t="shared" si="141"/>
        <v>134.53</v>
      </c>
      <c r="L210" s="1557">
        <f t="shared" si="141"/>
        <v>116.65</v>
      </c>
      <c r="M210" s="1557">
        <f t="shared" si="141"/>
        <v>107.19</v>
      </c>
      <c r="N210" s="1557">
        <f t="shared" si="141"/>
        <v>118.73</v>
      </c>
      <c r="O210" s="1557">
        <f t="shared" si="141"/>
        <v>100.41</v>
      </c>
      <c r="P210" s="1557">
        <f t="shared" si="141"/>
        <v>59.61</v>
      </c>
      <c r="Q210" s="2524"/>
      <c r="R210" s="2522"/>
      <c r="S210" s="1579" t="s">
        <v>2357</v>
      </c>
      <c r="T210" s="26"/>
    </row>
    <row r="211" spans="2:20" x14ac:dyDescent="0.3">
      <c r="B211" s="1558" t="s">
        <v>2335</v>
      </c>
      <c r="C211" s="1527" t="s">
        <v>1704</v>
      </c>
      <c r="D211" s="1584">
        <f t="shared" ref="D211:P211" si="142">D65</f>
        <v>290.05</v>
      </c>
      <c r="E211" s="1557">
        <f t="shared" si="142"/>
        <v>20.170000000000002</v>
      </c>
      <c r="F211" s="1557">
        <f t="shared" si="142"/>
        <v>27.32</v>
      </c>
      <c r="G211" s="1557">
        <f t="shared" si="142"/>
        <v>43.87</v>
      </c>
      <c r="H211" s="1557">
        <f t="shared" si="142"/>
        <v>39.18</v>
      </c>
      <c r="I211" s="1557">
        <f t="shared" si="142"/>
        <v>35.729999999999997</v>
      </c>
      <c r="J211" s="1557">
        <f t="shared" si="142"/>
        <v>30.84</v>
      </c>
      <c r="K211" s="1557">
        <f t="shared" si="142"/>
        <v>23.08</v>
      </c>
      <c r="L211" s="1557">
        <f t="shared" si="142"/>
        <v>14.44</v>
      </c>
      <c r="M211" s="1557">
        <f t="shared" si="142"/>
        <v>13.87</v>
      </c>
      <c r="N211" s="1557">
        <f t="shared" si="142"/>
        <v>21.56</v>
      </c>
      <c r="O211" s="1557">
        <f t="shared" si="142"/>
        <v>11.8</v>
      </c>
      <c r="P211" s="1557">
        <f t="shared" si="142"/>
        <v>8.2100000000000009</v>
      </c>
      <c r="Q211" s="2524"/>
      <c r="R211" s="2522"/>
      <c r="S211" s="1579" t="s">
        <v>773</v>
      </c>
      <c r="T211" s="26"/>
    </row>
    <row r="212" spans="2:20" ht="24" x14ac:dyDescent="0.3">
      <c r="B212" s="1558" t="s">
        <v>2336</v>
      </c>
      <c r="C212" s="1527" t="s">
        <v>1704</v>
      </c>
      <c r="D212" s="1557">
        <f t="shared" ref="D212:P212" si="143">D66</f>
        <v>1676.1</v>
      </c>
      <c r="E212" s="1557">
        <f t="shared" si="143"/>
        <v>90.03</v>
      </c>
      <c r="F212" s="1557">
        <f t="shared" si="143"/>
        <v>177.43</v>
      </c>
      <c r="G212" s="1557">
        <f t="shared" si="143"/>
        <v>229.05</v>
      </c>
      <c r="H212" s="1557">
        <f t="shared" si="143"/>
        <v>250.11</v>
      </c>
      <c r="I212" s="1557">
        <f t="shared" si="143"/>
        <v>228.99</v>
      </c>
      <c r="J212" s="1557">
        <f t="shared" si="143"/>
        <v>156.32</v>
      </c>
      <c r="K212" s="1557">
        <f t="shared" si="143"/>
        <v>111.46</v>
      </c>
      <c r="L212" s="1557">
        <f t="shared" si="143"/>
        <v>102.21</v>
      </c>
      <c r="M212" s="1557">
        <f t="shared" si="143"/>
        <v>93.32</v>
      </c>
      <c r="N212" s="1557">
        <f t="shared" si="143"/>
        <v>97.17</v>
      </c>
      <c r="O212" s="1557">
        <f t="shared" si="143"/>
        <v>88.61</v>
      </c>
      <c r="P212" s="1557">
        <f t="shared" si="143"/>
        <v>51.4</v>
      </c>
      <c r="Q212" s="2524"/>
      <c r="R212" s="2522"/>
      <c r="S212" s="1579" t="s">
        <v>774</v>
      </c>
      <c r="T212" s="26"/>
    </row>
    <row r="213" spans="2:20" ht="24" x14ac:dyDescent="0.3">
      <c r="B213" s="1556" t="s">
        <v>2117</v>
      </c>
      <c r="C213" s="1527" t="s">
        <v>1704</v>
      </c>
      <c r="D213" s="1584">
        <f t="shared" ref="D213:P213" si="144">D83</f>
        <v>1.94</v>
      </c>
      <c r="E213" s="1557">
        <f t="shared" si="144"/>
        <v>0.16</v>
      </c>
      <c r="F213" s="1557">
        <f t="shared" si="144"/>
        <v>0.16</v>
      </c>
      <c r="G213" s="1557">
        <f t="shared" si="144"/>
        <v>0.16</v>
      </c>
      <c r="H213" s="1557">
        <f t="shared" si="144"/>
        <v>0.16</v>
      </c>
      <c r="I213" s="1557">
        <f t="shared" si="144"/>
        <v>0.16</v>
      </c>
      <c r="J213" s="1557">
        <f t="shared" si="144"/>
        <v>0.16</v>
      </c>
      <c r="K213" s="1557">
        <f t="shared" si="144"/>
        <v>0.16</v>
      </c>
      <c r="L213" s="1557">
        <f t="shared" si="144"/>
        <v>0.16</v>
      </c>
      <c r="M213" s="1557">
        <f t="shared" si="144"/>
        <v>0.16</v>
      </c>
      <c r="N213" s="1557">
        <f t="shared" si="144"/>
        <v>0.16</v>
      </c>
      <c r="O213" s="1557">
        <f t="shared" si="144"/>
        <v>0.16</v>
      </c>
      <c r="P213" s="1557">
        <f t="shared" si="144"/>
        <v>0.16</v>
      </c>
      <c r="Q213" s="2524"/>
      <c r="R213" s="2522"/>
      <c r="S213" s="1580" t="s">
        <v>775</v>
      </c>
      <c r="T213" s="26"/>
    </row>
    <row r="214" spans="2:20" x14ac:dyDescent="0.3">
      <c r="B214" s="1556" t="s">
        <v>1375</v>
      </c>
      <c r="C214" s="1527" t="s">
        <v>1704</v>
      </c>
      <c r="D214" s="1557">
        <f>D167</f>
        <v>23.09</v>
      </c>
      <c r="E214" s="1557">
        <f t="shared" ref="E214:P214" si="145">E167</f>
        <v>2.0699999999999998</v>
      </c>
      <c r="F214" s="1557">
        <f t="shared" si="145"/>
        <v>1.85</v>
      </c>
      <c r="G214" s="1557">
        <f t="shared" si="145"/>
        <v>2.13</v>
      </c>
      <c r="H214" s="1557">
        <f t="shared" si="145"/>
        <v>2.04</v>
      </c>
      <c r="I214" s="1557">
        <f t="shared" si="145"/>
        <v>1.88</v>
      </c>
      <c r="J214" s="1557">
        <f t="shared" si="145"/>
        <v>1.77</v>
      </c>
      <c r="K214" s="1557">
        <f t="shared" si="145"/>
        <v>1.81</v>
      </c>
      <c r="L214" s="1557">
        <f t="shared" si="145"/>
        <v>2.0699999999999998</v>
      </c>
      <c r="M214" s="1557">
        <f t="shared" si="145"/>
        <v>1.97</v>
      </c>
      <c r="N214" s="1557">
        <f t="shared" si="145"/>
        <v>1.81</v>
      </c>
      <c r="O214" s="1557">
        <f t="shared" si="145"/>
        <v>1.81</v>
      </c>
      <c r="P214" s="1557">
        <f t="shared" si="145"/>
        <v>1.91</v>
      </c>
      <c r="Q214" s="2524"/>
      <c r="R214" s="2522"/>
      <c r="S214" s="1580" t="s">
        <v>2358</v>
      </c>
      <c r="T214" s="26"/>
    </row>
    <row r="215" spans="2:20" x14ac:dyDescent="0.3">
      <c r="B215" s="1556" t="s">
        <v>2124</v>
      </c>
      <c r="C215" s="1527" t="s">
        <v>1704</v>
      </c>
      <c r="D215" s="1557">
        <f>D169</f>
        <v>19.12</v>
      </c>
      <c r="E215" s="1557">
        <f t="shared" ref="E215:P215" si="146">E169</f>
        <v>1.71</v>
      </c>
      <c r="F215" s="1557">
        <f t="shared" si="146"/>
        <v>1.55</v>
      </c>
      <c r="G215" s="1557">
        <f t="shared" si="146"/>
        <v>1.68</v>
      </c>
      <c r="H215" s="1557">
        <f t="shared" si="146"/>
        <v>1.77</v>
      </c>
      <c r="I215" s="1557">
        <f t="shared" si="146"/>
        <v>1.55</v>
      </c>
      <c r="J215" s="1557">
        <f t="shared" si="146"/>
        <v>1.48</v>
      </c>
      <c r="K215" s="1557">
        <f t="shared" si="146"/>
        <v>1.48</v>
      </c>
      <c r="L215" s="1557">
        <f t="shared" si="146"/>
        <v>1.71</v>
      </c>
      <c r="M215" s="1557">
        <f t="shared" si="146"/>
        <v>1.61</v>
      </c>
      <c r="N215" s="1557">
        <f t="shared" si="146"/>
        <v>1.48</v>
      </c>
      <c r="O215" s="1557">
        <f t="shared" si="146"/>
        <v>1.48</v>
      </c>
      <c r="P215" s="1557">
        <f t="shared" si="146"/>
        <v>1.58</v>
      </c>
      <c r="Q215" s="2524"/>
      <c r="R215" s="2522"/>
      <c r="S215" s="1581" t="s">
        <v>776</v>
      </c>
      <c r="T215" s="26"/>
    </row>
    <row r="216" spans="2:20" x14ac:dyDescent="0.3">
      <c r="B216" s="1556" t="s">
        <v>1330</v>
      </c>
      <c r="C216" s="1527" t="s">
        <v>1704</v>
      </c>
      <c r="D216" s="1557">
        <f>D173</f>
        <v>0</v>
      </c>
      <c r="E216" s="1557">
        <f t="shared" ref="E216:P216" si="147">E173</f>
        <v>0</v>
      </c>
      <c r="F216" s="1557">
        <f t="shared" si="147"/>
        <v>0</v>
      </c>
      <c r="G216" s="1557">
        <f t="shared" si="147"/>
        <v>0</v>
      </c>
      <c r="H216" s="1557">
        <f t="shared" si="147"/>
        <v>0</v>
      </c>
      <c r="I216" s="1557">
        <f t="shared" si="147"/>
        <v>0</v>
      </c>
      <c r="J216" s="1557">
        <f t="shared" si="147"/>
        <v>0</v>
      </c>
      <c r="K216" s="1557">
        <f t="shared" si="147"/>
        <v>0</v>
      </c>
      <c r="L216" s="1557">
        <f t="shared" si="147"/>
        <v>0</v>
      </c>
      <c r="M216" s="1557">
        <f t="shared" si="147"/>
        <v>0</v>
      </c>
      <c r="N216" s="1557">
        <f t="shared" si="147"/>
        <v>0</v>
      </c>
      <c r="O216" s="1557">
        <f t="shared" si="147"/>
        <v>0</v>
      </c>
      <c r="P216" s="1557">
        <f t="shared" si="147"/>
        <v>0</v>
      </c>
      <c r="Q216" s="2524"/>
      <c r="R216" s="2522"/>
      <c r="S216" s="1582" t="s">
        <v>2359</v>
      </c>
      <c r="T216" s="26"/>
    </row>
    <row r="217" spans="2:20" x14ac:dyDescent="0.3">
      <c r="B217" s="1556" t="s">
        <v>1374</v>
      </c>
      <c r="C217" s="1527" t="s">
        <v>1704</v>
      </c>
      <c r="D217" s="1562">
        <f>D202*'Ціна ее'!$C$14+D202*'Ціна ее'!$D$13</f>
        <v>7.4</v>
      </c>
      <c r="E217" s="1562">
        <f>E202*'Ціна ее'!$C$14+E202*'Ціна ее'!$D$13</f>
        <v>0.55000000000000004</v>
      </c>
      <c r="F217" s="1562">
        <f>F202*'Ціна ее'!$C$14+F202*'Ціна ее'!$D$13</f>
        <v>1.03</v>
      </c>
      <c r="G217" s="1562">
        <f>G202*'Ціна ее'!$C$14+G202*'Ціна ее'!$D$13</f>
        <v>0.9</v>
      </c>
      <c r="H217" s="1562">
        <f>H202*'Ціна ее'!$C$14+H202*'Ціна ее'!$D$13</f>
        <v>0.26</v>
      </c>
      <c r="I217" s="1562">
        <f>I202*'Ціна ее'!$C$14+I202*'Ціна ее'!$D$13</f>
        <v>0.55000000000000004</v>
      </c>
      <c r="J217" s="1562">
        <f>J202*'Ціна ее'!$C$14+J202*'Ціна ее'!$D$13</f>
        <v>0.45</v>
      </c>
      <c r="K217" s="1562">
        <f>K202*'Ціна ее'!$C$14+K202*'Ціна ее'!$D$13</f>
        <v>0.74</v>
      </c>
      <c r="L217" s="1562">
        <f>L202*'Ціна ее'!$C$14+L202*'Ціна ее'!$D$13</f>
        <v>0.84</v>
      </c>
      <c r="M217" s="1562">
        <f>M202*'Ціна ее'!$C$14+M202*'Ціна ее'!$D$13</f>
        <v>0.42</v>
      </c>
      <c r="N217" s="1562">
        <f>N202*'Ціна ее'!$C$14+N202*'Ціна ее'!$D$13</f>
        <v>0.52</v>
      </c>
      <c r="O217" s="1562">
        <f>O202*'Ціна ее'!$C$14+O202*'Ціна ее'!$D$13</f>
        <v>0.45</v>
      </c>
      <c r="P217" s="1562">
        <f>P202*'Ціна ее'!$C$14+P202*'Ціна ее'!$D$13</f>
        <v>0.61</v>
      </c>
      <c r="Q217" s="2524"/>
      <c r="R217" s="2522"/>
      <c r="S217" s="1582"/>
    </row>
    <row r="218" spans="2:20" x14ac:dyDescent="0.3">
      <c r="B218" s="1556" t="s">
        <v>956</v>
      </c>
      <c r="C218" s="1527" t="s">
        <v>1704</v>
      </c>
      <c r="D218" s="1562">
        <f>D203*'Ціна ее'!$C$14+D203*'Ціна ее'!$D$13</f>
        <v>0</v>
      </c>
      <c r="E218" s="1562">
        <f>E203*'Ціна ее'!$C$14+E203*'Ціна ее'!$D$13</f>
        <v>0</v>
      </c>
      <c r="F218" s="1562">
        <f>F203*'Ціна ее'!$C$14+F203*'Ціна ее'!$D$13</f>
        <v>0</v>
      </c>
      <c r="G218" s="1562">
        <f>G203*'Ціна ее'!$C$14+G203*'Ціна ее'!$D$13</f>
        <v>0</v>
      </c>
      <c r="H218" s="1562">
        <f>H203*'Ціна ее'!$C$14+H203*'Ціна ее'!$D$13</f>
        <v>0</v>
      </c>
      <c r="I218" s="1562">
        <f>I203*'Ціна ее'!$C$14+I203*'Ціна ее'!$D$13</f>
        <v>0</v>
      </c>
      <c r="J218" s="1562">
        <f>J203*'Ціна ее'!$C$14+J203*'Ціна ее'!$D$13</f>
        <v>0</v>
      </c>
      <c r="K218" s="1562">
        <f>K203*'Ціна ее'!$C$14+K203*'Ціна ее'!$D$13</f>
        <v>0</v>
      </c>
      <c r="L218" s="1562">
        <f>L203*'Ціна ее'!$C$14+L203*'Ціна ее'!$D$13</f>
        <v>0</v>
      </c>
      <c r="M218" s="1562">
        <f>M203*'Ціна ее'!$C$14+M203*'Ціна ее'!$D$13</f>
        <v>0</v>
      </c>
      <c r="N218" s="1562">
        <f>N203*'Ціна ее'!$C$14+N203*'Ціна ее'!$D$13</f>
        <v>0</v>
      </c>
      <c r="O218" s="1562">
        <f>O203*'Ціна ее'!$C$14+O203*'Ціна ее'!$D$13</f>
        <v>0</v>
      </c>
      <c r="P218" s="1562">
        <f>P203*'Ціна ее'!$C$14+P203*'Ціна ее'!$D$13</f>
        <v>0</v>
      </c>
      <c r="Q218" s="2524"/>
      <c r="R218" s="2522"/>
      <c r="S218" s="1582"/>
    </row>
    <row r="219" spans="2:20" x14ac:dyDescent="0.3">
      <c r="B219" s="1563" t="s">
        <v>2179</v>
      </c>
      <c r="C219" s="1563"/>
      <c r="D219" s="1562"/>
      <c r="E219" s="1562"/>
      <c r="F219" s="1563"/>
      <c r="G219" s="1563"/>
      <c r="H219" s="1563"/>
      <c r="I219" s="1563"/>
      <c r="J219" s="1563"/>
      <c r="K219" s="1563"/>
      <c r="L219" s="1563"/>
      <c r="M219" s="1563"/>
      <c r="N219" s="1563"/>
      <c r="O219" s="1563"/>
      <c r="P219" s="1563"/>
      <c r="Q219" s="2521"/>
      <c r="R219" s="2522"/>
    </row>
    <row r="220" spans="2:20" x14ac:dyDescent="0.3">
      <c r="Q220" s="2521"/>
      <c r="R220" s="2522"/>
    </row>
    <row r="221" spans="2:20" x14ac:dyDescent="0.3">
      <c r="Q221" s="2521"/>
      <c r="R221" s="2522"/>
    </row>
    <row r="223" spans="2:20" x14ac:dyDescent="0.3">
      <c r="D223" s="1343">
        <f>D18+D47+D76</f>
        <v>123.55</v>
      </c>
    </row>
  </sheetData>
  <autoFilter ref="B8:T83" xr:uid="{00000000-0009-0000-0000-00000C000000}"/>
  <mergeCells count="87">
    <mergeCell ref="B110:P110"/>
    <mergeCell ref="C97:C98"/>
    <mergeCell ref="D97:D98"/>
    <mergeCell ref="E97:M97"/>
    <mergeCell ref="K6:K7"/>
    <mergeCell ref="L6:L7"/>
    <mergeCell ref="B26:P26"/>
    <mergeCell ref="B9:P9"/>
    <mergeCell ref="G88:I88"/>
    <mergeCell ref="B67:P67"/>
    <mergeCell ref="G89:I89"/>
    <mergeCell ref="M88:P88"/>
    <mergeCell ref="M89:P89"/>
    <mergeCell ref="B97:B98"/>
    <mergeCell ref="B88:E88"/>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O149:O150"/>
    <mergeCell ref="M149:M150"/>
    <mergeCell ref="N149:N150"/>
    <mergeCell ref="J149:J150"/>
    <mergeCell ref="F149:F150"/>
    <mergeCell ref="G149:G150"/>
    <mergeCell ref="M191:M192"/>
    <mergeCell ref="N191:N192"/>
    <mergeCell ref="O191:O192"/>
    <mergeCell ref="P191:P192"/>
    <mergeCell ref="C115:C116"/>
    <mergeCell ref="H149:H150"/>
    <mergeCell ref="I149:I150"/>
    <mergeCell ref="P149:P150"/>
    <mergeCell ref="B146:P146"/>
    <mergeCell ref="B147:P147"/>
    <mergeCell ref="B148:P148"/>
    <mergeCell ref="B149:B150"/>
    <mergeCell ref="C149:C150"/>
    <mergeCell ref="E149:E150"/>
    <mergeCell ref="K149:K150"/>
    <mergeCell ref="L149:L150"/>
    <mergeCell ref="H191:H192"/>
    <mergeCell ref="I191:I192"/>
    <mergeCell ref="J191:J192"/>
    <mergeCell ref="K191:K192"/>
    <mergeCell ref="L191:L192"/>
    <mergeCell ref="B191:C192"/>
    <mergeCell ref="B206:C207"/>
    <mergeCell ref="E206:E207"/>
    <mergeCell ref="F206:F207"/>
    <mergeCell ref="G206:G207"/>
    <mergeCell ref="E191:E192"/>
    <mergeCell ref="F191:F192"/>
    <mergeCell ref="G191:G192"/>
    <mergeCell ref="M206:M207"/>
    <mergeCell ref="N206:N207"/>
    <mergeCell ref="O206:O207"/>
    <mergeCell ref="P206:P207"/>
    <mergeCell ref="H206:H207"/>
    <mergeCell ref="I206:I207"/>
    <mergeCell ref="J206:J207"/>
    <mergeCell ref="K206:K207"/>
    <mergeCell ref="L206:L207"/>
    <mergeCell ref="AC10:AC11"/>
    <mergeCell ref="AD10:AD11"/>
    <mergeCell ref="X10:X11"/>
    <mergeCell ref="Y10:Y11"/>
    <mergeCell ref="Z10:Z11"/>
    <mergeCell ref="AA10:AA11"/>
    <mergeCell ref="AB10:AB11"/>
    <mergeCell ref="S10:S11"/>
    <mergeCell ref="T10:T11"/>
    <mergeCell ref="U10:U11"/>
    <mergeCell ref="V10:V11"/>
    <mergeCell ref="W10:W11"/>
  </mergeCells>
  <conditionalFormatting sqref="B147:P147 B4:P4">
    <cfRule type="cellIs" dxfId="39" priority="2" operator="equal">
      <formula>0</formula>
    </cfRule>
  </conditionalFormatting>
  <printOptions horizontalCentered="1"/>
  <pageMargins left="0" right="0" top="0.78740157480314965" bottom="0.19685039370078741" header="0" footer="0"/>
  <pageSetup paperSize="9" scale="7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P135"/>
  <sheetViews>
    <sheetView view="pageBreakPreview" zoomScaleNormal="110" zoomScaleSheetLayoutView="100" workbookViewId="0">
      <selection activeCell="I10" sqref="I10"/>
    </sheetView>
  </sheetViews>
  <sheetFormatPr defaultColWidth="9.140625" defaultRowHeight="15" x14ac:dyDescent="0.25"/>
  <cols>
    <col min="1" max="1" width="4.85546875" style="6" customWidth="1"/>
    <col min="2" max="2" width="39.7109375" style="5" customWidth="1"/>
    <col min="3" max="3" width="9.140625" style="5"/>
    <col min="4" max="5" width="11.7109375" style="5" customWidth="1"/>
    <col min="6" max="6" width="14.140625" style="2612" customWidth="1"/>
    <col min="7" max="7" width="13.140625" style="5" customWidth="1"/>
    <col min="8" max="8" width="14.42578125" style="279" customWidth="1"/>
    <col min="9" max="9" width="43.5703125" style="5" customWidth="1"/>
    <col min="10" max="10" width="22.42578125" style="5" customWidth="1"/>
    <col min="11" max="16384" width="9.140625" style="5"/>
  </cols>
  <sheetData>
    <row r="1" spans="1:8" ht="40.9" customHeight="1" x14ac:dyDescent="0.25">
      <c r="A1" s="3034"/>
      <c r="B1" s="2521"/>
      <c r="C1" s="2521"/>
      <c r="D1" s="2521"/>
      <c r="E1" s="3734" t="s">
        <v>3481</v>
      </c>
      <c r="F1" s="3734"/>
      <c r="G1" s="3734"/>
      <c r="H1" s="279" t="s">
        <v>643</v>
      </c>
    </row>
    <row r="2" spans="1:8" ht="16.899999999999999" hidden="1" customHeight="1" x14ac:dyDescent="0.25">
      <c r="A2" s="3034"/>
      <c r="B2" s="2521"/>
      <c r="C2" s="2521"/>
      <c r="D2" s="2521"/>
      <c r="E2" s="3794"/>
      <c r="F2" s="3794"/>
      <c r="G2" s="3794"/>
    </row>
    <row r="3" spans="1:8" ht="17.45" customHeight="1" x14ac:dyDescent="0.25">
      <c r="A3" s="3034"/>
      <c r="B3" s="3872" t="s">
        <v>470</v>
      </c>
      <c r="C3" s="3844"/>
      <c r="D3" s="3844"/>
      <c r="E3" s="3844"/>
      <c r="F3" s="3844"/>
      <c r="G3" s="2521"/>
    </row>
    <row r="4" spans="1:8" s="7" customFormat="1" ht="16.5" customHeight="1" x14ac:dyDescent="0.25">
      <c r="A4" s="3035"/>
      <c r="B4" s="3873" t="s">
        <v>471</v>
      </c>
      <c r="C4" s="3873"/>
      <c r="D4" s="3873"/>
      <c r="E4" s="3873"/>
      <c r="F4" s="3873"/>
      <c r="G4" s="3036"/>
      <c r="H4" s="280">
        <v>2</v>
      </c>
    </row>
    <row r="5" spans="1:8" s="7" customFormat="1" ht="15" customHeight="1" x14ac:dyDescent="0.25">
      <c r="A5" s="3035"/>
      <c r="B5" s="3873" t="s">
        <v>287</v>
      </c>
      <c r="C5" s="3873"/>
      <c r="D5" s="3873"/>
      <c r="E5" s="3873"/>
      <c r="F5" s="3873"/>
      <c r="G5" s="3036"/>
      <c r="H5" s="280"/>
    </row>
    <row r="6" spans="1:8" s="7" customFormat="1" x14ac:dyDescent="0.25">
      <c r="A6" s="3035"/>
      <c r="B6" s="3873" t="s">
        <v>846</v>
      </c>
      <c r="C6" s="3873"/>
      <c r="D6" s="3873"/>
      <c r="E6" s="3873"/>
      <c r="F6" s="3873"/>
      <c r="G6" s="3036"/>
      <c r="H6" s="279" t="s">
        <v>643</v>
      </c>
    </row>
    <row r="7" spans="1:8" s="7" customFormat="1" x14ac:dyDescent="0.25">
      <c r="A7" s="3035"/>
      <c r="B7" s="3873" t="s">
        <v>289</v>
      </c>
      <c r="C7" s="3873"/>
      <c r="D7" s="3873"/>
      <c r="E7" s="3873"/>
      <c r="F7" s="3873"/>
      <c r="G7" s="3036"/>
      <c r="H7" s="280"/>
    </row>
    <row r="8" spans="1:8" x14ac:dyDescent="0.25">
      <c r="A8" s="3034"/>
      <c r="B8" s="2521"/>
      <c r="C8" s="2521"/>
      <c r="D8" s="2521"/>
      <c r="E8" s="3845" t="s">
        <v>220</v>
      </c>
      <c r="F8" s="3874"/>
      <c r="G8" s="3874"/>
    </row>
    <row r="9" spans="1:8" ht="51" x14ac:dyDescent="0.25">
      <c r="A9" s="3875" t="s">
        <v>7</v>
      </c>
      <c r="B9" s="3877" t="s">
        <v>8</v>
      </c>
      <c r="C9" s="3879" t="s">
        <v>35</v>
      </c>
      <c r="D9" s="2582" t="s">
        <v>290</v>
      </c>
      <c r="E9" s="2582" t="s">
        <v>867</v>
      </c>
      <c r="F9" s="2582" t="s">
        <v>291</v>
      </c>
      <c r="G9" s="2582" t="s">
        <v>432</v>
      </c>
    </row>
    <row r="10" spans="1:8" ht="127.5" x14ac:dyDescent="0.25">
      <c r="A10" s="3876"/>
      <c r="B10" s="3878"/>
      <c r="C10" s="3848"/>
      <c r="D10" s="2582">
        <f>'Вхідні дані'!F8</f>
        <v>2020</v>
      </c>
      <c r="E10" s="2582">
        <f>'Вхідні дані'!F7</f>
        <v>2021</v>
      </c>
      <c r="F10" s="2582" t="str">
        <f>'Вхідні дані'!F9</f>
        <v xml:space="preserve">Рішення виконавчого комітету Чорноморської міської ради Одеського району Одеської області № 381 від 27.12.2018 </v>
      </c>
      <c r="G10" s="2582" t="str">
        <f>'Вхідні дані'!F6</f>
        <v>2022-2023</v>
      </c>
    </row>
    <row r="11" spans="1:8" x14ac:dyDescent="0.25">
      <c r="A11" s="2583">
        <v>1</v>
      </c>
      <c r="B11" s="2582">
        <v>2</v>
      </c>
      <c r="C11" s="2582">
        <v>3</v>
      </c>
      <c r="D11" s="2582">
        <v>4</v>
      </c>
      <c r="E11" s="2582">
        <v>5</v>
      </c>
      <c r="F11" s="2582">
        <v>6</v>
      </c>
      <c r="G11" s="2582">
        <v>7</v>
      </c>
    </row>
    <row r="12" spans="1:8" x14ac:dyDescent="0.25">
      <c r="A12" s="3868" t="s">
        <v>0</v>
      </c>
      <c r="B12" s="3868"/>
      <c r="C12" s="3868"/>
      <c r="D12" s="3868"/>
      <c r="E12" s="3868"/>
      <c r="F12" s="3868"/>
      <c r="G12" s="3868"/>
    </row>
    <row r="13" spans="1:8" ht="25.5" x14ac:dyDescent="0.25">
      <c r="A13" s="2584">
        <v>1</v>
      </c>
      <c r="B13" s="2585" t="s">
        <v>292</v>
      </c>
      <c r="C13" s="2582" t="s">
        <v>31</v>
      </c>
      <c r="D13" s="2586">
        <v>25.67</v>
      </c>
      <c r="E13" s="2586">
        <v>25.67</v>
      </c>
      <c r="F13" s="2586">
        <v>25.67</v>
      </c>
      <c r="G13" s="2586">
        <v>25.67</v>
      </c>
    </row>
    <row r="14" spans="1:8" ht="25.5" x14ac:dyDescent="0.25">
      <c r="A14" s="2584">
        <v>2</v>
      </c>
      <c r="B14" s="2585" t="s">
        <v>145</v>
      </c>
      <c r="C14" s="2582" t="s">
        <v>31</v>
      </c>
      <c r="D14" s="2586">
        <f>'Д 7_РП'!E95-'Д 7_РП'!E112</f>
        <v>9.0500000000000007</v>
      </c>
      <c r="E14" s="2586">
        <f>'Д 7_РП'!F95-'Д 7_РП'!F112</f>
        <v>9.1479999999999997</v>
      </c>
      <c r="F14" s="2586">
        <v>9.0500000000000007</v>
      </c>
      <c r="G14" s="2586">
        <f>'Д 7_РП'!G95-'Д 7_РП'!F112</f>
        <v>8.8179999999999996</v>
      </c>
      <c r="H14" s="2143" t="s">
        <v>2721</v>
      </c>
    </row>
    <row r="15" spans="1:8" ht="38.25" x14ac:dyDescent="0.25">
      <c r="A15" s="2584">
        <v>3</v>
      </c>
      <c r="B15" s="2585" t="s">
        <v>546</v>
      </c>
      <c r="C15" s="2582" t="s">
        <v>146</v>
      </c>
      <c r="D15" s="2587">
        <v>123.6</v>
      </c>
      <c r="E15" s="2587">
        <v>144.88999999999999</v>
      </c>
      <c r="F15" s="2587">
        <v>150.51</v>
      </c>
      <c r="G15" s="2588">
        <f>'Д 8_Паливо'!F10/'Д 8_Паливо'!B10*1000</f>
        <v>132.47999999999999</v>
      </c>
      <c r="H15" s="279" t="s">
        <v>643</v>
      </c>
    </row>
    <row r="16" spans="1:8" x14ac:dyDescent="0.25">
      <c r="A16" s="2584" t="s">
        <v>60</v>
      </c>
      <c r="B16" s="2585" t="s">
        <v>293</v>
      </c>
      <c r="C16" s="2582"/>
      <c r="D16" s="2587">
        <v>0</v>
      </c>
      <c r="E16" s="2587">
        <v>0</v>
      </c>
      <c r="F16" s="2587">
        <v>0</v>
      </c>
      <c r="G16" s="2587">
        <v>0</v>
      </c>
    </row>
    <row r="17" spans="1:13" ht="38.25" x14ac:dyDescent="0.25">
      <c r="A17" s="2584">
        <v>4</v>
      </c>
      <c r="B17" s="2585" t="s">
        <v>147</v>
      </c>
      <c r="C17" s="2582" t="s">
        <v>148</v>
      </c>
      <c r="D17" s="2588">
        <v>144.61000000000001</v>
      </c>
      <c r="E17" s="2587">
        <v>168.07</v>
      </c>
      <c r="F17" s="2587">
        <v>167.6</v>
      </c>
      <c r="G17" s="2588">
        <f>'Д 8_Паливо'!C10</f>
        <v>155.80000000000001</v>
      </c>
      <c r="H17" s="279" t="s">
        <v>643</v>
      </c>
    </row>
    <row r="18" spans="1:13" ht="38.25" x14ac:dyDescent="0.25">
      <c r="A18" s="2584">
        <v>5</v>
      </c>
      <c r="B18" s="2585" t="s">
        <v>544</v>
      </c>
      <c r="C18" s="2582" t="s">
        <v>148</v>
      </c>
      <c r="D18" s="2588">
        <v>156</v>
      </c>
      <c r="E18" s="2588">
        <v>156</v>
      </c>
      <c r="F18" s="2587">
        <f>F17</f>
        <v>167.6</v>
      </c>
      <c r="G18" s="2588">
        <f>G17</f>
        <v>155.80000000000001</v>
      </c>
      <c r="H18" s="279" t="s">
        <v>643</v>
      </c>
    </row>
    <row r="19" spans="1:13" x14ac:dyDescent="0.25">
      <c r="A19" s="2584">
        <v>6</v>
      </c>
      <c r="B19" s="2585" t="s">
        <v>868</v>
      </c>
      <c r="C19" s="2582" t="s">
        <v>22</v>
      </c>
      <c r="D19" s="2588">
        <f>'Д 7_РП'!E14</f>
        <v>12974.94</v>
      </c>
      <c r="E19" s="2588">
        <f>'Д 7_РП'!F14</f>
        <v>14029.59</v>
      </c>
      <c r="F19" s="2588">
        <v>16882.21</v>
      </c>
      <c r="G19" s="2588">
        <f>'Д 7_РП'!G14</f>
        <v>13172.79</v>
      </c>
      <c r="H19" s="279" t="s">
        <v>643</v>
      </c>
    </row>
    <row r="20" spans="1:13" ht="38.25" x14ac:dyDescent="0.25">
      <c r="A20" s="2584">
        <v>7</v>
      </c>
      <c r="B20" s="2585" t="s">
        <v>547</v>
      </c>
      <c r="C20" s="2582" t="s">
        <v>22</v>
      </c>
      <c r="D20" s="2588">
        <f>'Д 7_РП'!E19</f>
        <v>98.61</v>
      </c>
      <c r="E20" s="2588">
        <f>'Д 7_РП'!F19</f>
        <v>1113.95</v>
      </c>
      <c r="F20" s="2588">
        <v>386.38</v>
      </c>
      <c r="G20" s="2588">
        <f>'Д 7_РП'!G19</f>
        <v>105.38</v>
      </c>
      <c r="H20" s="279" t="s">
        <v>643</v>
      </c>
    </row>
    <row r="21" spans="1:13" ht="25.5" x14ac:dyDescent="0.25">
      <c r="A21" s="2584">
        <v>8</v>
      </c>
      <c r="B21" s="2585" t="s">
        <v>869</v>
      </c>
      <c r="C21" s="2582" t="s">
        <v>22</v>
      </c>
      <c r="D21" s="2588">
        <f>D19-D20</f>
        <v>12876.33</v>
      </c>
      <c r="E21" s="2588">
        <f>E19-E20</f>
        <v>12915.64</v>
      </c>
      <c r="F21" s="2588">
        <v>16493.830000000002</v>
      </c>
      <c r="G21" s="2588">
        <f>G19-G20</f>
        <v>13067.41</v>
      </c>
      <c r="H21" s="279" t="s">
        <v>643</v>
      </c>
      <c r="I21" s="5">
        <v>127154.579328191</v>
      </c>
      <c r="J21" s="3572" t="s">
        <v>3464</v>
      </c>
      <c r="L21" s="73"/>
      <c r="M21" s="73"/>
    </row>
    <row r="22" spans="1:13" ht="25.5" x14ac:dyDescent="0.25">
      <c r="A22" s="2584">
        <v>9</v>
      </c>
      <c r="B22" s="2585" t="s">
        <v>149</v>
      </c>
      <c r="C22" s="2582" t="s">
        <v>150</v>
      </c>
      <c r="D22" s="2588">
        <v>23</v>
      </c>
      <c r="E22" s="2588">
        <v>223</v>
      </c>
      <c r="F22" s="2589">
        <v>24.25</v>
      </c>
      <c r="G22" s="2588">
        <f>ФОП!G9+ФОП!G44*'БАЗИ РОЗПОДІЛУ'!F15+ФОП!G49*'БАЗИ РОЗПОДІЛУ'!F22</f>
        <v>39.520000000000003</v>
      </c>
    </row>
    <row r="23" spans="1:13" ht="25.5" x14ac:dyDescent="0.25">
      <c r="A23" s="2584">
        <v>10</v>
      </c>
      <c r="B23" s="2585" t="s">
        <v>151</v>
      </c>
      <c r="C23" s="2582" t="s">
        <v>152</v>
      </c>
      <c r="D23" s="2588">
        <f>D24/D22/12*1000</f>
        <v>23544.67</v>
      </c>
      <c r="E23" s="2588">
        <f>E24/E22/12*1000</f>
        <v>2556.54</v>
      </c>
      <c r="F23" s="2588">
        <v>17341.21</v>
      </c>
      <c r="G23" s="2588">
        <f>G24/G22/12*1000</f>
        <v>17197.71</v>
      </c>
    </row>
    <row r="24" spans="1:13" ht="25.5" x14ac:dyDescent="0.25">
      <c r="A24" s="2584">
        <v>11</v>
      </c>
      <c r="B24" s="2585" t="s">
        <v>153</v>
      </c>
      <c r="C24" s="2582" t="s">
        <v>40</v>
      </c>
      <c r="D24" s="2588">
        <f>'Д 2_Т на В'!E34+'Д 2_Т на В'!E30+'Д 2_Т на В'!E24</f>
        <v>6498.33</v>
      </c>
      <c r="E24" s="2588">
        <f>'Д 2_Т на В'!F34+'Д 2_Т на В'!F30+'Д 2_Т на В'!F24</f>
        <v>6841.29</v>
      </c>
      <c r="F24" s="2588">
        <f>3975.1+1684.8+399.7</f>
        <v>6059.6</v>
      </c>
      <c r="G24" s="2588">
        <f>(ФОП!H9+ФОП!H44*'БАЗИ РОЗПОДІЛУ'!F15+ФОП!H49*'БАЗИ РОЗПОДІЛУ'!F22)/1000</f>
        <v>8155.84</v>
      </c>
    </row>
    <row r="25" spans="1:13" ht="25.5" x14ac:dyDescent="0.25">
      <c r="A25" s="2584">
        <v>12</v>
      </c>
      <c r="B25" s="2585" t="s">
        <v>472</v>
      </c>
      <c r="C25" s="2582" t="s">
        <v>40</v>
      </c>
      <c r="D25" s="2588">
        <f>Виробництво_Транспортування_1ст!C34+ЗВВ_1ст!C25+Адміністративні_1ст!C25</f>
        <v>102.09</v>
      </c>
      <c r="E25" s="2588">
        <f>Виробництво_Транспортування_1ст!D34+ЗВВ_1ст!D25+Адміністративні_1ст!D25</f>
        <v>1118.3399999999999</v>
      </c>
      <c r="F25" s="2588">
        <v>618.29999999999995</v>
      </c>
      <c r="G25" s="2588">
        <f>Виробництво_Транспортування_1ст!F34+(ЗВВ_1ст!F25+ЗВВ_1ст!F26)*'БАЗИ РОЗПОДІЛУ'!F15+(Адміністративні_1ст!F25+Адміністративні_1ст!F26)*'БАЗИ РОЗПОДІЛУ'!F22</f>
        <v>833.55</v>
      </c>
      <c r="H25" s="279" t="s">
        <v>643</v>
      </c>
    </row>
    <row r="26" spans="1:13" ht="38.25" x14ac:dyDescent="0.25">
      <c r="A26" s="2584" t="s">
        <v>94</v>
      </c>
      <c r="B26" s="2585" t="s">
        <v>474</v>
      </c>
      <c r="C26" s="2582" t="s">
        <v>40</v>
      </c>
      <c r="D26" s="2588">
        <f>D25</f>
        <v>102.09</v>
      </c>
      <c r="E26" s="2588">
        <f>E25</f>
        <v>1118.3399999999999</v>
      </c>
      <c r="F26" s="2588">
        <f>F25</f>
        <v>618.29999999999995</v>
      </c>
      <c r="G26" s="2588">
        <f>G25</f>
        <v>833.55</v>
      </c>
      <c r="H26" s="279" t="s">
        <v>643</v>
      </c>
    </row>
    <row r="27" spans="1:13" x14ac:dyDescent="0.25">
      <c r="A27" s="2584">
        <v>13</v>
      </c>
      <c r="B27" s="2585" t="s">
        <v>473</v>
      </c>
      <c r="C27" s="2582" t="s">
        <v>40</v>
      </c>
      <c r="D27" s="2588">
        <f>Виробництво_Транспортування_1ст!C32+ЗВВ_1ст!C37+Адміністративні_1ст!C36</f>
        <v>1605.83</v>
      </c>
      <c r="E27" s="2588">
        <f>Виробництво_Транспортування_1ст!D32+ЗВВ_1ст!D37+Адміністративні_1ст!D36</f>
        <v>1581.46</v>
      </c>
      <c r="F27" s="2588">
        <v>1870.7</v>
      </c>
      <c r="G27" s="2588">
        <f>Виробництво_Транспортування_1ст!F32+Виробництво_Транспортування_1ст!F33+(ЗВВ_1ст!F37+ЗВВ_1ст!F38)*'БАЗИ РОЗПОДІЛУ'!F15+'БАЗИ РОЗПОДІЛУ'!F22*(Адміністративні_1ст!F36+Адміністративні_1ст!F37)</f>
        <v>2307.61</v>
      </c>
      <c r="H27" s="279" t="s">
        <v>643</v>
      </c>
      <c r="I27" s="198" t="e">
        <f>#REF!+#REF!+#REF!+#REF!+#REF!+#REF!</f>
        <v>#REF!</v>
      </c>
    </row>
    <row r="28" spans="1:13" ht="25.5" x14ac:dyDescent="0.25">
      <c r="A28" s="2584">
        <v>14</v>
      </c>
      <c r="B28" s="2585" t="s">
        <v>154</v>
      </c>
      <c r="C28" s="2582" t="s">
        <v>40</v>
      </c>
      <c r="D28" s="2588">
        <f>Виробництво_Транспортування_1ст!C15+ЗВВ_1ст!C28+Адміністративні_1ст!C28</f>
        <v>364.97</v>
      </c>
      <c r="E28" s="2588">
        <f>Виробництво_Транспортування_1ст!D15+ЗВВ_1ст!D28+Адміністративні_1ст!D28</f>
        <v>429.78</v>
      </c>
      <c r="F28" s="2588">
        <v>396.4</v>
      </c>
      <c r="G28" s="2590">
        <f>Виробництво_Транспортування_1ст!F15+ЗВВ_1ст!F28*'БАЗИ РОЗПОДІЛУ'!F15+Адміністративні_1ст!F28*'БАЗИ РОЗПОДІЛУ'!F22</f>
        <v>502.8</v>
      </c>
    </row>
    <row r="29" spans="1:13" x14ac:dyDescent="0.25">
      <c r="A29" s="3868" t="s">
        <v>1</v>
      </c>
      <c r="B29" s="3868"/>
      <c r="C29" s="3868"/>
      <c r="D29" s="3868"/>
      <c r="E29" s="3868"/>
      <c r="F29" s="3868"/>
      <c r="G29" s="3868"/>
    </row>
    <row r="30" spans="1:13" ht="25.5" x14ac:dyDescent="0.25">
      <c r="A30" s="2584">
        <v>1</v>
      </c>
      <c r="B30" s="2585" t="s">
        <v>155</v>
      </c>
      <c r="C30" s="2582" t="s">
        <v>156</v>
      </c>
      <c r="D30" s="2591">
        <v>12.8</v>
      </c>
      <c r="E30" s="2591">
        <v>12.8</v>
      </c>
      <c r="F30" s="2591">
        <v>12.8</v>
      </c>
      <c r="G30" s="2591">
        <v>12.8</v>
      </c>
      <c r="K30" s="279"/>
      <c r="L30" s="270"/>
    </row>
    <row r="31" spans="1:13" ht="25.5" x14ac:dyDescent="0.25">
      <c r="A31" s="2584">
        <v>2</v>
      </c>
      <c r="B31" s="2585" t="s">
        <v>149</v>
      </c>
      <c r="C31" s="2582" t="s">
        <v>150</v>
      </c>
      <c r="D31" s="2589">
        <v>17</v>
      </c>
      <c r="E31" s="2589">
        <v>17</v>
      </c>
      <c r="F31" s="2589">
        <v>20.5</v>
      </c>
      <c r="G31" s="2588">
        <f>ФОП!G14+ФОП!G19+ФОП!G44*'БАЗИ РОЗПОДІЛУ'!G15+ФОП!G49*'БАЗИ РОЗПОДІЛУ'!G22</f>
        <v>19.260000000000002</v>
      </c>
      <c r="J31" s="5" t="s">
        <v>856</v>
      </c>
    </row>
    <row r="32" spans="1:13" ht="25.5" x14ac:dyDescent="0.25">
      <c r="A32" s="2584">
        <v>3</v>
      </c>
      <c r="B32" s="2585" t="s">
        <v>151</v>
      </c>
      <c r="C32" s="2582" t="s">
        <v>157</v>
      </c>
      <c r="D32" s="2589">
        <f>D43/D31/12*1000</f>
        <v>22388.04</v>
      </c>
      <c r="E32" s="2589">
        <f>E43/E31/12*1000</f>
        <v>19213.240000000002</v>
      </c>
      <c r="F32" s="2589">
        <f>F43/F31/12*1000</f>
        <v>13571.54</v>
      </c>
      <c r="G32" s="2589">
        <f>G43/G31/12*1000</f>
        <v>14930.51</v>
      </c>
    </row>
    <row r="33" spans="1:10" ht="25.5" x14ac:dyDescent="0.25">
      <c r="A33" s="2584">
        <v>4</v>
      </c>
      <c r="B33" s="2585" t="s">
        <v>859</v>
      </c>
      <c r="C33" s="2582" t="s">
        <v>22</v>
      </c>
      <c r="D33" s="2589">
        <f>'Д 7_РП'!E24</f>
        <v>12876.33</v>
      </c>
      <c r="E33" s="2589">
        <f>'Д 7_РП'!F24</f>
        <v>12915.64</v>
      </c>
      <c r="F33" s="2589">
        <f>F21</f>
        <v>16493.830000000002</v>
      </c>
      <c r="G33" s="2588">
        <f>'Д 7_РП'!G24</f>
        <v>13067.41</v>
      </c>
      <c r="H33" s="279" t="s">
        <v>643</v>
      </c>
      <c r="I33" s="279" t="s">
        <v>860</v>
      </c>
    </row>
    <row r="34" spans="1:10" ht="25.5" x14ac:dyDescent="0.25">
      <c r="A34" s="2584">
        <v>5</v>
      </c>
      <c r="B34" s="2585" t="s">
        <v>861</v>
      </c>
      <c r="C34" s="2582" t="s">
        <v>22</v>
      </c>
      <c r="D34" s="2589">
        <f>'Д 7_РП'!E48</f>
        <v>1784.77</v>
      </c>
      <c r="E34" s="2589">
        <f>'Д 7_РП'!F48</f>
        <v>1945.76</v>
      </c>
      <c r="F34" s="2591">
        <v>1195.3499999999999</v>
      </c>
      <c r="G34" s="2588">
        <f>'Д 7_РП'!G48</f>
        <v>1450.1</v>
      </c>
      <c r="H34" s="279" t="s">
        <v>643</v>
      </c>
    </row>
    <row r="35" spans="1:10" x14ac:dyDescent="0.25">
      <c r="A35" s="2584" t="s">
        <v>28</v>
      </c>
      <c r="B35" s="2585" t="s">
        <v>294</v>
      </c>
      <c r="C35" s="2582" t="s">
        <v>4</v>
      </c>
      <c r="D35" s="2592">
        <f>D34/D33</f>
        <v>0.1386</v>
      </c>
      <c r="E35" s="2592">
        <f>E34/E33</f>
        <v>0.1507</v>
      </c>
      <c r="F35" s="2592">
        <f>F34/F33</f>
        <v>7.2499999999999995E-2</v>
      </c>
      <c r="G35" s="2592">
        <f>G34/G33</f>
        <v>0.111</v>
      </c>
    </row>
    <row r="36" spans="1:10" ht="25.5" x14ac:dyDescent="0.25">
      <c r="A36" s="2584">
        <v>6</v>
      </c>
      <c r="B36" s="2585" t="s">
        <v>862</v>
      </c>
      <c r="C36" s="2582" t="s">
        <v>22</v>
      </c>
      <c r="D36" s="2593">
        <v>1784.8</v>
      </c>
      <c r="E36" s="2593">
        <v>1945.8</v>
      </c>
      <c r="F36" s="2593">
        <f>F34</f>
        <v>1195.4000000000001</v>
      </c>
      <c r="G36" s="2594">
        <f>G34</f>
        <v>1450.1</v>
      </c>
      <c r="H36" s="5"/>
    </row>
    <row r="37" spans="1:10" ht="25.5" x14ac:dyDescent="0.25">
      <c r="A37" s="2584" t="s">
        <v>32</v>
      </c>
      <c r="B37" s="2585" t="s">
        <v>1948</v>
      </c>
      <c r="C37" s="2582" t="s">
        <v>4</v>
      </c>
      <c r="D37" s="2592">
        <f>D36/D33</f>
        <v>0.1386</v>
      </c>
      <c r="E37" s="2592">
        <f>E36/E33</f>
        <v>0.1507</v>
      </c>
      <c r="F37" s="2592">
        <f>F35</f>
        <v>7.2499999999999995E-2</v>
      </c>
      <c r="G37" s="2592">
        <f>G36/G33</f>
        <v>0.111</v>
      </c>
      <c r="H37" s="279" t="s">
        <v>643</v>
      </c>
      <c r="I37" s="270"/>
    </row>
    <row r="38" spans="1:10" ht="25.5" x14ac:dyDescent="0.25">
      <c r="A38" s="2584">
        <v>7</v>
      </c>
      <c r="B38" s="2585" t="s">
        <v>864</v>
      </c>
      <c r="C38" s="2582" t="s">
        <v>22</v>
      </c>
      <c r="D38" s="2589">
        <f>D33-D34</f>
        <v>11091.56</v>
      </c>
      <c r="E38" s="2589">
        <f>E33-E34</f>
        <v>10969.88</v>
      </c>
      <c r="F38" s="2589">
        <f>F33-F34</f>
        <v>15298.48</v>
      </c>
      <c r="G38" s="2589">
        <f>G33-G34</f>
        <v>11617.31</v>
      </c>
      <c r="I38" s="198"/>
    </row>
    <row r="39" spans="1:10" ht="25.5" x14ac:dyDescent="0.25">
      <c r="A39" s="2584" t="s">
        <v>64</v>
      </c>
      <c r="B39" s="2585" t="s">
        <v>865</v>
      </c>
      <c r="C39" s="2582" t="s">
        <v>22</v>
      </c>
      <c r="D39" s="2589">
        <v>0</v>
      </c>
      <c r="E39" s="2589">
        <v>0</v>
      </c>
      <c r="F39" s="2589">
        <v>0</v>
      </c>
      <c r="G39" s="2589">
        <v>0</v>
      </c>
      <c r="H39" s="279" t="s">
        <v>863</v>
      </c>
    </row>
    <row r="40" spans="1:10" ht="25.5" x14ac:dyDescent="0.25">
      <c r="A40" s="2584" t="s">
        <v>66</v>
      </c>
      <c r="B40" s="2585" t="s">
        <v>548</v>
      </c>
      <c r="C40" s="2582" t="s">
        <v>22</v>
      </c>
      <c r="D40" s="2589">
        <f>D41+D42</f>
        <v>11091.56</v>
      </c>
      <c r="E40" s="2589">
        <f>E41+E42</f>
        <v>10969.88</v>
      </c>
      <c r="F40" s="2589">
        <f>F41+F42</f>
        <v>15298.48</v>
      </c>
      <c r="G40" s="2589">
        <f>G41+G42</f>
        <v>11617.31</v>
      </c>
      <c r="H40" s="279" t="s">
        <v>863</v>
      </c>
    </row>
    <row r="41" spans="1:10" ht="15.6" customHeight="1" x14ac:dyDescent="0.25">
      <c r="A41" s="2584" t="s">
        <v>158</v>
      </c>
      <c r="B41" s="2585" t="s">
        <v>90</v>
      </c>
      <c r="C41" s="2582" t="s">
        <v>22</v>
      </c>
      <c r="D41" s="2589">
        <f>D33-D34</f>
        <v>11091.56</v>
      </c>
      <c r="E41" s="2589">
        <f>E33-E34</f>
        <v>10969.88</v>
      </c>
      <c r="F41" s="2589">
        <f>F33-F34</f>
        <v>15298.48</v>
      </c>
      <c r="G41" s="2589">
        <f>G33-G34</f>
        <v>11617.31</v>
      </c>
    </row>
    <row r="42" spans="1:10" ht="27" customHeight="1" x14ac:dyDescent="0.25">
      <c r="A42" s="2584" t="s">
        <v>159</v>
      </c>
      <c r="B42" s="2585" t="s">
        <v>866</v>
      </c>
      <c r="C42" s="2582" t="s">
        <v>22</v>
      </c>
      <c r="D42" s="2589">
        <v>0</v>
      </c>
      <c r="E42" s="2589">
        <v>0</v>
      </c>
      <c r="F42" s="2589">
        <v>0</v>
      </c>
      <c r="G42" s="2589">
        <v>0</v>
      </c>
      <c r="H42" s="279" t="s">
        <v>863</v>
      </c>
    </row>
    <row r="43" spans="1:10" ht="25.5" x14ac:dyDescent="0.25">
      <c r="A43" s="2584">
        <v>8</v>
      </c>
      <c r="B43" s="2585" t="s">
        <v>153</v>
      </c>
      <c r="C43" s="2582" t="s">
        <v>40</v>
      </c>
      <c r="D43" s="2589">
        <f>Виробництво_Транспортування_1ст!C118+'Д 3_Т на Т з ЦТП'!E24+'Д 3_Т на Т з ЦТП'!E28</f>
        <v>4567.16</v>
      </c>
      <c r="E43" s="2589">
        <f>Виробництво_Транспортування_1ст!D118+'Д 3_Т на Т з ЦТП'!F24+'Д 3_Т на Т з ЦТП'!F28</f>
        <v>3919.5</v>
      </c>
      <c r="F43" s="2589">
        <f>2376.2+723.4+239</f>
        <v>3338.6</v>
      </c>
      <c r="G43" s="2588">
        <f>(ФОП!H14+ФОП!H19+ФОП!H44*'БАЗИ РОЗПОДІЛУ'!G15+ФОП!H49*'БАЗИ РОЗПОДІЛУ'!G22)/1000</f>
        <v>3450.74</v>
      </c>
      <c r="I43" s="270"/>
    </row>
    <row r="44" spans="1:10" ht="25.5" x14ac:dyDescent="0.25">
      <c r="A44" s="2584">
        <v>9</v>
      </c>
      <c r="B44" s="2585" t="s">
        <v>472</v>
      </c>
      <c r="C44" s="2582" t="s">
        <v>40</v>
      </c>
      <c r="D44" s="2615">
        <f>Виробництво_Транспортування_1ст!C124</f>
        <v>290.76</v>
      </c>
      <c r="E44" s="2615">
        <f>Виробництво_Транспортування_1ст!D124</f>
        <v>372.29</v>
      </c>
      <c r="F44" s="2615">
        <v>0</v>
      </c>
      <c r="G44" s="2616">
        <f>Виробництво_Транспортування_1ст!F124+Виробництво_Транспортування_1ст!F125+(ЗВВ_1ст!F26+ЗВВ_1ст!F25)*'БАЗИ РОЗПОДІЛУ'!G15+(Адміністративні_1ст!F25+Адміністративні_1ст!F26)*'БАЗИ РОЗПОДІЛУ'!G22</f>
        <v>12.78</v>
      </c>
      <c r="H44" s="279" t="s">
        <v>643</v>
      </c>
      <c r="I44" s="270"/>
    </row>
    <row r="45" spans="1:10" ht="38.25" x14ac:dyDescent="0.25">
      <c r="A45" s="2584" t="s">
        <v>160</v>
      </c>
      <c r="B45" s="2585" t="s">
        <v>474</v>
      </c>
      <c r="C45" s="2582" t="s">
        <v>40</v>
      </c>
      <c r="D45" s="2615">
        <f>D44</f>
        <v>290.76</v>
      </c>
      <c r="E45" s="2615">
        <f>E44</f>
        <v>372.29</v>
      </c>
      <c r="F45" s="2615">
        <f>F44</f>
        <v>0</v>
      </c>
      <c r="G45" s="2615">
        <f>G44</f>
        <v>12.78</v>
      </c>
      <c r="H45" s="279" t="s">
        <v>643</v>
      </c>
      <c r="I45" s="270"/>
    </row>
    <row r="46" spans="1:10" x14ac:dyDescent="0.25">
      <c r="A46" s="2584">
        <v>10</v>
      </c>
      <c r="B46" s="2585" t="s">
        <v>473</v>
      </c>
      <c r="C46" s="2582" t="s">
        <v>40</v>
      </c>
      <c r="D46" s="2615">
        <f>Виробництво_Транспортування_1ст!C122</f>
        <v>286.93</v>
      </c>
      <c r="E46" s="2615">
        <f>Виробництво_Транспортування_1ст!D122</f>
        <v>286.93</v>
      </c>
      <c r="F46" s="2615">
        <v>405.7</v>
      </c>
      <c r="G46" s="2616">
        <f>Виробництво_Транспортування_1ст!F122+Виробництво_Транспортування_1ст!F123+(ЗВВ_1ст!F37+ЗВВ_1ст!F38)*'БАЗИ РОЗПОДІЛУ'!G15+'БАЗИ РОЗПОДІЛУ'!G22*(Адміністративні_1ст!F36+Адміністративні_1ст!F37)</f>
        <v>235.08</v>
      </c>
      <c r="H46" s="279" t="s">
        <v>643</v>
      </c>
      <c r="I46" s="270"/>
    </row>
    <row r="47" spans="1:10" ht="25.5" x14ac:dyDescent="0.25">
      <c r="A47" s="2584" t="s">
        <v>196</v>
      </c>
      <c r="B47" s="2585" t="s">
        <v>154</v>
      </c>
      <c r="C47" s="2582" t="s">
        <v>40</v>
      </c>
      <c r="D47" s="2589">
        <f>Виробництво_Транспортування_1ст!C105</f>
        <v>1426.04</v>
      </c>
      <c r="E47" s="2589">
        <f>Виробництво_Транспортування_1ст!D105</f>
        <v>1582.48</v>
      </c>
      <c r="F47" s="2589">
        <v>1638.2</v>
      </c>
      <c r="G47" s="2588">
        <f>Виробництво_Транспортування_1ст!F105+ЗВВ_1ст!F28*'БАЗИ РОЗПОДІЛУ'!G15+Адміністративні_1ст!F28*'БАЗИ РОЗПОДІЛУ'!G22</f>
        <v>1971.17</v>
      </c>
    </row>
    <row r="48" spans="1:10" ht="63.75" x14ac:dyDescent="0.25">
      <c r="A48" s="2584" t="s">
        <v>295</v>
      </c>
      <c r="B48" s="2585" t="s">
        <v>549</v>
      </c>
      <c r="C48" s="2582" t="s">
        <v>31</v>
      </c>
      <c r="D48" s="2589">
        <v>0</v>
      </c>
      <c r="E48" s="2589">
        <v>0</v>
      </c>
      <c r="F48" s="2589">
        <v>0</v>
      </c>
      <c r="G48" s="2589">
        <v>0</v>
      </c>
      <c r="H48" s="279" t="s">
        <v>643</v>
      </c>
      <c r="I48" s="1123" t="s">
        <v>1949</v>
      </c>
      <c r="J48" s="1123"/>
    </row>
    <row r="49" spans="1:13" x14ac:dyDescent="0.25">
      <c r="A49" s="2584" t="s">
        <v>94</v>
      </c>
      <c r="B49" s="2585" t="s">
        <v>3</v>
      </c>
      <c r="C49" s="2582" t="s">
        <v>31</v>
      </c>
      <c r="D49" s="2589">
        <v>0</v>
      </c>
      <c r="E49" s="2589">
        <v>0</v>
      </c>
      <c r="F49" s="2589">
        <v>0</v>
      </c>
      <c r="G49" s="2589">
        <v>0</v>
      </c>
    </row>
    <row r="50" spans="1:13" x14ac:dyDescent="0.25">
      <c r="A50" s="2584" t="s">
        <v>95</v>
      </c>
      <c r="B50" s="2585" t="s">
        <v>173</v>
      </c>
      <c r="C50" s="2582" t="s">
        <v>31</v>
      </c>
      <c r="D50" s="2589">
        <v>0</v>
      </c>
      <c r="E50" s="2589">
        <v>0</v>
      </c>
      <c r="F50" s="2589">
        <v>0</v>
      </c>
      <c r="G50" s="2589">
        <v>0</v>
      </c>
    </row>
    <row r="51" spans="1:13" x14ac:dyDescent="0.25">
      <c r="A51" s="2584" t="s">
        <v>97</v>
      </c>
      <c r="B51" s="2585" t="s">
        <v>98</v>
      </c>
      <c r="C51" s="2582" t="s">
        <v>31</v>
      </c>
      <c r="D51" s="2589">
        <v>0</v>
      </c>
      <c r="E51" s="2589">
        <v>0</v>
      </c>
      <c r="F51" s="2589">
        <v>0</v>
      </c>
      <c r="G51" s="2589">
        <v>0</v>
      </c>
      <c r="H51" s="279" t="s">
        <v>643</v>
      </c>
    </row>
    <row r="52" spans="1:13" x14ac:dyDescent="0.25">
      <c r="A52" s="2584" t="s">
        <v>172</v>
      </c>
      <c r="B52" s="2585" t="s">
        <v>99</v>
      </c>
      <c r="C52" s="2582" t="s">
        <v>31</v>
      </c>
      <c r="D52" s="2589">
        <v>0</v>
      </c>
      <c r="E52" s="2589">
        <v>0</v>
      </c>
      <c r="F52" s="2589">
        <v>0</v>
      </c>
      <c r="G52" s="2589">
        <v>0</v>
      </c>
    </row>
    <row r="53" spans="1:13" x14ac:dyDescent="0.25">
      <c r="A53" s="3868" t="s">
        <v>2</v>
      </c>
      <c r="B53" s="3868"/>
      <c r="C53" s="3868"/>
      <c r="D53" s="3868"/>
      <c r="E53" s="3868"/>
      <c r="F53" s="3868"/>
      <c r="G53" s="3868"/>
    </row>
    <row r="54" spans="1:13" ht="25.5" x14ac:dyDescent="0.25">
      <c r="A54" s="2584">
        <v>1</v>
      </c>
      <c r="B54" s="2585" t="s">
        <v>550</v>
      </c>
      <c r="C54" s="2582" t="s">
        <v>75</v>
      </c>
      <c r="D54" s="2595">
        <f>D55+D56+D57+D58+D59</f>
        <v>9</v>
      </c>
      <c r="E54" s="2595">
        <f>E55+E56+E57+E58+E59</f>
        <v>10</v>
      </c>
      <c r="F54" s="2595">
        <f>F55+F56+F57+F58+F59</f>
        <v>8</v>
      </c>
      <c r="G54" s="2595">
        <f>G55+G56+G57+G58+G59</f>
        <v>10</v>
      </c>
      <c r="H54" s="279" t="s">
        <v>643</v>
      </c>
      <c r="I54" s="1122" t="s">
        <v>1952</v>
      </c>
    </row>
    <row r="55" spans="1:13" x14ac:dyDescent="0.25">
      <c r="A55" s="2584" t="s">
        <v>23</v>
      </c>
      <c r="B55" s="2585" t="s">
        <v>161</v>
      </c>
      <c r="C55" s="2582" t="s">
        <v>75</v>
      </c>
      <c r="D55" s="2595">
        <v>0</v>
      </c>
      <c r="E55" s="2595">
        <v>0</v>
      </c>
      <c r="F55" s="2595">
        <v>0</v>
      </c>
      <c r="G55" s="2595">
        <v>0</v>
      </c>
    </row>
    <row r="56" spans="1:13" x14ac:dyDescent="0.25">
      <c r="A56" s="2584" t="s">
        <v>24</v>
      </c>
      <c r="B56" s="2585" t="s">
        <v>857</v>
      </c>
      <c r="C56" s="2582" t="s">
        <v>75</v>
      </c>
      <c r="D56" s="2595">
        <v>0</v>
      </c>
      <c r="E56" s="2595">
        <v>0</v>
      </c>
      <c r="F56" s="2595">
        <v>0</v>
      </c>
      <c r="G56" s="2595">
        <v>0</v>
      </c>
      <c r="H56" s="279" t="s">
        <v>643</v>
      </c>
      <c r="K56" s="270"/>
    </row>
    <row r="57" spans="1:13" x14ac:dyDescent="0.25">
      <c r="A57" s="2584" t="s">
        <v>48</v>
      </c>
      <c r="B57" s="2585" t="s">
        <v>169</v>
      </c>
      <c r="C57" s="2582" t="s">
        <v>75</v>
      </c>
      <c r="D57" s="2595">
        <v>0</v>
      </c>
      <c r="E57" s="2595">
        <v>0</v>
      </c>
      <c r="F57" s="2595">
        <v>0</v>
      </c>
      <c r="G57" s="2595">
        <v>0</v>
      </c>
    </row>
    <row r="58" spans="1:13" x14ac:dyDescent="0.25">
      <c r="A58" s="2584" t="s">
        <v>53</v>
      </c>
      <c r="B58" s="2585" t="s">
        <v>749</v>
      </c>
      <c r="C58" s="2582" t="s">
        <v>75</v>
      </c>
      <c r="D58" s="2595">
        <v>0</v>
      </c>
      <c r="E58" s="2595">
        <v>1</v>
      </c>
      <c r="F58" s="2595">
        <v>0</v>
      </c>
      <c r="G58" s="2595">
        <v>1</v>
      </c>
      <c r="H58" s="279" t="s">
        <v>643</v>
      </c>
    </row>
    <row r="59" spans="1:13" x14ac:dyDescent="0.25">
      <c r="A59" s="2584" t="s">
        <v>300</v>
      </c>
      <c r="B59" s="2585" t="s">
        <v>162</v>
      </c>
      <c r="C59" s="2582" t="s">
        <v>75</v>
      </c>
      <c r="D59" s="2595">
        <v>9</v>
      </c>
      <c r="E59" s="2595">
        <v>9</v>
      </c>
      <c r="F59" s="2595">
        <v>8</v>
      </c>
      <c r="G59" s="2595">
        <v>9</v>
      </c>
    </row>
    <row r="60" spans="1:13" ht="25.5" x14ac:dyDescent="0.25">
      <c r="A60" s="2584">
        <v>2</v>
      </c>
      <c r="B60" s="2585" t="s">
        <v>149</v>
      </c>
      <c r="C60" s="2582" t="s">
        <v>150</v>
      </c>
      <c r="D60" s="2588">
        <v>2</v>
      </c>
      <c r="E60" s="2588">
        <v>2</v>
      </c>
      <c r="F60" s="2589">
        <v>2</v>
      </c>
      <c r="G60" s="2588">
        <f>ФОП!G24+ФОП!G44*'БАЗИ РОЗПОДІЛУ'!J15+ФОП!G49*'БАЗИ РОЗПОДІЛУ'!J22</f>
        <v>2.2200000000000002</v>
      </c>
    </row>
    <row r="61" spans="1:13" ht="25.5" x14ac:dyDescent="0.25">
      <c r="A61" s="2584">
        <v>3</v>
      </c>
      <c r="B61" s="2585" t="s">
        <v>151</v>
      </c>
      <c r="C61" s="2582" t="s">
        <v>152</v>
      </c>
      <c r="D61" s="2588">
        <f>D75/D60/12*1000</f>
        <v>27918.75</v>
      </c>
      <c r="E61" s="2588">
        <f>E75/E60/12*1000</f>
        <v>31422.080000000002</v>
      </c>
      <c r="F61" s="2588">
        <f>F75/F60/12*1000</f>
        <v>14041.67</v>
      </c>
      <c r="G61" s="2588">
        <f>G75/G60/12*1000</f>
        <v>24577.33</v>
      </c>
    </row>
    <row r="62" spans="1:13" ht="25.5" x14ac:dyDescent="0.25">
      <c r="A62" s="2584">
        <v>4</v>
      </c>
      <c r="B62" s="2585" t="s">
        <v>297</v>
      </c>
      <c r="C62" s="2582" t="s">
        <v>22</v>
      </c>
      <c r="D62" s="2588">
        <f>D63+D65+D67+D69+D71+D73</f>
        <v>11091.56</v>
      </c>
      <c r="E62" s="2588">
        <f>E63+E65+E67+E69+E71+E73</f>
        <v>10969.88</v>
      </c>
      <c r="F62" s="2588">
        <f>F41</f>
        <v>15298.48</v>
      </c>
      <c r="G62" s="2588">
        <f>G63+G65+G67+G69+G71+G73</f>
        <v>11617.31</v>
      </c>
    </row>
    <row r="63" spans="1:13" x14ac:dyDescent="0.25">
      <c r="A63" s="2584" t="s">
        <v>27</v>
      </c>
      <c r="B63" s="2585" t="s">
        <v>163</v>
      </c>
      <c r="C63" s="2582" t="s">
        <v>22</v>
      </c>
      <c r="D63" s="2588">
        <f>'Д 7_РП'!E75</f>
        <v>0</v>
      </c>
      <c r="E63" s="2588">
        <f>'Д 7_РП'!F75</f>
        <v>0</v>
      </c>
      <c r="F63" s="2588">
        <v>0</v>
      </c>
      <c r="G63" s="2588">
        <f>'Д 7_РП'!G75</f>
        <v>0</v>
      </c>
    </row>
    <row r="64" spans="1:13" ht="21.75" customHeight="1" x14ac:dyDescent="0.25">
      <c r="A64" s="2584" t="s">
        <v>164</v>
      </c>
      <c r="B64" s="2585" t="s">
        <v>298</v>
      </c>
      <c r="C64" s="2582" t="s">
        <v>22</v>
      </c>
      <c r="D64" s="2589">
        <v>0</v>
      </c>
      <c r="E64" s="2589">
        <v>0</v>
      </c>
      <c r="F64" s="2589">
        <v>0</v>
      </c>
      <c r="G64" s="2589">
        <f>G63</f>
        <v>0</v>
      </c>
      <c r="H64" s="5"/>
      <c r="J64" s="198">
        <f>D62-D63-D67-D69-D71-D73</f>
        <v>0</v>
      </c>
      <c r="K64" s="198">
        <f>E62-E63-E67-E69-E71-E73</f>
        <v>0</v>
      </c>
      <c r="L64" s="198">
        <f>F62-F63-F67-F69-F71-F73</f>
        <v>0</v>
      </c>
      <c r="M64" s="198">
        <f>G62-G63-G67-G69-G71-G73</f>
        <v>0</v>
      </c>
    </row>
    <row r="65" spans="1:12" x14ac:dyDescent="0.25">
      <c r="A65" s="2584" t="s">
        <v>113</v>
      </c>
      <c r="B65" s="2585" t="s">
        <v>1960</v>
      </c>
      <c r="C65" s="2582" t="s">
        <v>22</v>
      </c>
      <c r="D65" s="2589">
        <v>0</v>
      </c>
      <c r="E65" s="2589">
        <v>0</v>
      </c>
      <c r="F65" s="2589">
        <v>0</v>
      </c>
      <c r="G65" s="2589">
        <v>0</v>
      </c>
    </row>
    <row r="66" spans="1:12" ht="15" customHeight="1" x14ac:dyDescent="0.25">
      <c r="A66" s="2584" t="s">
        <v>165</v>
      </c>
      <c r="B66" s="2585" t="s">
        <v>298</v>
      </c>
      <c r="C66" s="2582" t="s">
        <v>22</v>
      </c>
      <c r="D66" s="2589">
        <v>0</v>
      </c>
      <c r="E66" s="2589">
        <v>0</v>
      </c>
      <c r="F66" s="2589">
        <v>0</v>
      </c>
      <c r="G66" s="2589">
        <v>0</v>
      </c>
    </row>
    <row r="67" spans="1:12" x14ac:dyDescent="0.25">
      <c r="A67" s="2584" t="s">
        <v>166</v>
      </c>
      <c r="B67" s="2585" t="s">
        <v>173</v>
      </c>
      <c r="C67" s="2582" t="s">
        <v>22</v>
      </c>
      <c r="D67" s="2588">
        <f>'Д 7_РП'!E83</f>
        <v>0</v>
      </c>
      <c r="E67" s="2588">
        <f>'Д 7_РП'!F83</f>
        <v>0</v>
      </c>
      <c r="F67" s="2588">
        <v>0</v>
      </c>
      <c r="G67" s="2588">
        <f>'Д 7_РП'!G83</f>
        <v>0</v>
      </c>
      <c r="I67" s="198"/>
    </row>
    <row r="68" spans="1:12" ht="15" customHeight="1" x14ac:dyDescent="0.25">
      <c r="A68" s="2584" t="s">
        <v>167</v>
      </c>
      <c r="B68" s="2585" t="s">
        <v>298</v>
      </c>
      <c r="C68" s="2582" t="s">
        <v>22</v>
      </c>
      <c r="D68" s="2588">
        <v>0</v>
      </c>
      <c r="E68" s="2588">
        <v>0</v>
      </c>
      <c r="F68" s="2588">
        <f>F67</f>
        <v>0</v>
      </c>
      <c r="G68" s="2588">
        <f>G67</f>
        <v>0</v>
      </c>
      <c r="I68" s="198"/>
    </row>
    <row r="69" spans="1:12" x14ac:dyDescent="0.25">
      <c r="A69" s="2584" t="s">
        <v>168</v>
      </c>
      <c r="B69" s="2585" t="s">
        <v>98</v>
      </c>
      <c r="C69" s="2582" t="s">
        <v>22</v>
      </c>
      <c r="D69" s="2588">
        <f>'Д 7_РП'!E87</f>
        <v>0</v>
      </c>
      <c r="E69" s="2588">
        <f>'Д 7_РП'!F87</f>
        <v>198.47</v>
      </c>
      <c r="F69" s="2589">
        <v>0</v>
      </c>
      <c r="G69" s="2588">
        <f>'Д 7_РП'!G87</f>
        <v>0</v>
      </c>
    </row>
    <row r="70" spans="1:12" ht="21.75" customHeight="1" x14ac:dyDescent="0.25">
      <c r="A70" s="2584" t="s">
        <v>307</v>
      </c>
      <c r="B70" s="2585" t="s">
        <v>298</v>
      </c>
      <c r="C70" s="2582" t="s">
        <v>22</v>
      </c>
      <c r="D70" s="2589">
        <v>0</v>
      </c>
      <c r="E70" s="2589">
        <f>'Д 7_РП'!F87</f>
        <v>198.47</v>
      </c>
      <c r="F70" s="2589">
        <v>0</v>
      </c>
      <c r="G70" s="2588">
        <f>'Д 7_РП'!G87</f>
        <v>0</v>
      </c>
      <c r="H70" s="5"/>
      <c r="L70" s="198"/>
    </row>
    <row r="71" spans="1:12" x14ac:dyDescent="0.25">
      <c r="A71" s="2584" t="s">
        <v>174</v>
      </c>
      <c r="B71" s="2585" t="s">
        <v>99</v>
      </c>
      <c r="C71" s="2582" t="s">
        <v>22</v>
      </c>
      <c r="D71" s="2588">
        <f>'Д 7_РП'!E91</f>
        <v>9585.7199999999993</v>
      </c>
      <c r="E71" s="2588">
        <f>'Д 7_РП'!F91</f>
        <v>8654.84</v>
      </c>
      <c r="F71" s="2589">
        <f>'Д 4_Т на П'!F48</f>
        <v>15252.76</v>
      </c>
      <c r="G71" s="2588">
        <f>'Д 7_РП'!G91</f>
        <v>9459.3799999999992</v>
      </c>
      <c r="H71" s="5"/>
    </row>
    <row r="72" spans="1:12" ht="24.75" customHeight="1" x14ac:dyDescent="0.25">
      <c r="A72" s="2584" t="s">
        <v>175</v>
      </c>
      <c r="B72" s="2585" t="s">
        <v>298</v>
      </c>
      <c r="C72" s="2582" t="s">
        <v>22</v>
      </c>
      <c r="D72" s="2589">
        <v>4218</v>
      </c>
      <c r="E72" s="2589">
        <v>3808</v>
      </c>
      <c r="F72" s="2589">
        <v>9446.6200000000008</v>
      </c>
      <c r="G72" s="2588">
        <f>'Д 13_12'!M28</f>
        <v>4117.08</v>
      </c>
      <c r="H72" s="5"/>
    </row>
    <row r="73" spans="1:12" ht="25.5" x14ac:dyDescent="0.25">
      <c r="A73" s="2584" t="s">
        <v>1953</v>
      </c>
      <c r="B73" s="2585" t="s">
        <v>212</v>
      </c>
      <c r="C73" s="2582" t="s">
        <v>22</v>
      </c>
      <c r="D73" s="2588">
        <f>'Д 7_РП'!E71</f>
        <v>1505.84</v>
      </c>
      <c r="E73" s="2588">
        <f>'Д 7_РП'!F71</f>
        <v>2116.5700000000002</v>
      </c>
      <c r="F73" s="2589">
        <v>45.72</v>
      </c>
      <c r="G73" s="2588">
        <f>'Д 7_РП'!G71</f>
        <v>2157.9299999999998</v>
      </c>
      <c r="H73" s="5"/>
    </row>
    <row r="74" spans="1:12" ht="24.75" customHeight="1" x14ac:dyDescent="0.25">
      <c r="A74" s="2584" t="s">
        <v>1954</v>
      </c>
      <c r="B74" s="2585" t="s">
        <v>298</v>
      </c>
      <c r="C74" s="2582" t="s">
        <v>22</v>
      </c>
      <c r="D74" s="2589">
        <f>D73</f>
        <v>1505.84</v>
      </c>
      <c r="E74" s="2589">
        <f>E73</f>
        <v>2116.5700000000002</v>
      </c>
      <c r="F74" s="2589">
        <f>F73</f>
        <v>45.72</v>
      </c>
      <c r="G74" s="2588">
        <f>G73</f>
        <v>2157.9299999999998</v>
      </c>
      <c r="H74" s="5"/>
    </row>
    <row r="75" spans="1:12" ht="25.5" x14ac:dyDescent="0.25">
      <c r="A75" s="2584">
        <v>5</v>
      </c>
      <c r="B75" s="2585" t="s">
        <v>153</v>
      </c>
      <c r="C75" s="2582" t="s">
        <v>40</v>
      </c>
      <c r="D75" s="2588">
        <f>'Д 4_Т на П'!D15+'Д 4_Т на П'!D21+'Д 4_Т на П'!D25</f>
        <v>670.05</v>
      </c>
      <c r="E75" s="2588">
        <f>'Д 4_Т на П'!E15+'Д 4_Т на П'!E21+'Д 4_Т на П'!E25</f>
        <v>754.13</v>
      </c>
      <c r="F75" s="2588">
        <f>285.6+23.5+27.9</f>
        <v>337</v>
      </c>
      <c r="G75" s="2590">
        <f>(ФОП!H24+ФОП!H44*'БАЗИ РОЗПОДІЛУ'!J15+ФОП!H49*'БАЗИ РОЗПОДІЛУ'!J22)/1000</f>
        <v>654.74</v>
      </c>
    </row>
    <row r="76" spans="1:12" ht="25.5" x14ac:dyDescent="0.25">
      <c r="A76" s="2584">
        <v>6</v>
      </c>
      <c r="B76" s="2585" t="s">
        <v>472</v>
      </c>
      <c r="C76" s="2582" t="s">
        <v>40</v>
      </c>
      <c r="D76" s="2588">
        <v>0</v>
      </c>
      <c r="E76" s="2588">
        <v>0</v>
      </c>
      <c r="F76" s="2589">
        <v>0</v>
      </c>
      <c r="G76" s="2590">
        <f>(ЗВВ_1ст!F25+ЗВВ_1ст!F26)*'БАЗИ РОЗПОДІЛУ'!J15+'БАЗИ РОЗПОДІЛУ'!J22*(Адміністративні_1ст!F25+Адміністративні_1ст!F26)</f>
        <v>1.27</v>
      </c>
    </row>
    <row r="77" spans="1:12" ht="38.25" x14ac:dyDescent="0.25">
      <c r="A77" s="2584" t="s">
        <v>32</v>
      </c>
      <c r="B77" s="2585" t="s">
        <v>474</v>
      </c>
      <c r="C77" s="2582" t="s">
        <v>40</v>
      </c>
      <c r="D77" s="2589">
        <f>D76</f>
        <v>0</v>
      </c>
      <c r="E77" s="2589">
        <f>E76</f>
        <v>0</v>
      </c>
      <c r="F77" s="2589">
        <v>1.1200000000000001</v>
      </c>
      <c r="G77" s="2596">
        <f>G76</f>
        <v>1.27</v>
      </c>
    </row>
    <row r="78" spans="1:12" x14ac:dyDescent="0.25">
      <c r="A78" s="2584">
        <v>7</v>
      </c>
      <c r="B78" s="2585" t="s">
        <v>473</v>
      </c>
      <c r="C78" s="2582" t="s">
        <v>40</v>
      </c>
      <c r="D78" s="2588">
        <v>0</v>
      </c>
      <c r="E78" s="2588">
        <v>7.51</v>
      </c>
      <c r="F78" s="2589">
        <v>12.8</v>
      </c>
      <c r="G78" s="2590">
        <f>Постачання_1ст!F25+Постачання_1ст!F26+(ЗВВ_1ст!F37+ЗВВ_1ст!F38)*'БАЗИ РОЗПОДІЛУ'!J15+(Адміністративні_1ст!F36+Адміністративні_1ст!F37)*'БАЗИ РОЗПОДІЛУ'!J22</f>
        <v>0.71</v>
      </c>
    </row>
    <row r="79" spans="1:12" ht="25.5" x14ac:dyDescent="0.25">
      <c r="A79" s="2584">
        <v>8</v>
      </c>
      <c r="B79" s="2585" t="s">
        <v>154</v>
      </c>
      <c r="C79" s="2582" t="s">
        <v>40</v>
      </c>
      <c r="D79" s="2588">
        <f>Постачання_1ст!C30</f>
        <v>1.1599999999999999</v>
      </c>
      <c r="E79" s="2588">
        <f>Постачання_1ст!D30</f>
        <v>1.32</v>
      </c>
      <c r="F79" s="2589">
        <v>1.2</v>
      </c>
      <c r="G79" s="2590">
        <f>Постачання_1ст!F30+ЗВВ_1ст!F28*'БАЗИ РОЗПОДІЛУ'!J15+Адміністративні_1ст!F28*'БАЗИ РОЗПОДІЛУ'!J22</f>
        <v>2.44</v>
      </c>
    </row>
    <row r="80" spans="1:12" x14ac:dyDescent="0.25">
      <c r="A80" s="3868" t="s">
        <v>299</v>
      </c>
      <c r="B80" s="3868"/>
      <c r="C80" s="3868"/>
      <c r="D80" s="3868"/>
      <c r="E80" s="3868"/>
      <c r="F80" s="3868"/>
      <c r="G80" s="3868"/>
    </row>
    <row r="81" spans="1:16" ht="38.25" x14ac:dyDescent="0.25">
      <c r="A81" s="2584">
        <v>1</v>
      </c>
      <c r="B81" s="2597" t="s">
        <v>304</v>
      </c>
      <c r="C81" s="2582" t="s">
        <v>75</v>
      </c>
      <c r="D81" s="2591">
        <f>D82+D83+D84+D85</f>
        <v>0</v>
      </c>
      <c r="E81" s="2591">
        <f>E82+E83+E84+E85</f>
        <v>0</v>
      </c>
      <c r="F81" s="2595">
        <f>F54</f>
        <v>8</v>
      </c>
      <c r="G81" s="2595">
        <f>G54</f>
        <v>10</v>
      </c>
    </row>
    <row r="82" spans="1:16" x14ac:dyDescent="0.25">
      <c r="A82" s="2584" t="s">
        <v>23</v>
      </c>
      <c r="B82" s="2585" t="s">
        <v>161</v>
      </c>
      <c r="C82" s="2582" t="s">
        <v>75</v>
      </c>
      <c r="D82" s="2591">
        <v>0</v>
      </c>
      <c r="E82" s="2591">
        <v>0</v>
      </c>
      <c r="F82" s="2595">
        <f>F55</f>
        <v>0</v>
      </c>
      <c r="G82" s="2595">
        <f>G55</f>
        <v>0</v>
      </c>
    </row>
    <row r="83" spans="1:16" x14ac:dyDescent="0.25">
      <c r="A83" s="2584" t="s">
        <v>24</v>
      </c>
      <c r="B83" s="2585" t="s">
        <v>169</v>
      </c>
      <c r="C83" s="2582" t="s">
        <v>75</v>
      </c>
      <c r="D83" s="2591">
        <v>0</v>
      </c>
      <c r="E83" s="2591">
        <v>0</v>
      </c>
      <c r="F83" s="2595">
        <f t="shared" ref="F83:G85" si="0">F57</f>
        <v>0</v>
      </c>
      <c r="G83" s="2595">
        <f t="shared" si="0"/>
        <v>0</v>
      </c>
    </row>
    <row r="84" spans="1:16" x14ac:dyDescent="0.25">
      <c r="A84" s="2584" t="s">
        <v>48</v>
      </c>
      <c r="B84" s="2585" t="s">
        <v>749</v>
      </c>
      <c r="C84" s="2582" t="s">
        <v>75</v>
      </c>
      <c r="D84" s="2591">
        <v>0</v>
      </c>
      <c r="E84" s="2591">
        <v>0</v>
      </c>
      <c r="F84" s="2595">
        <v>1</v>
      </c>
      <c r="G84" s="2595">
        <f t="shared" si="0"/>
        <v>1</v>
      </c>
      <c r="L84" s="2614"/>
      <c r="M84" s="2612"/>
      <c r="N84" s="2612"/>
      <c r="O84" s="2612"/>
      <c r="P84" s="2612"/>
    </row>
    <row r="85" spans="1:16" x14ac:dyDescent="0.25">
      <c r="A85" s="2584" t="s">
        <v>53</v>
      </c>
      <c r="B85" s="2585" t="s">
        <v>162</v>
      </c>
      <c r="C85" s="2582" t="s">
        <v>75</v>
      </c>
      <c r="D85" s="2591">
        <v>0</v>
      </c>
      <c r="E85" s="2591">
        <v>0</v>
      </c>
      <c r="F85" s="2595">
        <f t="shared" si="0"/>
        <v>8</v>
      </c>
      <c r="G85" s="2595">
        <f t="shared" si="0"/>
        <v>9</v>
      </c>
      <c r="L85" s="2612"/>
      <c r="M85" s="2612"/>
      <c r="N85" s="2612"/>
      <c r="O85" s="2612"/>
      <c r="P85" s="2612"/>
    </row>
    <row r="86" spans="1:16" ht="51" x14ac:dyDescent="0.25">
      <c r="A86" s="2584">
        <v>2</v>
      </c>
      <c r="B86" s="2597" t="s">
        <v>301</v>
      </c>
      <c r="C86" s="2582" t="s">
        <v>150</v>
      </c>
      <c r="D86" s="2591">
        <v>0</v>
      </c>
      <c r="E86" s="2591">
        <v>0</v>
      </c>
      <c r="F86" s="2591">
        <v>0</v>
      </c>
      <c r="G86" s="2598">
        <v>0</v>
      </c>
      <c r="H86" s="1125"/>
      <c r="I86" s="1125"/>
      <c r="L86" s="2612"/>
      <c r="M86" s="2612"/>
      <c r="N86" s="2612"/>
      <c r="O86" s="2612"/>
      <c r="P86" s="2612"/>
    </row>
    <row r="87" spans="1:16" ht="51" x14ac:dyDescent="0.25">
      <c r="A87" s="2584">
        <v>3</v>
      </c>
      <c r="B87" s="2597" t="s">
        <v>302</v>
      </c>
      <c r="C87" s="2582" t="s">
        <v>152</v>
      </c>
      <c r="D87" s="2591">
        <v>0</v>
      </c>
      <c r="E87" s="2591">
        <v>0</v>
      </c>
      <c r="F87" s="2591">
        <v>0</v>
      </c>
      <c r="G87" s="2587">
        <v>0</v>
      </c>
      <c r="H87" s="1125"/>
      <c r="I87" s="1125"/>
      <c r="L87" s="2612"/>
      <c r="M87" s="2612"/>
      <c r="N87" s="2612"/>
      <c r="O87" s="2612"/>
      <c r="P87" s="2612"/>
    </row>
    <row r="88" spans="1:16" ht="25.5" x14ac:dyDescent="0.25">
      <c r="A88" s="2584">
        <v>4</v>
      </c>
      <c r="B88" s="2597" t="s">
        <v>303</v>
      </c>
      <c r="C88" s="2582" t="s">
        <v>22</v>
      </c>
      <c r="D88" s="2589">
        <v>0</v>
      </c>
      <c r="E88" s="2589">
        <v>0</v>
      </c>
      <c r="F88" s="2589">
        <f>F62</f>
        <v>15298.48</v>
      </c>
      <c r="G88" s="2588">
        <f>G62</f>
        <v>11617.31</v>
      </c>
      <c r="H88" s="282">
        <f>'Д 7_РП'!G69</f>
        <v>11617.31</v>
      </c>
    </row>
    <row r="89" spans="1:16" x14ac:dyDescent="0.25">
      <c r="A89" s="2584" t="s">
        <v>27</v>
      </c>
      <c r="B89" s="2585" t="s">
        <v>163</v>
      </c>
      <c r="C89" s="2582" t="s">
        <v>22</v>
      </c>
      <c r="D89" s="2589">
        <v>0</v>
      </c>
      <c r="E89" s="2589">
        <v>0</v>
      </c>
      <c r="F89" s="2589">
        <f>F63</f>
        <v>0</v>
      </c>
      <c r="G89" s="2588">
        <f>G63</f>
        <v>0</v>
      </c>
    </row>
    <row r="90" spans="1:16" ht="16.149999999999999" customHeight="1" x14ac:dyDescent="0.25">
      <c r="A90" s="2584" t="s">
        <v>164</v>
      </c>
      <c r="B90" s="2585" t="s">
        <v>298</v>
      </c>
      <c r="C90" s="2582" t="s">
        <v>22</v>
      </c>
      <c r="D90" s="2589">
        <v>0</v>
      </c>
      <c r="E90" s="2589">
        <v>0</v>
      </c>
      <c r="F90" s="2589">
        <f t="shared" ref="F90" si="1">F64</f>
        <v>0</v>
      </c>
      <c r="G90" s="2588">
        <f>G64</f>
        <v>0</v>
      </c>
    </row>
    <row r="91" spans="1:16" x14ac:dyDescent="0.25">
      <c r="A91" s="2584" t="s">
        <v>113</v>
      </c>
      <c r="B91" s="2585" t="s">
        <v>305</v>
      </c>
      <c r="C91" s="2582" t="s">
        <v>22</v>
      </c>
      <c r="D91" s="2589">
        <v>0</v>
      </c>
      <c r="E91" s="2589">
        <v>0</v>
      </c>
      <c r="F91" s="2589">
        <f>F67</f>
        <v>0</v>
      </c>
      <c r="G91" s="2588">
        <f>G67</f>
        <v>0</v>
      </c>
    </row>
    <row r="92" spans="1:16" ht="13.9" customHeight="1" x14ac:dyDescent="0.25">
      <c r="A92" s="2584" t="s">
        <v>165</v>
      </c>
      <c r="B92" s="2585" t="s">
        <v>298</v>
      </c>
      <c r="C92" s="2582" t="s">
        <v>22</v>
      </c>
      <c r="D92" s="2589">
        <v>0</v>
      </c>
      <c r="E92" s="2589">
        <v>0</v>
      </c>
      <c r="F92" s="2589">
        <f t="shared" ref="F92:F98" si="2">F68</f>
        <v>0</v>
      </c>
      <c r="G92" s="2588">
        <f t="shared" ref="G92:G98" si="3">G68</f>
        <v>0</v>
      </c>
    </row>
    <row r="93" spans="1:16" x14ac:dyDescent="0.25">
      <c r="A93" s="2584" t="s">
        <v>166</v>
      </c>
      <c r="B93" s="2585" t="s">
        <v>855</v>
      </c>
      <c r="C93" s="2582" t="s">
        <v>22</v>
      </c>
      <c r="D93" s="2589">
        <v>0</v>
      </c>
      <c r="E93" s="2589">
        <v>0</v>
      </c>
      <c r="F93" s="2589">
        <f t="shared" si="2"/>
        <v>0</v>
      </c>
      <c r="G93" s="2588">
        <f t="shared" si="3"/>
        <v>0</v>
      </c>
    </row>
    <row r="94" spans="1:16" ht="16.899999999999999" customHeight="1" x14ac:dyDescent="0.25">
      <c r="A94" s="2584" t="s">
        <v>167</v>
      </c>
      <c r="B94" s="2585" t="s">
        <v>298</v>
      </c>
      <c r="C94" s="2582" t="s">
        <v>22</v>
      </c>
      <c r="D94" s="2589">
        <v>0</v>
      </c>
      <c r="E94" s="2589">
        <v>0</v>
      </c>
      <c r="F94" s="2589">
        <f t="shared" si="2"/>
        <v>0</v>
      </c>
      <c r="G94" s="2588">
        <f t="shared" si="3"/>
        <v>0</v>
      </c>
    </row>
    <row r="95" spans="1:16" x14ac:dyDescent="0.25">
      <c r="A95" s="2584" t="s">
        <v>168</v>
      </c>
      <c r="B95" s="2585" t="s">
        <v>313</v>
      </c>
      <c r="C95" s="2582" t="s">
        <v>22</v>
      </c>
      <c r="D95" s="2589">
        <v>0</v>
      </c>
      <c r="E95" s="2589">
        <v>0</v>
      </c>
      <c r="F95" s="2589">
        <f t="shared" si="2"/>
        <v>15252.76</v>
      </c>
      <c r="G95" s="2588">
        <f t="shared" si="3"/>
        <v>9459.3799999999992</v>
      </c>
    </row>
    <row r="96" spans="1:16" x14ac:dyDescent="0.25">
      <c r="A96" s="2584" t="s">
        <v>308</v>
      </c>
      <c r="B96" s="2585" t="s">
        <v>298</v>
      </c>
      <c r="C96" s="2582" t="s">
        <v>22</v>
      </c>
      <c r="D96" s="2589">
        <v>0</v>
      </c>
      <c r="E96" s="2589">
        <v>0</v>
      </c>
      <c r="F96" s="2589">
        <f t="shared" si="2"/>
        <v>9446.6200000000008</v>
      </c>
      <c r="G96" s="2588">
        <f t="shared" si="3"/>
        <v>4117.08</v>
      </c>
    </row>
    <row r="97" spans="1:9" ht="25.5" x14ac:dyDescent="0.25">
      <c r="A97" s="2584" t="s">
        <v>174</v>
      </c>
      <c r="B97" s="2585" t="s">
        <v>1959</v>
      </c>
      <c r="C97" s="2582" t="s">
        <v>22</v>
      </c>
      <c r="D97" s="2589">
        <v>0</v>
      </c>
      <c r="E97" s="2589">
        <v>0</v>
      </c>
      <c r="F97" s="2589">
        <f t="shared" si="2"/>
        <v>45.72</v>
      </c>
      <c r="G97" s="2588">
        <f t="shared" si="3"/>
        <v>2157.9299999999998</v>
      </c>
    </row>
    <row r="98" spans="1:9" ht="16.899999999999999" customHeight="1" x14ac:dyDescent="0.25">
      <c r="A98" s="2584" t="s">
        <v>175</v>
      </c>
      <c r="B98" s="2585" t="s">
        <v>298</v>
      </c>
      <c r="C98" s="2582" t="s">
        <v>22</v>
      </c>
      <c r="D98" s="2589">
        <v>0</v>
      </c>
      <c r="E98" s="2589">
        <v>0</v>
      </c>
      <c r="F98" s="2589">
        <f t="shared" si="2"/>
        <v>45.72</v>
      </c>
      <c r="G98" s="2588">
        <f t="shared" si="3"/>
        <v>2157.9299999999998</v>
      </c>
    </row>
    <row r="99" spans="1:9" ht="25.5" x14ac:dyDescent="0.25">
      <c r="A99" s="2599">
        <v>5</v>
      </c>
      <c r="B99" s="2600" t="s">
        <v>153</v>
      </c>
      <c r="C99" s="3007" t="s">
        <v>40</v>
      </c>
      <c r="D99" s="2589">
        <v>0</v>
      </c>
      <c r="E99" s="2589">
        <v>0</v>
      </c>
      <c r="F99" s="2589">
        <v>0</v>
      </c>
      <c r="G99" s="2601">
        <v>0</v>
      </c>
      <c r="I99" s="1124"/>
    </row>
    <row r="100" spans="1:9" ht="26.25" x14ac:dyDescent="0.25">
      <c r="A100" s="2602">
        <v>6</v>
      </c>
      <c r="B100" s="2603" t="s">
        <v>853</v>
      </c>
      <c r="C100" s="2604" t="s">
        <v>40</v>
      </c>
      <c r="D100" s="2589">
        <v>0</v>
      </c>
      <c r="E100" s="2589">
        <v>0</v>
      </c>
      <c r="F100" s="2589">
        <v>0</v>
      </c>
      <c r="G100" s="2588">
        <v>0</v>
      </c>
      <c r="I100" s="1124"/>
    </row>
    <row r="101" spans="1:9" ht="39" x14ac:dyDescent="0.25">
      <c r="A101" s="2602" t="s">
        <v>32</v>
      </c>
      <c r="B101" s="2603" t="s">
        <v>474</v>
      </c>
      <c r="C101" s="2604" t="s">
        <v>40</v>
      </c>
      <c r="D101" s="2589">
        <v>0</v>
      </c>
      <c r="E101" s="2589">
        <v>0</v>
      </c>
      <c r="F101" s="2589">
        <v>0</v>
      </c>
      <c r="G101" s="2589">
        <v>0</v>
      </c>
      <c r="I101" s="1124"/>
    </row>
    <row r="102" spans="1:9" ht="26.25" customHeight="1" x14ac:dyDescent="0.25">
      <c r="A102" s="2602">
        <v>7</v>
      </c>
      <c r="B102" s="2603" t="s">
        <v>854</v>
      </c>
      <c r="C102" s="2604" t="s">
        <v>40</v>
      </c>
      <c r="D102" s="2589">
        <v>0</v>
      </c>
      <c r="E102" s="2589">
        <v>0</v>
      </c>
      <c r="F102" s="2589">
        <v>0</v>
      </c>
      <c r="G102" s="2588">
        <v>0</v>
      </c>
      <c r="I102" s="1124"/>
    </row>
    <row r="103" spans="1:9" ht="25.5" x14ac:dyDescent="0.25">
      <c r="A103" s="2584">
        <v>8</v>
      </c>
      <c r="B103" s="2585" t="s">
        <v>154</v>
      </c>
      <c r="C103" s="2582" t="s">
        <v>40</v>
      </c>
      <c r="D103" s="2589">
        <v>0</v>
      </c>
      <c r="E103" s="2589">
        <v>0</v>
      </c>
      <c r="F103" s="2589">
        <v>0</v>
      </c>
      <c r="G103" s="2588">
        <v>0</v>
      </c>
      <c r="I103" s="1124"/>
    </row>
    <row r="104" spans="1:9" hidden="1" x14ac:dyDescent="0.25">
      <c r="A104" s="3868" t="s">
        <v>309</v>
      </c>
      <c r="B104" s="3869"/>
      <c r="C104" s="3868"/>
      <c r="D104" s="3868"/>
      <c r="E104" s="3868"/>
      <c r="F104" s="3868"/>
      <c r="G104" s="3868"/>
      <c r="I104" s="270"/>
    </row>
    <row r="105" spans="1:9" ht="38.25" hidden="1" x14ac:dyDescent="0.25">
      <c r="A105" s="2602">
        <v>1</v>
      </c>
      <c r="B105" s="2597" t="s">
        <v>545</v>
      </c>
      <c r="C105" s="2604" t="s">
        <v>75</v>
      </c>
      <c r="D105" s="2591">
        <v>0</v>
      </c>
      <c r="E105" s="2591">
        <v>0</v>
      </c>
      <c r="F105" s="2591">
        <v>0</v>
      </c>
      <c r="G105" s="2591">
        <v>0</v>
      </c>
      <c r="I105" s="270"/>
    </row>
    <row r="106" spans="1:9" hidden="1" x14ac:dyDescent="0.25">
      <c r="A106" s="2584" t="s">
        <v>23</v>
      </c>
      <c r="B106" s="2605" t="s">
        <v>161</v>
      </c>
      <c r="C106" s="2582" t="s">
        <v>75</v>
      </c>
      <c r="D106" s="2591">
        <v>0</v>
      </c>
      <c r="E106" s="2591">
        <v>0</v>
      </c>
      <c r="F106" s="2591">
        <v>0</v>
      </c>
      <c r="G106" s="2591">
        <v>0</v>
      </c>
      <c r="I106" s="270"/>
    </row>
    <row r="107" spans="1:9" hidden="1" x14ac:dyDescent="0.25">
      <c r="A107" s="2584" t="s">
        <v>24</v>
      </c>
      <c r="B107" s="2585" t="s">
        <v>169</v>
      </c>
      <c r="C107" s="2582" t="s">
        <v>75</v>
      </c>
      <c r="D107" s="2591">
        <v>0</v>
      </c>
      <c r="E107" s="2591">
        <v>0</v>
      </c>
      <c r="F107" s="2591">
        <v>0</v>
      </c>
      <c r="G107" s="2591">
        <v>0</v>
      </c>
      <c r="I107" s="270"/>
    </row>
    <row r="108" spans="1:9" hidden="1" x14ac:dyDescent="0.25">
      <c r="A108" s="2584" t="s">
        <v>48</v>
      </c>
      <c r="B108" s="2585" t="s">
        <v>296</v>
      </c>
      <c r="C108" s="2582" t="s">
        <v>75</v>
      </c>
      <c r="D108" s="2591">
        <v>0</v>
      </c>
      <c r="E108" s="2591">
        <v>0</v>
      </c>
      <c r="F108" s="2591">
        <v>0</v>
      </c>
      <c r="G108" s="2591">
        <v>0</v>
      </c>
      <c r="H108" s="281"/>
      <c r="I108" s="270"/>
    </row>
    <row r="109" spans="1:9" hidden="1" x14ac:dyDescent="0.25">
      <c r="A109" s="2606" t="s">
        <v>53</v>
      </c>
      <c r="B109" s="2607" t="s">
        <v>162</v>
      </c>
      <c r="C109" s="2941" t="s">
        <v>75</v>
      </c>
      <c r="D109" s="2608">
        <v>0</v>
      </c>
      <c r="E109" s="2608">
        <v>0</v>
      </c>
      <c r="F109" s="2608">
        <v>0</v>
      </c>
      <c r="G109" s="2608">
        <v>0</v>
      </c>
      <c r="I109" s="270"/>
    </row>
    <row r="110" spans="1:9" ht="51" hidden="1" x14ac:dyDescent="0.25">
      <c r="A110" s="2584">
        <v>2</v>
      </c>
      <c r="B110" s="2597" t="s">
        <v>310</v>
      </c>
      <c r="C110" s="2582" t="s">
        <v>150</v>
      </c>
      <c r="D110" s="2587">
        <v>0</v>
      </c>
      <c r="E110" s="2587">
        <v>0</v>
      </c>
      <c r="F110" s="2587">
        <v>0</v>
      </c>
      <c r="G110" s="2587">
        <v>0</v>
      </c>
      <c r="H110" s="281"/>
      <c r="I110" s="270"/>
    </row>
    <row r="111" spans="1:9" ht="51" hidden="1" x14ac:dyDescent="0.25">
      <c r="A111" s="2584">
        <v>3</v>
      </c>
      <c r="B111" s="2597" t="s">
        <v>311</v>
      </c>
      <c r="C111" s="2582" t="s">
        <v>152</v>
      </c>
      <c r="D111" s="2587">
        <v>0</v>
      </c>
      <c r="E111" s="2587">
        <v>0</v>
      </c>
      <c r="F111" s="2587">
        <v>0</v>
      </c>
      <c r="G111" s="2587">
        <v>0</v>
      </c>
      <c r="H111" s="281"/>
      <c r="I111" s="270"/>
    </row>
    <row r="112" spans="1:9" ht="24" hidden="1" x14ac:dyDescent="0.25">
      <c r="A112" s="2584">
        <v>4</v>
      </c>
      <c r="B112" s="2609" t="s">
        <v>312</v>
      </c>
      <c r="C112" s="2582" t="s">
        <v>22</v>
      </c>
      <c r="D112" s="2587">
        <v>0</v>
      </c>
      <c r="E112" s="2587">
        <v>0</v>
      </c>
      <c r="F112" s="2587">
        <v>0</v>
      </c>
      <c r="G112" s="2587">
        <v>0</v>
      </c>
      <c r="I112" s="270"/>
    </row>
    <row r="113" spans="1:15" hidden="1" x14ac:dyDescent="0.25">
      <c r="A113" s="2584" t="s">
        <v>27</v>
      </c>
      <c r="B113" s="2585" t="s">
        <v>163</v>
      </c>
      <c r="C113" s="2582" t="s">
        <v>22</v>
      </c>
      <c r="D113" s="2587">
        <v>0</v>
      </c>
      <c r="E113" s="2587">
        <v>0</v>
      </c>
      <c r="F113" s="2587">
        <v>0</v>
      </c>
      <c r="G113" s="2587">
        <v>0</v>
      </c>
      <c r="I113" s="270"/>
    </row>
    <row r="114" spans="1:15" hidden="1" x14ac:dyDescent="0.25">
      <c r="A114" s="2584" t="s">
        <v>164</v>
      </c>
      <c r="B114" s="2585" t="s">
        <v>298</v>
      </c>
      <c r="C114" s="2582" t="s">
        <v>22</v>
      </c>
      <c r="D114" s="2587">
        <v>0</v>
      </c>
      <c r="E114" s="2587">
        <v>0</v>
      </c>
      <c r="F114" s="2587">
        <v>0</v>
      </c>
      <c r="G114" s="2587">
        <v>0</v>
      </c>
      <c r="I114" s="270"/>
    </row>
    <row r="115" spans="1:15" hidden="1" x14ac:dyDescent="0.25">
      <c r="A115" s="2584" t="s">
        <v>113</v>
      </c>
      <c r="B115" s="2585" t="s">
        <v>305</v>
      </c>
      <c r="C115" s="2582" t="s">
        <v>22</v>
      </c>
      <c r="D115" s="2587">
        <v>0</v>
      </c>
      <c r="E115" s="2587">
        <v>0</v>
      </c>
      <c r="F115" s="2587">
        <v>0</v>
      </c>
      <c r="G115" s="2587">
        <v>0</v>
      </c>
      <c r="I115" s="270"/>
    </row>
    <row r="116" spans="1:15" hidden="1" x14ac:dyDescent="0.25">
      <c r="A116" s="2584" t="s">
        <v>165</v>
      </c>
      <c r="B116" s="2585" t="s">
        <v>298</v>
      </c>
      <c r="C116" s="2582" t="s">
        <v>22</v>
      </c>
      <c r="D116" s="2587">
        <v>0</v>
      </c>
      <c r="E116" s="2587">
        <v>0</v>
      </c>
      <c r="F116" s="2587">
        <v>0</v>
      </c>
      <c r="G116" s="2587">
        <v>0</v>
      </c>
      <c r="I116" s="270"/>
    </row>
    <row r="117" spans="1:15" hidden="1" x14ac:dyDescent="0.25">
      <c r="A117" s="2584" t="s">
        <v>166</v>
      </c>
      <c r="B117" s="2585" t="s">
        <v>306</v>
      </c>
      <c r="C117" s="2582" t="s">
        <v>22</v>
      </c>
      <c r="D117" s="2587">
        <v>0</v>
      </c>
      <c r="E117" s="2587">
        <v>0</v>
      </c>
      <c r="F117" s="2587">
        <v>0</v>
      </c>
      <c r="G117" s="2587">
        <v>0</v>
      </c>
      <c r="I117" s="270"/>
    </row>
    <row r="118" spans="1:15" hidden="1" x14ac:dyDescent="0.25">
      <c r="A118" s="2584" t="s">
        <v>167</v>
      </c>
      <c r="B118" s="2585" t="s">
        <v>298</v>
      </c>
      <c r="C118" s="2582" t="s">
        <v>22</v>
      </c>
      <c r="D118" s="2587">
        <v>0</v>
      </c>
      <c r="E118" s="2587">
        <v>0</v>
      </c>
      <c r="F118" s="2587">
        <v>0</v>
      </c>
      <c r="G118" s="2587">
        <v>0</v>
      </c>
      <c r="I118" s="270"/>
    </row>
    <row r="119" spans="1:15" hidden="1" x14ac:dyDescent="0.25">
      <c r="A119" s="2584" t="s">
        <v>168</v>
      </c>
      <c r="B119" s="2585" t="s">
        <v>313</v>
      </c>
      <c r="C119" s="2582" t="s">
        <v>22</v>
      </c>
      <c r="D119" s="2587">
        <v>0</v>
      </c>
      <c r="E119" s="2587">
        <v>0</v>
      </c>
      <c r="F119" s="2587">
        <v>0</v>
      </c>
      <c r="G119" s="2587">
        <v>0</v>
      </c>
      <c r="I119" s="270"/>
    </row>
    <row r="120" spans="1:15" hidden="1" x14ac:dyDescent="0.25">
      <c r="A120" s="2584" t="s">
        <v>308</v>
      </c>
      <c r="B120" s="2585" t="s">
        <v>298</v>
      </c>
      <c r="C120" s="2582" t="s">
        <v>22</v>
      </c>
      <c r="D120" s="2587">
        <v>0</v>
      </c>
      <c r="E120" s="2587">
        <v>0</v>
      </c>
      <c r="F120" s="2587">
        <v>0</v>
      </c>
      <c r="G120" s="2587">
        <v>0</v>
      </c>
      <c r="I120" s="270"/>
    </row>
    <row r="121" spans="1:15" ht="25.5" hidden="1" x14ac:dyDescent="0.25">
      <c r="A121" s="2584">
        <v>5</v>
      </c>
      <c r="B121" s="2585" t="s">
        <v>153</v>
      </c>
      <c r="C121" s="2582" t="s">
        <v>40</v>
      </c>
      <c r="D121" s="2587">
        <v>0</v>
      </c>
      <c r="E121" s="2587">
        <v>0</v>
      </c>
      <c r="F121" s="2587">
        <v>0</v>
      </c>
      <c r="G121" s="2587">
        <v>0</v>
      </c>
      <c r="H121" s="281"/>
      <c r="I121" s="270"/>
      <c r="O121" s="73"/>
    </row>
    <row r="122" spans="1:15" ht="25.5" hidden="1" x14ac:dyDescent="0.25">
      <c r="A122" s="2584">
        <v>6</v>
      </c>
      <c r="B122" s="2585" t="s">
        <v>472</v>
      </c>
      <c r="C122" s="2582" t="s">
        <v>40</v>
      </c>
      <c r="D122" s="2587">
        <v>0</v>
      </c>
      <c r="E122" s="2587">
        <v>0</v>
      </c>
      <c r="F122" s="2587">
        <v>0</v>
      </c>
      <c r="G122" s="2587">
        <v>0</v>
      </c>
      <c r="H122" s="281"/>
      <c r="I122" s="270"/>
      <c r="O122" s="73"/>
    </row>
    <row r="123" spans="1:15" ht="38.25" hidden="1" x14ac:dyDescent="0.25">
      <c r="A123" s="2584" t="s">
        <v>32</v>
      </c>
      <c r="B123" s="2585" t="s">
        <v>474</v>
      </c>
      <c r="C123" s="2582" t="s">
        <v>40</v>
      </c>
      <c r="D123" s="2587">
        <v>0</v>
      </c>
      <c r="E123" s="2587">
        <v>0</v>
      </c>
      <c r="F123" s="2587">
        <v>0</v>
      </c>
      <c r="G123" s="2587">
        <v>0</v>
      </c>
      <c r="H123" s="281"/>
      <c r="I123" s="270"/>
      <c r="O123" s="73"/>
    </row>
    <row r="124" spans="1:15" hidden="1" x14ac:dyDescent="0.25">
      <c r="A124" s="2584">
        <v>7</v>
      </c>
      <c r="B124" s="2585" t="s">
        <v>473</v>
      </c>
      <c r="C124" s="2582" t="s">
        <v>40</v>
      </c>
      <c r="D124" s="2587">
        <v>0</v>
      </c>
      <c r="E124" s="2587">
        <v>0</v>
      </c>
      <c r="F124" s="2587">
        <v>0</v>
      </c>
      <c r="G124" s="2587">
        <v>0</v>
      </c>
      <c r="H124" s="281"/>
      <c r="I124" s="270"/>
      <c r="O124" s="73"/>
    </row>
    <row r="125" spans="1:15" ht="25.5" hidden="1" x14ac:dyDescent="0.25">
      <c r="A125" s="2584">
        <v>8</v>
      </c>
      <c r="B125" s="2585" t="s">
        <v>154</v>
      </c>
      <c r="C125" s="2582" t="s">
        <v>40</v>
      </c>
      <c r="D125" s="2587">
        <v>0</v>
      </c>
      <c r="E125" s="2587">
        <v>0</v>
      </c>
      <c r="F125" s="2587">
        <v>0</v>
      </c>
      <c r="G125" s="2587">
        <v>0</v>
      </c>
      <c r="H125" s="281"/>
      <c r="I125" s="270"/>
      <c r="O125" s="73"/>
    </row>
    <row r="126" spans="1:15" ht="3.6" customHeight="1" x14ac:dyDescent="0.25">
      <c r="A126" s="2610"/>
      <c r="B126" s="2611"/>
      <c r="C126" s="2612"/>
      <c r="D126" s="2612"/>
      <c r="E126" s="2612"/>
      <c r="G126" s="2612"/>
    </row>
    <row r="127" spans="1:15" x14ac:dyDescent="0.25">
      <c r="A127" s="2613"/>
      <c r="B127" s="2521" t="s">
        <v>314</v>
      </c>
      <c r="C127" s="2612"/>
      <c r="D127" s="2612"/>
      <c r="E127" s="2612"/>
      <c r="G127" s="2612"/>
    </row>
    <row r="128" spans="1:15" x14ac:dyDescent="0.25">
      <c r="A128" s="2613"/>
      <c r="B128" s="2612"/>
      <c r="C128" s="2612"/>
      <c r="D128" s="2612"/>
      <c r="E128" s="2612"/>
      <c r="G128" s="2612"/>
    </row>
    <row r="129" spans="1:7" ht="25.5" customHeight="1" x14ac:dyDescent="0.25">
      <c r="A129" s="2613"/>
      <c r="B129" s="3037" t="str">
        <f>'Вхідні дані'!B13</f>
        <v>Начальник Адміністрації морського порту Чорноморськ</v>
      </c>
      <c r="D129" s="3038" t="s">
        <v>249</v>
      </c>
      <c r="E129" s="3870" t="str">
        <f>'Вхідні дані'!F13</f>
        <v>Максим ШИРОКОВ</v>
      </c>
      <c r="F129" s="3870"/>
      <c r="G129" s="3870"/>
    </row>
    <row r="130" spans="1:7" ht="16.5" customHeight="1" x14ac:dyDescent="0.25">
      <c r="A130" s="2613"/>
      <c r="B130" s="3039" t="s">
        <v>241</v>
      </c>
      <c r="D130" s="3040" t="s">
        <v>3415</v>
      </c>
      <c r="E130" s="3871" t="s">
        <v>102</v>
      </c>
      <c r="F130" s="3871"/>
      <c r="G130" s="3871"/>
    </row>
    <row r="135" spans="1:7" ht="63" x14ac:dyDescent="0.25">
      <c r="B135" s="283" t="s">
        <v>858</v>
      </c>
    </row>
  </sheetData>
  <mergeCells count="18">
    <mergeCell ref="B7:F7"/>
    <mergeCell ref="E8:G8"/>
    <mergeCell ref="A9:A10"/>
    <mergeCell ref="B9:B10"/>
    <mergeCell ref="C9:C10"/>
    <mergeCell ref="E1:G1"/>
    <mergeCell ref="B3:F3"/>
    <mergeCell ref="B4:F4"/>
    <mergeCell ref="B5:F5"/>
    <mergeCell ref="B6:F6"/>
    <mergeCell ref="E2:G2"/>
    <mergeCell ref="A80:G80"/>
    <mergeCell ref="A104:G104"/>
    <mergeCell ref="E129:G129"/>
    <mergeCell ref="E130:G130"/>
    <mergeCell ref="A12:G12"/>
    <mergeCell ref="A29:G29"/>
    <mergeCell ref="A53:G53"/>
  </mergeCells>
  <conditionalFormatting sqref="B4:F7">
    <cfRule type="cellIs" dxfId="38" priority="4" operator="equal">
      <formula>0</formula>
    </cfRule>
  </conditionalFormatting>
  <printOptions horizontalCentered="1"/>
  <pageMargins left="0.78740157480314965" right="0.23622047244094491" top="0.62992125984251968" bottom="0.39370078740157483" header="0.31496062992125984" footer="0.70866141732283472"/>
  <pageSetup paperSize="9" scale="8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51"/>
  <sheetViews>
    <sheetView view="pageBreakPreview" zoomScaleSheetLayoutView="100" workbookViewId="0">
      <selection activeCell="E13" sqref="E13"/>
    </sheetView>
  </sheetViews>
  <sheetFormatPr defaultRowHeight="15" x14ac:dyDescent="0.25"/>
  <cols>
    <col min="1" max="1" width="5.42578125" style="28" customWidth="1"/>
    <col min="2" max="2" width="45.28515625" customWidth="1"/>
    <col min="3" max="3" width="14.140625" bestFit="1" customWidth="1"/>
    <col min="4" max="4" width="29.85546875" customWidth="1"/>
    <col min="5" max="5" width="36" customWidth="1"/>
  </cols>
  <sheetData>
    <row r="1" spans="1:6" ht="126.75" customHeight="1" x14ac:dyDescent="0.25">
      <c r="A1" s="29"/>
      <c r="B1" s="18"/>
      <c r="C1" s="3771" t="s">
        <v>537</v>
      </c>
      <c r="D1" s="3882"/>
      <c r="E1" s="72" t="s">
        <v>1091</v>
      </c>
      <c r="F1" s="532"/>
    </row>
    <row r="2" spans="1:6" x14ac:dyDescent="0.25">
      <c r="A2" s="29"/>
      <c r="B2" s="18"/>
      <c r="C2" s="18"/>
      <c r="D2" s="18"/>
    </row>
    <row r="3" spans="1:6" x14ac:dyDescent="0.25">
      <c r="A3" s="3883" t="s">
        <v>543</v>
      </c>
      <c r="B3" s="3884"/>
      <c r="C3" s="3884"/>
      <c r="D3" s="3884"/>
    </row>
    <row r="4" spans="1:6" x14ac:dyDescent="0.25">
      <c r="A4" s="3885" t="s">
        <v>344</v>
      </c>
      <c r="B4" s="3886"/>
      <c r="C4" s="3886"/>
      <c r="D4" s="3886"/>
    </row>
    <row r="5" spans="1:6" x14ac:dyDescent="0.25">
      <c r="A5" s="388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5" s="3887"/>
      <c r="C5" s="3887"/>
      <c r="D5" s="3887"/>
    </row>
    <row r="6" spans="1:6" ht="23.25" customHeight="1" x14ac:dyDescent="0.25">
      <c r="A6" s="3888" t="s">
        <v>345</v>
      </c>
      <c r="B6" s="3889"/>
      <c r="C6" s="3889"/>
      <c r="D6" s="3889"/>
    </row>
    <row r="7" spans="1:6" x14ac:dyDescent="0.25">
      <c r="A7" s="3881" t="s">
        <v>7</v>
      </c>
      <c r="B7" s="3757" t="s">
        <v>315</v>
      </c>
      <c r="C7" s="3757" t="s">
        <v>316</v>
      </c>
      <c r="D7" s="3757"/>
    </row>
    <row r="8" spans="1:6" x14ac:dyDescent="0.25">
      <c r="A8" s="3881"/>
      <c r="B8" s="3757"/>
      <c r="C8" s="3757"/>
      <c r="D8" s="3757"/>
    </row>
    <row r="9" spans="1:6" ht="19.5" customHeight="1" x14ac:dyDescent="0.25">
      <c r="A9" s="3881"/>
      <c r="B9" s="3757"/>
      <c r="C9" s="17" t="s">
        <v>40</v>
      </c>
      <c r="D9" s="17" t="s">
        <v>538</v>
      </c>
    </row>
    <row r="10" spans="1:6" ht="15.75" x14ac:dyDescent="0.25">
      <c r="A10" s="32">
        <v>1</v>
      </c>
      <c r="B10" s="15">
        <v>2</v>
      </c>
      <c r="C10" s="15">
        <v>3</v>
      </c>
      <c r="D10" s="15">
        <v>4</v>
      </c>
    </row>
    <row r="11" spans="1:6" ht="45" x14ac:dyDescent="0.25">
      <c r="A11" s="49">
        <v>1</v>
      </c>
      <c r="B11" s="19" t="s">
        <v>317</v>
      </c>
      <c r="C11" s="17"/>
      <c r="D11" s="17"/>
    </row>
    <row r="12" spans="1:6" x14ac:dyDescent="0.25">
      <c r="A12" s="49" t="s">
        <v>23</v>
      </c>
      <c r="B12" s="19" t="s">
        <v>318</v>
      </c>
      <c r="C12" s="17"/>
      <c r="D12" s="17"/>
    </row>
    <row r="13" spans="1:6" ht="30" x14ac:dyDescent="0.25">
      <c r="A13" s="49">
        <v>2</v>
      </c>
      <c r="B13" s="19" t="s">
        <v>319</v>
      </c>
      <c r="C13" s="17"/>
      <c r="D13" s="17"/>
    </row>
    <row r="14" spans="1:6" x14ac:dyDescent="0.25">
      <c r="A14" s="49" t="s">
        <v>25</v>
      </c>
      <c r="B14" s="19" t="s">
        <v>55</v>
      </c>
      <c r="C14" s="17"/>
      <c r="D14" s="17"/>
    </row>
    <row r="15" spans="1:6" ht="30" x14ac:dyDescent="0.25">
      <c r="A15" s="49" t="s">
        <v>26</v>
      </c>
      <c r="B15" s="105" t="s">
        <v>539</v>
      </c>
      <c r="C15" s="17"/>
      <c r="D15" s="17"/>
    </row>
    <row r="16" spans="1:6" x14ac:dyDescent="0.25">
      <c r="A16" s="49" t="s">
        <v>59</v>
      </c>
      <c r="B16" s="19" t="s">
        <v>320</v>
      </c>
      <c r="C16" s="17"/>
      <c r="D16" s="17"/>
    </row>
    <row r="17" spans="1:4" ht="30" x14ac:dyDescent="0.25">
      <c r="A17" s="49">
        <v>3</v>
      </c>
      <c r="B17" s="105" t="s">
        <v>542</v>
      </c>
      <c r="C17" s="17"/>
      <c r="D17" s="17"/>
    </row>
    <row r="18" spans="1:4" ht="45" x14ac:dyDescent="0.25">
      <c r="A18" s="49">
        <v>4</v>
      </c>
      <c r="B18" s="19" t="s">
        <v>321</v>
      </c>
      <c r="C18" s="17"/>
      <c r="D18" s="17"/>
    </row>
    <row r="19" spans="1:4" ht="45" x14ac:dyDescent="0.25">
      <c r="A19" s="49">
        <v>5</v>
      </c>
      <c r="B19" s="19" t="s">
        <v>322</v>
      </c>
      <c r="C19" s="17"/>
      <c r="D19" s="17"/>
    </row>
    <row r="20" spans="1:4" x14ac:dyDescent="0.25">
      <c r="A20" s="49">
        <v>6</v>
      </c>
      <c r="B20" s="19" t="s">
        <v>251</v>
      </c>
      <c r="C20" s="17"/>
      <c r="D20" s="17"/>
    </row>
    <row r="21" spans="1:4" ht="30" x14ac:dyDescent="0.25">
      <c r="A21" s="49" t="s">
        <v>32</v>
      </c>
      <c r="B21" s="19" t="s">
        <v>323</v>
      </c>
      <c r="C21" s="17"/>
      <c r="D21" s="17"/>
    </row>
    <row r="22" spans="1:4" x14ac:dyDescent="0.25">
      <c r="A22" s="49" t="s">
        <v>33</v>
      </c>
      <c r="B22" s="19" t="s">
        <v>65</v>
      </c>
      <c r="C22" s="17"/>
      <c r="D22" s="17"/>
    </row>
    <row r="23" spans="1:4" ht="30" x14ac:dyDescent="0.25">
      <c r="A23" s="49">
        <v>7</v>
      </c>
      <c r="B23" s="19" t="s">
        <v>324</v>
      </c>
      <c r="C23" s="17"/>
      <c r="D23" s="17"/>
    </row>
    <row r="24" spans="1:4" ht="45" x14ac:dyDescent="0.25">
      <c r="A24" s="49">
        <v>8</v>
      </c>
      <c r="B24" s="19" t="s">
        <v>325</v>
      </c>
      <c r="C24" s="17">
        <f>SUM(C25:C35)</f>
        <v>0</v>
      </c>
      <c r="D24" s="17"/>
    </row>
    <row r="25" spans="1:4" x14ac:dyDescent="0.25">
      <c r="A25" s="49">
        <v>9</v>
      </c>
      <c r="B25" s="105" t="s">
        <v>540</v>
      </c>
      <c r="C25" s="17"/>
      <c r="D25" s="17" t="s">
        <v>326</v>
      </c>
    </row>
    <row r="26" spans="1:4" ht="30" x14ac:dyDescent="0.25">
      <c r="A26" s="49">
        <v>10</v>
      </c>
      <c r="B26" s="19" t="s">
        <v>327</v>
      </c>
      <c r="C26" s="17" t="s">
        <v>326</v>
      </c>
      <c r="D26" s="17"/>
    </row>
    <row r="27" spans="1:4" ht="30" x14ac:dyDescent="0.25">
      <c r="A27" s="49">
        <v>11</v>
      </c>
      <c r="B27" s="105" t="s">
        <v>541</v>
      </c>
      <c r="C27" s="17" t="s">
        <v>326</v>
      </c>
      <c r="D27" s="17"/>
    </row>
    <row r="28" spans="1:4" x14ac:dyDescent="0.25">
      <c r="A28" s="49" t="s">
        <v>92</v>
      </c>
      <c r="B28" s="19" t="s">
        <v>328</v>
      </c>
      <c r="C28" s="17" t="s">
        <v>326</v>
      </c>
      <c r="D28" s="17"/>
    </row>
    <row r="29" spans="1:4" x14ac:dyDescent="0.25">
      <c r="A29" s="49" t="s">
        <v>93</v>
      </c>
      <c r="B29" s="19" t="s">
        <v>329</v>
      </c>
      <c r="C29" s="17" t="s">
        <v>326</v>
      </c>
      <c r="D29" s="17"/>
    </row>
    <row r="30" spans="1:4" ht="30" x14ac:dyDescent="0.25">
      <c r="A30" s="49">
        <v>12</v>
      </c>
      <c r="B30" s="19" t="s">
        <v>330</v>
      </c>
      <c r="C30" s="17"/>
      <c r="D30" s="17" t="s">
        <v>326</v>
      </c>
    </row>
    <row r="31" spans="1:4" ht="33" x14ac:dyDescent="0.25">
      <c r="A31" s="49">
        <v>13</v>
      </c>
      <c r="B31" s="19" t="s">
        <v>338</v>
      </c>
      <c r="C31" s="17"/>
      <c r="D31" s="17" t="s">
        <v>326</v>
      </c>
    </row>
    <row r="32" spans="1:4" x14ac:dyDescent="0.25">
      <c r="A32" s="49">
        <v>14</v>
      </c>
      <c r="B32" s="19" t="s">
        <v>331</v>
      </c>
      <c r="C32" s="17"/>
      <c r="D32" s="17" t="s">
        <v>326</v>
      </c>
    </row>
    <row r="33" spans="1:4" ht="30" x14ac:dyDescent="0.25">
      <c r="A33" s="49">
        <v>15</v>
      </c>
      <c r="B33" s="19" t="s">
        <v>332</v>
      </c>
      <c r="C33" s="17"/>
      <c r="D33" s="17" t="s">
        <v>326</v>
      </c>
    </row>
    <row r="34" spans="1:4" x14ac:dyDescent="0.25">
      <c r="A34" s="49" t="s">
        <v>342</v>
      </c>
      <c r="B34" s="19" t="s">
        <v>333</v>
      </c>
      <c r="C34" s="17"/>
      <c r="D34" s="17" t="s">
        <v>326</v>
      </c>
    </row>
    <row r="35" spans="1:4" x14ac:dyDescent="0.25">
      <c r="A35" s="49" t="s">
        <v>343</v>
      </c>
      <c r="B35" s="19" t="s">
        <v>334</v>
      </c>
      <c r="C35" s="17"/>
      <c r="D35" s="17" t="s">
        <v>326</v>
      </c>
    </row>
    <row r="36" spans="1:4" ht="32.25" customHeight="1" x14ac:dyDescent="0.25">
      <c r="A36" s="49">
        <v>16</v>
      </c>
      <c r="B36" s="19" t="s">
        <v>335</v>
      </c>
      <c r="C36" s="17"/>
      <c r="D36" s="17" t="s">
        <v>326</v>
      </c>
    </row>
    <row r="37" spans="1:4" x14ac:dyDescent="0.25">
      <c r="A37" s="49" t="s">
        <v>201</v>
      </c>
      <c r="B37" s="19" t="s">
        <v>333</v>
      </c>
      <c r="C37" s="17"/>
      <c r="D37" s="17" t="s">
        <v>326</v>
      </c>
    </row>
    <row r="38" spans="1:4" x14ac:dyDescent="0.25">
      <c r="A38" s="49" t="s">
        <v>202</v>
      </c>
      <c r="B38" s="19" t="s">
        <v>334</v>
      </c>
      <c r="C38" s="17"/>
      <c r="D38" s="17" t="s">
        <v>326</v>
      </c>
    </row>
    <row r="39" spans="1:4" x14ac:dyDescent="0.25">
      <c r="A39" s="49">
        <v>17</v>
      </c>
      <c r="B39" s="19" t="s">
        <v>336</v>
      </c>
      <c r="C39" s="17"/>
      <c r="D39" s="17" t="s">
        <v>326</v>
      </c>
    </row>
    <row r="40" spans="1:4" ht="18" x14ac:dyDescent="0.25">
      <c r="A40" s="49">
        <v>18</v>
      </c>
      <c r="B40" s="19" t="s">
        <v>339</v>
      </c>
      <c r="C40" s="17"/>
      <c r="D40" s="17" t="s">
        <v>326</v>
      </c>
    </row>
    <row r="41" spans="1:4" ht="18" x14ac:dyDescent="0.25">
      <c r="A41" s="49">
        <v>19</v>
      </c>
      <c r="B41" s="19" t="s">
        <v>340</v>
      </c>
      <c r="C41" s="17"/>
      <c r="D41" s="17" t="s">
        <v>326</v>
      </c>
    </row>
    <row r="42" spans="1:4" ht="45" x14ac:dyDescent="0.25">
      <c r="A42" s="49">
        <v>20</v>
      </c>
      <c r="B42" s="19" t="s">
        <v>337</v>
      </c>
      <c r="C42" s="17"/>
      <c r="D42" s="17" t="s">
        <v>326</v>
      </c>
    </row>
    <row r="43" spans="1:4" ht="33" x14ac:dyDescent="0.25">
      <c r="A43" s="49">
        <v>21</v>
      </c>
      <c r="B43" s="19" t="s">
        <v>341</v>
      </c>
      <c r="C43" s="17" t="s">
        <v>326</v>
      </c>
      <c r="D43" s="17"/>
    </row>
    <row r="44" spans="1:4" ht="30" customHeight="1" x14ac:dyDescent="0.25">
      <c r="A44" s="33"/>
      <c r="B44" s="34" t="s">
        <v>286</v>
      </c>
      <c r="C44" s="35"/>
      <c r="D44" s="35"/>
    </row>
    <row r="45" spans="1:4" ht="30.75" customHeight="1" x14ac:dyDescent="0.25">
      <c r="B45" s="30" t="s">
        <v>349</v>
      </c>
      <c r="C45" s="100"/>
    </row>
    <row r="46" spans="1:4" ht="60.75" customHeight="1" x14ac:dyDescent="0.25">
      <c r="B46" s="3880" t="s">
        <v>346</v>
      </c>
      <c r="C46" s="3880"/>
      <c r="D46" s="3880"/>
    </row>
    <row r="48" spans="1:4" ht="30" x14ac:dyDescent="0.25">
      <c r="B48" s="104" t="str">
        <f>'Вхідні дані'!B13</f>
        <v>Начальник Адміністрації морського порту Чорноморськ</v>
      </c>
      <c r="C48" s="581" t="s">
        <v>348</v>
      </c>
      <c r="D48" s="95" t="str">
        <f>'Вхідні дані'!F13</f>
        <v>Максим ШИРОКОВ</v>
      </c>
    </row>
    <row r="49" spans="2:4" x14ac:dyDescent="0.25">
      <c r="B49" s="30" t="s">
        <v>241</v>
      </c>
      <c r="C49" s="31" t="s">
        <v>219</v>
      </c>
      <c r="D49" s="31" t="s">
        <v>239</v>
      </c>
    </row>
    <row r="51" spans="2:4" x14ac:dyDescent="0.25">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U52"/>
  <sheetViews>
    <sheetView zoomScale="110" zoomScaleNormal="110" zoomScaleSheetLayoutView="100" workbookViewId="0">
      <selection activeCell="B1" sqref="B1"/>
    </sheetView>
  </sheetViews>
  <sheetFormatPr defaultColWidth="9.140625" defaultRowHeight="15" outlineLevelCol="1" x14ac:dyDescent="0.25"/>
  <cols>
    <col min="1" max="1" width="5.42578125" style="3061" customWidth="1"/>
    <col min="2" max="2" width="44.85546875" style="2618" customWidth="1"/>
    <col min="3" max="3" width="12.140625" style="2618" hidden="1" customWidth="1" outlineLevel="1"/>
    <col min="4" max="4" width="15.5703125" style="2618" hidden="1" customWidth="1" outlineLevel="1"/>
    <col min="5" max="5" width="15" style="2618" hidden="1" customWidth="1" outlineLevel="1"/>
    <col min="6" max="6" width="12.140625" style="2618" hidden="1" customWidth="1" outlineLevel="1"/>
    <col min="7" max="8" width="15.5703125" style="2618" hidden="1" customWidth="1" outlineLevel="1"/>
    <col min="9" max="9" width="11.42578125" style="2618" hidden="1" customWidth="1" outlineLevel="1"/>
    <col min="10" max="11" width="15.5703125" style="2618" hidden="1" customWidth="1" outlineLevel="1"/>
    <col min="12" max="12" width="11" style="2618" customWidth="1" collapsed="1"/>
    <col min="13" max="14" width="15.5703125" style="2618" customWidth="1"/>
    <col min="15" max="15" width="49.7109375" style="2618" customWidth="1"/>
    <col min="16" max="16" width="9.85546875" style="2618" bestFit="1" customWidth="1"/>
    <col min="17" max="17" width="9.85546875" style="2618" customWidth="1"/>
    <col min="18" max="16384" width="9.140625" style="2618"/>
  </cols>
  <sheetData>
    <row r="1" spans="1:20" s="2541" customFormat="1" ht="42" customHeight="1" x14ac:dyDescent="0.25">
      <c r="A1" s="3041"/>
      <c r="L1" s="3843" t="s">
        <v>3416</v>
      </c>
      <c r="M1" s="3843"/>
      <c r="N1" s="3843"/>
      <c r="O1" s="3042" t="s">
        <v>1092</v>
      </c>
    </row>
    <row r="2" spans="1:20" s="2541" customFormat="1" x14ac:dyDescent="0.25">
      <c r="A2" s="3041"/>
    </row>
    <row r="3" spans="1:20" s="2541" customFormat="1" x14ac:dyDescent="0.25">
      <c r="A3" s="3915" t="s">
        <v>462</v>
      </c>
      <c r="B3" s="3915"/>
      <c r="C3" s="3915"/>
      <c r="D3" s="3915"/>
      <c r="E3" s="3915"/>
      <c r="F3" s="3915"/>
      <c r="G3" s="3915"/>
      <c r="H3" s="3915"/>
      <c r="I3" s="3915"/>
      <c r="J3" s="3915"/>
      <c r="K3" s="3915"/>
      <c r="L3" s="3915"/>
      <c r="M3" s="3915"/>
      <c r="N3" s="3915"/>
      <c r="O3" s="3042" t="s">
        <v>643</v>
      </c>
    </row>
    <row r="4" spans="1:20" s="2541" customFormat="1" ht="15" customHeight="1" x14ac:dyDescent="0.25">
      <c r="A4" s="3917" t="s">
        <v>1963</v>
      </c>
      <c r="B4" s="3917"/>
      <c r="C4" s="3917"/>
      <c r="D4" s="3917"/>
      <c r="E4" s="3917"/>
      <c r="F4" s="3917"/>
      <c r="G4" s="3917"/>
      <c r="H4" s="3917"/>
      <c r="I4" s="3917"/>
      <c r="J4" s="3917"/>
      <c r="K4" s="3917"/>
      <c r="L4" s="3917"/>
      <c r="M4" s="3917"/>
      <c r="N4" s="3917"/>
      <c r="O4" s="3042" t="s">
        <v>643</v>
      </c>
    </row>
    <row r="5" spans="1:20" s="2541" customFormat="1" x14ac:dyDescent="0.25">
      <c r="A5" s="3915" t="s">
        <v>288</v>
      </c>
      <c r="B5" s="3915"/>
      <c r="C5" s="3915"/>
      <c r="D5" s="3915"/>
      <c r="E5" s="3915"/>
      <c r="F5" s="3915"/>
      <c r="G5" s="3915"/>
      <c r="H5" s="3915"/>
      <c r="I5" s="3915"/>
      <c r="J5" s="3915"/>
      <c r="K5" s="3915"/>
      <c r="L5" s="3915"/>
      <c r="M5" s="3915"/>
      <c r="N5" s="3915"/>
      <c r="O5" s="3042"/>
    </row>
    <row r="6" spans="1:20" s="2541" customFormat="1" x14ac:dyDescent="0.25">
      <c r="A6" s="3915" t="s">
        <v>847</v>
      </c>
      <c r="B6" s="3915"/>
      <c r="C6" s="3915"/>
      <c r="D6" s="3915"/>
      <c r="E6" s="3915"/>
      <c r="F6" s="3915"/>
      <c r="G6" s="3915"/>
      <c r="H6" s="3915"/>
      <c r="I6" s="3915"/>
      <c r="J6" s="3915"/>
      <c r="K6" s="3915"/>
      <c r="L6" s="3915"/>
      <c r="M6" s="3915"/>
      <c r="N6" s="3915"/>
      <c r="O6" s="3042" t="s">
        <v>643</v>
      </c>
    </row>
    <row r="7" spans="1:20" s="2541" customFormat="1" x14ac:dyDescent="0.25">
      <c r="A7" s="3915" t="s">
        <v>366</v>
      </c>
      <c r="B7" s="3915"/>
      <c r="C7" s="3915"/>
      <c r="D7" s="3915"/>
      <c r="E7" s="3915"/>
      <c r="F7" s="3915"/>
      <c r="G7" s="3915"/>
      <c r="H7" s="3915"/>
      <c r="I7" s="3915"/>
      <c r="J7" s="3915"/>
      <c r="K7" s="3915"/>
      <c r="L7" s="3915"/>
      <c r="M7" s="3915"/>
      <c r="N7" s="3915"/>
    </row>
    <row r="8" spans="1:20" s="2541" customFormat="1" ht="36" customHeight="1" x14ac:dyDescent="0.25">
      <c r="A8" s="3916"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8" s="3916"/>
      <c r="C8" s="3916"/>
      <c r="D8" s="3916"/>
      <c r="E8" s="3916"/>
      <c r="F8" s="3916"/>
      <c r="G8" s="3916"/>
      <c r="H8" s="3916"/>
      <c r="I8" s="3916"/>
      <c r="J8" s="3916"/>
      <c r="K8" s="3916"/>
      <c r="L8" s="3916"/>
      <c r="M8" s="3916"/>
      <c r="N8" s="3916"/>
    </row>
    <row r="9" spans="1:20" s="2541" customFormat="1" x14ac:dyDescent="0.25">
      <c r="A9" s="3893" t="s">
        <v>367</v>
      </c>
      <c r="B9" s="3893"/>
      <c r="C9" s="3893"/>
      <c r="D9" s="3893"/>
      <c r="E9" s="3893"/>
      <c r="F9" s="3893"/>
      <c r="G9" s="3893"/>
      <c r="H9" s="3893"/>
      <c r="I9" s="3893"/>
      <c r="J9" s="3893"/>
      <c r="K9" s="3893"/>
      <c r="L9" s="3893"/>
      <c r="M9" s="3893"/>
      <c r="N9" s="3893"/>
    </row>
    <row r="10" spans="1:20" s="2541" customFormat="1" ht="15.75" thickBot="1" x14ac:dyDescent="0.3">
      <c r="A10" s="3041"/>
      <c r="N10" s="3043"/>
    </row>
    <row r="11" spans="1:20" x14ac:dyDescent="0.25">
      <c r="A11" s="3905" t="s">
        <v>7</v>
      </c>
      <c r="B11" s="3907" t="s">
        <v>355</v>
      </c>
      <c r="C11" s="2547" t="s">
        <v>80</v>
      </c>
      <c r="D11" s="3894" t="s">
        <v>350</v>
      </c>
      <c r="E11" s="3895"/>
      <c r="F11" s="2547" t="s">
        <v>80</v>
      </c>
      <c r="G11" s="3894" t="s">
        <v>350</v>
      </c>
      <c r="H11" s="3895"/>
      <c r="I11" s="2547" t="s">
        <v>80</v>
      </c>
      <c r="J11" s="3894" t="s">
        <v>350</v>
      </c>
      <c r="K11" s="3895"/>
      <c r="L11" s="2547" t="s">
        <v>80</v>
      </c>
      <c r="M11" s="3894" t="s">
        <v>350</v>
      </c>
      <c r="N11" s="3895"/>
      <c r="O11" s="2620"/>
      <c r="P11" s="2620"/>
    </row>
    <row r="12" spans="1:20" ht="60" x14ac:dyDescent="0.25">
      <c r="A12" s="3906"/>
      <c r="B12" s="3908"/>
      <c r="C12" s="2548" t="s">
        <v>3</v>
      </c>
      <c r="D12" s="2549" t="s">
        <v>356</v>
      </c>
      <c r="E12" s="2550" t="s">
        <v>357</v>
      </c>
      <c r="F12" s="2548" t="s">
        <v>169</v>
      </c>
      <c r="G12" s="2549" t="s">
        <v>356</v>
      </c>
      <c r="H12" s="2550" t="s">
        <v>357</v>
      </c>
      <c r="I12" s="2548" t="s">
        <v>749</v>
      </c>
      <c r="J12" s="2549" t="s">
        <v>356</v>
      </c>
      <c r="K12" s="2550" t="s">
        <v>357</v>
      </c>
      <c r="L12" s="2548" t="s">
        <v>162</v>
      </c>
      <c r="M12" s="2549" t="s">
        <v>356</v>
      </c>
      <c r="N12" s="2550" t="s">
        <v>357</v>
      </c>
      <c r="O12" s="2620"/>
      <c r="P12" s="2620"/>
    </row>
    <row r="13" spans="1:20" x14ac:dyDescent="0.25">
      <c r="A13" s="3065">
        <v>1</v>
      </c>
      <c r="B13" s="3044">
        <v>2</v>
      </c>
      <c r="C13" s="2551">
        <v>3</v>
      </c>
      <c r="D13" s="2549">
        <v>4</v>
      </c>
      <c r="E13" s="2550">
        <v>5</v>
      </c>
      <c r="F13" s="2551">
        <v>6</v>
      </c>
      <c r="G13" s="2549">
        <v>7</v>
      </c>
      <c r="H13" s="2550">
        <v>8</v>
      </c>
      <c r="I13" s="2551">
        <v>9</v>
      </c>
      <c r="J13" s="2549">
        <v>10</v>
      </c>
      <c r="K13" s="2550">
        <v>11</v>
      </c>
      <c r="L13" s="2551">
        <v>3</v>
      </c>
      <c r="M13" s="2549">
        <v>4</v>
      </c>
      <c r="N13" s="2550">
        <v>5</v>
      </c>
    </row>
    <row r="14" spans="1:20" ht="30" x14ac:dyDescent="0.25">
      <c r="A14" s="3045">
        <v>1</v>
      </c>
      <c r="B14" s="3046" t="s">
        <v>358</v>
      </c>
      <c r="C14" s="2552">
        <f t="shared" ref="C14:C22" si="0">D14+E14</f>
        <v>0</v>
      </c>
      <c r="D14" s="2553">
        <v>0</v>
      </c>
      <c r="E14" s="3047">
        <v>0</v>
      </c>
      <c r="F14" s="2552">
        <f>G14+H14</f>
        <v>0</v>
      </c>
      <c r="G14" s="2553">
        <v>0</v>
      </c>
      <c r="H14" s="3047">
        <v>0</v>
      </c>
      <c r="I14" s="2552">
        <f>J14+K14</f>
        <v>0</v>
      </c>
      <c r="J14" s="2553">
        <v>0</v>
      </c>
      <c r="K14" s="2553">
        <v>0</v>
      </c>
      <c r="L14" s="2552">
        <f>M14+N14</f>
        <v>10</v>
      </c>
      <c r="M14" s="2553">
        <v>4</v>
      </c>
      <c r="N14" s="3047">
        <v>6</v>
      </c>
      <c r="S14" s="3048"/>
    </row>
    <row r="15" spans="1:20" ht="63.75" customHeight="1" x14ac:dyDescent="0.25">
      <c r="A15" s="3045">
        <v>2</v>
      </c>
      <c r="B15" s="3049" t="s">
        <v>850</v>
      </c>
      <c r="C15" s="2554">
        <f t="shared" si="0"/>
        <v>0</v>
      </c>
      <c r="D15" s="2555">
        <f>SUM(D16:D18)</f>
        <v>0</v>
      </c>
      <c r="E15" s="2556">
        <f>E16+E17+E18</f>
        <v>0</v>
      </c>
      <c r="F15" s="2554">
        <f t="shared" ref="F15:F22" si="1">G15+H15</f>
        <v>0</v>
      </c>
      <c r="G15" s="2555">
        <v>0</v>
      </c>
      <c r="H15" s="2556">
        <f>H16+H17+H18</f>
        <v>0</v>
      </c>
      <c r="I15" s="2554">
        <v>0</v>
      </c>
      <c r="J15" s="2555">
        <v>0</v>
      </c>
      <c r="K15" s="2556">
        <f>K16+K17+K18</f>
        <v>0</v>
      </c>
      <c r="L15" s="2554">
        <v>0</v>
      </c>
      <c r="M15" s="2555">
        <v>0</v>
      </c>
      <c r="N15" s="2556">
        <v>0</v>
      </c>
    </row>
    <row r="16" spans="1:20" x14ac:dyDescent="0.25">
      <c r="A16" s="3045" t="s">
        <v>25</v>
      </c>
      <c r="B16" s="3049" t="s">
        <v>463</v>
      </c>
      <c r="C16" s="2554">
        <f t="shared" si="0"/>
        <v>0</v>
      </c>
      <c r="D16" s="2555">
        <v>0</v>
      </c>
      <c r="E16" s="2556">
        <v>0</v>
      </c>
      <c r="F16" s="2554">
        <f t="shared" si="1"/>
        <v>0</v>
      </c>
      <c r="G16" s="2555">
        <f>'[36]Додаток 13'!$G$16</f>
        <v>0</v>
      </c>
      <c r="H16" s="2556">
        <v>0</v>
      </c>
      <c r="I16" s="2554">
        <f t="shared" ref="I16:I22" si="2">J16+K16</f>
        <v>0</v>
      </c>
      <c r="J16" s="2555">
        <v>0</v>
      </c>
      <c r="K16" s="2555">
        <v>0</v>
      </c>
      <c r="L16" s="2554">
        <f t="shared" ref="L16:L22" si="3">M16+N16</f>
        <v>0</v>
      </c>
      <c r="M16" s="2555">
        <v>0</v>
      </c>
      <c r="N16" s="2556">
        <v>0</v>
      </c>
      <c r="Q16" s="2619"/>
      <c r="T16" s="2619"/>
    </row>
    <row r="17" spans="1:21" x14ac:dyDescent="0.25">
      <c r="A17" s="3045" t="s">
        <v>26</v>
      </c>
      <c r="B17" s="3049" t="s">
        <v>464</v>
      </c>
      <c r="C17" s="2554">
        <f t="shared" si="0"/>
        <v>0</v>
      </c>
      <c r="D17" s="2555">
        <v>0</v>
      </c>
      <c r="E17" s="2556">
        <v>0</v>
      </c>
      <c r="F17" s="2554">
        <f t="shared" si="1"/>
        <v>0</v>
      </c>
      <c r="G17" s="2555">
        <f>'[36]Додаток 13'!$G$17</f>
        <v>0</v>
      </c>
      <c r="H17" s="2556">
        <v>0</v>
      </c>
      <c r="I17" s="2554">
        <v>0</v>
      </c>
      <c r="J17" s="2555">
        <v>0</v>
      </c>
      <c r="K17" s="3508">
        <f>'[36]Додаток 13'!M17</f>
        <v>0</v>
      </c>
      <c r="L17" s="2554">
        <f t="shared" si="3"/>
        <v>0</v>
      </c>
      <c r="M17" s="2555">
        <v>0</v>
      </c>
      <c r="N17" s="2556">
        <f>'[36]Додаток 13'!P17</f>
        <v>0</v>
      </c>
      <c r="Q17" s="2619"/>
      <c r="T17" s="2619"/>
    </row>
    <row r="18" spans="1:21" x14ac:dyDescent="0.25">
      <c r="A18" s="3045" t="s">
        <v>59</v>
      </c>
      <c r="B18" s="3049" t="s">
        <v>351</v>
      </c>
      <c r="C18" s="2554">
        <f t="shared" si="0"/>
        <v>0</v>
      </c>
      <c r="D18" s="2555">
        <v>0</v>
      </c>
      <c r="E18" s="2556">
        <v>0</v>
      </c>
      <c r="F18" s="2554">
        <f t="shared" si="1"/>
        <v>0</v>
      </c>
      <c r="G18" s="2555">
        <v>0</v>
      </c>
      <c r="H18" s="2556">
        <v>0</v>
      </c>
      <c r="I18" s="2554">
        <f t="shared" si="2"/>
        <v>0</v>
      </c>
      <c r="J18" s="2555">
        <v>0</v>
      </c>
      <c r="K18" s="3508">
        <f>'[36]Додаток 13'!M18</f>
        <v>0</v>
      </c>
      <c r="L18" s="2554">
        <f t="shared" si="3"/>
        <v>0</v>
      </c>
      <c r="M18" s="2555">
        <v>0</v>
      </c>
      <c r="N18" s="2556">
        <f>'[36]Додаток 13'!P18</f>
        <v>0</v>
      </c>
      <c r="Q18" s="2619"/>
      <c r="T18" s="2619"/>
    </row>
    <row r="19" spans="1:21" ht="60" x14ac:dyDescent="0.25">
      <c r="A19" s="3045">
        <v>3</v>
      </c>
      <c r="B19" s="3046" t="s">
        <v>465</v>
      </c>
      <c r="C19" s="2554">
        <f t="shared" si="0"/>
        <v>0</v>
      </c>
      <c r="D19" s="2555">
        <f>D20+D21+D22</f>
        <v>0</v>
      </c>
      <c r="E19" s="2556">
        <f>E20+E21+E22</f>
        <v>0</v>
      </c>
      <c r="F19" s="2554">
        <f t="shared" si="1"/>
        <v>0</v>
      </c>
      <c r="G19" s="2557">
        <v>0</v>
      </c>
      <c r="H19" s="2556">
        <f>H20+H21+H22</f>
        <v>0</v>
      </c>
      <c r="I19" s="2554">
        <f t="shared" si="2"/>
        <v>0</v>
      </c>
      <c r="J19" s="2555">
        <f>J20+J21+J22</f>
        <v>0</v>
      </c>
      <c r="K19" s="3508">
        <f>K20+K21+K22</f>
        <v>0</v>
      </c>
      <c r="L19" s="2554">
        <f t="shared" si="3"/>
        <v>6072.19</v>
      </c>
      <c r="M19" s="2555">
        <f>M20+M21+M22</f>
        <v>2308.54</v>
      </c>
      <c r="N19" s="2556">
        <f>N20+N21+N22</f>
        <v>3763.65</v>
      </c>
      <c r="P19" s="3050"/>
      <c r="Q19" s="3050"/>
    </row>
    <row r="20" spans="1:21" x14ac:dyDescent="0.25">
      <c r="A20" s="3045" t="s">
        <v>60</v>
      </c>
      <c r="B20" s="3046" t="s">
        <v>463</v>
      </c>
      <c r="C20" s="2554">
        <f t="shared" si="0"/>
        <v>0</v>
      </c>
      <c r="D20" s="2555">
        <v>0</v>
      </c>
      <c r="E20" s="2556">
        <v>0</v>
      </c>
      <c r="F20" s="2554">
        <f t="shared" si="1"/>
        <v>0</v>
      </c>
      <c r="G20" s="2557">
        <f>'[36]Додаток 13'!$G$20</f>
        <v>0</v>
      </c>
      <c r="H20" s="2556">
        <v>0</v>
      </c>
      <c r="I20" s="2554">
        <f t="shared" si="2"/>
        <v>0</v>
      </c>
      <c r="J20" s="2555">
        <v>0</v>
      </c>
      <c r="K20" s="3508">
        <v>0</v>
      </c>
      <c r="L20" s="2554">
        <f t="shared" si="3"/>
        <v>6072.19</v>
      </c>
      <c r="M20" s="2555">
        <f>'Розрахунки Річного плану'!C101+'Розрахунки Річного плану'!C104</f>
        <v>2308.54</v>
      </c>
      <c r="N20" s="2556">
        <f>'Розрахунки Річного плану'!C102+'Розрахунки Річного плану'!C105</f>
        <v>3763.65</v>
      </c>
      <c r="P20" s="3050"/>
      <c r="Q20" s="3050"/>
      <c r="U20" s="2619"/>
    </row>
    <row r="21" spans="1:21" x14ac:dyDescent="0.25">
      <c r="A21" s="3045" t="s">
        <v>61</v>
      </c>
      <c r="B21" s="3046" t="s">
        <v>464</v>
      </c>
      <c r="C21" s="2554">
        <f t="shared" si="0"/>
        <v>0</v>
      </c>
      <c r="D21" s="2555">
        <v>0</v>
      </c>
      <c r="E21" s="2556">
        <v>0</v>
      </c>
      <c r="F21" s="2554">
        <f t="shared" si="1"/>
        <v>0</v>
      </c>
      <c r="G21" s="2557">
        <f>'[36]Додаток 13'!$G$21</f>
        <v>0</v>
      </c>
      <c r="H21" s="2556">
        <v>0</v>
      </c>
      <c r="I21" s="2554">
        <f t="shared" si="2"/>
        <v>0</v>
      </c>
      <c r="J21" s="2555">
        <v>0</v>
      </c>
      <c r="K21" s="3508">
        <v>0</v>
      </c>
      <c r="L21" s="2554">
        <f t="shared" si="3"/>
        <v>0</v>
      </c>
      <c r="M21" s="2555"/>
      <c r="N21" s="2556"/>
      <c r="P21" s="3050"/>
      <c r="Q21" s="3050"/>
      <c r="U21" s="2619"/>
    </row>
    <row r="22" spans="1:21" x14ac:dyDescent="0.25">
      <c r="A22" s="3045" t="s">
        <v>62</v>
      </c>
      <c r="B22" s="3046" t="s">
        <v>351</v>
      </c>
      <c r="C22" s="2554">
        <f t="shared" si="0"/>
        <v>0</v>
      </c>
      <c r="D22" s="2555">
        <v>0</v>
      </c>
      <c r="E22" s="2556">
        <v>0</v>
      </c>
      <c r="F22" s="2554">
        <f t="shared" si="1"/>
        <v>0</v>
      </c>
      <c r="G22" s="2557">
        <v>0</v>
      </c>
      <c r="H22" s="2556">
        <f>'Розрахунки Річного плану'!C116+'Розрахунки Річного плану'!C119</f>
        <v>0</v>
      </c>
      <c r="I22" s="2554">
        <f t="shared" si="2"/>
        <v>0</v>
      </c>
      <c r="J22" s="2555">
        <v>0</v>
      </c>
      <c r="K22" s="3508">
        <f>'[36]Додаток 13'!M22</f>
        <v>0</v>
      </c>
      <c r="L22" s="2554">
        <f t="shared" si="3"/>
        <v>0</v>
      </c>
      <c r="M22" s="2555"/>
      <c r="N22" s="2556">
        <f>'[36]Додаток 13'!P22</f>
        <v>0</v>
      </c>
      <c r="P22" s="3050"/>
      <c r="Q22" s="3050"/>
      <c r="U22" s="2619"/>
    </row>
    <row r="23" spans="1:21" ht="63" x14ac:dyDescent="0.25">
      <c r="A23" s="3045">
        <v>4</v>
      </c>
      <c r="B23" s="3049" t="s">
        <v>466</v>
      </c>
      <c r="C23" s="3051">
        <v>0</v>
      </c>
      <c r="D23" s="2557">
        <v>0</v>
      </c>
      <c r="E23" s="3052">
        <v>0</v>
      </c>
      <c r="F23" s="2557">
        <v>0</v>
      </c>
      <c r="G23" s="2557">
        <v>0</v>
      </c>
      <c r="H23" s="3053">
        <v>0</v>
      </c>
      <c r="I23" s="2557"/>
      <c r="J23" s="2557"/>
      <c r="K23" s="3052"/>
      <c r="L23" s="3051"/>
      <c r="M23" s="2557"/>
      <c r="N23" s="3053"/>
      <c r="O23" s="2618" t="s">
        <v>3162</v>
      </c>
    </row>
    <row r="24" spans="1:21" ht="15" customHeight="1" x14ac:dyDescent="0.25">
      <c r="A24" s="3045" t="s">
        <v>27</v>
      </c>
      <c r="B24" s="3046" t="s">
        <v>463</v>
      </c>
      <c r="C24" s="3051">
        <v>0</v>
      </c>
      <c r="D24" s="2557">
        <v>0</v>
      </c>
      <c r="E24" s="3052">
        <v>0</v>
      </c>
      <c r="F24" s="2557">
        <v>0</v>
      </c>
      <c r="G24" s="2557">
        <f>'[36]Додаток 13'!$G$24</f>
        <v>0</v>
      </c>
      <c r="H24" s="3053">
        <v>0</v>
      </c>
      <c r="I24" s="2557"/>
      <c r="J24" s="2557"/>
      <c r="K24" s="3052"/>
      <c r="L24" s="3051"/>
      <c r="M24" s="2557"/>
      <c r="N24" s="3053"/>
    </row>
    <row r="25" spans="1:21" x14ac:dyDescent="0.25">
      <c r="A25" s="3045" t="s">
        <v>113</v>
      </c>
      <c r="B25" s="3046" t="s">
        <v>464</v>
      </c>
      <c r="C25" s="3051">
        <v>0</v>
      </c>
      <c r="D25" s="2557">
        <v>0</v>
      </c>
      <c r="E25" s="3053">
        <v>0</v>
      </c>
      <c r="F25" s="3051">
        <v>0</v>
      </c>
      <c r="G25" s="2557">
        <f>'[36]Додаток 13'!$G$25</f>
        <v>0</v>
      </c>
      <c r="H25" s="3053">
        <v>0</v>
      </c>
      <c r="I25" s="2557"/>
      <c r="J25" s="2557"/>
      <c r="K25" s="3052"/>
      <c r="L25" s="3051"/>
      <c r="M25" s="2557"/>
      <c r="N25" s="3053"/>
    </row>
    <row r="26" spans="1:21" x14ac:dyDescent="0.25">
      <c r="A26" s="3045" t="s">
        <v>166</v>
      </c>
      <c r="B26" s="3046" t="s">
        <v>351</v>
      </c>
      <c r="C26" s="3051">
        <v>0</v>
      </c>
      <c r="D26" s="2557">
        <v>0</v>
      </c>
      <c r="E26" s="3053">
        <v>0</v>
      </c>
      <c r="F26" s="3051">
        <v>0</v>
      </c>
      <c r="G26" s="2557">
        <v>0</v>
      </c>
      <c r="H26" s="3053">
        <v>0</v>
      </c>
      <c r="I26" s="2557"/>
      <c r="J26" s="2557"/>
      <c r="K26" s="3052"/>
      <c r="L26" s="3051"/>
      <c r="M26" s="2557"/>
      <c r="N26" s="3053"/>
    </row>
    <row r="27" spans="1:21" ht="29.25" customHeight="1" x14ac:dyDescent="0.25">
      <c r="A27" s="3045">
        <v>5</v>
      </c>
      <c r="B27" s="3046" t="s">
        <v>475</v>
      </c>
      <c r="C27" s="2554">
        <v>0</v>
      </c>
      <c r="D27" s="2555">
        <v>0</v>
      </c>
      <c r="E27" s="2556">
        <v>0</v>
      </c>
      <c r="F27" s="2554">
        <v>0</v>
      </c>
      <c r="G27" s="2557">
        <f>'[36]Додаток 13'!$G$27</f>
        <v>0</v>
      </c>
      <c r="H27" s="2556">
        <v>0</v>
      </c>
      <c r="I27" s="2557">
        <f>'[36]Додаток 13'!K27</f>
        <v>0</v>
      </c>
      <c r="J27" s="2557">
        <f>'[36]Додаток 13'!L27</f>
        <v>0</v>
      </c>
      <c r="K27" s="3052">
        <f>'[36]Додаток 13'!M27</f>
        <v>0</v>
      </c>
      <c r="L27" s="3051">
        <f>M27+N27</f>
        <v>3387.2</v>
      </c>
      <c r="M27" s="2557">
        <f>'Розрахунки Річного плану'!C123+'Розрахунки Річного плану'!C126</f>
        <v>1808.54</v>
      </c>
      <c r="N27" s="3053">
        <f>'Розрахунки Річного плану'!C124+'Розрахунки Річного плану'!C127</f>
        <v>1578.66</v>
      </c>
    </row>
    <row r="28" spans="1:21" x14ac:dyDescent="0.25">
      <c r="A28" s="3045">
        <v>6</v>
      </c>
      <c r="B28" s="3046" t="s">
        <v>359</v>
      </c>
      <c r="C28" s="2554">
        <f>C19+C27</f>
        <v>0</v>
      </c>
      <c r="D28" s="2555">
        <v>0</v>
      </c>
      <c r="E28" s="2556">
        <v>0</v>
      </c>
      <c r="F28" s="2554">
        <f t="shared" ref="F28" si="4">F19+F27</f>
        <v>0</v>
      </c>
      <c r="G28" s="2557">
        <v>0</v>
      </c>
      <c r="H28" s="2556">
        <f>H19+H27</f>
        <v>0</v>
      </c>
      <c r="I28" s="2557">
        <f>J28+K28</f>
        <v>0</v>
      </c>
      <c r="J28" s="2557">
        <f>J19+J27</f>
        <v>0</v>
      </c>
      <c r="K28" s="3052">
        <f>K19+K27</f>
        <v>0</v>
      </c>
      <c r="L28" s="3051">
        <f>M28+N28</f>
        <v>9459.39</v>
      </c>
      <c r="M28" s="2557">
        <f>M19+M27</f>
        <v>4117.08</v>
      </c>
      <c r="N28" s="3053">
        <f>N19+N27</f>
        <v>5342.31</v>
      </c>
    </row>
    <row r="29" spans="1:21" ht="30" x14ac:dyDescent="0.25">
      <c r="A29" s="3045">
        <v>7</v>
      </c>
      <c r="B29" s="3046" t="s">
        <v>467</v>
      </c>
      <c r="C29" s="3054">
        <f>D29+E29</f>
        <v>0</v>
      </c>
      <c r="D29" s="3055">
        <f>'Розрахунки Річного плану'!C16-'Розрахунки Річного плану'!C19-'Розрахунки Річного плану'!C22+'Розрахунки Річного плану'!C24</f>
        <v>0</v>
      </c>
      <c r="E29" s="3056">
        <v>0</v>
      </c>
      <c r="F29" s="3054">
        <f>G29+H29</f>
        <v>0</v>
      </c>
      <c r="G29" s="2557">
        <v>0</v>
      </c>
      <c r="H29" s="3056">
        <f>'Розрахунки Річного плану'!C56+'Розрахунки Річного плану'!C59</f>
        <v>0</v>
      </c>
      <c r="I29" s="2557">
        <f t="shared" ref="I29" si="5">J29+K29</f>
        <v>0</v>
      </c>
      <c r="J29" s="2557">
        <f>'Розрахунки Річного плану'!I16-'Розрахунки Річного плану'!I19-'Розрахунки Річного плану'!I22+'Розрахунки Річного плану'!I24</f>
        <v>0</v>
      </c>
      <c r="K29" s="3052">
        <v>0</v>
      </c>
      <c r="L29" s="3051">
        <f t="shared" ref="L29" si="6">M29+N29</f>
        <v>8.7149999999999999</v>
      </c>
      <c r="M29" s="2557">
        <f>'Розрахунки Річного плану'!C41+'Розрахунки Річного плану'!C44+'Розрахунки Річного плану'!C63+'Розрахунки Річного плану'!C66</f>
        <v>4.0270000000000001</v>
      </c>
      <c r="N29" s="3053">
        <f>'Розрахунки Річного плану'!C42+'Розрахунки Річного плану'!C45+'Розрахунки Річного плану'!C64+'Розрахунки Річного плану'!C67</f>
        <v>4.6879999999999997</v>
      </c>
      <c r="O29" s="3057"/>
      <c r="P29" s="3058"/>
    </row>
    <row r="30" spans="1:21" ht="33.75" customHeight="1" x14ac:dyDescent="0.25">
      <c r="A30" s="3045">
        <v>8</v>
      </c>
      <c r="B30" s="3046" t="s">
        <v>360</v>
      </c>
      <c r="C30" s="3896" t="s">
        <v>233</v>
      </c>
      <c r="D30" s="3897"/>
      <c r="E30" s="3898"/>
      <c r="F30" s="3896" t="str">
        <f>C30</f>
        <v>Х</v>
      </c>
      <c r="G30" s="3897"/>
      <c r="H30" s="3898"/>
      <c r="I30" s="3896" t="str">
        <f t="shared" ref="I30:I41" si="7">F30</f>
        <v>Х</v>
      </c>
      <c r="J30" s="3897"/>
      <c r="K30" s="3898"/>
      <c r="L30" s="3896" t="str">
        <f t="shared" ref="L30:L41" si="8">I30</f>
        <v>Х</v>
      </c>
      <c r="M30" s="3897"/>
      <c r="N30" s="3898"/>
      <c r="O30" s="3057"/>
      <c r="P30" s="3058"/>
    </row>
    <row r="31" spans="1:21" x14ac:dyDescent="0.25">
      <c r="A31" s="3045" t="s">
        <v>116</v>
      </c>
      <c r="B31" s="3046" t="s">
        <v>361</v>
      </c>
      <c r="C31" s="3896">
        <f>'Вхідні дані'!$D$50</f>
        <v>152</v>
      </c>
      <c r="D31" s="3897"/>
      <c r="E31" s="3898"/>
      <c r="F31" s="3896">
        <f t="shared" ref="F31:F41" si="9">C31</f>
        <v>152</v>
      </c>
      <c r="G31" s="3897"/>
      <c r="H31" s="3898"/>
      <c r="I31" s="3896">
        <f t="shared" si="7"/>
        <v>152</v>
      </c>
      <c r="J31" s="3897"/>
      <c r="K31" s="3898"/>
      <c r="L31" s="3896">
        <f t="shared" si="8"/>
        <v>152</v>
      </c>
      <c r="M31" s="3897"/>
      <c r="N31" s="3898"/>
    </row>
    <row r="32" spans="1:21" ht="33" thickBot="1" x14ac:dyDescent="0.3">
      <c r="A32" s="3059" t="s">
        <v>118</v>
      </c>
      <c r="B32" s="3511" t="s">
        <v>364</v>
      </c>
      <c r="C32" s="3902">
        <f>'Вхідні дані'!$D$58</f>
        <v>-18</v>
      </c>
      <c r="D32" s="3903"/>
      <c r="E32" s="3904"/>
      <c r="F32" s="3899">
        <f t="shared" si="9"/>
        <v>-18</v>
      </c>
      <c r="G32" s="3900"/>
      <c r="H32" s="3901"/>
      <c r="I32" s="3899">
        <f t="shared" si="7"/>
        <v>-18</v>
      </c>
      <c r="J32" s="3900"/>
      <c r="K32" s="3901"/>
      <c r="L32" s="3899">
        <f t="shared" si="8"/>
        <v>-18</v>
      </c>
      <c r="M32" s="3900"/>
      <c r="N32" s="3901"/>
    </row>
    <row r="33" spans="1:17" ht="32.25" x14ac:dyDescent="0.25">
      <c r="A33" s="3509" t="s">
        <v>120</v>
      </c>
      <c r="B33" s="3510" t="s">
        <v>365</v>
      </c>
      <c r="C33" s="3918">
        <f>'Вхідні дані'!$D$59</f>
        <v>3.75</v>
      </c>
      <c r="D33" s="3919"/>
      <c r="E33" s="3920"/>
      <c r="F33" s="3909">
        <f t="shared" si="9"/>
        <v>3.75</v>
      </c>
      <c r="G33" s="3910"/>
      <c r="H33" s="3911"/>
      <c r="I33" s="3909">
        <f t="shared" si="7"/>
        <v>3.75</v>
      </c>
      <c r="J33" s="3910"/>
      <c r="K33" s="3911"/>
      <c r="L33" s="3909">
        <f t="shared" si="8"/>
        <v>3.75</v>
      </c>
      <c r="M33" s="3910"/>
      <c r="N33" s="3911"/>
    </row>
    <row r="34" spans="1:17" ht="30" x14ac:dyDescent="0.25">
      <c r="A34" s="3045">
        <v>9</v>
      </c>
      <c r="B34" s="3046" t="s">
        <v>362</v>
      </c>
      <c r="C34" s="3896" t="s">
        <v>233</v>
      </c>
      <c r="D34" s="3897"/>
      <c r="E34" s="3898"/>
      <c r="F34" s="3896" t="str">
        <f t="shared" si="9"/>
        <v>Х</v>
      </c>
      <c r="G34" s="3897"/>
      <c r="H34" s="3898"/>
      <c r="I34" s="3896" t="str">
        <f t="shared" si="7"/>
        <v>Х</v>
      </c>
      <c r="J34" s="3897"/>
      <c r="K34" s="3898"/>
      <c r="L34" s="3896" t="str">
        <f t="shared" si="8"/>
        <v>Х</v>
      </c>
      <c r="M34" s="3897"/>
      <c r="N34" s="3898"/>
    </row>
    <row r="35" spans="1:17" x14ac:dyDescent="0.25">
      <c r="A35" s="3045" t="s">
        <v>160</v>
      </c>
      <c r="B35" s="3046" t="s">
        <v>361</v>
      </c>
      <c r="C35" s="3896">
        <v>157</v>
      </c>
      <c r="D35" s="3897"/>
      <c r="E35" s="3898"/>
      <c r="F35" s="3896">
        <f t="shared" si="9"/>
        <v>157</v>
      </c>
      <c r="G35" s="3897"/>
      <c r="H35" s="3898"/>
      <c r="I35" s="3896">
        <f t="shared" si="7"/>
        <v>157</v>
      </c>
      <c r="J35" s="3897"/>
      <c r="K35" s="3898"/>
      <c r="L35" s="3896">
        <f t="shared" si="8"/>
        <v>157</v>
      </c>
      <c r="M35" s="3897"/>
      <c r="N35" s="3898"/>
    </row>
    <row r="36" spans="1:17" ht="32.25" x14ac:dyDescent="0.25">
      <c r="A36" s="3045" t="s">
        <v>214</v>
      </c>
      <c r="B36" s="3046" t="s">
        <v>364</v>
      </c>
      <c r="C36" s="3912">
        <v>-15</v>
      </c>
      <c r="D36" s="3913"/>
      <c r="E36" s="3914"/>
      <c r="F36" s="3912">
        <f t="shared" si="9"/>
        <v>-15</v>
      </c>
      <c r="G36" s="3913"/>
      <c r="H36" s="3914"/>
      <c r="I36" s="3912">
        <f t="shared" si="7"/>
        <v>-15</v>
      </c>
      <c r="J36" s="3913"/>
      <c r="K36" s="3914"/>
      <c r="L36" s="3912">
        <f t="shared" si="8"/>
        <v>-15</v>
      </c>
      <c r="M36" s="3913"/>
      <c r="N36" s="3914"/>
    </row>
    <row r="37" spans="1:17" ht="32.25" x14ac:dyDescent="0.25">
      <c r="A37" s="3045" t="s">
        <v>354</v>
      </c>
      <c r="B37" s="3046" t="s">
        <v>365</v>
      </c>
      <c r="C37" s="3912">
        <v>1.3</v>
      </c>
      <c r="D37" s="3913"/>
      <c r="E37" s="3914"/>
      <c r="F37" s="3912">
        <f t="shared" si="9"/>
        <v>1.3</v>
      </c>
      <c r="G37" s="3913"/>
      <c r="H37" s="3914"/>
      <c r="I37" s="3912">
        <f t="shared" si="7"/>
        <v>1.3</v>
      </c>
      <c r="J37" s="3913"/>
      <c r="K37" s="3914"/>
      <c r="L37" s="3912">
        <f t="shared" si="8"/>
        <v>1.3</v>
      </c>
      <c r="M37" s="3913"/>
      <c r="N37" s="3914"/>
    </row>
    <row r="38" spans="1:17" ht="30" x14ac:dyDescent="0.25">
      <c r="A38" s="3045">
        <v>10</v>
      </c>
      <c r="B38" s="3046" t="s">
        <v>363</v>
      </c>
      <c r="C38" s="3896" t="s">
        <v>233</v>
      </c>
      <c r="D38" s="3897"/>
      <c r="E38" s="3898"/>
      <c r="F38" s="3896" t="str">
        <f t="shared" si="9"/>
        <v>Х</v>
      </c>
      <c r="G38" s="3897"/>
      <c r="H38" s="3898"/>
      <c r="I38" s="3896" t="str">
        <f t="shared" si="7"/>
        <v>Х</v>
      </c>
      <c r="J38" s="3897"/>
      <c r="K38" s="3898"/>
      <c r="L38" s="3896" t="str">
        <f t="shared" si="8"/>
        <v>Х</v>
      </c>
      <c r="M38" s="3897"/>
      <c r="N38" s="3898"/>
    </row>
    <row r="39" spans="1:17" x14ac:dyDescent="0.25">
      <c r="A39" s="3045" t="s">
        <v>89</v>
      </c>
      <c r="B39" s="3046" t="s">
        <v>361</v>
      </c>
      <c r="C39" s="3896">
        <v>158</v>
      </c>
      <c r="D39" s="3897"/>
      <c r="E39" s="3898"/>
      <c r="F39" s="3896">
        <f t="shared" si="9"/>
        <v>158</v>
      </c>
      <c r="G39" s="3897"/>
      <c r="H39" s="3898"/>
      <c r="I39" s="3896">
        <f t="shared" si="7"/>
        <v>158</v>
      </c>
      <c r="J39" s="3897"/>
      <c r="K39" s="3898"/>
      <c r="L39" s="3896">
        <f t="shared" si="8"/>
        <v>158</v>
      </c>
      <c r="M39" s="3897"/>
      <c r="N39" s="3898"/>
    </row>
    <row r="40" spans="1:17" ht="32.25" x14ac:dyDescent="0.25">
      <c r="A40" s="3045" t="s">
        <v>91</v>
      </c>
      <c r="B40" s="3046" t="s">
        <v>364</v>
      </c>
      <c r="C40" s="3912">
        <f>'Вхідні дані'!D58</f>
        <v>-18</v>
      </c>
      <c r="D40" s="3913"/>
      <c r="E40" s="3914"/>
      <c r="F40" s="3912">
        <f t="shared" si="9"/>
        <v>-18</v>
      </c>
      <c r="G40" s="3913"/>
      <c r="H40" s="3914"/>
      <c r="I40" s="3912">
        <f t="shared" si="7"/>
        <v>-18</v>
      </c>
      <c r="J40" s="3913"/>
      <c r="K40" s="3914"/>
      <c r="L40" s="3912">
        <f t="shared" si="8"/>
        <v>-18</v>
      </c>
      <c r="M40" s="3913"/>
      <c r="N40" s="3914"/>
    </row>
    <row r="41" spans="1:17" ht="33" thickBot="1" x14ac:dyDescent="0.3">
      <c r="A41" s="3059" t="s">
        <v>109</v>
      </c>
      <c r="B41" s="3060" t="s">
        <v>365</v>
      </c>
      <c r="C41" s="3902">
        <v>2</v>
      </c>
      <c r="D41" s="3903"/>
      <c r="E41" s="3904"/>
      <c r="F41" s="3902">
        <f t="shared" si="9"/>
        <v>2</v>
      </c>
      <c r="G41" s="3903"/>
      <c r="H41" s="3904"/>
      <c r="I41" s="3902">
        <f t="shared" si="7"/>
        <v>2</v>
      </c>
      <c r="J41" s="3903"/>
      <c r="K41" s="3904"/>
      <c r="L41" s="3902">
        <f t="shared" si="8"/>
        <v>2</v>
      </c>
      <c r="M41" s="3903"/>
      <c r="N41" s="3904"/>
    </row>
    <row r="42" spans="1:17" x14ac:dyDescent="0.25">
      <c r="B42" s="3062"/>
    </row>
    <row r="43" spans="1:17" x14ac:dyDescent="0.25">
      <c r="B43" s="3062"/>
      <c r="C43" s="3062"/>
      <c r="D43" s="3062"/>
      <c r="E43" s="3062"/>
      <c r="F43" s="3062"/>
    </row>
    <row r="44" spans="1:17" x14ac:dyDescent="0.25">
      <c r="B44" s="3063"/>
      <c r="C44" s="3063"/>
      <c r="D44" s="3063"/>
      <c r="E44" s="3063"/>
      <c r="F44" s="3063"/>
    </row>
    <row r="45" spans="1:17" ht="29.25" customHeight="1" x14ac:dyDescent="0.25">
      <c r="A45" s="3890" t="str">
        <f>'Вхідні дані'!B13</f>
        <v>Начальник Адміністрації морського порту Чорноморськ</v>
      </c>
      <c r="B45" s="3890"/>
      <c r="C45" s="2815"/>
      <c r="D45" s="2940" t="s">
        <v>849</v>
      </c>
      <c r="E45" s="2815"/>
      <c r="F45" s="3892" t="str">
        <f>'Вхідні дані'!F13</f>
        <v>Максим ШИРОКОВ</v>
      </c>
      <c r="G45" s="3892"/>
      <c r="H45" s="3892"/>
      <c r="L45" s="3067" t="s">
        <v>3260</v>
      </c>
      <c r="M45" s="3891" t="str">
        <f>'Вхідні дані'!F13</f>
        <v>Максим ШИРОКОВ</v>
      </c>
      <c r="N45" s="3891"/>
      <c r="O45" s="3745"/>
      <c r="P45" s="3745"/>
      <c r="Q45" s="3745"/>
    </row>
    <row r="46" spans="1:17" ht="15.75" x14ac:dyDescent="0.25">
      <c r="B46" s="3064" t="s">
        <v>3446</v>
      </c>
      <c r="C46" s="2815"/>
      <c r="D46" s="3064" t="s">
        <v>848</v>
      </c>
      <c r="E46" s="2815"/>
      <c r="F46" s="3796" t="s">
        <v>239</v>
      </c>
      <c r="G46" s="3796"/>
      <c r="H46" s="3796"/>
      <c r="L46" s="2887" t="s">
        <v>219</v>
      </c>
      <c r="M46" s="3705" t="s">
        <v>102</v>
      </c>
      <c r="N46" s="3705"/>
      <c r="O46" s="3705"/>
      <c r="P46" s="3705"/>
      <c r="Q46" s="3705"/>
    </row>
    <row r="50" spans="5:5" x14ac:dyDescent="0.25">
      <c r="E50" s="2619"/>
    </row>
    <row r="51" spans="5:5" x14ac:dyDescent="0.25">
      <c r="E51" s="2619"/>
    </row>
    <row r="52" spans="5:5" x14ac:dyDescent="0.25">
      <c r="E52" s="2619"/>
    </row>
  </sheetData>
  <mergeCells count="69">
    <mergeCell ref="C41:E41"/>
    <mergeCell ref="F33:H33"/>
    <mergeCell ref="A7:N7"/>
    <mergeCell ref="A8:N8"/>
    <mergeCell ref="L1:N1"/>
    <mergeCell ref="A3:N3"/>
    <mergeCell ref="A4:N4"/>
    <mergeCell ref="A5:N5"/>
    <mergeCell ref="A6:N6"/>
    <mergeCell ref="F39:H39"/>
    <mergeCell ref="F40:H40"/>
    <mergeCell ref="F41:H41"/>
    <mergeCell ref="C33:E33"/>
    <mergeCell ref="C34:E34"/>
    <mergeCell ref="C35:E35"/>
    <mergeCell ref="F34:H34"/>
    <mergeCell ref="C39:E39"/>
    <mergeCell ref="C40:E40"/>
    <mergeCell ref="I36:K36"/>
    <mergeCell ref="I37:K37"/>
    <mergeCell ref="J11:K11"/>
    <mergeCell ref="I30:K30"/>
    <mergeCell ref="I31:K31"/>
    <mergeCell ref="I32:K32"/>
    <mergeCell ref="F35:H35"/>
    <mergeCell ref="F36:H36"/>
    <mergeCell ref="F37:H37"/>
    <mergeCell ref="F38:H38"/>
    <mergeCell ref="C36:E36"/>
    <mergeCell ref="C37:E37"/>
    <mergeCell ref="C38:E38"/>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 ref="A45:B45"/>
    <mergeCell ref="O45:Q45"/>
    <mergeCell ref="O46:Q46"/>
    <mergeCell ref="M45:N45"/>
    <mergeCell ref="M46:N46"/>
    <mergeCell ref="F46:H46"/>
    <mergeCell ref="F45:H45"/>
  </mergeCells>
  <pageMargins left="0.78740157480314965" right="0.15748031496062992" top="0.62992125984251968" bottom="0.27559055118110237" header="0.62992125984251968"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51"/>
  <sheetViews>
    <sheetView topLeftCell="A4" zoomScaleSheetLayoutView="100" workbookViewId="0">
      <selection activeCell="H10" sqref="H10"/>
    </sheetView>
  </sheetViews>
  <sheetFormatPr defaultRowHeight="15" x14ac:dyDescent="0.25"/>
  <cols>
    <col min="1" max="1" width="4.85546875" style="28" customWidth="1"/>
    <col min="2" max="2" width="51.85546875" customWidth="1"/>
    <col min="3" max="3" width="7.42578125" bestFit="1" customWidth="1"/>
    <col min="4" max="5" width="16.140625" customWidth="1"/>
    <col min="6" max="6" width="38.42578125" customWidth="1"/>
  </cols>
  <sheetData>
    <row r="1" spans="1:7" s="18" customFormat="1" ht="141.75" customHeight="1" x14ac:dyDescent="0.25">
      <c r="A1" s="29"/>
      <c r="C1" s="3771" t="s">
        <v>526</v>
      </c>
      <c r="D1" s="3771"/>
      <c r="E1" s="3771"/>
      <c r="F1" s="72" t="s">
        <v>1091</v>
      </c>
      <c r="G1" s="72"/>
    </row>
    <row r="2" spans="1:7" s="18" customFormat="1" ht="20.100000000000001" customHeight="1" x14ac:dyDescent="0.25">
      <c r="A2" s="29"/>
      <c r="C2" s="3923"/>
      <c r="D2" s="3923"/>
      <c r="E2" s="3923"/>
    </row>
    <row r="3" spans="1:7" s="18" customFormat="1" x14ac:dyDescent="0.25">
      <c r="A3" s="3929" t="s">
        <v>462</v>
      </c>
      <c r="B3" s="3930"/>
      <c r="C3" s="3930"/>
      <c r="D3" s="3930"/>
      <c r="E3" s="3930"/>
    </row>
    <row r="4" spans="1:7" s="42" customFormat="1" x14ac:dyDescent="0.25">
      <c r="A4" s="3929" t="s">
        <v>536</v>
      </c>
      <c r="B4" s="3930"/>
      <c r="C4" s="3930"/>
      <c r="D4" s="3930"/>
      <c r="E4" s="3930"/>
    </row>
    <row r="5" spans="1:7" s="18" customFormat="1" x14ac:dyDescent="0.25">
      <c r="A5" s="3931" t="s">
        <v>382</v>
      </c>
      <c r="B5" s="3932"/>
      <c r="C5" s="3932"/>
      <c r="D5" s="3932"/>
      <c r="E5" s="3932"/>
    </row>
    <row r="6" spans="1:7" s="18" customFormat="1" x14ac:dyDescent="0.25">
      <c r="A6" s="3931" t="s">
        <v>383</v>
      </c>
      <c r="B6" s="3932"/>
      <c r="C6" s="3932"/>
      <c r="D6" s="3932"/>
      <c r="E6" s="3932"/>
    </row>
    <row r="7" spans="1:7" s="18" customFormat="1" x14ac:dyDescent="0.25">
      <c r="A7" s="388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7" s="3887"/>
      <c r="C7" s="3887"/>
      <c r="D7" s="3887"/>
      <c r="E7" s="3887"/>
    </row>
    <row r="8" spans="1:7" s="18" customFormat="1" x14ac:dyDescent="0.25">
      <c r="A8" s="3933" t="s">
        <v>367</v>
      </c>
      <c r="B8" s="3836"/>
      <c r="C8" s="3836"/>
      <c r="D8" s="3836"/>
      <c r="E8" s="3836"/>
    </row>
    <row r="9" spans="1:7" s="18" customFormat="1" ht="11.25" customHeight="1" x14ac:dyDescent="0.25">
      <c r="A9" s="29"/>
    </row>
    <row r="10" spans="1:7" x14ac:dyDescent="0.25">
      <c r="A10" s="3927" t="s">
        <v>7</v>
      </c>
      <c r="B10" s="3928" t="s">
        <v>355</v>
      </c>
      <c r="C10" s="3928" t="s">
        <v>80</v>
      </c>
      <c r="D10" s="3928" t="s">
        <v>350</v>
      </c>
      <c r="E10" s="3928"/>
    </row>
    <row r="11" spans="1:7" ht="45" x14ac:dyDescent="0.25">
      <c r="A11" s="3927"/>
      <c r="B11" s="3928"/>
      <c r="C11" s="3928"/>
      <c r="D11" s="38" t="s">
        <v>369</v>
      </c>
      <c r="E11" s="38" t="s">
        <v>370</v>
      </c>
    </row>
    <row r="12" spans="1:7" x14ac:dyDescent="0.25">
      <c r="A12" s="48">
        <v>1</v>
      </c>
      <c r="B12" s="38">
        <v>2</v>
      </c>
      <c r="C12" s="38">
        <v>3</v>
      </c>
      <c r="D12" s="38">
        <v>4</v>
      </c>
      <c r="E12" s="38">
        <v>5</v>
      </c>
    </row>
    <row r="13" spans="1:7" ht="30" x14ac:dyDescent="0.25">
      <c r="A13" s="48">
        <v>1</v>
      </c>
      <c r="B13" s="39" t="s">
        <v>371</v>
      </c>
      <c r="C13" s="36"/>
      <c r="D13" s="36"/>
      <c r="E13" s="36"/>
    </row>
    <row r="14" spans="1:7" ht="30" x14ac:dyDescent="0.25">
      <c r="A14" s="48">
        <v>2</v>
      </c>
      <c r="B14" s="39" t="s">
        <v>372</v>
      </c>
      <c r="C14" s="36"/>
      <c r="D14" s="36"/>
      <c r="E14" s="36"/>
    </row>
    <row r="15" spans="1:7" ht="47.25" x14ac:dyDescent="0.25">
      <c r="A15" s="48">
        <v>3</v>
      </c>
      <c r="B15" s="39" t="s">
        <v>529</v>
      </c>
      <c r="C15" s="36"/>
      <c r="D15" s="36"/>
      <c r="E15" s="36"/>
    </row>
    <row r="16" spans="1:7" ht="32.25" x14ac:dyDescent="0.25">
      <c r="A16" s="48" t="s">
        <v>60</v>
      </c>
      <c r="B16" s="39" t="s">
        <v>530</v>
      </c>
      <c r="C16" s="38" t="s">
        <v>233</v>
      </c>
      <c r="D16" s="38" t="s">
        <v>233</v>
      </c>
      <c r="E16" s="36"/>
    </row>
    <row r="17" spans="1:5" ht="32.25" x14ac:dyDescent="0.25">
      <c r="A17" s="48" t="s">
        <v>61</v>
      </c>
      <c r="B17" s="39" t="s">
        <v>531</v>
      </c>
      <c r="C17" s="38" t="s">
        <v>233</v>
      </c>
      <c r="D17" s="38" t="s">
        <v>233</v>
      </c>
      <c r="E17" s="36"/>
    </row>
    <row r="18" spans="1:5" ht="33" x14ac:dyDescent="0.25">
      <c r="A18" s="48">
        <v>4</v>
      </c>
      <c r="B18" s="39" t="s">
        <v>532</v>
      </c>
      <c r="C18" s="36"/>
      <c r="D18" s="36"/>
      <c r="E18" s="36"/>
    </row>
    <row r="19" spans="1:5" ht="17.25" x14ac:dyDescent="0.25">
      <c r="A19" s="48">
        <v>5</v>
      </c>
      <c r="B19" s="39" t="s">
        <v>533</v>
      </c>
      <c r="C19" s="36"/>
      <c r="D19" s="36"/>
      <c r="E19" s="36"/>
    </row>
    <row r="20" spans="1:5" ht="34.5" customHeight="1" x14ac:dyDescent="0.25">
      <c r="A20" s="48">
        <v>6</v>
      </c>
      <c r="B20" s="39" t="s">
        <v>373</v>
      </c>
      <c r="C20" s="36"/>
      <c r="D20" s="36"/>
      <c r="E20" s="36"/>
    </row>
    <row r="21" spans="1:5" ht="33" x14ac:dyDescent="0.25">
      <c r="A21" s="48">
        <v>7</v>
      </c>
      <c r="B21" s="39" t="s">
        <v>534</v>
      </c>
      <c r="C21" s="36"/>
      <c r="D21" s="36"/>
      <c r="E21" s="36"/>
    </row>
    <row r="22" spans="1:5" ht="30" x14ac:dyDescent="0.25">
      <c r="A22" s="48">
        <v>8</v>
      </c>
      <c r="B22" s="39" t="s">
        <v>374</v>
      </c>
      <c r="C22" s="3924"/>
      <c r="D22" s="3924"/>
      <c r="E22" s="3924"/>
    </row>
    <row r="23" spans="1:5" ht="30" x14ac:dyDescent="0.25">
      <c r="A23" s="48">
        <v>9</v>
      </c>
      <c r="B23" s="39" t="s">
        <v>375</v>
      </c>
      <c r="C23" s="3924"/>
      <c r="D23" s="3924"/>
      <c r="E23" s="3924"/>
    </row>
    <row r="24" spans="1:5" ht="30" x14ac:dyDescent="0.25">
      <c r="A24" s="48">
        <v>10</v>
      </c>
      <c r="B24" s="39" t="s">
        <v>376</v>
      </c>
      <c r="C24" s="3924">
        <f>SUM(C25:C35)</f>
        <v>0</v>
      </c>
      <c r="D24" s="3924"/>
      <c r="E24" s="3924"/>
    </row>
    <row r="25" spans="1:5" ht="45" x14ac:dyDescent="0.25">
      <c r="A25" s="48">
        <v>11</v>
      </c>
      <c r="B25" s="39" t="s">
        <v>377</v>
      </c>
      <c r="C25" s="3924"/>
      <c r="D25" s="3924"/>
      <c r="E25" s="3924"/>
    </row>
    <row r="26" spans="1:5" ht="45" x14ac:dyDescent="0.25">
      <c r="A26" s="48">
        <v>12</v>
      </c>
      <c r="B26" s="39" t="s">
        <v>378</v>
      </c>
      <c r="C26" s="3924"/>
      <c r="D26" s="3924"/>
      <c r="E26" s="3924"/>
    </row>
    <row r="27" spans="1:5" ht="32.25" x14ac:dyDescent="0.25">
      <c r="A27" s="48">
        <v>13</v>
      </c>
      <c r="B27" s="39" t="s">
        <v>379</v>
      </c>
      <c r="C27" s="3924"/>
      <c r="D27" s="3924"/>
      <c r="E27" s="3924"/>
    </row>
    <row r="28" spans="1:5" ht="32.25" x14ac:dyDescent="0.25">
      <c r="A28" s="48">
        <v>14</v>
      </c>
      <c r="B28" s="39" t="s">
        <v>380</v>
      </c>
      <c r="C28" s="3924"/>
      <c r="D28" s="3924"/>
      <c r="E28" s="3924"/>
    </row>
    <row r="29" spans="1:5" x14ac:dyDescent="0.25">
      <c r="B29" s="99" t="s">
        <v>348</v>
      </c>
      <c r="C29" s="100"/>
      <c r="D29" s="100"/>
      <c r="E29" s="100"/>
    </row>
    <row r="30" spans="1:5" ht="35.25" customHeight="1" x14ac:dyDescent="0.25">
      <c r="B30" s="3925" t="s">
        <v>528</v>
      </c>
      <c r="C30" s="3926"/>
      <c r="D30" s="3926"/>
      <c r="E30" s="3926"/>
    </row>
    <row r="31" spans="1:5" x14ac:dyDescent="0.25">
      <c r="B31" s="40" t="s">
        <v>347</v>
      </c>
    </row>
    <row r="32" spans="1:5" ht="56.25" customHeight="1" x14ac:dyDescent="0.25">
      <c r="B32" s="41" t="s">
        <v>349</v>
      </c>
      <c r="C32" s="3921" t="s">
        <v>381</v>
      </c>
      <c r="D32" s="3921"/>
      <c r="E32" s="3921"/>
    </row>
    <row r="34" spans="2:5" x14ac:dyDescent="0.25">
      <c r="B34" s="79" t="s">
        <v>527</v>
      </c>
      <c r="C34" s="18"/>
      <c r="D34" s="3922" t="str">
        <f>'Вхідні дані'!F13</f>
        <v>Максим ШИРОКОВ</v>
      </c>
      <c r="E34" s="3922"/>
    </row>
    <row r="35" spans="2:5" x14ac:dyDescent="0.25">
      <c r="B35" s="18" t="s">
        <v>555</v>
      </c>
      <c r="C35" s="18"/>
      <c r="D35" s="3836" t="s">
        <v>239</v>
      </c>
      <c r="E35" s="3836"/>
    </row>
    <row r="51" spans="3:3" x14ac:dyDescent="0.25">
      <c r="C51">
        <v>4.68</v>
      </c>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J40"/>
  <sheetViews>
    <sheetView topLeftCell="A4" zoomScaleSheetLayoutView="87" workbookViewId="0">
      <selection activeCell="G39" sqref="G39"/>
    </sheetView>
  </sheetViews>
  <sheetFormatPr defaultRowHeight="15" x14ac:dyDescent="0.25"/>
  <cols>
    <col min="1" max="1" width="5.5703125" style="46" customWidth="1"/>
    <col min="2" max="2" width="80" customWidth="1"/>
    <col min="3" max="3" width="37" customWidth="1"/>
    <col min="4" max="4" width="22.140625" customWidth="1"/>
    <col min="5" max="5" width="27" customWidth="1"/>
  </cols>
  <sheetData>
    <row r="1" spans="1:10" s="18" customFormat="1" ht="138" customHeight="1" x14ac:dyDescent="0.25">
      <c r="A1" s="50"/>
      <c r="C1" s="71" t="s">
        <v>1088</v>
      </c>
      <c r="D1" s="72" t="s">
        <v>1089</v>
      </c>
      <c r="E1" s="102" t="s">
        <v>852</v>
      </c>
      <c r="F1" s="72"/>
      <c r="G1" s="72"/>
      <c r="H1" s="72"/>
      <c r="I1" s="72"/>
      <c r="J1" s="72"/>
    </row>
    <row r="2" spans="1:10" s="18" customFormat="1" x14ac:dyDescent="0.25">
      <c r="A2" s="50"/>
      <c r="D2" s="72" t="s">
        <v>1090</v>
      </c>
      <c r="E2" s="72"/>
      <c r="F2" s="72"/>
      <c r="G2" s="72"/>
      <c r="H2" s="72"/>
      <c r="I2" s="72"/>
      <c r="J2" s="72"/>
    </row>
    <row r="3" spans="1:10" s="18" customFormat="1" x14ac:dyDescent="0.25">
      <c r="A3" s="3936" t="s">
        <v>418</v>
      </c>
      <c r="B3" s="3937"/>
      <c r="C3" s="3937"/>
    </row>
    <row r="4" spans="1:10" s="23" customFormat="1" x14ac:dyDescent="0.25">
      <c r="A4" s="3936" t="s">
        <v>419</v>
      </c>
      <c r="B4" s="3937"/>
      <c r="C4" s="3937"/>
      <c r="D4" s="18"/>
      <c r="E4" s="18"/>
      <c r="F4" s="18"/>
      <c r="G4" s="18"/>
      <c r="H4" s="18"/>
      <c r="I4" s="18"/>
      <c r="J4" s="18"/>
    </row>
    <row r="5" spans="1:10" s="23" customFormat="1" x14ac:dyDescent="0.25">
      <c r="A5" s="3936" t="s">
        <v>420</v>
      </c>
      <c r="B5" s="3937"/>
      <c r="C5" s="3937"/>
      <c r="D5" s="18"/>
      <c r="E5" s="18"/>
      <c r="F5" s="18"/>
      <c r="G5" s="18"/>
      <c r="H5" s="18"/>
      <c r="I5" s="18"/>
      <c r="J5" s="18"/>
    </row>
    <row r="6" spans="1:10" s="42" customFormat="1" x14ac:dyDescent="0.25">
      <c r="A6" s="3936" t="s">
        <v>421</v>
      </c>
      <c r="B6" s="3937"/>
      <c r="C6" s="3937"/>
      <c r="D6" s="18"/>
      <c r="E6" s="18"/>
      <c r="F6" s="18"/>
      <c r="G6" s="18"/>
      <c r="H6" s="18"/>
      <c r="I6" s="18"/>
      <c r="J6" s="18"/>
    </row>
    <row r="7" spans="1:10" s="42" customFormat="1" x14ac:dyDescent="0.25">
      <c r="A7" s="3936" t="s">
        <v>3445</v>
      </c>
      <c r="B7" s="3936"/>
      <c r="C7" s="3936"/>
      <c r="D7" s="18"/>
      <c r="E7" s="18"/>
      <c r="F7" s="18"/>
      <c r="G7" s="18"/>
      <c r="H7" s="18"/>
      <c r="I7" s="18"/>
      <c r="J7" s="18"/>
    </row>
    <row r="8" spans="1:10" s="18" customFormat="1" x14ac:dyDescent="0.25">
      <c r="A8" s="3934"/>
      <c r="B8" s="3935"/>
      <c r="C8" s="3935"/>
    </row>
    <row r="9" spans="1:10" ht="31.5" x14ac:dyDescent="0.25">
      <c r="A9" s="47" t="s">
        <v>7</v>
      </c>
      <c r="B9" s="43" t="s">
        <v>384</v>
      </c>
      <c r="C9" s="43" t="s">
        <v>385</v>
      </c>
      <c r="D9" s="18"/>
      <c r="E9" s="18"/>
      <c r="F9" s="18"/>
      <c r="G9" s="18"/>
      <c r="H9" s="18"/>
      <c r="I9" s="18"/>
      <c r="J9" s="18"/>
    </row>
    <row r="10" spans="1:10" ht="15.75" x14ac:dyDescent="0.25">
      <c r="A10" s="47">
        <v>1</v>
      </c>
      <c r="B10" s="44" t="s">
        <v>386</v>
      </c>
      <c r="C10" s="44" t="s">
        <v>3482</v>
      </c>
      <c r="D10" s="18"/>
      <c r="E10" s="18"/>
      <c r="F10" s="18"/>
      <c r="G10" s="18"/>
      <c r="H10" s="18"/>
      <c r="I10" s="18"/>
      <c r="J10" s="18"/>
    </row>
    <row r="11" spans="1:10" ht="15.75" x14ac:dyDescent="0.25">
      <c r="A11" s="47">
        <v>2</v>
      </c>
      <c r="B11" s="44" t="s">
        <v>388</v>
      </c>
      <c r="C11" s="44" t="s">
        <v>3483</v>
      </c>
      <c r="D11" s="18"/>
      <c r="E11" s="18"/>
      <c r="F11" s="18"/>
      <c r="G11" s="18"/>
      <c r="H11" s="18"/>
      <c r="I11" s="18"/>
      <c r="J11" s="18"/>
    </row>
    <row r="12" spans="1:10" ht="15.75" x14ac:dyDescent="0.25">
      <c r="A12" s="47">
        <v>3</v>
      </c>
      <c r="B12" s="44" t="s">
        <v>389</v>
      </c>
      <c r="C12" s="44" t="s">
        <v>3484</v>
      </c>
      <c r="D12" s="18"/>
      <c r="E12" s="18"/>
      <c r="F12" s="18"/>
      <c r="G12" s="18"/>
      <c r="H12" s="18"/>
      <c r="I12" s="18"/>
      <c r="J12" s="18"/>
    </row>
    <row r="13" spans="1:10" ht="31.5" x14ac:dyDescent="0.25">
      <c r="A13" s="47">
        <v>4</v>
      </c>
      <c r="B13" s="44" t="s">
        <v>390</v>
      </c>
      <c r="C13" s="44" t="s">
        <v>3485</v>
      </c>
      <c r="D13" s="18"/>
      <c r="E13" s="18"/>
      <c r="F13" s="18"/>
      <c r="G13" s="18"/>
      <c r="H13" s="18"/>
      <c r="I13" s="18"/>
      <c r="J13" s="18"/>
    </row>
    <row r="14" spans="1:10" ht="15.75" x14ac:dyDescent="0.25">
      <c r="A14" s="47">
        <v>5</v>
      </c>
      <c r="B14" s="44" t="s">
        <v>391</v>
      </c>
      <c r="C14" s="44" t="s">
        <v>3486</v>
      </c>
      <c r="D14" s="18"/>
      <c r="E14" s="18"/>
      <c r="F14" s="18"/>
      <c r="G14" s="18"/>
      <c r="H14" s="18"/>
      <c r="I14" s="18"/>
      <c r="J14" s="18"/>
    </row>
    <row r="15" spans="1:10" ht="18" customHeight="1" x14ac:dyDescent="0.25">
      <c r="A15" s="47">
        <v>6</v>
      </c>
      <c r="B15" s="44" t="s">
        <v>392</v>
      </c>
      <c r="C15" s="44" t="s">
        <v>3487</v>
      </c>
      <c r="D15" s="18"/>
      <c r="E15" s="18"/>
      <c r="F15" s="18"/>
      <c r="G15" s="18"/>
      <c r="H15" s="18"/>
      <c r="I15" s="18"/>
      <c r="J15" s="18"/>
    </row>
    <row r="16" spans="1:10" ht="15.75" x14ac:dyDescent="0.25">
      <c r="A16" s="47">
        <v>7</v>
      </c>
      <c r="B16" s="44" t="s">
        <v>393</v>
      </c>
      <c r="C16" s="44" t="s">
        <v>3488</v>
      </c>
      <c r="D16" s="18"/>
      <c r="E16" s="18"/>
      <c r="F16" s="18"/>
      <c r="G16" s="18"/>
      <c r="H16" s="18"/>
      <c r="I16" s="18"/>
      <c r="J16" s="18"/>
    </row>
    <row r="17" spans="1:10" ht="31.5" x14ac:dyDescent="0.25">
      <c r="A17" s="47">
        <v>8</v>
      </c>
      <c r="B17" s="45" t="s">
        <v>394</v>
      </c>
      <c r="C17" s="44" t="s">
        <v>3489</v>
      </c>
      <c r="D17" s="18"/>
      <c r="E17" s="18"/>
      <c r="F17" s="18"/>
      <c r="G17" s="18"/>
      <c r="H17" s="18"/>
      <c r="I17" s="18"/>
      <c r="J17" s="18"/>
    </row>
    <row r="18" spans="1:10" ht="31.5" x14ac:dyDescent="0.25">
      <c r="A18" s="47">
        <v>9</v>
      </c>
      <c r="B18" s="45" t="s">
        <v>395</v>
      </c>
      <c r="C18" s="44" t="s">
        <v>3490</v>
      </c>
      <c r="D18" s="18"/>
      <c r="E18" s="18"/>
      <c r="F18" s="18"/>
      <c r="G18" s="18"/>
      <c r="H18" s="18"/>
      <c r="I18" s="18"/>
      <c r="J18" s="18"/>
    </row>
    <row r="19" spans="1:10" ht="47.25" x14ac:dyDescent="0.25">
      <c r="A19" s="47">
        <v>10</v>
      </c>
      <c r="B19" s="45" t="s">
        <v>396</v>
      </c>
      <c r="C19" s="44" t="s">
        <v>3491</v>
      </c>
      <c r="D19" s="18"/>
      <c r="E19" s="18"/>
      <c r="F19" s="18"/>
      <c r="G19" s="18"/>
      <c r="H19" s="18"/>
      <c r="I19" s="18"/>
      <c r="J19" s="18"/>
    </row>
    <row r="20" spans="1:10" ht="31.5" x14ac:dyDescent="0.25">
      <c r="A20" s="47">
        <v>11</v>
      </c>
      <c r="B20" s="45" t="s">
        <v>397</v>
      </c>
      <c r="C20" s="44" t="s">
        <v>3492</v>
      </c>
      <c r="D20" s="18"/>
      <c r="E20" s="18"/>
      <c r="F20" s="18"/>
      <c r="G20" s="18"/>
      <c r="H20" s="18"/>
      <c r="I20" s="18"/>
      <c r="J20" s="18"/>
    </row>
    <row r="21" spans="1:10" ht="31.5" x14ac:dyDescent="0.25">
      <c r="A21" s="47">
        <v>12</v>
      </c>
      <c r="B21" s="45" t="s">
        <v>398</v>
      </c>
      <c r="C21" s="45" t="s">
        <v>3493</v>
      </c>
      <c r="D21" s="18"/>
      <c r="E21" s="18"/>
      <c r="F21" s="18"/>
      <c r="G21" s="18"/>
      <c r="H21" s="18"/>
      <c r="I21" s="18"/>
      <c r="J21" s="18"/>
    </row>
    <row r="22" spans="1:10" ht="101.25" customHeight="1" x14ac:dyDescent="0.25">
      <c r="A22" s="47">
        <v>13</v>
      </c>
      <c r="B22" s="45" t="s">
        <v>399</v>
      </c>
      <c r="C22" s="45" t="s">
        <v>387</v>
      </c>
      <c r="D22" s="18"/>
      <c r="E22" s="18"/>
      <c r="F22" s="18"/>
      <c r="G22" s="18"/>
      <c r="H22" s="18"/>
      <c r="I22" s="18"/>
      <c r="J22" s="18"/>
    </row>
    <row r="23" spans="1:10" ht="31.5" x14ac:dyDescent="0.25">
      <c r="A23" s="47">
        <v>14</v>
      </c>
      <c r="B23" s="101" t="s">
        <v>400</v>
      </c>
      <c r="C23" s="44" t="s">
        <v>3494</v>
      </c>
      <c r="D23" s="18"/>
      <c r="E23" s="18"/>
      <c r="F23" s="18"/>
      <c r="G23" s="18"/>
      <c r="H23" s="18"/>
      <c r="I23" s="18"/>
      <c r="J23" s="18"/>
    </row>
    <row r="24" spans="1:10" ht="31.5" x14ac:dyDescent="0.25">
      <c r="A24" s="47">
        <v>15</v>
      </c>
      <c r="B24" s="45" t="s">
        <v>401</v>
      </c>
      <c r="C24" s="44" t="s">
        <v>3495</v>
      </c>
      <c r="D24" s="18"/>
      <c r="E24" s="18"/>
      <c r="F24" s="18"/>
      <c r="G24" s="18"/>
      <c r="H24" s="18"/>
      <c r="I24" s="18"/>
      <c r="J24" s="18"/>
    </row>
    <row r="25" spans="1:10" ht="31.5" x14ac:dyDescent="0.25">
      <c r="A25" s="47">
        <v>16</v>
      </c>
      <c r="B25" s="45" t="s">
        <v>402</v>
      </c>
      <c r="C25" s="16" t="s">
        <v>3496</v>
      </c>
      <c r="D25" s="18"/>
      <c r="E25" s="18"/>
      <c r="F25" s="18"/>
      <c r="G25" s="18"/>
      <c r="H25" s="18"/>
      <c r="I25" s="18"/>
      <c r="J25" s="18"/>
    </row>
    <row r="26" spans="1:10" ht="31.5" x14ac:dyDescent="0.25">
      <c r="A26" s="47">
        <v>17</v>
      </c>
      <c r="B26" s="45" t="s">
        <v>403</v>
      </c>
      <c r="C26" s="44" t="s">
        <v>3497</v>
      </c>
      <c r="D26" s="18"/>
      <c r="E26" s="18"/>
      <c r="F26" s="18"/>
      <c r="G26" s="18"/>
      <c r="H26" s="18"/>
      <c r="I26" s="18"/>
      <c r="J26" s="18"/>
    </row>
    <row r="27" spans="1:10" ht="19.5" customHeight="1" x14ac:dyDescent="0.25">
      <c r="A27" s="47">
        <v>18</v>
      </c>
      <c r="B27" s="44" t="s">
        <v>404</v>
      </c>
      <c r="C27" s="44" t="s">
        <v>3498</v>
      </c>
      <c r="D27" s="18"/>
      <c r="E27" s="18"/>
      <c r="F27" s="18"/>
      <c r="G27" s="18"/>
      <c r="H27" s="18"/>
      <c r="I27" s="18"/>
      <c r="J27" s="18"/>
    </row>
    <row r="28" spans="1:10" ht="15.75" x14ac:dyDescent="0.25">
      <c r="A28" s="47">
        <v>19</v>
      </c>
      <c r="B28" s="45" t="s">
        <v>405</v>
      </c>
      <c r="C28" s="44" t="s">
        <v>3499</v>
      </c>
      <c r="D28" s="18"/>
      <c r="E28" s="18"/>
      <c r="F28" s="18"/>
      <c r="G28" s="18"/>
      <c r="H28" s="18"/>
      <c r="I28" s="18"/>
      <c r="J28" s="18"/>
    </row>
    <row r="29" spans="1:10" ht="63" x14ac:dyDescent="0.25">
      <c r="A29" s="47">
        <v>20</v>
      </c>
      <c r="B29" s="45" t="s">
        <v>406</v>
      </c>
      <c r="C29" s="44" t="s">
        <v>3500</v>
      </c>
      <c r="D29" s="18"/>
      <c r="E29" s="18"/>
      <c r="F29" s="18"/>
      <c r="G29" s="18"/>
      <c r="H29" s="18"/>
      <c r="I29" s="18"/>
      <c r="J29" s="18"/>
    </row>
    <row r="30" spans="1:10" ht="38.25" customHeight="1" x14ac:dyDescent="0.25">
      <c r="A30" s="47">
        <v>21</v>
      </c>
      <c r="B30" s="45" t="s">
        <v>407</v>
      </c>
      <c r="C30" s="44" t="s">
        <v>3501</v>
      </c>
      <c r="D30" s="18"/>
      <c r="E30" s="18"/>
      <c r="F30" s="18"/>
      <c r="G30" s="18"/>
      <c r="H30" s="18"/>
      <c r="I30" s="18"/>
      <c r="J30" s="18"/>
    </row>
    <row r="31" spans="1:10" ht="47.25" x14ac:dyDescent="0.25">
      <c r="A31" s="47">
        <v>22</v>
      </c>
      <c r="B31" s="45" t="s">
        <v>408</v>
      </c>
      <c r="C31" s="44" t="s">
        <v>3502</v>
      </c>
      <c r="D31" s="18"/>
      <c r="E31" s="18"/>
      <c r="F31" s="18"/>
      <c r="G31" s="18"/>
      <c r="H31" s="18"/>
      <c r="I31" s="18"/>
      <c r="J31" s="18"/>
    </row>
    <row r="32" spans="1:10" ht="31.5" x14ac:dyDescent="0.25">
      <c r="A32" s="47">
        <v>23</v>
      </c>
      <c r="B32" s="45" t="s">
        <v>409</v>
      </c>
      <c r="C32" s="44" t="s">
        <v>3503</v>
      </c>
      <c r="D32" s="18"/>
      <c r="E32" s="18"/>
      <c r="F32" s="18"/>
      <c r="G32" s="18"/>
      <c r="H32" s="18"/>
      <c r="I32" s="18"/>
      <c r="J32" s="18"/>
    </row>
    <row r="33" spans="1:10" ht="31.5" x14ac:dyDescent="0.25">
      <c r="A33" s="47">
        <v>24</v>
      </c>
      <c r="B33" s="45" t="s">
        <v>410</v>
      </c>
      <c r="C33" s="44" t="s">
        <v>3505</v>
      </c>
      <c r="D33" s="18"/>
      <c r="E33" s="18"/>
      <c r="F33" s="18"/>
      <c r="G33" s="18"/>
      <c r="H33" s="18"/>
      <c r="I33" s="18"/>
      <c r="J33" s="18"/>
    </row>
    <row r="34" spans="1:10" ht="47.25" x14ac:dyDescent="0.25">
      <c r="A34" s="47">
        <v>25</v>
      </c>
      <c r="B34" s="45" t="s">
        <v>411</v>
      </c>
      <c r="C34" s="44" t="s">
        <v>3504</v>
      </c>
      <c r="D34" s="18"/>
      <c r="E34" s="18"/>
      <c r="F34" s="18"/>
      <c r="G34" s="18"/>
      <c r="H34" s="18"/>
      <c r="I34" s="18"/>
      <c r="J34" s="18"/>
    </row>
    <row r="35" spans="1:10" ht="15.75" x14ac:dyDescent="0.25">
      <c r="A35" s="47">
        <v>26</v>
      </c>
      <c r="B35" s="45" t="s">
        <v>412</v>
      </c>
      <c r="C35" s="44" t="s">
        <v>3506</v>
      </c>
      <c r="D35" s="18"/>
      <c r="E35" s="18"/>
      <c r="F35" s="18"/>
      <c r="G35" s="18"/>
      <c r="H35" s="18"/>
      <c r="I35" s="18"/>
      <c r="J35" s="18"/>
    </row>
    <row r="36" spans="1:10" ht="31.5" x14ac:dyDescent="0.25">
      <c r="A36" s="47">
        <v>27</v>
      </c>
      <c r="B36" s="44" t="s">
        <v>413</v>
      </c>
      <c r="C36" s="44" t="s">
        <v>387</v>
      </c>
      <c r="D36" s="18"/>
      <c r="E36" s="18"/>
      <c r="F36" s="18"/>
      <c r="G36" s="18"/>
      <c r="H36" s="18"/>
      <c r="I36" s="18"/>
      <c r="J36" s="18"/>
    </row>
    <row r="37" spans="1:10" ht="31.5" x14ac:dyDescent="0.25">
      <c r="A37" s="47">
        <v>28</v>
      </c>
      <c r="B37" s="45" t="s">
        <v>414</v>
      </c>
      <c r="C37" s="44" t="s">
        <v>387</v>
      </c>
      <c r="D37" s="18"/>
      <c r="E37" s="18"/>
      <c r="F37" s="18"/>
      <c r="G37" s="18"/>
      <c r="H37" s="18"/>
      <c r="I37" s="18"/>
      <c r="J37" s="18"/>
    </row>
    <row r="38" spans="1:10" ht="47.25" x14ac:dyDescent="0.25">
      <c r="A38" s="47">
        <v>29</v>
      </c>
      <c r="B38" s="45" t="s">
        <v>415</v>
      </c>
      <c r="C38" s="44" t="s">
        <v>387</v>
      </c>
      <c r="D38" s="18"/>
      <c r="E38" s="18"/>
      <c r="F38" s="18"/>
      <c r="G38" s="18"/>
      <c r="H38" s="18"/>
      <c r="I38" s="18"/>
      <c r="J38" s="18"/>
    </row>
    <row r="39" spans="1:10" ht="63" x14ac:dyDescent="0.25">
      <c r="A39" s="47">
        <v>30</v>
      </c>
      <c r="B39" s="45" t="s">
        <v>416</v>
      </c>
      <c r="C39" s="44" t="s">
        <v>3507</v>
      </c>
      <c r="D39" s="18"/>
      <c r="E39" s="18"/>
      <c r="F39" s="18"/>
      <c r="G39" s="18"/>
      <c r="H39" s="18"/>
      <c r="I39" s="18"/>
      <c r="J39" s="18"/>
    </row>
    <row r="40" spans="1:10" ht="63" x14ac:dyDescent="0.25">
      <c r="A40" s="47">
        <v>31</v>
      </c>
      <c r="B40" s="45" t="s">
        <v>417</v>
      </c>
      <c r="C40" s="44" t="s">
        <v>387</v>
      </c>
      <c r="D40" s="18"/>
      <c r="E40" s="18"/>
      <c r="F40" s="18"/>
      <c r="G40" s="18"/>
      <c r="H40" s="18"/>
      <c r="I40" s="18"/>
      <c r="J40" s="18"/>
    </row>
  </sheetData>
  <mergeCells count="6">
    <mergeCell ref="A8:C8"/>
    <mergeCell ref="A5:C5"/>
    <mergeCell ref="A3:C3"/>
    <mergeCell ref="A4:C4"/>
    <mergeCell ref="A6:C6"/>
    <mergeCell ref="A7:C7"/>
  </mergeCells>
  <hyperlinks>
    <hyperlink ref="B24" r:id="rId1" location="n29" display="http://zakon2.rada.gov.ua/laws/show/z0643-16/print - n29" xr:uid="{00000000-0004-0000-1100-000000000000}"/>
  </hyperlinks>
  <pageMargins left="0.7" right="0.7" top="0.75" bottom="0.75" header="0.3" footer="0.3"/>
  <pageSetup paperSize="9" scale="47" fitToHeight="0" orientation="portrait" horizont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DB216"/>
  <sheetViews>
    <sheetView view="pageBreakPreview" topLeftCell="A110" zoomScale="60" zoomScaleNormal="106" workbookViewId="0">
      <selection activeCell="B141" sqref="B141"/>
    </sheetView>
  </sheetViews>
  <sheetFormatPr defaultColWidth="9.140625" defaultRowHeight="15" x14ac:dyDescent="0.25"/>
  <cols>
    <col min="1" max="1" width="5.7109375" style="2541" customWidth="1"/>
    <col min="2" max="2" width="39" style="2541" customWidth="1"/>
    <col min="3" max="3" width="13.140625" style="2541" bestFit="1" customWidth="1"/>
    <col min="4" max="6" width="12" style="2541" bestFit="1" customWidth="1"/>
    <col min="7" max="12" width="12.42578125" style="2541" customWidth="1"/>
    <col min="13" max="13" width="10.7109375" style="2541" bestFit="1" customWidth="1"/>
    <col min="14" max="15" width="12" style="2541" bestFit="1" customWidth="1"/>
    <col min="16" max="16" width="13.85546875" style="2541" customWidth="1"/>
    <col min="17" max="17" width="13.7109375" style="2541" customWidth="1"/>
    <col min="18" max="18" width="22.5703125" style="2541" customWidth="1"/>
    <col min="19" max="16384" width="9.140625" style="2541"/>
  </cols>
  <sheetData>
    <row r="1" spans="1:18" ht="18.75" x14ac:dyDescent="0.3">
      <c r="B1" s="3110" t="s">
        <v>1830</v>
      </c>
    </row>
    <row r="3" spans="1:18" ht="15.75" thickBot="1" x14ac:dyDescent="0.3">
      <c r="B3" s="3111"/>
      <c r="C3" s="3111"/>
      <c r="D3" s="3111"/>
      <c r="E3" s="3111"/>
      <c r="F3" s="3111"/>
      <c r="G3" s="3111"/>
      <c r="H3" s="3111"/>
      <c r="I3" s="3111"/>
      <c r="J3" s="3111"/>
      <c r="K3" s="3111"/>
      <c r="L3" s="3111"/>
      <c r="M3" s="3111"/>
      <c r="N3" s="3111"/>
      <c r="O3" s="3111"/>
    </row>
    <row r="4" spans="1:18" ht="30.75" thickBot="1" x14ac:dyDescent="0.3">
      <c r="B4" s="3112" t="s">
        <v>8</v>
      </c>
      <c r="C4" s="3113" t="s">
        <v>495</v>
      </c>
      <c r="D4" s="3114" t="s">
        <v>10</v>
      </c>
      <c r="E4" s="3114" t="s">
        <v>11</v>
      </c>
      <c r="F4" s="3114" t="s">
        <v>494</v>
      </c>
      <c r="G4" s="3114" t="s">
        <v>13</v>
      </c>
      <c r="H4" s="3114" t="s">
        <v>139</v>
      </c>
      <c r="I4" s="3114" t="s">
        <v>15</v>
      </c>
      <c r="J4" s="3114" t="s">
        <v>16</v>
      </c>
      <c r="K4" s="3114" t="s">
        <v>17</v>
      </c>
      <c r="L4" s="3114" t="s">
        <v>18</v>
      </c>
      <c r="M4" s="3114" t="s">
        <v>19</v>
      </c>
      <c r="N4" s="3114" t="s">
        <v>20</v>
      </c>
      <c r="O4" s="3115" t="s">
        <v>21</v>
      </c>
    </row>
    <row r="5" spans="1:18" ht="30" x14ac:dyDescent="0.25">
      <c r="A5" s="3116" t="s">
        <v>484</v>
      </c>
      <c r="B5" s="3117" t="s">
        <v>2314</v>
      </c>
      <c r="C5" s="3118">
        <f>'Вхідні дані'!D75</f>
        <v>18</v>
      </c>
      <c r="D5" s="3118">
        <f>C5</f>
        <v>18</v>
      </c>
      <c r="E5" s="3118">
        <f t="shared" ref="E5:O5" si="0">D5</f>
        <v>18</v>
      </c>
      <c r="F5" s="3118">
        <f t="shared" si="0"/>
        <v>18</v>
      </c>
      <c r="G5" s="3118">
        <f>F5</f>
        <v>18</v>
      </c>
      <c r="H5" s="3118">
        <f t="shared" ref="H5:L7" si="1">G5</f>
        <v>18</v>
      </c>
      <c r="I5" s="3118">
        <f t="shared" si="1"/>
        <v>18</v>
      </c>
      <c r="J5" s="3118">
        <f t="shared" si="1"/>
        <v>18</v>
      </c>
      <c r="K5" s="3118">
        <f t="shared" si="1"/>
        <v>18</v>
      </c>
      <c r="L5" s="3118">
        <f t="shared" si="1"/>
        <v>18</v>
      </c>
      <c r="M5" s="3118">
        <f>G5</f>
        <v>18</v>
      </c>
      <c r="N5" s="3118">
        <f t="shared" si="0"/>
        <v>18</v>
      </c>
      <c r="O5" s="3119">
        <f t="shared" si="0"/>
        <v>18</v>
      </c>
    </row>
    <row r="6" spans="1:18" ht="30" x14ac:dyDescent="0.25">
      <c r="A6" s="3116" t="s">
        <v>484</v>
      </c>
      <c r="B6" s="3117" t="s">
        <v>2315</v>
      </c>
      <c r="C6" s="3118">
        <v>16</v>
      </c>
      <c r="D6" s="3118">
        <f>C6</f>
        <v>16</v>
      </c>
      <c r="E6" s="3118">
        <f t="shared" ref="E6:O6" si="2">D6</f>
        <v>16</v>
      </c>
      <c r="F6" s="3118">
        <f t="shared" si="2"/>
        <v>16</v>
      </c>
      <c r="G6" s="3118">
        <f t="shared" si="2"/>
        <v>16</v>
      </c>
      <c r="H6" s="3118">
        <f t="shared" si="1"/>
        <v>16</v>
      </c>
      <c r="I6" s="3118">
        <f t="shared" si="1"/>
        <v>16</v>
      </c>
      <c r="J6" s="3118">
        <f t="shared" si="1"/>
        <v>16</v>
      </c>
      <c r="K6" s="3118">
        <f t="shared" si="1"/>
        <v>16</v>
      </c>
      <c r="L6" s="3118">
        <f t="shared" si="1"/>
        <v>16</v>
      </c>
      <c r="M6" s="3118">
        <f>G6</f>
        <v>16</v>
      </c>
      <c r="N6" s="3118">
        <f t="shared" si="2"/>
        <v>16</v>
      </c>
      <c r="O6" s="3119">
        <f t="shared" si="2"/>
        <v>16</v>
      </c>
    </row>
    <row r="7" spans="1:18" ht="31.5" customHeight="1" x14ac:dyDescent="0.25">
      <c r="A7" s="3116" t="s">
        <v>485</v>
      </c>
      <c r="B7" s="3117" t="s">
        <v>2316</v>
      </c>
      <c r="C7" s="3118">
        <f>'Вхідні дані'!D58</f>
        <v>-18</v>
      </c>
      <c r="D7" s="3118">
        <f>C7</f>
        <v>-18</v>
      </c>
      <c r="E7" s="3118">
        <f t="shared" ref="E7:O7" si="3">D7</f>
        <v>-18</v>
      </c>
      <c r="F7" s="3118">
        <f t="shared" si="3"/>
        <v>-18</v>
      </c>
      <c r="G7" s="3118">
        <f t="shared" si="3"/>
        <v>-18</v>
      </c>
      <c r="H7" s="3118">
        <f t="shared" si="1"/>
        <v>-18</v>
      </c>
      <c r="I7" s="3118">
        <f t="shared" si="1"/>
        <v>-18</v>
      </c>
      <c r="J7" s="3118">
        <f t="shared" si="1"/>
        <v>-18</v>
      </c>
      <c r="K7" s="3118">
        <f t="shared" si="1"/>
        <v>-18</v>
      </c>
      <c r="L7" s="3118">
        <f t="shared" si="1"/>
        <v>-18</v>
      </c>
      <c r="M7" s="3118">
        <f>G7</f>
        <v>-18</v>
      </c>
      <c r="N7" s="3118">
        <f t="shared" si="3"/>
        <v>-18</v>
      </c>
      <c r="O7" s="3119">
        <f t="shared" si="3"/>
        <v>-18</v>
      </c>
    </row>
    <row r="8" spans="1:18" ht="32.25" customHeight="1" x14ac:dyDescent="0.25">
      <c r="A8" s="3116" t="s">
        <v>486</v>
      </c>
      <c r="B8" s="3117" t="s">
        <v>2317</v>
      </c>
      <c r="C8" s="3120">
        <f>'Вхідні дані'!D59</f>
        <v>3.75</v>
      </c>
      <c r="D8" s="3120">
        <f>'Вхідні дані'!D60</f>
        <v>0.42</v>
      </c>
      <c r="E8" s="3120">
        <f>'Вхідні дані'!D61</f>
        <v>1.92</v>
      </c>
      <c r="F8" s="3118">
        <f>'Вхідні дані'!D62</f>
        <v>4.0999999999999996</v>
      </c>
      <c r="G8" s="3118">
        <f>'Вхідні дані'!$D$63</f>
        <v>0.4</v>
      </c>
      <c r="H8" s="3118">
        <f>'Вхідні дані'!$D$64</f>
        <v>0</v>
      </c>
      <c r="I8" s="3118">
        <f>'Вхідні дані'!$D$64</f>
        <v>0</v>
      </c>
      <c r="J8" s="3118">
        <f>'Вхідні дані'!$D$64</f>
        <v>0</v>
      </c>
      <c r="K8" s="3118">
        <f>'Вхідні дані'!$D$64</f>
        <v>0</v>
      </c>
      <c r="L8" s="3118">
        <f>'Вхідні дані'!$D$64</f>
        <v>0</v>
      </c>
      <c r="M8" s="3118">
        <f>'Вхідні дані'!D69</f>
        <v>7.6</v>
      </c>
      <c r="N8" s="3118">
        <f>'Вхідні дані'!D70</f>
        <v>6.6</v>
      </c>
      <c r="O8" s="3119">
        <f>'Вхідні дані'!D71</f>
        <v>3.5</v>
      </c>
    </row>
    <row r="9" spans="1:18" ht="15" customHeight="1" x14ac:dyDescent="0.25">
      <c r="B9" s="3117" t="s">
        <v>487</v>
      </c>
      <c r="C9" s="3121">
        <v>24</v>
      </c>
      <c r="D9" s="3121">
        <f>C9</f>
        <v>24</v>
      </c>
      <c r="E9" s="3121">
        <f t="shared" ref="E9:O9" si="4">D9</f>
        <v>24</v>
      </c>
      <c r="F9" s="3121">
        <f t="shared" si="4"/>
        <v>24</v>
      </c>
      <c r="G9" s="3121">
        <f t="shared" si="4"/>
        <v>24</v>
      </c>
      <c r="H9" s="3121">
        <f>G9</f>
        <v>24</v>
      </c>
      <c r="I9" s="3121">
        <f>H9</f>
        <v>24</v>
      </c>
      <c r="J9" s="3121">
        <f>I9</f>
        <v>24</v>
      </c>
      <c r="K9" s="3121">
        <f>J9</f>
        <v>24</v>
      </c>
      <c r="L9" s="3121">
        <f>K9</f>
        <v>24</v>
      </c>
      <c r="M9" s="3121">
        <f>G9</f>
        <v>24</v>
      </c>
      <c r="N9" s="3121">
        <f t="shared" si="4"/>
        <v>24</v>
      </c>
      <c r="O9" s="3122">
        <f t="shared" si="4"/>
        <v>24</v>
      </c>
    </row>
    <row r="10" spans="1:18" x14ac:dyDescent="0.25">
      <c r="A10" s="3116" t="s">
        <v>489</v>
      </c>
      <c r="B10" s="3117" t="s">
        <v>520</v>
      </c>
      <c r="C10" s="3118">
        <f>'Вхідні дані'!D50</f>
        <v>152</v>
      </c>
      <c r="D10" s="3118">
        <f>'Вхідні дані'!D51</f>
        <v>31</v>
      </c>
      <c r="E10" s="3118">
        <f>'Вхідні дані'!D52</f>
        <v>28</v>
      </c>
      <c r="F10" s="3118">
        <f>'Вхідні дані'!D53</f>
        <v>31</v>
      </c>
      <c r="G10" s="3118">
        <f>'Вхідні дані'!D54</f>
        <v>1</v>
      </c>
      <c r="H10" s="3118"/>
      <c r="I10" s="3118"/>
      <c r="J10" s="3118"/>
      <c r="K10" s="3118"/>
      <c r="L10" s="3118"/>
      <c r="M10" s="3118">
        <f>'Вхідні дані'!D55</f>
        <v>0</v>
      </c>
      <c r="N10" s="3118">
        <f>'Вхідні дані'!D56</f>
        <v>30</v>
      </c>
      <c r="O10" s="3119">
        <f>'Вхідні дані'!D57</f>
        <v>31</v>
      </c>
    </row>
    <row r="11" spans="1:18" ht="30" x14ac:dyDescent="0.25">
      <c r="B11" s="3123" t="s">
        <v>2318</v>
      </c>
      <c r="C11" s="3120">
        <f>SUM(D11:O11)</f>
        <v>1363.22</v>
      </c>
      <c r="D11" s="3120">
        <f>((D6-D8)/(D6-D7))*D9*D10</f>
        <v>340.93</v>
      </c>
      <c r="E11" s="3120">
        <f t="shared" ref="E11:O11" si="5">((E6-E8)/(E6-E7))*E9*E10</f>
        <v>278.29000000000002</v>
      </c>
      <c r="F11" s="3120">
        <f t="shared" si="5"/>
        <v>260.39999999999998</v>
      </c>
      <c r="G11" s="3120">
        <f t="shared" si="5"/>
        <v>11.01</v>
      </c>
      <c r="H11" s="3120"/>
      <c r="I11" s="3120"/>
      <c r="J11" s="3120"/>
      <c r="K11" s="3120"/>
      <c r="L11" s="3120"/>
      <c r="M11" s="3120">
        <f t="shared" si="5"/>
        <v>0</v>
      </c>
      <c r="N11" s="3120">
        <f t="shared" si="5"/>
        <v>199.06</v>
      </c>
      <c r="O11" s="3124">
        <f t="shared" si="5"/>
        <v>273.52999999999997</v>
      </c>
    </row>
    <row r="12" spans="1:18" ht="30" x14ac:dyDescent="0.25">
      <c r="B12" s="3123" t="s">
        <v>2313</v>
      </c>
      <c r="C12" s="3120">
        <f>SUM(D12:O12)</f>
        <v>1490.15</v>
      </c>
      <c r="D12" s="3120">
        <f>((D5-D8)/(D5-D7))*D9*D10</f>
        <v>363.32</v>
      </c>
      <c r="E12" s="3120">
        <f t="shared" ref="E12:O12" si="6">((E5-E8)/(E5-E7))*E9*E10</f>
        <v>300.16000000000003</v>
      </c>
      <c r="F12" s="3120">
        <f t="shared" si="6"/>
        <v>287.27</v>
      </c>
      <c r="G12" s="3120">
        <f t="shared" si="6"/>
        <v>11.73</v>
      </c>
      <c r="H12" s="3120"/>
      <c r="I12" s="3120"/>
      <c r="J12" s="3120"/>
      <c r="K12" s="3120"/>
      <c r="L12" s="3120"/>
      <c r="M12" s="3120">
        <f t="shared" si="6"/>
        <v>0</v>
      </c>
      <c r="N12" s="3120">
        <f t="shared" si="6"/>
        <v>228</v>
      </c>
      <c r="O12" s="3124">
        <f t="shared" si="6"/>
        <v>299.67</v>
      </c>
    </row>
    <row r="13" spans="1:18" x14ac:dyDescent="0.25">
      <c r="B13" s="3125" t="s">
        <v>3144</v>
      </c>
      <c r="C13" s="3126"/>
      <c r="D13" s="3126">
        <v>62</v>
      </c>
      <c r="E13" s="3126">
        <v>56</v>
      </c>
      <c r="F13" s="3126">
        <v>62</v>
      </c>
      <c r="G13" s="3126">
        <v>60</v>
      </c>
      <c r="H13" s="3126">
        <v>62</v>
      </c>
      <c r="I13" s="3126">
        <v>60</v>
      </c>
      <c r="J13" s="3126">
        <v>62</v>
      </c>
      <c r="K13" s="3126">
        <v>62</v>
      </c>
      <c r="L13" s="3126">
        <v>60</v>
      </c>
      <c r="M13" s="3126">
        <v>62</v>
      </c>
      <c r="N13" s="3126">
        <v>60</v>
      </c>
      <c r="O13" s="3127">
        <v>62</v>
      </c>
    </row>
    <row r="14" spans="1:18" ht="15.75" thickBot="1" x14ac:dyDescent="0.3">
      <c r="B14" s="3128"/>
      <c r="C14" s="3129"/>
      <c r="D14" s="3129"/>
      <c r="E14" s="3130"/>
      <c r="F14" s="3130"/>
      <c r="G14" s="3130"/>
      <c r="H14" s="3130"/>
      <c r="I14" s="3130"/>
      <c r="J14" s="3130"/>
      <c r="K14" s="3130"/>
      <c r="L14" s="3130"/>
      <c r="M14" s="3130"/>
      <c r="N14" s="3130"/>
      <c r="O14" s="3131"/>
    </row>
    <row r="15" spans="1:18" s="2542" customFormat="1" ht="42.75" x14ac:dyDescent="0.2">
      <c r="B15" s="3132" t="s">
        <v>521</v>
      </c>
      <c r="C15" s="3133">
        <f>C16+C24+C31+C39+C46+C53</f>
        <v>5.3194999999999997</v>
      </c>
      <c r="D15" s="3133">
        <f>D16+D24+D31+D39+D46+D53</f>
        <v>5.3194999999999997</v>
      </c>
      <c r="E15" s="3133">
        <f>E16+E24+E31+E39+E46+E53</f>
        <v>5.3194999999999997</v>
      </c>
      <c r="F15" s="3133">
        <f>F16+F24+F31+F39+F46+F53</f>
        <v>5.3194999999999997</v>
      </c>
      <c r="G15" s="3133">
        <f>G16+G24+G31+G39+G46+G53</f>
        <v>5.3194999999999997</v>
      </c>
      <c r="H15" s="3133">
        <f t="shared" ref="H15:L15" si="7">H16+H24+H31+H39+H46+H53</f>
        <v>0</v>
      </c>
      <c r="I15" s="3133">
        <f t="shared" si="7"/>
        <v>0</v>
      </c>
      <c r="J15" s="3133">
        <f t="shared" si="7"/>
        <v>0</v>
      </c>
      <c r="K15" s="3133">
        <f t="shared" si="7"/>
        <v>0</v>
      </c>
      <c r="L15" s="3133">
        <f t="shared" si="7"/>
        <v>0</v>
      </c>
      <c r="M15" s="3133">
        <f>M16+M24+M31+M39+M46+M53</f>
        <v>5.3194999999999997</v>
      </c>
      <c r="N15" s="3133">
        <f>N16+N24+N31+N39+N46+N53</f>
        <v>5.3194999999999997</v>
      </c>
      <c r="O15" s="3134">
        <f>O16+O24+O31+O39+O46+O53</f>
        <v>5.3194999999999997</v>
      </c>
      <c r="P15" s="2544"/>
    </row>
    <row r="16" spans="1:18" s="2542" customFormat="1" ht="29.25" x14ac:dyDescent="0.25">
      <c r="A16" s="3135"/>
      <c r="B16" s="3136" t="s">
        <v>637</v>
      </c>
      <c r="C16" s="3137">
        <f>C17+C20</f>
        <v>0</v>
      </c>
      <c r="D16" s="3137">
        <f t="shared" ref="D16:O16" si="8">D17+D20</f>
        <v>0</v>
      </c>
      <c r="E16" s="3137">
        <f t="shared" si="8"/>
        <v>0</v>
      </c>
      <c r="F16" s="3137">
        <f t="shared" si="8"/>
        <v>0</v>
      </c>
      <c r="G16" s="3137">
        <f t="shared" si="8"/>
        <v>0</v>
      </c>
      <c r="H16" s="3137"/>
      <c r="I16" s="3137"/>
      <c r="J16" s="3137"/>
      <c r="K16" s="3137"/>
      <c r="L16" s="3137"/>
      <c r="M16" s="3137">
        <f t="shared" si="8"/>
        <v>0</v>
      </c>
      <c r="N16" s="3137">
        <f t="shared" si="8"/>
        <v>0</v>
      </c>
      <c r="O16" s="3138">
        <f t="shared" si="8"/>
        <v>0</v>
      </c>
      <c r="R16" s="2544"/>
    </row>
    <row r="17" spans="1:106" s="2542" customFormat="1" x14ac:dyDescent="0.25">
      <c r="B17" s="3139" t="s">
        <v>629</v>
      </c>
      <c r="C17" s="3140">
        <f>C18</f>
        <v>0</v>
      </c>
      <c r="D17" s="3140">
        <f t="shared" ref="D17:O17" si="9">D18</f>
        <v>0</v>
      </c>
      <c r="E17" s="3140">
        <f t="shared" si="9"/>
        <v>0</v>
      </c>
      <c r="F17" s="3140">
        <f t="shared" si="9"/>
        <v>0</v>
      </c>
      <c r="G17" s="3140">
        <f t="shared" si="9"/>
        <v>0</v>
      </c>
      <c r="H17" s="3140"/>
      <c r="I17" s="3140"/>
      <c r="J17" s="3140"/>
      <c r="K17" s="3140"/>
      <c r="L17" s="3140"/>
      <c r="M17" s="3140">
        <f t="shared" si="9"/>
        <v>0</v>
      </c>
      <c r="N17" s="3140">
        <f t="shared" si="9"/>
        <v>0</v>
      </c>
      <c r="O17" s="3141">
        <f t="shared" si="9"/>
        <v>0</v>
      </c>
      <c r="P17" s="2543"/>
    </row>
    <row r="18" spans="1:106" s="2542" customFormat="1" x14ac:dyDescent="0.25">
      <c r="B18" s="3142" t="s">
        <v>633</v>
      </c>
      <c r="C18" s="3143">
        <v>0</v>
      </c>
      <c r="D18" s="3144">
        <f>C18</f>
        <v>0</v>
      </c>
      <c r="E18" s="3144">
        <f t="shared" ref="E18:O18" si="10">D18</f>
        <v>0</v>
      </c>
      <c r="F18" s="3144">
        <f t="shared" si="10"/>
        <v>0</v>
      </c>
      <c r="G18" s="3144">
        <f t="shared" si="10"/>
        <v>0</v>
      </c>
      <c r="H18" s="3144"/>
      <c r="I18" s="3144"/>
      <c r="J18" s="3144"/>
      <c r="K18" s="3144"/>
      <c r="L18" s="3144"/>
      <c r="M18" s="3144">
        <f>G18</f>
        <v>0</v>
      </c>
      <c r="N18" s="3144">
        <f t="shared" si="10"/>
        <v>0</v>
      </c>
      <c r="O18" s="3145">
        <f t="shared" si="10"/>
        <v>0</v>
      </c>
    </row>
    <row r="19" spans="1:106" s="2542" customFormat="1" x14ac:dyDescent="0.25">
      <c r="B19" s="3146" t="s">
        <v>639</v>
      </c>
      <c r="C19" s="3147">
        <v>0</v>
      </c>
      <c r="D19" s="3144">
        <f>C19</f>
        <v>0</v>
      </c>
      <c r="E19" s="3144">
        <f t="shared" ref="E19:O19" si="11">D19</f>
        <v>0</v>
      </c>
      <c r="F19" s="3144">
        <f t="shared" si="11"/>
        <v>0</v>
      </c>
      <c r="G19" s="3144">
        <f t="shared" si="11"/>
        <v>0</v>
      </c>
      <c r="H19" s="3144"/>
      <c r="I19" s="3144"/>
      <c r="J19" s="3144"/>
      <c r="K19" s="3144"/>
      <c r="L19" s="3144"/>
      <c r="M19" s="3144">
        <f>G19</f>
        <v>0</v>
      </c>
      <c r="N19" s="3144">
        <f t="shared" si="11"/>
        <v>0</v>
      </c>
      <c r="O19" s="3145">
        <f t="shared" si="11"/>
        <v>0</v>
      </c>
      <c r="P19" s="2543"/>
    </row>
    <row r="20" spans="1:106" s="2542" customFormat="1" x14ac:dyDescent="0.25">
      <c r="B20" s="3139" t="s">
        <v>630</v>
      </c>
      <c r="C20" s="3140">
        <f>C21</f>
        <v>0</v>
      </c>
      <c r="D20" s="3140">
        <f t="shared" ref="D20:O20" si="12">D21</f>
        <v>0</v>
      </c>
      <c r="E20" s="3140">
        <f t="shared" si="12"/>
        <v>0</v>
      </c>
      <c r="F20" s="3140">
        <f t="shared" si="12"/>
        <v>0</v>
      </c>
      <c r="G20" s="3140">
        <f t="shared" si="12"/>
        <v>0</v>
      </c>
      <c r="H20" s="3140"/>
      <c r="I20" s="3140"/>
      <c r="J20" s="3140"/>
      <c r="K20" s="3140"/>
      <c r="L20" s="3140"/>
      <c r="M20" s="3140">
        <f t="shared" si="12"/>
        <v>0</v>
      </c>
      <c r="N20" s="3140">
        <f t="shared" si="12"/>
        <v>0</v>
      </c>
      <c r="O20" s="3141">
        <f t="shared" si="12"/>
        <v>0</v>
      </c>
      <c r="P20" s="2543"/>
      <c r="R20" s="3148"/>
      <c r="S20" s="3148"/>
    </row>
    <row r="21" spans="1:106" s="2542" customFormat="1" x14ac:dyDescent="0.25">
      <c r="B21" s="3142" t="s">
        <v>633</v>
      </c>
      <c r="C21" s="3143">
        <v>0</v>
      </c>
      <c r="D21" s="3144">
        <f>C21</f>
        <v>0</v>
      </c>
      <c r="E21" s="3144">
        <f t="shared" ref="E21:O21" si="13">D21</f>
        <v>0</v>
      </c>
      <c r="F21" s="3144">
        <f t="shared" si="13"/>
        <v>0</v>
      </c>
      <c r="G21" s="3144">
        <f t="shared" si="13"/>
        <v>0</v>
      </c>
      <c r="H21" s="3144"/>
      <c r="I21" s="3144"/>
      <c r="J21" s="3144"/>
      <c r="K21" s="3144"/>
      <c r="L21" s="3144"/>
      <c r="M21" s="3144">
        <f>G21</f>
        <v>0</v>
      </c>
      <c r="N21" s="3144">
        <f t="shared" si="13"/>
        <v>0</v>
      </c>
      <c r="O21" s="3145">
        <f t="shared" si="13"/>
        <v>0</v>
      </c>
      <c r="R21" s="3149"/>
      <c r="S21" s="3150"/>
    </row>
    <row r="22" spans="1:106" s="2542" customFormat="1" x14ac:dyDescent="0.25">
      <c r="B22" s="3146" t="s">
        <v>639</v>
      </c>
      <c r="C22" s="3151">
        <v>0</v>
      </c>
      <c r="D22" s="3144">
        <f>C22</f>
        <v>0</v>
      </c>
      <c r="E22" s="3144">
        <f t="shared" ref="E22:O23" si="14">D22</f>
        <v>0</v>
      </c>
      <c r="F22" s="3144">
        <f t="shared" si="14"/>
        <v>0</v>
      </c>
      <c r="G22" s="3144">
        <f t="shared" si="14"/>
        <v>0</v>
      </c>
      <c r="H22" s="3144"/>
      <c r="I22" s="3144"/>
      <c r="J22" s="3144"/>
      <c r="K22" s="3144"/>
      <c r="L22" s="3144"/>
      <c r="M22" s="3144">
        <f>G22</f>
        <v>0</v>
      </c>
      <c r="N22" s="3144">
        <f t="shared" si="14"/>
        <v>0</v>
      </c>
      <c r="O22" s="3145">
        <f t="shared" si="14"/>
        <v>0</v>
      </c>
      <c r="P22" s="2543"/>
      <c r="R22" s="3148"/>
      <c r="S22" s="3148"/>
    </row>
    <row r="23" spans="1:106" s="2542" customFormat="1" x14ac:dyDescent="0.25">
      <c r="B23" s="3146"/>
      <c r="C23" s="3151">
        <v>0</v>
      </c>
      <c r="D23" s="3151">
        <f>C23</f>
        <v>0</v>
      </c>
      <c r="E23" s="3151">
        <f t="shared" si="14"/>
        <v>0</v>
      </c>
      <c r="F23" s="3151">
        <f t="shared" si="14"/>
        <v>0</v>
      </c>
      <c r="G23" s="3151">
        <f t="shared" si="14"/>
        <v>0</v>
      </c>
      <c r="H23" s="3151"/>
      <c r="I23" s="3151"/>
      <c r="J23" s="3151"/>
      <c r="K23" s="3151"/>
      <c r="L23" s="3151"/>
      <c r="M23" s="3151">
        <f>G23</f>
        <v>0</v>
      </c>
      <c r="N23" s="3151">
        <f t="shared" si="14"/>
        <v>0</v>
      </c>
      <c r="O23" s="3152">
        <f t="shared" si="14"/>
        <v>0</v>
      </c>
      <c r="P23" s="2543"/>
      <c r="R23" s="3148"/>
      <c r="S23" s="3153">
        <f>C16-C19-C22+C24</f>
        <v>0</v>
      </c>
    </row>
    <row r="24" spans="1:106" s="2542" customFormat="1" ht="29.25" x14ac:dyDescent="0.25">
      <c r="A24" s="3135"/>
      <c r="B24" s="3136" t="s">
        <v>638</v>
      </c>
      <c r="C24" s="3137">
        <f t="shared" ref="C24:O24" si="15">C25+C28</f>
        <v>0</v>
      </c>
      <c r="D24" s="3137">
        <f t="shared" si="15"/>
        <v>0</v>
      </c>
      <c r="E24" s="3137">
        <f t="shared" si="15"/>
        <v>0</v>
      </c>
      <c r="F24" s="3137">
        <f t="shared" si="15"/>
        <v>0</v>
      </c>
      <c r="G24" s="3137">
        <f t="shared" si="15"/>
        <v>0</v>
      </c>
      <c r="H24" s="3137"/>
      <c r="I24" s="3137"/>
      <c r="J24" s="3137"/>
      <c r="K24" s="3137"/>
      <c r="L24" s="3137"/>
      <c r="M24" s="3137">
        <f t="shared" si="15"/>
        <v>0</v>
      </c>
      <c r="N24" s="3137">
        <f t="shared" si="15"/>
        <v>0</v>
      </c>
      <c r="O24" s="3138">
        <f t="shared" si="15"/>
        <v>0</v>
      </c>
      <c r="P24" s="2544"/>
    </row>
    <row r="25" spans="1:106" s="2542" customFormat="1" x14ac:dyDescent="0.25">
      <c r="B25" s="3139" t="s">
        <v>629</v>
      </c>
      <c r="C25" s="3140">
        <f>SUM(C26:C27)</f>
        <v>0</v>
      </c>
      <c r="D25" s="3140">
        <f t="shared" ref="D25:O25" si="16">D26+D27</f>
        <v>0</v>
      </c>
      <c r="E25" s="3140">
        <f t="shared" si="16"/>
        <v>0</v>
      </c>
      <c r="F25" s="3140">
        <f t="shared" si="16"/>
        <v>0</v>
      </c>
      <c r="G25" s="3140">
        <f t="shared" si="16"/>
        <v>0</v>
      </c>
      <c r="H25" s="3140"/>
      <c r="I25" s="3140"/>
      <c r="J25" s="3140"/>
      <c r="K25" s="3140"/>
      <c r="L25" s="3140"/>
      <c r="M25" s="3140">
        <f t="shared" si="16"/>
        <v>0</v>
      </c>
      <c r="N25" s="3140">
        <f t="shared" si="16"/>
        <v>0</v>
      </c>
      <c r="O25" s="3154">
        <f t="shared" si="16"/>
        <v>0</v>
      </c>
      <c r="P25" s="2545"/>
    </row>
    <row r="26" spans="1:106" s="2542" customFormat="1" x14ac:dyDescent="0.25">
      <c r="B26" s="3142" t="s">
        <v>633</v>
      </c>
      <c r="C26" s="3143">
        <v>0</v>
      </c>
      <c r="D26" s="3144">
        <f>C26</f>
        <v>0</v>
      </c>
      <c r="E26" s="3144">
        <f t="shared" ref="E26:O26" si="17">D26</f>
        <v>0</v>
      </c>
      <c r="F26" s="3144">
        <f t="shared" si="17"/>
        <v>0</v>
      </c>
      <c r="G26" s="3144">
        <f t="shared" si="17"/>
        <v>0</v>
      </c>
      <c r="H26" s="3144"/>
      <c r="I26" s="3144"/>
      <c r="J26" s="3144"/>
      <c r="K26" s="3144"/>
      <c r="L26" s="3144"/>
      <c r="M26" s="3144">
        <f>G26</f>
        <v>0</v>
      </c>
      <c r="N26" s="3144">
        <f t="shared" si="17"/>
        <v>0</v>
      </c>
      <c r="O26" s="3145">
        <f t="shared" si="17"/>
        <v>0</v>
      </c>
    </row>
    <row r="27" spans="1:106" s="2542" customFormat="1" x14ac:dyDescent="0.25">
      <c r="B27" s="3142" t="s">
        <v>634</v>
      </c>
      <c r="C27" s="3151"/>
      <c r="D27" s="3144"/>
      <c r="E27" s="3144"/>
      <c r="F27" s="3144"/>
      <c r="G27" s="3144"/>
      <c r="H27" s="3144"/>
      <c r="I27" s="3144"/>
      <c r="J27" s="3144"/>
      <c r="K27" s="3144"/>
      <c r="L27" s="3144"/>
      <c r="M27" s="3144"/>
      <c r="N27" s="3144"/>
      <c r="O27" s="3145"/>
    </row>
    <row r="28" spans="1:106" s="2542" customFormat="1" x14ac:dyDescent="0.25">
      <c r="B28" s="3139" t="s">
        <v>630</v>
      </c>
      <c r="C28" s="3140">
        <f t="shared" ref="C28:O28" si="18">C29+C30</f>
        <v>0</v>
      </c>
      <c r="D28" s="3140">
        <f t="shared" si="18"/>
        <v>0</v>
      </c>
      <c r="E28" s="3140">
        <f t="shared" si="18"/>
        <v>0</v>
      </c>
      <c r="F28" s="3140">
        <f t="shared" si="18"/>
        <v>0</v>
      </c>
      <c r="G28" s="3140">
        <f t="shared" si="18"/>
        <v>0</v>
      </c>
      <c r="H28" s="3140"/>
      <c r="I28" s="3140"/>
      <c r="J28" s="3140"/>
      <c r="K28" s="3140"/>
      <c r="L28" s="3140"/>
      <c r="M28" s="3140">
        <f t="shared" si="18"/>
        <v>0</v>
      </c>
      <c r="N28" s="3140">
        <f t="shared" si="18"/>
        <v>0</v>
      </c>
      <c r="O28" s="3154">
        <f t="shared" si="18"/>
        <v>0</v>
      </c>
      <c r="P28" s="2545"/>
    </row>
    <row r="29" spans="1:106" s="2542" customFormat="1" x14ac:dyDescent="0.25">
      <c r="B29" s="3142" t="s">
        <v>633</v>
      </c>
      <c r="C29" s="3143">
        <v>0</v>
      </c>
      <c r="D29" s="3144">
        <f>C29</f>
        <v>0</v>
      </c>
      <c r="E29" s="3144">
        <f t="shared" ref="E29:O29" si="19">D29</f>
        <v>0</v>
      </c>
      <c r="F29" s="3144">
        <f t="shared" si="19"/>
        <v>0</v>
      </c>
      <c r="G29" s="3144">
        <f t="shared" si="19"/>
        <v>0</v>
      </c>
      <c r="H29" s="3144"/>
      <c r="I29" s="3144"/>
      <c r="J29" s="3144"/>
      <c r="K29" s="3144"/>
      <c r="L29" s="3144"/>
      <c r="M29" s="3144">
        <f>G29</f>
        <v>0</v>
      </c>
      <c r="N29" s="3144">
        <f t="shared" si="19"/>
        <v>0</v>
      </c>
      <c r="O29" s="3145">
        <f t="shared" si="19"/>
        <v>0</v>
      </c>
    </row>
    <row r="30" spans="1:106" s="2542" customFormat="1" x14ac:dyDescent="0.25">
      <c r="B30" s="3142" t="s">
        <v>634</v>
      </c>
      <c r="C30" s="3151"/>
      <c r="D30" s="3144"/>
      <c r="E30" s="3144"/>
      <c r="F30" s="3144"/>
      <c r="G30" s="3144"/>
      <c r="H30" s="3144"/>
      <c r="I30" s="3144"/>
      <c r="J30" s="3144"/>
      <c r="K30" s="3144"/>
      <c r="L30" s="3144"/>
      <c r="M30" s="3144"/>
      <c r="N30" s="3144"/>
      <c r="O30" s="3145"/>
    </row>
    <row r="31" spans="1:106" s="2542" customFormat="1" ht="14.25" x14ac:dyDescent="0.2">
      <c r="B31" s="3155" t="s">
        <v>627</v>
      </c>
      <c r="C31" s="3156">
        <f t="shared" ref="C31:O31" si="20">C32+C35</f>
        <v>0</v>
      </c>
      <c r="D31" s="3156">
        <f t="shared" si="20"/>
        <v>0</v>
      </c>
      <c r="E31" s="3156">
        <f t="shared" si="20"/>
        <v>0</v>
      </c>
      <c r="F31" s="3156">
        <f t="shared" si="20"/>
        <v>0</v>
      </c>
      <c r="G31" s="3156">
        <f t="shared" si="20"/>
        <v>0</v>
      </c>
      <c r="H31" s="3156">
        <f t="shared" si="20"/>
        <v>0</v>
      </c>
      <c r="I31" s="3156">
        <f t="shared" si="20"/>
        <v>0</v>
      </c>
      <c r="J31" s="3156">
        <f t="shared" si="20"/>
        <v>0</v>
      </c>
      <c r="K31" s="3156">
        <f t="shared" si="20"/>
        <v>0</v>
      </c>
      <c r="L31" s="3156">
        <f t="shared" si="20"/>
        <v>0</v>
      </c>
      <c r="M31" s="3156">
        <f t="shared" si="20"/>
        <v>0</v>
      </c>
      <c r="N31" s="3156">
        <f t="shared" si="20"/>
        <v>0</v>
      </c>
      <c r="O31" s="3157">
        <f t="shared" si="20"/>
        <v>0</v>
      </c>
    </row>
    <row r="32" spans="1:106" s="3161" customFormat="1" x14ac:dyDescent="0.25">
      <c r="A32" s="3158"/>
      <c r="B32" s="3139" t="s">
        <v>629</v>
      </c>
      <c r="C32" s="3159">
        <f t="shared" ref="C32:O32" si="21">C33+C34</f>
        <v>0</v>
      </c>
      <c r="D32" s="3159">
        <f t="shared" si="21"/>
        <v>0</v>
      </c>
      <c r="E32" s="3159">
        <f t="shared" si="21"/>
        <v>0</v>
      </c>
      <c r="F32" s="3159">
        <f t="shared" si="21"/>
        <v>0</v>
      </c>
      <c r="G32" s="3159">
        <f t="shared" si="21"/>
        <v>0</v>
      </c>
      <c r="H32" s="3159"/>
      <c r="I32" s="3159"/>
      <c r="J32" s="3159"/>
      <c r="K32" s="3159"/>
      <c r="L32" s="3159"/>
      <c r="M32" s="3159">
        <f t="shared" si="21"/>
        <v>0</v>
      </c>
      <c r="N32" s="3159">
        <f t="shared" si="21"/>
        <v>0</v>
      </c>
      <c r="O32" s="3160">
        <f t="shared" si="21"/>
        <v>0</v>
      </c>
      <c r="P32" s="3158"/>
      <c r="Q32" s="3158"/>
      <c r="R32" s="3158"/>
      <c r="S32" s="3158"/>
      <c r="T32" s="3158"/>
      <c r="U32" s="3158"/>
      <c r="V32" s="3158"/>
      <c r="W32" s="3158"/>
      <c r="X32" s="3158"/>
      <c r="Y32" s="3158"/>
      <c r="Z32" s="3158"/>
      <c r="AA32" s="3158"/>
      <c r="AB32" s="3158"/>
      <c r="AC32" s="3158"/>
      <c r="AD32" s="3158"/>
      <c r="AE32" s="3158"/>
      <c r="AF32" s="3158"/>
      <c r="AG32" s="3158"/>
      <c r="AH32" s="3158"/>
      <c r="AI32" s="3158"/>
      <c r="AJ32" s="3158"/>
      <c r="AK32" s="3158"/>
      <c r="AL32" s="3158"/>
      <c r="AM32" s="3158"/>
      <c r="AN32" s="3158"/>
      <c r="AO32" s="3158"/>
      <c r="AP32" s="3158"/>
      <c r="AQ32" s="3158"/>
      <c r="AR32" s="3158"/>
      <c r="AS32" s="3158"/>
      <c r="AT32" s="3158"/>
      <c r="AU32" s="3158"/>
      <c r="AV32" s="3158"/>
      <c r="AW32" s="3158"/>
      <c r="AX32" s="3158"/>
      <c r="AY32" s="3158"/>
      <c r="AZ32" s="3158"/>
      <c r="BA32" s="3158"/>
      <c r="BB32" s="3158"/>
      <c r="BC32" s="3158"/>
      <c r="BD32" s="3158"/>
      <c r="BE32" s="3158"/>
      <c r="BF32" s="3158"/>
      <c r="BG32" s="3158"/>
      <c r="BH32" s="3158"/>
      <c r="BI32" s="3158"/>
      <c r="BJ32" s="3158"/>
      <c r="BK32" s="3158"/>
      <c r="BL32" s="3158"/>
      <c r="BM32" s="3158"/>
      <c r="BN32" s="3158"/>
      <c r="BO32" s="3158"/>
      <c r="BP32" s="3158"/>
      <c r="BQ32" s="3158"/>
      <c r="BR32" s="3158"/>
      <c r="BS32" s="3158"/>
      <c r="BT32" s="3158"/>
      <c r="BU32" s="3158"/>
      <c r="BV32" s="3158"/>
      <c r="BW32" s="3158"/>
      <c r="BX32" s="3158"/>
      <c r="BY32" s="3158"/>
      <c r="BZ32" s="3158"/>
      <c r="CA32" s="3158"/>
      <c r="CB32" s="3158"/>
      <c r="CC32" s="3158"/>
      <c r="CD32" s="3158"/>
      <c r="CE32" s="3158"/>
      <c r="CF32" s="3158"/>
      <c r="CG32" s="3158"/>
      <c r="CH32" s="3158"/>
      <c r="CI32" s="3158"/>
      <c r="CJ32" s="3158"/>
      <c r="CK32" s="3158"/>
      <c r="CL32" s="3158"/>
      <c r="CM32" s="3158"/>
      <c r="CN32" s="3158"/>
      <c r="CO32" s="3158"/>
      <c r="CP32" s="3158"/>
      <c r="CQ32" s="3158"/>
      <c r="CR32" s="3158"/>
      <c r="CS32" s="3158"/>
      <c r="CT32" s="3158"/>
      <c r="CU32" s="3158"/>
      <c r="CV32" s="3158"/>
      <c r="CW32" s="3158"/>
      <c r="CX32" s="3158"/>
      <c r="CY32" s="3158"/>
      <c r="CZ32" s="3158"/>
      <c r="DA32" s="3158"/>
      <c r="DB32" s="3158"/>
    </row>
    <row r="33" spans="1:106" s="3161" customFormat="1" x14ac:dyDescent="0.25">
      <c r="A33" s="3158"/>
      <c r="B33" s="3142" t="s">
        <v>633</v>
      </c>
      <c r="C33" s="3162">
        <v>0</v>
      </c>
      <c r="D33" s="3163">
        <f>C33</f>
        <v>0</v>
      </c>
      <c r="E33" s="3163">
        <f t="shared" ref="E33:O33" si="22">D33</f>
        <v>0</v>
      </c>
      <c r="F33" s="3163">
        <f t="shared" si="22"/>
        <v>0</v>
      </c>
      <c r="G33" s="3163">
        <f t="shared" si="22"/>
        <v>0</v>
      </c>
      <c r="H33" s="3163"/>
      <c r="I33" s="3163"/>
      <c r="J33" s="3163"/>
      <c r="K33" s="3163"/>
      <c r="L33" s="3163"/>
      <c r="M33" s="3163">
        <f>G33</f>
        <v>0</v>
      </c>
      <c r="N33" s="3163">
        <f t="shared" si="22"/>
        <v>0</v>
      </c>
      <c r="O33" s="3164">
        <f t="shared" si="22"/>
        <v>0</v>
      </c>
      <c r="P33" s="3158"/>
      <c r="Q33" s="3158"/>
      <c r="R33" s="3158"/>
      <c r="S33" s="3158"/>
      <c r="T33" s="3158"/>
      <c r="U33" s="3158"/>
      <c r="V33" s="3158"/>
      <c r="W33" s="3158"/>
      <c r="X33" s="3158"/>
      <c r="Y33" s="3158"/>
      <c r="Z33" s="3158"/>
      <c r="AA33" s="3158"/>
      <c r="AB33" s="3158"/>
      <c r="AC33" s="3158"/>
      <c r="AD33" s="3158"/>
      <c r="AE33" s="3158"/>
      <c r="AF33" s="3158"/>
      <c r="AG33" s="3158"/>
      <c r="AH33" s="3158"/>
      <c r="AI33" s="3158"/>
      <c r="AJ33" s="3158"/>
      <c r="AK33" s="3158"/>
      <c r="AL33" s="3158"/>
      <c r="AM33" s="3158"/>
      <c r="AN33" s="3158"/>
      <c r="AO33" s="3158"/>
      <c r="AP33" s="3158"/>
      <c r="AQ33" s="3158"/>
      <c r="AR33" s="3158"/>
      <c r="AS33" s="3158"/>
      <c r="AT33" s="3158"/>
      <c r="AU33" s="3158"/>
      <c r="AV33" s="3158"/>
      <c r="AW33" s="3158"/>
      <c r="AX33" s="3158"/>
      <c r="AY33" s="3158"/>
      <c r="AZ33" s="3158"/>
      <c r="BA33" s="3158"/>
      <c r="BB33" s="3158"/>
      <c r="BC33" s="3158"/>
      <c r="BD33" s="3158"/>
      <c r="BE33" s="3158"/>
      <c r="BF33" s="3158"/>
      <c r="BG33" s="3158"/>
      <c r="BH33" s="3158"/>
      <c r="BI33" s="3158"/>
      <c r="BJ33" s="3158"/>
      <c r="BK33" s="3158"/>
      <c r="BL33" s="3158"/>
      <c r="BM33" s="3158"/>
      <c r="BN33" s="3158"/>
      <c r="BO33" s="3158"/>
      <c r="BP33" s="3158"/>
      <c r="BQ33" s="3158"/>
      <c r="BR33" s="3158"/>
      <c r="BS33" s="3158"/>
      <c r="BT33" s="3158"/>
      <c r="BU33" s="3158"/>
      <c r="BV33" s="3158"/>
      <c r="BW33" s="3158"/>
      <c r="BX33" s="3158"/>
      <c r="BY33" s="3158"/>
      <c r="BZ33" s="3158"/>
      <c r="CA33" s="3158"/>
      <c r="CB33" s="3158"/>
      <c r="CC33" s="3158"/>
      <c r="CD33" s="3158"/>
      <c r="CE33" s="3158"/>
      <c r="CF33" s="3158"/>
      <c r="CG33" s="3158"/>
      <c r="CH33" s="3158"/>
      <c r="CI33" s="3158"/>
      <c r="CJ33" s="3158"/>
      <c r="CK33" s="3158"/>
      <c r="CL33" s="3158"/>
      <c r="CM33" s="3158"/>
      <c r="CN33" s="3158"/>
      <c r="CO33" s="3158"/>
      <c r="CP33" s="3158"/>
      <c r="CQ33" s="3158"/>
      <c r="CR33" s="3158"/>
      <c r="CS33" s="3158"/>
      <c r="CT33" s="3158"/>
      <c r="CU33" s="3158"/>
      <c r="CV33" s="3158"/>
      <c r="CW33" s="3158"/>
      <c r="CX33" s="3158"/>
      <c r="CY33" s="3158"/>
      <c r="CZ33" s="3158"/>
      <c r="DA33" s="3158"/>
      <c r="DB33" s="3158"/>
    </row>
    <row r="34" spans="1:106" s="3161" customFormat="1" x14ac:dyDescent="0.25">
      <c r="A34" s="3158"/>
      <c r="B34" s="3142" t="s">
        <v>634</v>
      </c>
      <c r="C34" s="3163"/>
      <c r="D34" s="3163"/>
      <c r="E34" s="3163"/>
      <c r="F34" s="3163"/>
      <c r="G34" s="3163"/>
      <c r="H34" s="3163"/>
      <c r="I34" s="3163"/>
      <c r="J34" s="3163"/>
      <c r="K34" s="3163"/>
      <c r="L34" s="3163"/>
      <c r="M34" s="3163"/>
      <c r="N34" s="3163"/>
      <c r="O34" s="3164"/>
      <c r="P34" s="3158"/>
      <c r="Q34" s="3158"/>
      <c r="R34" s="3158"/>
      <c r="S34" s="3158"/>
      <c r="T34" s="3158"/>
      <c r="U34" s="3158"/>
      <c r="V34" s="3158"/>
      <c r="W34" s="3158"/>
      <c r="X34" s="3158"/>
      <c r="Y34" s="3158"/>
      <c r="Z34" s="3158"/>
      <c r="AA34" s="3158"/>
      <c r="AB34" s="3158"/>
      <c r="AC34" s="3158"/>
      <c r="AD34" s="3158"/>
      <c r="AE34" s="3158"/>
      <c r="AF34" s="3158"/>
      <c r="AG34" s="3158"/>
      <c r="AH34" s="3158"/>
      <c r="AI34" s="3158"/>
      <c r="AJ34" s="3158"/>
      <c r="AK34" s="3158"/>
      <c r="AL34" s="3158"/>
      <c r="AM34" s="3158"/>
      <c r="AN34" s="3158"/>
      <c r="AO34" s="3158"/>
      <c r="AP34" s="3158"/>
      <c r="AQ34" s="3158"/>
      <c r="AR34" s="3158"/>
      <c r="AS34" s="3158"/>
      <c r="AT34" s="3158"/>
      <c r="AU34" s="3158"/>
      <c r="AV34" s="3158"/>
      <c r="AW34" s="3158"/>
      <c r="AX34" s="3158"/>
      <c r="AY34" s="3158"/>
      <c r="AZ34" s="3158"/>
      <c r="BA34" s="3158"/>
      <c r="BB34" s="3158"/>
      <c r="BC34" s="3158"/>
      <c r="BD34" s="3158"/>
      <c r="BE34" s="3158"/>
      <c r="BF34" s="3158"/>
      <c r="BG34" s="3158"/>
      <c r="BH34" s="3158"/>
      <c r="BI34" s="3158"/>
      <c r="BJ34" s="3158"/>
      <c r="BK34" s="3158"/>
      <c r="BL34" s="3158"/>
      <c r="BM34" s="3158"/>
      <c r="BN34" s="3158"/>
      <c r="BO34" s="3158"/>
      <c r="BP34" s="3158"/>
      <c r="BQ34" s="3158"/>
      <c r="BR34" s="3158"/>
      <c r="BS34" s="3158"/>
      <c r="BT34" s="3158"/>
      <c r="BU34" s="3158"/>
      <c r="BV34" s="3158"/>
      <c r="BW34" s="3158"/>
      <c r="BX34" s="3158"/>
      <c r="BY34" s="3158"/>
      <c r="BZ34" s="3158"/>
      <c r="CA34" s="3158"/>
      <c r="CB34" s="3158"/>
      <c r="CC34" s="3158"/>
      <c r="CD34" s="3158"/>
      <c r="CE34" s="3158"/>
      <c r="CF34" s="3158"/>
      <c r="CG34" s="3158"/>
      <c r="CH34" s="3158"/>
      <c r="CI34" s="3158"/>
      <c r="CJ34" s="3158"/>
      <c r="CK34" s="3158"/>
      <c r="CL34" s="3158"/>
      <c r="CM34" s="3158"/>
      <c r="CN34" s="3158"/>
      <c r="CO34" s="3158"/>
      <c r="CP34" s="3158"/>
      <c r="CQ34" s="3158"/>
      <c r="CR34" s="3158"/>
      <c r="CS34" s="3158"/>
      <c r="CT34" s="3158"/>
      <c r="CU34" s="3158"/>
      <c r="CV34" s="3158"/>
      <c r="CW34" s="3158"/>
      <c r="CX34" s="3158"/>
      <c r="CY34" s="3158"/>
      <c r="CZ34" s="3158"/>
      <c r="DA34" s="3158"/>
      <c r="DB34" s="3158"/>
    </row>
    <row r="35" spans="1:106" s="3168" customFormat="1" x14ac:dyDescent="0.25">
      <c r="A35" s="3158"/>
      <c r="B35" s="3139" t="s">
        <v>630</v>
      </c>
      <c r="C35" s="3165">
        <f t="shared" ref="C35:O35" si="23">C36+C38</f>
        <v>0</v>
      </c>
      <c r="D35" s="3166">
        <f t="shared" si="23"/>
        <v>0</v>
      </c>
      <c r="E35" s="3166">
        <f t="shared" si="23"/>
        <v>0</v>
      </c>
      <c r="F35" s="3166">
        <f t="shared" si="23"/>
        <v>0</v>
      </c>
      <c r="G35" s="3166">
        <f>G36+G38</f>
        <v>0</v>
      </c>
      <c r="H35" s="3166">
        <f t="shared" ref="H35:M35" si="24">H36+H38</f>
        <v>0</v>
      </c>
      <c r="I35" s="3166">
        <f t="shared" si="24"/>
        <v>0</v>
      </c>
      <c r="J35" s="3166">
        <f t="shared" si="24"/>
        <v>0</v>
      </c>
      <c r="K35" s="3166">
        <f t="shared" si="24"/>
        <v>0</v>
      </c>
      <c r="L35" s="3166">
        <f t="shared" si="24"/>
        <v>0</v>
      </c>
      <c r="M35" s="3166">
        <f t="shared" si="24"/>
        <v>0</v>
      </c>
      <c r="N35" s="3166">
        <f t="shared" si="23"/>
        <v>0</v>
      </c>
      <c r="O35" s="3167">
        <f t="shared" si="23"/>
        <v>0</v>
      </c>
      <c r="P35" s="3158"/>
      <c r="Q35" s="3158"/>
      <c r="R35" s="3158"/>
      <c r="S35" s="3158"/>
      <c r="T35" s="3158"/>
      <c r="U35" s="3158"/>
      <c r="V35" s="3158"/>
      <c r="W35" s="3158"/>
      <c r="X35" s="3158"/>
      <c r="Y35" s="3158"/>
      <c r="Z35" s="3158"/>
      <c r="AA35" s="3158"/>
      <c r="AB35" s="3158"/>
      <c r="AC35" s="3158"/>
      <c r="AD35" s="3158"/>
      <c r="AE35" s="3158"/>
      <c r="AF35" s="3158"/>
      <c r="AG35" s="3158"/>
      <c r="AH35" s="3158"/>
      <c r="AI35" s="3158"/>
      <c r="AJ35" s="3158"/>
      <c r="AK35" s="3158"/>
      <c r="AL35" s="3158"/>
      <c r="AM35" s="3158"/>
      <c r="AN35" s="3158"/>
      <c r="AO35" s="3158"/>
      <c r="AP35" s="3158"/>
      <c r="AQ35" s="3158"/>
      <c r="AR35" s="3158"/>
      <c r="AS35" s="3158"/>
      <c r="AT35" s="3158"/>
      <c r="AU35" s="3158"/>
      <c r="AV35" s="3158"/>
      <c r="AW35" s="3158"/>
      <c r="AX35" s="3158"/>
      <c r="AY35" s="3158"/>
      <c r="AZ35" s="3158"/>
      <c r="BA35" s="3158"/>
      <c r="BB35" s="3158"/>
      <c r="BC35" s="3158"/>
      <c r="BD35" s="3158"/>
      <c r="BE35" s="3158"/>
      <c r="BF35" s="3158"/>
      <c r="BG35" s="3158"/>
      <c r="BH35" s="3158"/>
      <c r="BI35" s="3158"/>
      <c r="BJ35" s="3158"/>
      <c r="BK35" s="3158"/>
      <c r="BL35" s="3158"/>
      <c r="BM35" s="3158"/>
      <c r="BN35" s="3158"/>
      <c r="BO35" s="3158"/>
      <c r="BP35" s="3158"/>
      <c r="BQ35" s="3158"/>
      <c r="BR35" s="3158"/>
      <c r="BS35" s="3158"/>
      <c r="BT35" s="3158"/>
      <c r="BU35" s="3158"/>
      <c r="BV35" s="3158"/>
      <c r="BW35" s="3158"/>
      <c r="BX35" s="3158"/>
      <c r="BY35" s="3158"/>
      <c r="BZ35" s="3158"/>
      <c r="CA35" s="3158"/>
      <c r="CB35" s="3158"/>
      <c r="CC35" s="3158"/>
      <c r="CD35" s="3158"/>
      <c r="CE35" s="3158"/>
      <c r="CF35" s="3158"/>
      <c r="CG35" s="3158"/>
      <c r="CH35" s="3158"/>
      <c r="CI35" s="3158"/>
      <c r="CJ35" s="3158"/>
      <c r="CK35" s="3158"/>
      <c r="CL35" s="3158"/>
      <c r="CM35" s="3158"/>
      <c r="CN35" s="3158"/>
      <c r="CO35" s="3158"/>
      <c r="CP35" s="3158"/>
      <c r="CQ35" s="3158"/>
      <c r="CR35" s="3158"/>
      <c r="CS35" s="3158"/>
      <c r="CT35" s="3158"/>
      <c r="CU35" s="3158"/>
      <c r="CV35" s="3158"/>
      <c r="CW35" s="3158"/>
      <c r="CX35" s="3158"/>
      <c r="CY35" s="3158"/>
      <c r="CZ35" s="3158"/>
      <c r="DA35" s="3158"/>
      <c r="DB35" s="3158"/>
    </row>
    <row r="36" spans="1:106" s="3168" customFormat="1" x14ac:dyDescent="0.25">
      <c r="A36" s="3158"/>
      <c r="B36" s="3142" t="s">
        <v>633</v>
      </c>
      <c r="C36" s="3169">
        <v>0</v>
      </c>
      <c r="D36" s="3170">
        <f>C36</f>
        <v>0</v>
      </c>
      <c r="E36" s="3170">
        <f t="shared" ref="E36:O36" si="25">D36</f>
        <v>0</v>
      </c>
      <c r="F36" s="3170">
        <f t="shared" si="25"/>
        <v>0</v>
      </c>
      <c r="G36" s="3170">
        <f t="shared" si="25"/>
        <v>0</v>
      </c>
      <c r="H36" s="3170">
        <v>0</v>
      </c>
      <c r="I36" s="3170">
        <f>H36</f>
        <v>0</v>
      </c>
      <c r="J36" s="3170">
        <f>I36</f>
        <v>0</v>
      </c>
      <c r="K36" s="3170">
        <f>J36</f>
        <v>0</v>
      </c>
      <c r="L36" s="3170">
        <f>K36</f>
        <v>0</v>
      </c>
      <c r="M36" s="3170">
        <f>G36</f>
        <v>0</v>
      </c>
      <c r="N36" s="3170">
        <f t="shared" si="25"/>
        <v>0</v>
      </c>
      <c r="O36" s="3171">
        <f t="shared" si="25"/>
        <v>0</v>
      </c>
      <c r="P36" s="3158"/>
      <c r="Q36" s="3158"/>
      <c r="R36" s="3158"/>
      <c r="S36" s="3158"/>
      <c r="T36" s="3158"/>
      <c r="U36" s="3158"/>
      <c r="V36" s="3158"/>
      <c r="W36" s="3158"/>
      <c r="X36" s="3158"/>
      <c r="Y36" s="3158"/>
      <c r="Z36" s="3158"/>
      <c r="AA36" s="3158"/>
      <c r="AB36" s="3158"/>
      <c r="AC36" s="3158"/>
      <c r="AD36" s="3158"/>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3158"/>
      <c r="BB36" s="3158"/>
      <c r="BC36" s="3158"/>
      <c r="BD36" s="3158"/>
      <c r="BE36" s="3158"/>
      <c r="BF36" s="3158"/>
      <c r="BG36" s="3158"/>
      <c r="BH36" s="3158"/>
      <c r="BI36" s="3158"/>
      <c r="BJ36" s="3158"/>
      <c r="BK36" s="3158"/>
      <c r="BL36" s="3158"/>
      <c r="BM36" s="3158"/>
      <c r="BN36" s="3158"/>
      <c r="BO36" s="3158"/>
      <c r="BP36" s="3158"/>
      <c r="BQ36" s="3158"/>
      <c r="BR36" s="3158"/>
      <c r="BS36" s="3158"/>
      <c r="BT36" s="3158"/>
      <c r="BU36" s="3158"/>
      <c r="BV36" s="3158"/>
      <c r="BW36" s="3158"/>
      <c r="BX36" s="3158"/>
      <c r="BY36" s="3158"/>
      <c r="BZ36" s="3158"/>
      <c r="CA36" s="3158"/>
      <c r="CB36" s="3158"/>
      <c r="CC36" s="3158"/>
      <c r="CD36" s="3158"/>
      <c r="CE36" s="3158"/>
      <c r="CF36" s="3158"/>
      <c r="CG36" s="3158"/>
      <c r="CH36" s="3158"/>
      <c r="CI36" s="3158"/>
      <c r="CJ36" s="3158"/>
      <c r="CK36" s="3158"/>
      <c r="CL36" s="3158"/>
      <c r="CM36" s="3158"/>
      <c r="CN36" s="3158"/>
      <c r="CO36" s="3158"/>
      <c r="CP36" s="3158"/>
      <c r="CQ36" s="3158"/>
      <c r="CR36" s="3158"/>
      <c r="CS36" s="3158"/>
      <c r="CT36" s="3158"/>
      <c r="CU36" s="3158"/>
      <c r="CV36" s="3158"/>
      <c r="CW36" s="3158"/>
      <c r="CX36" s="3158"/>
      <c r="CY36" s="3158"/>
      <c r="CZ36" s="3158"/>
      <c r="DA36" s="3158"/>
      <c r="DB36" s="3158"/>
    </row>
    <row r="37" spans="1:106" s="3168" customFormat="1" x14ac:dyDescent="0.25">
      <c r="A37" s="3158"/>
      <c r="B37" s="3146"/>
      <c r="C37" s="3163">
        <v>0</v>
      </c>
      <c r="D37" s="3170">
        <f>C37</f>
        <v>0</v>
      </c>
      <c r="E37" s="3170">
        <f t="shared" ref="E37:O37" si="26">D37</f>
        <v>0</v>
      </c>
      <c r="F37" s="3170">
        <f t="shared" si="26"/>
        <v>0</v>
      </c>
      <c r="G37" s="3170">
        <f t="shared" si="26"/>
        <v>0</v>
      </c>
      <c r="H37" s="3170"/>
      <c r="I37" s="3170"/>
      <c r="J37" s="3170"/>
      <c r="K37" s="3170"/>
      <c r="L37" s="3170"/>
      <c r="M37" s="3170">
        <f>G37</f>
        <v>0</v>
      </c>
      <c r="N37" s="3170">
        <f t="shared" si="26"/>
        <v>0</v>
      </c>
      <c r="O37" s="3170">
        <f t="shared" si="26"/>
        <v>0</v>
      </c>
      <c r="P37" s="3158"/>
      <c r="Q37" s="3158"/>
      <c r="R37" s="3158"/>
      <c r="S37" s="3158"/>
      <c r="T37" s="3158"/>
      <c r="U37" s="3158"/>
      <c r="V37" s="3158"/>
      <c r="W37" s="3158"/>
      <c r="X37" s="3158"/>
      <c r="Y37" s="3158"/>
      <c r="Z37" s="3158"/>
      <c r="AA37" s="3158"/>
      <c r="AB37" s="3158"/>
      <c r="AC37" s="3158"/>
      <c r="AD37" s="3158"/>
      <c r="AE37" s="3158"/>
      <c r="AF37" s="3158"/>
      <c r="AG37" s="3158"/>
      <c r="AH37" s="3158"/>
      <c r="AI37" s="3158"/>
      <c r="AJ37" s="3158"/>
      <c r="AK37" s="3158"/>
      <c r="AL37" s="3158"/>
      <c r="AM37" s="3158"/>
      <c r="AN37" s="3158"/>
      <c r="AO37" s="3158"/>
      <c r="AP37" s="3158"/>
      <c r="AQ37" s="3158"/>
      <c r="AR37" s="3158"/>
      <c r="AS37" s="3158"/>
      <c r="AT37" s="3158"/>
      <c r="AU37" s="3158"/>
      <c r="AV37" s="3158"/>
      <c r="AW37" s="3158"/>
      <c r="AX37" s="3158"/>
      <c r="AY37" s="3158"/>
      <c r="AZ37" s="3158"/>
      <c r="BA37" s="3158"/>
      <c r="BB37" s="3158"/>
      <c r="BC37" s="3158"/>
      <c r="BD37" s="3158"/>
      <c r="BE37" s="3158"/>
      <c r="BF37" s="3158"/>
      <c r="BG37" s="3158"/>
      <c r="BH37" s="3158"/>
      <c r="BI37" s="3158"/>
      <c r="BJ37" s="3158"/>
      <c r="BK37" s="3158"/>
      <c r="BL37" s="3158"/>
      <c r="BM37" s="3158"/>
      <c r="BN37" s="3158"/>
      <c r="BO37" s="3158"/>
      <c r="BP37" s="3158"/>
      <c r="BQ37" s="3158"/>
      <c r="BR37" s="3158"/>
      <c r="BS37" s="3158"/>
      <c r="BT37" s="3158"/>
      <c r="BU37" s="3158"/>
      <c r="BV37" s="3158"/>
      <c r="BW37" s="3158"/>
      <c r="BX37" s="3158"/>
      <c r="BY37" s="3158"/>
      <c r="BZ37" s="3158"/>
      <c r="CA37" s="3158"/>
      <c r="CB37" s="3158"/>
      <c r="CC37" s="3158"/>
      <c r="CD37" s="3158"/>
      <c r="CE37" s="3158"/>
      <c r="CF37" s="3158"/>
      <c r="CG37" s="3158"/>
      <c r="CH37" s="3158"/>
      <c r="CI37" s="3158"/>
      <c r="CJ37" s="3158"/>
      <c r="CK37" s="3158"/>
      <c r="CL37" s="3158"/>
      <c r="CM37" s="3158"/>
      <c r="CN37" s="3158"/>
      <c r="CO37" s="3158"/>
      <c r="CP37" s="3158"/>
      <c r="CQ37" s="3158"/>
      <c r="CR37" s="3158"/>
      <c r="CS37" s="3158"/>
      <c r="CT37" s="3158"/>
      <c r="CU37" s="3158"/>
      <c r="CV37" s="3158"/>
      <c r="CW37" s="3158"/>
      <c r="CX37" s="3158"/>
      <c r="CY37" s="3158"/>
      <c r="CZ37" s="3158"/>
      <c r="DA37" s="3158"/>
      <c r="DB37" s="3158"/>
    </row>
    <row r="38" spans="1:106" s="3168" customFormat="1" x14ac:dyDescent="0.25">
      <c r="A38" s="3158"/>
      <c r="B38" s="3142" t="s">
        <v>634</v>
      </c>
      <c r="C38" s="3163">
        <v>0</v>
      </c>
      <c r="D38" s="3170">
        <f>C38</f>
        <v>0</v>
      </c>
      <c r="E38" s="3170">
        <f t="shared" ref="E38:O38" si="27">D38</f>
        <v>0</v>
      </c>
      <c r="F38" s="3170">
        <f t="shared" si="27"/>
        <v>0</v>
      </c>
      <c r="G38" s="3170">
        <f t="shared" si="27"/>
        <v>0</v>
      </c>
      <c r="H38" s="3170"/>
      <c r="I38" s="3170"/>
      <c r="J38" s="3170"/>
      <c r="K38" s="3170"/>
      <c r="L38" s="3170"/>
      <c r="M38" s="3170">
        <f>G38</f>
        <v>0</v>
      </c>
      <c r="N38" s="3170">
        <f t="shared" si="27"/>
        <v>0</v>
      </c>
      <c r="O38" s="3171">
        <f t="shared" si="27"/>
        <v>0</v>
      </c>
      <c r="P38" s="3158"/>
      <c r="Q38" s="3158"/>
      <c r="R38" s="3158"/>
      <c r="S38" s="3158"/>
      <c r="T38" s="3158"/>
      <c r="U38" s="3158"/>
      <c r="V38" s="3158"/>
      <c r="W38" s="3158"/>
      <c r="X38" s="3158"/>
      <c r="Y38" s="3158"/>
      <c r="Z38" s="3158"/>
      <c r="AA38" s="3158"/>
      <c r="AB38" s="3158"/>
      <c r="AC38" s="3158"/>
      <c r="AD38" s="3158"/>
      <c r="AE38" s="3158"/>
      <c r="AF38" s="3158"/>
      <c r="AG38" s="3158"/>
      <c r="AH38" s="3158"/>
      <c r="AI38" s="3158"/>
      <c r="AJ38" s="3158"/>
      <c r="AK38" s="3158"/>
      <c r="AL38" s="3158"/>
      <c r="AM38" s="3158"/>
      <c r="AN38" s="3158"/>
      <c r="AO38" s="3158"/>
      <c r="AP38" s="3158"/>
      <c r="AQ38" s="3158"/>
      <c r="AR38" s="3158"/>
      <c r="AS38" s="3158"/>
      <c r="AT38" s="3158"/>
      <c r="AU38" s="3158"/>
      <c r="AV38" s="3158"/>
      <c r="AW38" s="3158"/>
      <c r="AX38" s="3158"/>
      <c r="AY38" s="3158"/>
      <c r="AZ38" s="3158"/>
      <c r="BA38" s="3158"/>
      <c r="BB38" s="3158"/>
      <c r="BC38" s="3158"/>
      <c r="BD38" s="3158"/>
      <c r="BE38" s="3158"/>
      <c r="BF38" s="3158"/>
      <c r="BG38" s="3158"/>
      <c r="BH38" s="3158"/>
      <c r="BI38" s="3158"/>
      <c r="BJ38" s="3158"/>
      <c r="BK38" s="3158"/>
      <c r="BL38" s="3158"/>
      <c r="BM38" s="3158"/>
      <c r="BN38" s="3158"/>
      <c r="BO38" s="3158"/>
      <c r="BP38" s="3158"/>
      <c r="BQ38" s="3158"/>
      <c r="BR38" s="3158"/>
      <c r="BS38" s="3158"/>
      <c r="BT38" s="3158"/>
      <c r="BU38" s="3158"/>
      <c r="BV38" s="3158"/>
      <c r="BW38" s="3158"/>
      <c r="BX38" s="3158"/>
      <c r="BY38" s="3158"/>
      <c r="BZ38" s="3158"/>
      <c r="CA38" s="3158"/>
      <c r="CB38" s="3158"/>
      <c r="CC38" s="3158"/>
      <c r="CD38" s="3158"/>
      <c r="CE38" s="3158"/>
      <c r="CF38" s="3158"/>
      <c r="CG38" s="3158"/>
      <c r="CH38" s="3158"/>
      <c r="CI38" s="3158"/>
      <c r="CJ38" s="3158"/>
      <c r="CK38" s="3158"/>
      <c r="CL38" s="3158"/>
      <c r="CM38" s="3158"/>
      <c r="CN38" s="3158"/>
      <c r="CO38" s="3158"/>
      <c r="CP38" s="3158"/>
      <c r="CQ38" s="3158"/>
      <c r="CR38" s="3158"/>
      <c r="CS38" s="3158"/>
      <c r="CT38" s="3158"/>
      <c r="CU38" s="3158"/>
      <c r="CV38" s="3158"/>
      <c r="CW38" s="3158"/>
      <c r="CX38" s="3158"/>
      <c r="CY38" s="3158"/>
      <c r="CZ38" s="3158"/>
      <c r="DA38" s="3158"/>
      <c r="DB38" s="3158"/>
    </row>
    <row r="39" spans="1:106" s="3172" customFormat="1" ht="14.25" x14ac:dyDescent="0.2">
      <c r="A39" s="2542"/>
      <c r="B39" s="3155" t="s">
        <v>628</v>
      </c>
      <c r="C39" s="3156">
        <f>C40+C43</f>
        <v>4.0748800000000003</v>
      </c>
      <c r="D39" s="3156">
        <f t="shared" ref="D39:O39" si="28">D40+D43</f>
        <v>4.0748800000000003</v>
      </c>
      <c r="E39" s="3156">
        <f t="shared" si="28"/>
        <v>4.0748800000000003</v>
      </c>
      <c r="F39" s="3156">
        <f t="shared" si="28"/>
        <v>4.0748800000000003</v>
      </c>
      <c r="G39" s="3156">
        <f t="shared" si="28"/>
        <v>4.0748800000000003</v>
      </c>
      <c r="H39" s="3156"/>
      <c r="I39" s="3156"/>
      <c r="J39" s="3156"/>
      <c r="K39" s="3156"/>
      <c r="L39" s="3156"/>
      <c r="M39" s="3156">
        <f t="shared" si="28"/>
        <v>4.0748800000000003</v>
      </c>
      <c r="N39" s="3156">
        <f t="shared" si="28"/>
        <v>4.0748800000000003</v>
      </c>
      <c r="O39" s="3157">
        <f t="shared" si="28"/>
        <v>4.0748800000000003</v>
      </c>
      <c r="P39" s="2542"/>
      <c r="Q39" s="2542"/>
      <c r="R39" s="2542"/>
      <c r="S39" s="2542"/>
      <c r="T39" s="2542"/>
      <c r="U39" s="2542"/>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c r="AS39" s="2542"/>
      <c r="AT39" s="2542"/>
      <c r="AU39" s="2542"/>
      <c r="AV39" s="2542"/>
      <c r="AW39" s="2542"/>
      <c r="AX39" s="2542"/>
      <c r="AY39" s="2542"/>
      <c r="AZ39" s="2542"/>
      <c r="BA39" s="2542"/>
      <c r="BB39" s="2542"/>
      <c r="BC39" s="2542"/>
      <c r="BD39" s="2542"/>
      <c r="BE39" s="2542"/>
      <c r="BF39" s="2542"/>
      <c r="BG39" s="2542"/>
      <c r="BH39" s="2542"/>
      <c r="BI39" s="2542"/>
      <c r="BJ39" s="2542"/>
      <c r="BK39" s="2542"/>
      <c r="BL39" s="2542"/>
      <c r="BM39" s="2542"/>
      <c r="BN39" s="2542"/>
      <c r="BO39" s="2542"/>
      <c r="BP39" s="2542"/>
      <c r="BQ39" s="2542"/>
      <c r="BR39" s="2542"/>
      <c r="BS39" s="2542"/>
      <c r="BT39" s="2542"/>
      <c r="BU39" s="2542"/>
      <c r="BV39" s="2542"/>
      <c r="BW39" s="2542"/>
      <c r="BX39" s="2542"/>
      <c r="BY39" s="2542"/>
      <c r="BZ39" s="2542"/>
      <c r="CA39" s="2542"/>
      <c r="CB39" s="2542"/>
      <c r="CC39" s="2542"/>
      <c r="CD39" s="2542"/>
      <c r="CE39" s="2542"/>
      <c r="CF39" s="2542"/>
      <c r="CG39" s="2542"/>
      <c r="CH39" s="2542"/>
      <c r="CI39" s="2542"/>
      <c r="CJ39" s="2542"/>
      <c r="CK39" s="2542"/>
      <c r="CL39" s="2542"/>
      <c r="CM39" s="2542"/>
      <c r="CN39" s="2542"/>
      <c r="CO39" s="2542"/>
      <c r="CP39" s="2542"/>
      <c r="CQ39" s="2542"/>
      <c r="CR39" s="2542"/>
      <c r="CS39" s="2542"/>
      <c r="CT39" s="2542"/>
      <c r="CU39" s="2542"/>
      <c r="CV39" s="2542"/>
      <c r="CW39" s="2542"/>
      <c r="CX39" s="2542"/>
      <c r="CY39" s="2542"/>
      <c r="CZ39" s="2542"/>
      <c r="DA39" s="2542"/>
      <c r="DB39" s="2542"/>
    </row>
    <row r="40" spans="1:106" s="3172" customFormat="1" x14ac:dyDescent="0.25">
      <c r="A40" s="2542"/>
      <c r="B40" s="3139" t="s">
        <v>629</v>
      </c>
      <c r="C40" s="3159">
        <f>C41+C42</f>
        <v>0.38779999999999998</v>
      </c>
      <c r="D40" s="3159">
        <f t="shared" ref="D40:O40" si="29">D41+D42</f>
        <v>0.38779999999999998</v>
      </c>
      <c r="E40" s="3159">
        <f t="shared" si="29"/>
        <v>0.38779999999999998</v>
      </c>
      <c r="F40" s="3159">
        <f t="shared" si="29"/>
        <v>0.38779999999999998</v>
      </c>
      <c r="G40" s="3159">
        <f t="shared" si="29"/>
        <v>0.38779999999999998</v>
      </c>
      <c r="H40" s="3159"/>
      <c r="I40" s="3159"/>
      <c r="J40" s="3159"/>
      <c r="K40" s="3159"/>
      <c r="L40" s="3159"/>
      <c r="M40" s="3159">
        <f t="shared" si="29"/>
        <v>0.38779999999999998</v>
      </c>
      <c r="N40" s="3159">
        <f t="shared" si="29"/>
        <v>0.38779999999999998</v>
      </c>
      <c r="O40" s="3160">
        <f t="shared" si="29"/>
        <v>0.38779999999999998</v>
      </c>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c r="AS40" s="2542"/>
      <c r="AT40" s="2542"/>
      <c r="AU40" s="2542"/>
      <c r="AV40" s="2542"/>
      <c r="AW40" s="2542"/>
      <c r="AX40" s="2542"/>
      <c r="AY40" s="2542"/>
      <c r="AZ40" s="2542"/>
      <c r="BA40" s="2542"/>
      <c r="BB40" s="2542"/>
      <c r="BC40" s="2542"/>
      <c r="BD40" s="2542"/>
      <c r="BE40" s="2542"/>
      <c r="BF40" s="2542"/>
      <c r="BG40" s="2542"/>
      <c r="BH40" s="2542"/>
      <c r="BI40" s="2542"/>
      <c r="BJ40" s="2542"/>
      <c r="BK40" s="2542"/>
      <c r="BL40" s="2542"/>
      <c r="BM40" s="2542"/>
      <c r="BN40" s="2542"/>
      <c r="BO40" s="2542"/>
      <c r="BP40" s="2542"/>
      <c r="BQ40" s="2542"/>
      <c r="BR40" s="2542"/>
      <c r="BS40" s="2542"/>
      <c r="BT40" s="2542"/>
      <c r="BU40" s="2542"/>
      <c r="BV40" s="2542"/>
      <c r="BW40" s="2542"/>
      <c r="BX40" s="2542"/>
      <c r="BY40" s="2542"/>
      <c r="BZ40" s="2542"/>
      <c r="CA40" s="2542"/>
      <c r="CB40" s="2542"/>
      <c r="CC40" s="2542"/>
      <c r="CD40" s="2542"/>
      <c r="CE40" s="2542"/>
      <c r="CF40" s="2542"/>
      <c r="CG40" s="2542"/>
      <c r="CH40" s="2542"/>
      <c r="CI40" s="2542"/>
      <c r="CJ40" s="2542"/>
      <c r="CK40" s="2542"/>
      <c r="CL40" s="2542"/>
      <c r="CM40" s="2542"/>
      <c r="CN40" s="2542"/>
      <c r="CO40" s="2542"/>
      <c r="CP40" s="2542"/>
      <c r="CQ40" s="2542"/>
      <c r="CR40" s="2542"/>
      <c r="CS40" s="2542"/>
      <c r="CT40" s="2542"/>
      <c r="CU40" s="2542"/>
      <c r="CV40" s="2542"/>
      <c r="CW40" s="2542"/>
      <c r="CX40" s="2542"/>
      <c r="CY40" s="2542"/>
      <c r="CZ40" s="2542"/>
      <c r="DA40" s="2542"/>
      <c r="DB40" s="2542"/>
    </row>
    <row r="41" spans="1:106" s="3172" customFormat="1" x14ac:dyDescent="0.25">
      <c r="A41" s="2542"/>
      <c r="B41" s="3142" t="s">
        <v>633</v>
      </c>
      <c r="C41" s="3173">
        <v>0.2636</v>
      </c>
      <c r="D41" s="3170">
        <f>C41</f>
        <v>0.2636</v>
      </c>
      <c r="E41" s="3170">
        <f t="shared" ref="E41:O41" si="30">D41</f>
        <v>0.2636</v>
      </c>
      <c r="F41" s="3170">
        <f t="shared" si="30"/>
        <v>0.2636</v>
      </c>
      <c r="G41" s="3170">
        <f t="shared" si="30"/>
        <v>0.2636</v>
      </c>
      <c r="H41" s="3170"/>
      <c r="I41" s="3170"/>
      <c r="J41" s="3170"/>
      <c r="K41" s="3170"/>
      <c r="L41" s="3170"/>
      <c r="M41" s="3170">
        <f>G41</f>
        <v>0.2636</v>
      </c>
      <c r="N41" s="3170">
        <f t="shared" si="30"/>
        <v>0.2636</v>
      </c>
      <c r="O41" s="3171">
        <f t="shared" si="30"/>
        <v>0.2636</v>
      </c>
      <c r="P41" s="2542"/>
      <c r="Q41" s="2542"/>
      <c r="R41" s="2542"/>
      <c r="S41" s="2542"/>
      <c r="T41" s="2542"/>
      <c r="U41" s="2542"/>
      <c r="V41" s="2542"/>
      <c r="W41" s="2542"/>
      <c r="X41" s="2542"/>
      <c r="Y41" s="2542"/>
      <c r="Z41" s="2542"/>
      <c r="AA41" s="2542"/>
      <c r="AB41" s="2542"/>
      <c r="AC41" s="2542"/>
      <c r="AD41" s="2542"/>
      <c r="AE41" s="2542"/>
      <c r="AF41" s="2542"/>
      <c r="AG41" s="2542"/>
      <c r="AH41" s="2542"/>
      <c r="AI41" s="2542"/>
      <c r="AJ41" s="2542"/>
      <c r="AK41" s="2542"/>
      <c r="AL41" s="2542"/>
      <c r="AM41" s="2542"/>
      <c r="AN41" s="2542"/>
      <c r="AO41" s="2542"/>
      <c r="AP41" s="2542"/>
      <c r="AQ41" s="2542"/>
      <c r="AR41" s="2542"/>
      <c r="AS41" s="2542"/>
      <c r="AT41" s="2542"/>
      <c r="AU41" s="2542"/>
      <c r="AV41" s="2542"/>
      <c r="AW41" s="2542"/>
      <c r="AX41" s="2542"/>
      <c r="AY41" s="2542"/>
      <c r="AZ41" s="2542"/>
      <c r="BA41" s="2542"/>
      <c r="BB41" s="2542"/>
      <c r="BC41" s="2542"/>
      <c r="BD41" s="2542"/>
      <c r="BE41" s="2542"/>
      <c r="BF41" s="2542"/>
      <c r="BG41" s="2542"/>
      <c r="BH41" s="2542"/>
      <c r="BI41" s="2542"/>
      <c r="BJ41" s="2542"/>
      <c r="BK41" s="2542"/>
      <c r="BL41" s="2542"/>
      <c r="BM41" s="2542"/>
      <c r="BN41" s="2542"/>
      <c r="BO41" s="2542"/>
      <c r="BP41" s="2542"/>
      <c r="BQ41" s="2542"/>
      <c r="BR41" s="2542"/>
      <c r="BS41" s="2542"/>
      <c r="BT41" s="2542"/>
      <c r="BU41" s="2542"/>
      <c r="BV41" s="2542"/>
      <c r="BW41" s="2542"/>
      <c r="BX41" s="2542"/>
      <c r="BY41" s="2542"/>
      <c r="BZ41" s="2542"/>
      <c r="CA41" s="2542"/>
      <c r="CB41" s="2542"/>
      <c r="CC41" s="2542"/>
      <c r="CD41" s="2542"/>
      <c r="CE41" s="2542"/>
      <c r="CF41" s="2542"/>
      <c r="CG41" s="2542"/>
      <c r="CH41" s="2542"/>
      <c r="CI41" s="2542"/>
      <c r="CJ41" s="2542"/>
      <c r="CK41" s="2542"/>
      <c r="CL41" s="2542"/>
      <c r="CM41" s="2542"/>
      <c r="CN41" s="2542"/>
      <c r="CO41" s="2542"/>
      <c r="CP41" s="2542"/>
      <c r="CQ41" s="2542"/>
      <c r="CR41" s="2542"/>
      <c r="CS41" s="2542"/>
      <c r="CT41" s="2542"/>
      <c r="CU41" s="2542"/>
      <c r="CV41" s="2542"/>
      <c r="CW41" s="2542"/>
      <c r="CX41" s="2542"/>
      <c r="CY41" s="2542"/>
      <c r="CZ41" s="2542"/>
      <c r="DA41" s="2542"/>
      <c r="DB41" s="2542"/>
    </row>
    <row r="42" spans="1:106" s="3172" customFormat="1" ht="15.75" thickBot="1" x14ac:dyDescent="0.3">
      <c r="A42" s="2542"/>
      <c r="B42" s="3174" t="s">
        <v>634</v>
      </c>
      <c r="C42" s="3527">
        <v>0.1242</v>
      </c>
      <c r="D42" s="3528">
        <f>C42</f>
        <v>0.1242</v>
      </c>
      <c r="E42" s="3528">
        <f>D42</f>
        <v>0.1242</v>
      </c>
      <c r="F42" s="3528">
        <f>E42</f>
        <v>0.1242</v>
      </c>
      <c r="G42" s="3528">
        <f>F42</f>
        <v>0.1242</v>
      </c>
      <c r="H42" s="3528"/>
      <c r="I42" s="3528"/>
      <c r="J42" s="3528"/>
      <c r="K42" s="3528"/>
      <c r="L42" s="3528"/>
      <c r="M42" s="3528">
        <f>G42</f>
        <v>0.1242</v>
      </c>
      <c r="N42" s="3528">
        <f>M42</f>
        <v>0.1242</v>
      </c>
      <c r="O42" s="3529">
        <f>N42</f>
        <v>0.1242</v>
      </c>
      <c r="P42" s="2542"/>
      <c r="Q42" s="2542"/>
      <c r="R42" s="2542"/>
      <c r="S42" s="2542"/>
      <c r="T42" s="2542"/>
      <c r="U42" s="2542"/>
      <c r="V42" s="2542"/>
      <c r="W42" s="2542"/>
      <c r="X42" s="2542"/>
      <c r="Y42" s="2542"/>
      <c r="Z42" s="2542"/>
      <c r="AA42" s="2542"/>
      <c r="AB42" s="2542"/>
      <c r="AC42" s="2542"/>
      <c r="AD42" s="2542"/>
      <c r="AE42" s="2542"/>
      <c r="AF42" s="2542"/>
      <c r="AG42" s="2542"/>
      <c r="AH42" s="2542"/>
      <c r="AI42" s="2542"/>
      <c r="AJ42" s="2542"/>
      <c r="AK42" s="2542"/>
      <c r="AL42" s="2542"/>
      <c r="AM42" s="2542"/>
      <c r="AN42" s="2542"/>
      <c r="AO42" s="2542"/>
      <c r="AP42" s="2542"/>
      <c r="AQ42" s="2542"/>
      <c r="AR42" s="2542"/>
      <c r="AS42" s="2542"/>
      <c r="AT42" s="2542"/>
      <c r="AU42" s="2542"/>
      <c r="AV42" s="2542"/>
      <c r="AW42" s="2542"/>
      <c r="AX42" s="2542"/>
      <c r="AY42" s="2542"/>
      <c r="AZ42" s="2542"/>
      <c r="BA42" s="2542"/>
      <c r="BB42" s="2542"/>
      <c r="BC42" s="2542"/>
      <c r="BD42" s="2542"/>
      <c r="BE42" s="2542"/>
      <c r="BF42" s="2542"/>
      <c r="BG42" s="2542"/>
      <c r="BH42" s="2542"/>
      <c r="BI42" s="2542"/>
      <c r="BJ42" s="2542"/>
      <c r="BK42" s="2542"/>
      <c r="BL42" s="2542"/>
      <c r="BM42" s="2542"/>
      <c r="BN42" s="2542"/>
      <c r="BO42" s="2542"/>
      <c r="BP42" s="2542"/>
      <c r="BQ42" s="2542"/>
      <c r="BR42" s="2542"/>
      <c r="BS42" s="2542"/>
      <c r="BT42" s="2542"/>
      <c r="BU42" s="2542"/>
      <c r="BV42" s="2542"/>
      <c r="BW42" s="2542"/>
      <c r="BX42" s="2542"/>
      <c r="BY42" s="2542"/>
      <c r="BZ42" s="2542"/>
      <c r="CA42" s="2542"/>
      <c r="CB42" s="2542"/>
      <c r="CC42" s="2542"/>
      <c r="CD42" s="2542"/>
      <c r="CE42" s="2542"/>
      <c r="CF42" s="2542"/>
      <c r="CG42" s="2542"/>
      <c r="CH42" s="2542"/>
      <c r="CI42" s="2542"/>
      <c r="CJ42" s="2542"/>
      <c r="CK42" s="2542"/>
      <c r="CL42" s="2542"/>
      <c r="CM42" s="2542"/>
      <c r="CN42" s="2542"/>
      <c r="CO42" s="2542"/>
      <c r="CP42" s="2542"/>
      <c r="CQ42" s="2542"/>
      <c r="CR42" s="2542"/>
      <c r="CS42" s="2542"/>
      <c r="CT42" s="2542"/>
      <c r="CU42" s="2542"/>
      <c r="CV42" s="2542"/>
      <c r="CW42" s="2542"/>
      <c r="CX42" s="2542"/>
      <c r="CY42" s="2542"/>
      <c r="CZ42" s="2542"/>
      <c r="DA42" s="2542"/>
      <c r="DB42" s="2542"/>
    </row>
    <row r="43" spans="1:106" s="3172" customFormat="1" x14ac:dyDescent="0.25">
      <c r="A43" s="2542"/>
      <c r="B43" s="3195" t="s">
        <v>630</v>
      </c>
      <c r="C43" s="3525">
        <f>C44+C45</f>
        <v>3.6870799999999999</v>
      </c>
      <c r="D43" s="3525">
        <f t="shared" ref="D43:O43" si="31">D44+D45</f>
        <v>3.6870799999999999</v>
      </c>
      <c r="E43" s="3525">
        <f t="shared" si="31"/>
        <v>3.6870799999999999</v>
      </c>
      <c r="F43" s="3525">
        <f t="shared" si="31"/>
        <v>3.6870799999999999</v>
      </c>
      <c r="G43" s="3525">
        <f t="shared" si="31"/>
        <v>3.6870799999999999</v>
      </c>
      <c r="H43" s="3525"/>
      <c r="I43" s="3525"/>
      <c r="J43" s="3525"/>
      <c r="K43" s="3525"/>
      <c r="L43" s="3525"/>
      <c r="M43" s="3525">
        <f t="shared" si="31"/>
        <v>3.6870799999999999</v>
      </c>
      <c r="N43" s="3525">
        <f t="shared" si="31"/>
        <v>3.6870799999999999</v>
      </c>
      <c r="O43" s="3526">
        <f t="shared" si="31"/>
        <v>3.6870799999999999</v>
      </c>
      <c r="P43" s="2542"/>
      <c r="Q43" s="2542"/>
      <c r="R43" s="2542"/>
      <c r="S43" s="2542"/>
      <c r="T43" s="2542"/>
      <c r="U43" s="2542"/>
      <c r="V43" s="2542"/>
      <c r="W43" s="2542"/>
      <c r="X43" s="2542"/>
      <c r="Y43" s="2542"/>
      <c r="Z43" s="2542"/>
      <c r="AA43" s="2542"/>
      <c r="AB43" s="2542"/>
      <c r="AC43" s="2542"/>
      <c r="AD43" s="2542"/>
      <c r="AE43" s="2542"/>
      <c r="AF43" s="2542"/>
      <c r="AG43" s="2542"/>
      <c r="AH43" s="2542"/>
      <c r="AI43" s="2542"/>
      <c r="AJ43" s="2542"/>
      <c r="AK43" s="2542"/>
      <c r="AL43" s="2542"/>
      <c r="AM43" s="2542"/>
      <c r="AN43" s="2542"/>
      <c r="AO43" s="2542"/>
      <c r="AP43" s="2542"/>
      <c r="AQ43" s="2542"/>
      <c r="AR43" s="2542"/>
      <c r="AS43" s="2542"/>
      <c r="AT43" s="2542"/>
      <c r="AU43" s="2542"/>
      <c r="AV43" s="2542"/>
      <c r="AW43" s="2542"/>
      <c r="AX43" s="2542"/>
      <c r="AY43" s="2542"/>
      <c r="AZ43" s="2542"/>
      <c r="BA43" s="2542"/>
      <c r="BB43" s="2542"/>
      <c r="BC43" s="2542"/>
      <c r="BD43" s="2542"/>
      <c r="BE43" s="2542"/>
      <c r="BF43" s="2542"/>
      <c r="BG43" s="2542"/>
      <c r="BH43" s="2542"/>
      <c r="BI43" s="2542"/>
      <c r="BJ43" s="2542"/>
      <c r="BK43" s="2542"/>
      <c r="BL43" s="2542"/>
      <c r="BM43" s="2542"/>
      <c r="BN43" s="2542"/>
      <c r="BO43" s="2542"/>
      <c r="BP43" s="2542"/>
      <c r="BQ43" s="2542"/>
      <c r="BR43" s="2542"/>
      <c r="BS43" s="2542"/>
      <c r="BT43" s="2542"/>
      <c r="BU43" s="2542"/>
      <c r="BV43" s="2542"/>
      <c r="BW43" s="2542"/>
      <c r="BX43" s="2542"/>
      <c r="BY43" s="2542"/>
      <c r="BZ43" s="2542"/>
      <c r="CA43" s="2542"/>
      <c r="CB43" s="2542"/>
      <c r="CC43" s="2542"/>
      <c r="CD43" s="2542"/>
      <c r="CE43" s="2542"/>
      <c r="CF43" s="2542"/>
      <c r="CG43" s="2542"/>
      <c r="CH43" s="2542"/>
      <c r="CI43" s="2542"/>
      <c r="CJ43" s="2542"/>
      <c r="CK43" s="2542"/>
      <c r="CL43" s="2542"/>
      <c r="CM43" s="2542"/>
      <c r="CN43" s="2542"/>
      <c r="CO43" s="2542"/>
      <c r="CP43" s="2542"/>
      <c r="CQ43" s="2542"/>
      <c r="CR43" s="2542"/>
      <c r="CS43" s="2542"/>
      <c r="CT43" s="2542"/>
      <c r="CU43" s="2542"/>
      <c r="CV43" s="2542"/>
      <c r="CW43" s="2542"/>
      <c r="CX43" s="2542"/>
      <c r="CY43" s="2542"/>
      <c r="CZ43" s="2542"/>
      <c r="DA43" s="2542"/>
      <c r="DB43" s="2542"/>
    </row>
    <row r="44" spans="1:106" s="3172" customFormat="1" x14ac:dyDescent="0.25">
      <c r="A44" s="2542"/>
      <c r="B44" s="3142" t="s">
        <v>633</v>
      </c>
      <c r="C44" s="3173">
        <v>1.2856000000000001</v>
      </c>
      <c r="D44" s="3170">
        <f>C44</f>
        <v>1.2856000000000001</v>
      </c>
      <c r="E44" s="3170">
        <f t="shared" ref="E44:O44" si="32">D44</f>
        <v>1.2856000000000001</v>
      </c>
      <c r="F44" s="3170">
        <f t="shared" si="32"/>
        <v>1.2856000000000001</v>
      </c>
      <c r="G44" s="3170">
        <f t="shared" si="32"/>
        <v>1.2856000000000001</v>
      </c>
      <c r="H44" s="3170"/>
      <c r="I44" s="3170"/>
      <c r="J44" s="3170"/>
      <c r="K44" s="3170"/>
      <c r="L44" s="3170"/>
      <c r="M44" s="3170">
        <f>G44</f>
        <v>1.2856000000000001</v>
      </c>
      <c r="N44" s="3170">
        <f t="shared" si="32"/>
        <v>1.2856000000000001</v>
      </c>
      <c r="O44" s="3171">
        <f t="shared" si="32"/>
        <v>1.2856000000000001</v>
      </c>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c r="BY44" s="2542"/>
      <c r="BZ44" s="2542"/>
      <c r="CA44" s="2542"/>
      <c r="CB44" s="2542"/>
      <c r="CC44" s="2542"/>
      <c r="CD44" s="2542"/>
      <c r="CE44" s="2542"/>
      <c r="CF44" s="2542"/>
      <c r="CG44" s="2542"/>
      <c r="CH44" s="2542"/>
      <c r="CI44" s="2542"/>
      <c r="CJ44" s="2542"/>
      <c r="CK44" s="2542"/>
      <c r="CL44" s="2542"/>
      <c r="CM44" s="2542"/>
      <c r="CN44" s="2542"/>
      <c r="CO44" s="2542"/>
      <c r="CP44" s="2542"/>
      <c r="CQ44" s="2542"/>
      <c r="CR44" s="2542"/>
      <c r="CS44" s="2542"/>
      <c r="CT44" s="2542"/>
      <c r="CU44" s="2542"/>
      <c r="CV44" s="2542"/>
      <c r="CW44" s="2542"/>
      <c r="CX44" s="2542"/>
      <c r="CY44" s="2542"/>
      <c r="CZ44" s="2542"/>
      <c r="DA44" s="2542"/>
      <c r="DB44" s="2542"/>
    </row>
    <row r="45" spans="1:106" s="3172" customFormat="1" x14ac:dyDescent="0.25">
      <c r="A45" s="2542"/>
      <c r="B45" s="3142" t="s">
        <v>634</v>
      </c>
      <c r="C45" s="3173">
        <v>2.4014799999999998</v>
      </c>
      <c r="D45" s="3170">
        <f>C45</f>
        <v>2.4014799999999998</v>
      </c>
      <c r="E45" s="3170">
        <f t="shared" ref="E45:O45" si="33">D45</f>
        <v>2.4014799999999998</v>
      </c>
      <c r="F45" s="3170">
        <f t="shared" si="33"/>
        <v>2.4014799999999998</v>
      </c>
      <c r="G45" s="3170">
        <f t="shared" si="33"/>
        <v>2.4014799999999998</v>
      </c>
      <c r="H45" s="3170"/>
      <c r="I45" s="3170"/>
      <c r="J45" s="3170"/>
      <c r="K45" s="3170"/>
      <c r="L45" s="3170"/>
      <c r="M45" s="3170">
        <f>G45</f>
        <v>2.4014799999999998</v>
      </c>
      <c r="N45" s="3170">
        <f t="shared" si="33"/>
        <v>2.4014799999999998</v>
      </c>
      <c r="O45" s="3171">
        <f t="shared" si="33"/>
        <v>2.4014799999999998</v>
      </c>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c r="AM45" s="2542"/>
      <c r="AN45" s="2542"/>
      <c r="AO45" s="2542"/>
      <c r="AP45" s="2542"/>
      <c r="AQ45" s="2542"/>
      <c r="AR45" s="2542"/>
      <c r="AS45" s="2542"/>
      <c r="AT45" s="2542"/>
      <c r="AU45" s="2542"/>
      <c r="AV45" s="2542"/>
      <c r="AW45" s="2542"/>
      <c r="AX45" s="2542"/>
      <c r="AY45" s="2542"/>
      <c r="AZ45" s="2542"/>
      <c r="BA45" s="2542"/>
      <c r="BB45" s="2542"/>
      <c r="BC45" s="2542"/>
      <c r="BD45" s="2542"/>
      <c r="BE45" s="2542"/>
      <c r="BF45" s="2542"/>
      <c r="BG45" s="2542"/>
      <c r="BH45" s="2542"/>
      <c r="BI45" s="2542"/>
      <c r="BJ45" s="2542"/>
      <c r="BK45" s="2542"/>
      <c r="BL45" s="2542"/>
      <c r="BM45" s="2542"/>
      <c r="BN45" s="2542"/>
      <c r="BO45" s="2542"/>
      <c r="BP45" s="2542"/>
      <c r="BQ45" s="2542"/>
      <c r="BR45" s="2542"/>
      <c r="BS45" s="2542"/>
      <c r="BT45" s="2542"/>
      <c r="BU45" s="2542"/>
      <c r="BV45" s="2542"/>
      <c r="BW45" s="2542"/>
      <c r="BX45" s="2542"/>
      <c r="BY45" s="2542"/>
      <c r="BZ45" s="2542"/>
      <c r="CA45" s="2542"/>
      <c r="CB45" s="2542"/>
      <c r="CC45" s="2542"/>
      <c r="CD45" s="2542"/>
      <c r="CE45" s="2542"/>
      <c r="CF45" s="2542"/>
      <c r="CG45" s="2542"/>
      <c r="CH45" s="2542"/>
      <c r="CI45" s="2542"/>
      <c r="CJ45" s="2542"/>
      <c r="CK45" s="2542"/>
      <c r="CL45" s="2542"/>
      <c r="CM45" s="2542"/>
      <c r="CN45" s="2542"/>
      <c r="CO45" s="2542"/>
      <c r="CP45" s="2542"/>
      <c r="CQ45" s="2542"/>
      <c r="CR45" s="2542"/>
      <c r="CS45" s="2542"/>
      <c r="CT45" s="2542"/>
      <c r="CU45" s="2542"/>
      <c r="CV45" s="2542"/>
      <c r="CW45" s="2542"/>
      <c r="CX45" s="2542"/>
      <c r="CY45" s="2542"/>
      <c r="CZ45" s="2542"/>
      <c r="DA45" s="2542"/>
      <c r="DB45" s="2542"/>
    </row>
    <row r="46" spans="1:106" s="3172" customFormat="1" ht="14.25" x14ac:dyDescent="0.2">
      <c r="A46" s="2542"/>
      <c r="B46" s="3155" t="s">
        <v>636</v>
      </c>
      <c r="C46" s="3156">
        <f>C47+C50</f>
        <v>1.244624</v>
      </c>
      <c r="D46" s="3156">
        <f t="shared" ref="D46:O46" si="34">D47+D50</f>
        <v>1.244624</v>
      </c>
      <c r="E46" s="3156">
        <f t="shared" si="34"/>
        <v>1.244624</v>
      </c>
      <c r="F46" s="3156">
        <f t="shared" si="34"/>
        <v>1.244624</v>
      </c>
      <c r="G46" s="3156">
        <f t="shared" si="34"/>
        <v>1.244624</v>
      </c>
      <c r="H46" s="3156"/>
      <c r="I46" s="3156"/>
      <c r="J46" s="3156"/>
      <c r="K46" s="3156"/>
      <c r="L46" s="3156"/>
      <c r="M46" s="3156">
        <f t="shared" si="34"/>
        <v>1.244624</v>
      </c>
      <c r="N46" s="3156">
        <f t="shared" si="34"/>
        <v>1.244624</v>
      </c>
      <c r="O46" s="3157">
        <f t="shared" si="34"/>
        <v>1.244624</v>
      </c>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c r="AM46" s="2542"/>
      <c r="AN46" s="2542"/>
      <c r="AO46" s="2542"/>
      <c r="AP46" s="2542"/>
      <c r="AQ46" s="2542"/>
      <c r="AR46" s="2542"/>
      <c r="AS46" s="2542"/>
      <c r="AT46" s="2542"/>
      <c r="AU46" s="2542"/>
      <c r="AV46" s="2542"/>
      <c r="AW46" s="2542"/>
      <c r="AX46" s="2542"/>
      <c r="AY46" s="2542"/>
      <c r="AZ46" s="2542"/>
      <c r="BA46" s="2542"/>
      <c r="BB46" s="2542"/>
      <c r="BC46" s="2542"/>
      <c r="BD46" s="2542"/>
      <c r="BE46" s="2542"/>
      <c r="BF46" s="2542"/>
      <c r="BG46" s="2542"/>
      <c r="BH46" s="2542"/>
      <c r="BI46" s="2542"/>
      <c r="BJ46" s="2542"/>
      <c r="BK46" s="2542"/>
      <c r="BL46" s="2542"/>
      <c r="BM46" s="2542"/>
      <c r="BN46" s="2542"/>
      <c r="BO46" s="2542"/>
      <c r="BP46" s="2542"/>
      <c r="BQ46" s="2542"/>
      <c r="BR46" s="2542"/>
      <c r="BS46" s="2542"/>
      <c r="BT46" s="2542"/>
      <c r="BU46" s="2542"/>
      <c r="BV46" s="2542"/>
      <c r="BW46" s="2542"/>
      <c r="BX46" s="2542"/>
      <c r="BY46" s="2542"/>
      <c r="BZ46" s="2542"/>
      <c r="CA46" s="2542"/>
      <c r="CB46" s="2542"/>
      <c r="CC46" s="2542"/>
      <c r="CD46" s="2542"/>
      <c r="CE46" s="2542"/>
      <c r="CF46" s="2542"/>
      <c r="CG46" s="2542"/>
      <c r="CH46" s="2542"/>
      <c r="CI46" s="2542"/>
      <c r="CJ46" s="2542"/>
      <c r="CK46" s="2542"/>
      <c r="CL46" s="2542"/>
      <c r="CM46" s="2542"/>
      <c r="CN46" s="2542"/>
      <c r="CO46" s="2542"/>
      <c r="CP46" s="2542"/>
      <c r="CQ46" s="2542"/>
      <c r="CR46" s="2542"/>
      <c r="CS46" s="2542"/>
      <c r="CT46" s="2542"/>
      <c r="CU46" s="2542"/>
      <c r="CV46" s="2542"/>
      <c r="CW46" s="2542"/>
      <c r="CX46" s="2542"/>
      <c r="CY46" s="2542"/>
      <c r="CZ46" s="2542"/>
      <c r="DA46" s="2542"/>
      <c r="DB46" s="2542"/>
    </row>
    <row r="47" spans="1:106" s="3172" customFormat="1" x14ac:dyDescent="0.25">
      <c r="A47" s="2542"/>
      <c r="B47" s="3139" t="s">
        <v>631</v>
      </c>
      <c r="C47" s="3159">
        <f>C48+C49</f>
        <v>0</v>
      </c>
      <c r="D47" s="3159">
        <f t="shared" ref="D47:O47" si="35">D48+D49</f>
        <v>0</v>
      </c>
      <c r="E47" s="3159">
        <f>E48+E49</f>
        <v>0</v>
      </c>
      <c r="F47" s="3159">
        <f t="shared" si="35"/>
        <v>0</v>
      </c>
      <c r="G47" s="3159">
        <f t="shared" si="35"/>
        <v>0</v>
      </c>
      <c r="H47" s="3159"/>
      <c r="I47" s="3159"/>
      <c r="J47" s="3159"/>
      <c r="K47" s="3159"/>
      <c r="L47" s="3159"/>
      <c r="M47" s="3159">
        <f t="shared" si="35"/>
        <v>0</v>
      </c>
      <c r="N47" s="3159">
        <f t="shared" si="35"/>
        <v>0</v>
      </c>
      <c r="O47" s="3160">
        <f t="shared" si="35"/>
        <v>0</v>
      </c>
      <c r="P47" s="2542"/>
      <c r="Q47" s="2542"/>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c r="AM47" s="2542"/>
      <c r="AN47" s="2542"/>
      <c r="AO47" s="2542"/>
      <c r="AP47" s="2542"/>
      <c r="AQ47" s="2542"/>
      <c r="AR47" s="2542"/>
      <c r="AS47" s="2542"/>
      <c r="AT47" s="2542"/>
      <c r="AU47" s="2542"/>
      <c r="AV47" s="2542"/>
      <c r="AW47" s="2542"/>
      <c r="AX47" s="2542"/>
      <c r="AY47" s="2542"/>
      <c r="AZ47" s="2542"/>
      <c r="BA47" s="2542"/>
      <c r="BB47" s="2542"/>
      <c r="BC47" s="2542"/>
      <c r="BD47" s="2542"/>
      <c r="BE47" s="2542"/>
      <c r="BF47" s="2542"/>
      <c r="BG47" s="2542"/>
      <c r="BH47" s="2542"/>
      <c r="BI47" s="2542"/>
      <c r="BJ47" s="2542"/>
      <c r="BK47" s="2542"/>
      <c r="BL47" s="2542"/>
      <c r="BM47" s="2542"/>
      <c r="BN47" s="2542"/>
      <c r="BO47" s="2542"/>
      <c r="BP47" s="2542"/>
      <c r="BQ47" s="2542"/>
      <c r="BR47" s="2542"/>
      <c r="BS47" s="2542"/>
      <c r="BT47" s="2542"/>
      <c r="BU47" s="2542"/>
      <c r="BV47" s="2542"/>
      <c r="BW47" s="2542"/>
      <c r="BX47" s="2542"/>
      <c r="BY47" s="2542"/>
      <c r="BZ47" s="2542"/>
      <c r="CA47" s="2542"/>
      <c r="CB47" s="2542"/>
      <c r="CC47" s="2542"/>
      <c r="CD47" s="2542"/>
      <c r="CE47" s="2542"/>
      <c r="CF47" s="2542"/>
      <c r="CG47" s="2542"/>
      <c r="CH47" s="2542"/>
      <c r="CI47" s="2542"/>
      <c r="CJ47" s="2542"/>
      <c r="CK47" s="2542"/>
      <c r="CL47" s="2542"/>
      <c r="CM47" s="2542"/>
      <c r="CN47" s="2542"/>
      <c r="CO47" s="2542"/>
      <c r="CP47" s="2542"/>
      <c r="CQ47" s="2542"/>
      <c r="CR47" s="2542"/>
      <c r="CS47" s="2542"/>
      <c r="CT47" s="2542"/>
      <c r="CU47" s="2542"/>
      <c r="CV47" s="2542"/>
      <c r="CW47" s="2542"/>
      <c r="CX47" s="2542"/>
      <c r="CY47" s="2542"/>
      <c r="CZ47" s="2542"/>
      <c r="DA47" s="2542"/>
      <c r="DB47" s="2542"/>
    </row>
    <row r="48" spans="1:106" s="3172" customFormat="1" x14ac:dyDescent="0.25">
      <c r="A48" s="2542"/>
      <c r="B48" s="3142" t="s">
        <v>633</v>
      </c>
      <c r="C48" s="2512"/>
      <c r="D48" s="3163"/>
      <c r="E48" s="3163">
        <f>D48</f>
        <v>0</v>
      </c>
      <c r="F48" s="3163">
        <f>E48</f>
        <v>0</v>
      </c>
      <c r="G48" s="3163">
        <f t="shared" ref="G48:O48" si="36">F48</f>
        <v>0</v>
      </c>
      <c r="H48" s="3163"/>
      <c r="I48" s="3163"/>
      <c r="J48" s="3163"/>
      <c r="K48" s="3163"/>
      <c r="L48" s="3163"/>
      <c r="M48" s="3163">
        <f>G48</f>
        <v>0</v>
      </c>
      <c r="N48" s="3163">
        <f t="shared" si="36"/>
        <v>0</v>
      </c>
      <c r="O48" s="3164">
        <f t="shared" si="36"/>
        <v>0</v>
      </c>
      <c r="P48" s="2542"/>
      <c r="Q48" s="2542"/>
      <c r="R48" s="2542"/>
      <c r="S48" s="2542"/>
      <c r="T48" s="2542"/>
      <c r="U48" s="2542"/>
      <c r="V48" s="2542"/>
      <c r="W48" s="2542"/>
      <c r="X48" s="2542"/>
      <c r="Y48" s="2542"/>
      <c r="Z48" s="2542"/>
      <c r="AA48" s="2542"/>
      <c r="AB48" s="2542"/>
      <c r="AC48" s="2542"/>
      <c r="AD48" s="2542"/>
      <c r="AE48" s="2542"/>
      <c r="AF48" s="2542"/>
      <c r="AG48" s="2542"/>
      <c r="AH48" s="2542"/>
      <c r="AI48" s="2542"/>
      <c r="AJ48" s="2542"/>
      <c r="AK48" s="2542"/>
      <c r="AL48" s="2542"/>
      <c r="AM48" s="2542"/>
      <c r="AN48" s="2542"/>
      <c r="AO48" s="2542"/>
      <c r="AP48" s="2542"/>
      <c r="AQ48" s="2542"/>
      <c r="AR48" s="2542"/>
      <c r="AS48" s="2542"/>
      <c r="AT48" s="2542"/>
      <c r="AU48" s="2542"/>
      <c r="AV48" s="2542"/>
      <c r="AW48" s="2542"/>
      <c r="AX48" s="2542"/>
      <c r="AY48" s="2542"/>
      <c r="AZ48" s="2542"/>
      <c r="BA48" s="2542"/>
      <c r="BB48" s="2542"/>
      <c r="BC48" s="2542"/>
      <c r="BD48" s="2542"/>
      <c r="BE48" s="2542"/>
      <c r="BF48" s="2542"/>
      <c r="BG48" s="2542"/>
      <c r="BH48" s="2542"/>
      <c r="BI48" s="2542"/>
      <c r="BJ48" s="2542"/>
      <c r="BK48" s="2542"/>
      <c r="BL48" s="2542"/>
      <c r="BM48" s="2542"/>
      <c r="BN48" s="2542"/>
      <c r="BO48" s="2542"/>
      <c r="BP48" s="2542"/>
      <c r="BQ48" s="2542"/>
      <c r="BR48" s="2542"/>
      <c r="BS48" s="2542"/>
      <c r="BT48" s="2542"/>
      <c r="BU48" s="2542"/>
      <c r="BV48" s="2542"/>
      <c r="BW48" s="2542"/>
      <c r="BX48" s="2542"/>
      <c r="BY48" s="2542"/>
      <c r="BZ48" s="2542"/>
      <c r="CA48" s="2542"/>
      <c r="CB48" s="2542"/>
      <c r="CC48" s="2542"/>
      <c r="CD48" s="2542"/>
      <c r="CE48" s="2542"/>
      <c r="CF48" s="2542"/>
      <c r="CG48" s="2542"/>
      <c r="CH48" s="2542"/>
      <c r="CI48" s="2542"/>
      <c r="CJ48" s="2542"/>
      <c r="CK48" s="2542"/>
      <c r="CL48" s="2542"/>
      <c r="CM48" s="2542"/>
      <c r="CN48" s="2542"/>
      <c r="CO48" s="2542"/>
      <c r="CP48" s="2542"/>
      <c r="CQ48" s="2542"/>
      <c r="CR48" s="2542"/>
      <c r="CS48" s="2542"/>
      <c r="CT48" s="2542"/>
      <c r="CU48" s="2542"/>
      <c r="CV48" s="2542"/>
      <c r="CW48" s="2542"/>
      <c r="CX48" s="2542"/>
      <c r="CY48" s="2542"/>
      <c r="CZ48" s="2542"/>
      <c r="DA48" s="2542"/>
      <c r="DB48" s="2542"/>
    </row>
    <row r="49" spans="1:106" s="3172" customFormat="1" x14ac:dyDescent="0.25">
      <c r="A49" s="2542"/>
      <c r="B49" s="3142" t="s">
        <v>634</v>
      </c>
      <c r="C49" s="3163"/>
      <c r="D49" s="3163"/>
      <c r="E49" s="3163"/>
      <c r="F49" s="3163"/>
      <c r="G49" s="3163"/>
      <c r="H49" s="3163"/>
      <c r="I49" s="3163"/>
      <c r="J49" s="3163"/>
      <c r="K49" s="3163"/>
      <c r="L49" s="3163"/>
      <c r="M49" s="3163"/>
      <c r="N49" s="3163"/>
      <c r="O49" s="3164"/>
      <c r="P49" s="2542"/>
      <c r="Q49" s="2542"/>
      <c r="R49" s="2542"/>
      <c r="S49" s="2542"/>
      <c r="T49" s="2542"/>
      <c r="U49" s="2542"/>
      <c r="V49" s="2542"/>
      <c r="W49" s="2542"/>
      <c r="X49" s="2542"/>
      <c r="Y49" s="2542"/>
      <c r="Z49" s="2542"/>
      <c r="AA49" s="2542"/>
      <c r="AB49" s="2542"/>
      <c r="AC49" s="2542"/>
      <c r="AD49" s="2542"/>
      <c r="AE49" s="2542"/>
      <c r="AF49" s="2542"/>
      <c r="AG49" s="2542"/>
      <c r="AH49" s="2542"/>
      <c r="AI49" s="2542"/>
      <c r="AJ49" s="2542"/>
      <c r="AK49" s="2542"/>
      <c r="AL49" s="2542"/>
      <c r="AM49" s="2542"/>
      <c r="AN49" s="2542"/>
      <c r="AO49" s="2542"/>
      <c r="AP49" s="2542"/>
      <c r="AQ49" s="2542"/>
      <c r="AR49" s="2542"/>
      <c r="AS49" s="2542"/>
      <c r="AT49" s="2542"/>
      <c r="AU49" s="2542"/>
      <c r="AV49" s="2542"/>
      <c r="AW49" s="2542"/>
      <c r="AX49" s="2542"/>
      <c r="AY49" s="2542"/>
      <c r="AZ49" s="2542"/>
      <c r="BA49" s="2542"/>
      <c r="BB49" s="2542"/>
      <c r="BC49" s="2542"/>
      <c r="BD49" s="2542"/>
      <c r="BE49" s="2542"/>
      <c r="BF49" s="2542"/>
      <c r="BG49" s="2542"/>
      <c r="BH49" s="2542"/>
      <c r="BI49" s="2542"/>
      <c r="BJ49" s="2542"/>
      <c r="BK49" s="2542"/>
      <c r="BL49" s="2542"/>
      <c r="BM49" s="2542"/>
      <c r="BN49" s="2542"/>
      <c r="BO49" s="2542"/>
      <c r="BP49" s="2542"/>
      <c r="BQ49" s="2542"/>
      <c r="BR49" s="2542"/>
      <c r="BS49" s="2542"/>
      <c r="BT49" s="2542"/>
      <c r="BU49" s="2542"/>
      <c r="BV49" s="2542"/>
      <c r="BW49" s="2542"/>
      <c r="BX49" s="2542"/>
      <c r="BY49" s="2542"/>
      <c r="BZ49" s="2542"/>
      <c r="CA49" s="2542"/>
      <c r="CB49" s="2542"/>
      <c r="CC49" s="2542"/>
      <c r="CD49" s="2542"/>
      <c r="CE49" s="2542"/>
      <c r="CF49" s="2542"/>
      <c r="CG49" s="2542"/>
      <c r="CH49" s="2542"/>
      <c r="CI49" s="2542"/>
      <c r="CJ49" s="2542"/>
      <c r="CK49" s="2542"/>
      <c r="CL49" s="2542"/>
      <c r="CM49" s="2542"/>
      <c r="CN49" s="2542"/>
      <c r="CO49" s="2542"/>
      <c r="CP49" s="2542"/>
      <c r="CQ49" s="2542"/>
      <c r="CR49" s="2542"/>
      <c r="CS49" s="2542"/>
      <c r="CT49" s="2542"/>
      <c r="CU49" s="2542"/>
      <c r="CV49" s="2542"/>
      <c r="CW49" s="2542"/>
      <c r="CX49" s="2542"/>
      <c r="CY49" s="2542"/>
      <c r="CZ49" s="2542"/>
      <c r="DA49" s="2542"/>
      <c r="DB49" s="2542"/>
    </row>
    <row r="50" spans="1:106" s="3172" customFormat="1" x14ac:dyDescent="0.25">
      <c r="A50" s="2542"/>
      <c r="B50" s="3139" t="s">
        <v>630</v>
      </c>
      <c r="C50" s="3159">
        <f>C51+C52</f>
        <v>1.244624</v>
      </c>
      <c r="D50" s="3159">
        <f t="shared" ref="D50:O50" si="37">D51+D52</f>
        <v>1.244624</v>
      </c>
      <c r="E50" s="3159">
        <f t="shared" si="37"/>
        <v>1.244624</v>
      </c>
      <c r="F50" s="3159">
        <f t="shared" si="37"/>
        <v>1.244624</v>
      </c>
      <c r="G50" s="3159">
        <f t="shared" si="37"/>
        <v>1.244624</v>
      </c>
      <c r="H50" s="3159"/>
      <c r="I50" s="3159"/>
      <c r="J50" s="3159"/>
      <c r="K50" s="3159"/>
      <c r="L50" s="3159"/>
      <c r="M50" s="3159">
        <f t="shared" si="37"/>
        <v>1.244624</v>
      </c>
      <c r="N50" s="3159">
        <f t="shared" si="37"/>
        <v>1.244624</v>
      </c>
      <c r="O50" s="3160">
        <f t="shared" si="37"/>
        <v>1.244624</v>
      </c>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2"/>
      <c r="AK50" s="2542"/>
      <c r="AL50" s="2542"/>
      <c r="AM50" s="2542"/>
      <c r="AN50" s="2542"/>
      <c r="AO50" s="2542"/>
      <c r="AP50" s="2542"/>
      <c r="AQ50" s="2542"/>
      <c r="AR50" s="2542"/>
      <c r="AS50" s="2542"/>
      <c r="AT50" s="2542"/>
      <c r="AU50" s="2542"/>
      <c r="AV50" s="2542"/>
      <c r="AW50" s="2542"/>
      <c r="AX50" s="2542"/>
      <c r="AY50" s="2542"/>
      <c r="AZ50" s="2542"/>
      <c r="BA50" s="2542"/>
      <c r="BB50" s="2542"/>
      <c r="BC50" s="2542"/>
      <c r="BD50" s="2542"/>
      <c r="BE50" s="2542"/>
      <c r="BF50" s="2542"/>
      <c r="BG50" s="2542"/>
      <c r="BH50" s="2542"/>
      <c r="BI50" s="2542"/>
      <c r="BJ50" s="2542"/>
      <c r="BK50" s="2542"/>
      <c r="BL50" s="2542"/>
      <c r="BM50" s="2542"/>
      <c r="BN50" s="2542"/>
      <c r="BO50" s="2542"/>
      <c r="BP50" s="2542"/>
      <c r="BQ50" s="2542"/>
      <c r="BR50" s="2542"/>
      <c r="BS50" s="2542"/>
      <c r="BT50" s="2542"/>
      <c r="BU50" s="2542"/>
      <c r="BV50" s="2542"/>
      <c r="BW50" s="2542"/>
      <c r="BX50" s="2542"/>
      <c r="BY50" s="2542"/>
      <c r="BZ50" s="2542"/>
      <c r="CA50" s="2542"/>
      <c r="CB50" s="2542"/>
      <c r="CC50" s="2542"/>
      <c r="CD50" s="2542"/>
      <c r="CE50" s="2542"/>
      <c r="CF50" s="2542"/>
      <c r="CG50" s="2542"/>
      <c r="CH50" s="2542"/>
      <c r="CI50" s="2542"/>
      <c r="CJ50" s="2542"/>
      <c r="CK50" s="2542"/>
      <c r="CL50" s="2542"/>
      <c r="CM50" s="2542"/>
      <c r="CN50" s="2542"/>
      <c r="CO50" s="2542"/>
      <c r="CP50" s="2542"/>
      <c r="CQ50" s="2542"/>
      <c r="CR50" s="2542"/>
      <c r="CS50" s="2542"/>
      <c r="CT50" s="2542"/>
      <c r="CU50" s="2542"/>
      <c r="CV50" s="2542"/>
      <c r="CW50" s="2542"/>
      <c r="CX50" s="2542"/>
      <c r="CY50" s="2542"/>
      <c r="CZ50" s="2542"/>
      <c r="DA50" s="2542"/>
      <c r="DB50" s="2542"/>
    </row>
    <row r="51" spans="1:106" s="2542" customFormat="1" x14ac:dyDescent="0.25">
      <c r="B51" s="3142" t="s">
        <v>633</v>
      </c>
      <c r="C51" s="3173">
        <v>0.40072000000000002</v>
      </c>
      <c r="D51" s="3163">
        <f t="shared" ref="D51:G52" si="38">C51</f>
        <v>0.40072000000000002</v>
      </c>
      <c r="E51" s="3163">
        <f t="shared" si="38"/>
        <v>0.40072000000000002</v>
      </c>
      <c r="F51" s="3163">
        <f t="shared" si="38"/>
        <v>0.40072000000000002</v>
      </c>
      <c r="G51" s="3163">
        <f t="shared" si="38"/>
        <v>0.40072000000000002</v>
      </c>
      <c r="H51" s="3163"/>
      <c r="I51" s="3163"/>
      <c r="J51" s="3163"/>
      <c r="K51" s="3163"/>
      <c r="L51" s="3163"/>
      <c r="M51" s="3163">
        <f>G51</f>
        <v>0.40072000000000002</v>
      </c>
      <c r="N51" s="3163">
        <f>M51</f>
        <v>0.40072000000000002</v>
      </c>
      <c r="O51" s="3164">
        <f>N51</f>
        <v>0.40072000000000002</v>
      </c>
    </row>
    <row r="52" spans="1:106" s="2542" customFormat="1" x14ac:dyDescent="0.25">
      <c r="B52" s="3142" t="s">
        <v>634</v>
      </c>
      <c r="C52" s="3173">
        <v>0.84390399999999999</v>
      </c>
      <c r="D52" s="3163">
        <f t="shared" si="38"/>
        <v>0.84390399999999999</v>
      </c>
      <c r="E52" s="3163">
        <f t="shared" si="38"/>
        <v>0.84390399999999999</v>
      </c>
      <c r="F52" s="3163">
        <f t="shared" si="38"/>
        <v>0.84390399999999999</v>
      </c>
      <c r="G52" s="3163">
        <f t="shared" si="38"/>
        <v>0.84390399999999999</v>
      </c>
      <c r="H52" s="3163"/>
      <c r="I52" s="3163"/>
      <c r="J52" s="3163"/>
      <c r="K52" s="3163"/>
      <c r="L52" s="3163"/>
      <c r="M52" s="3163">
        <f>G52</f>
        <v>0.84390399999999999</v>
      </c>
      <c r="N52" s="3163">
        <f>M52</f>
        <v>0.84390399999999999</v>
      </c>
      <c r="O52" s="3164">
        <f>N52</f>
        <v>0.84390399999999999</v>
      </c>
    </row>
    <row r="53" spans="1:106" s="2542" customFormat="1" ht="14.25" x14ac:dyDescent="0.2">
      <c r="B53" s="3155" t="s">
        <v>632</v>
      </c>
      <c r="C53" s="3156">
        <f>C54+C57</f>
        <v>0</v>
      </c>
      <c r="D53" s="3156">
        <f t="shared" ref="D53:O53" si="39">D54+D57</f>
        <v>0</v>
      </c>
      <c r="E53" s="3156">
        <f t="shared" si="39"/>
        <v>0</v>
      </c>
      <c r="F53" s="3156">
        <f t="shared" si="39"/>
        <v>0</v>
      </c>
      <c r="G53" s="3156">
        <f t="shared" si="39"/>
        <v>0</v>
      </c>
      <c r="H53" s="3156"/>
      <c r="I53" s="3156"/>
      <c r="J53" s="3156"/>
      <c r="K53" s="3156"/>
      <c r="L53" s="3156"/>
      <c r="M53" s="3156">
        <f t="shared" si="39"/>
        <v>0</v>
      </c>
      <c r="N53" s="3156">
        <f t="shared" si="39"/>
        <v>0</v>
      </c>
      <c r="O53" s="3157">
        <f t="shared" si="39"/>
        <v>0</v>
      </c>
    </row>
    <row r="54" spans="1:106" s="2542" customFormat="1" x14ac:dyDescent="0.25">
      <c r="B54" s="3139" t="s">
        <v>631</v>
      </c>
      <c r="C54" s="3159">
        <f>C55+C56</f>
        <v>0</v>
      </c>
      <c r="D54" s="3159">
        <f t="shared" ref="D54:O54" si="40">D55+D56</f>
        <v>0</v>
      </c>
      <c r="E54" s="3159">
        <f t="shared" si="40"/>
        <v>0</v>
      </c>
      <c r="F54" s="3159">
        <f t="shared" si="40"/>
        <v>0</v>
      </c>
      <c r="G54" s="3159">
        <f t="shared" si="40"/>
        <v>0</v>
      </c>
      <c r="H54" s="3159"/>
      <c r="I54" s="3159"/>
      <c r="J54" s="3159"/>
      <c r="K54" s="3159"/>
      <c r="L54" s="3159"/>
      <c r="M54" s="3159">
        <f t="shared" si="40"/>
        <v>0</v>
      </c>
      <c r="N54" s="3159">
        <f t="shared" si="40"/>
        <v>0</v>
      </c>
      <c r="O54" s="3160">
        <f t="shared" si="40"/>
        <v>0</v>
      </c>
    </row>
    <row r="55" spans="1:106" s="2542" customFormat="1" x14ac:dyDescent="0.25">
      <c r="B55" s="3142" t="s">
        <v>633</v>
      </c>
      <c r="C55" s="3163"/>
      <c r="D55" s="3163"/>
      <c r="E55" s="3163"/>
      <c r="F55" s="3163"/>
      <c r="G55" s="3163"/>
      <c r="H55" s="3163"/>
      <c r="I55" s="3163"/>
      <c r="J55" s="3163"/>
      <c r="K55" s="3163"/>
      <c r="L55" s="3163"/>
      <c r="M55" s="3163"/>
      <c r="N55" s="3163"/>
      <c r="O55" s="3164"/>
    </row>
    <row r="56" spans="1:106" s="2542" customFormat="1" x14ac:dyDescent="0.25">
      <c r="B56" s="3142" t="s">
        <v>634</v>
      </c>
      <c r="C56" s="3163"/>
      <c r="D56" s="3163"/>
      <c r="E56" s="3163"/>
      <c r="F56" s="3163"/>
      <c r="G56" s="3163"/>
      <c r="H56" s="3163"/>
      <c r="I56" s="3163"/>
      <c r="J56" s="3163"/>
      <c r="K56" s="3163"/>
      <c r="L56" s="3163"/>
      <c r="M56" s="3163"/>
      <c r="N56" s="3163"/>
      <c r="O56" s="3164"/>
    </row>
    <row r="57" spans="1:106" s="2542" customFormat="1" x14ac:dyDescent="0.25">
      <c r="B57" s="3139" t="s">
        <v>630</v>
      </c>
      <c r="C57" s="3165">
        <f>C58+C59</f>
        <v>0</v>
      </c>
      <c r="D57" s="3166">
        <f t="shared" ref="D57:O57" si="41">D58+D59</f>
        <v>0</v>
      </c>
      <c r="E57" s="3166">
        <f t="shared" si="41"/>
        <v>0</v>
      </c>
      <c r="F57" s="3166">
        <f t="shared" si="41"/>
        <v>0</v>
      </c>
      <c r="G57" s="3166">
        <f t="shared" si="41"/>
        <v>0</v>
      </c>
      <c r="H57" s="3166"/>
      <c r="I57" s="3166"/>
      <c r="J57" s="3166"/>
      <c r="K57" s="3166"/>
      <c r="L57" s="3166"/>
      <c r="M57" s="3166">
        <f t="shared" si="41"/>
        <v>0</v>
      </c>
      <c r="N57" s="3166">
        <f t="shared" si="41"/>
        <v>0</v>
      </c>
      <c r="O57" s="3167">
        <f t="shared" si="41"/>
        <v>0</v>
      </c>
    </row>
    <row r="58" spans="1:106" s="2542" customFormat="1" x14ac:dyDescent="0.25">
      <c r="B58" s="3142" t="s">
        <v>633</v>
      </c>
      <c r="C58" s="3173">
        <v>0</v>
      </c>
      <c r="D58" s="3170">
        <f>C58</f>
        <v>0</v>
      </c>
      <c r="E58" s="3170">
        <f>D58</f>
        <v>0</v>
      </c>
      <c r="F58" s="3170">
        <f>E58</f>
        <v>0</v>
      </c>
      <c r="G58" s="3170">
        <f t="shared" ref="G58:O58" si="42">F58</f>
        <v>0</v>
      </c>
      <c r="H58" s="3170"/>
      <c r="I58" s="3170"/>
      <c r="J58" s="3170"/>
      <c r="K58" s="3170"/>
      <c r="L58" s="3170"/>
      <c r="M58" s="3170">
        <f>G58</f>
        <v>0</v>
      </c>
      <c r="N58" s="3170">
        <f t="shared" si="42"/>
        <v>0</v>
      </c>
      <c r="O58" s="3171">
        <f t="shared" si="42"/>
        <v>0</v>
      </c>
    </row>
    <row r="59" spans="1:106" s="2542" customFormat="1" ht="15.75" thickBot="1" x14ac:dyDescent="0.3">
      <c r="B59" s="3174" t="s">
        <v>634</v>
      </c>
      <c r="C59" s="3175"/>
      <c r="D59" s="3175"/>
      <c r="E59" s="3175"/>
      <c r="F59" s="3175"/>
      <c r="G59" s="3175"/>
      <c r="H59" s="3175"/>
      <c r="I59" s="3175"/>
      <c r="J59" s="3175"/>
      <c r="K59" s="3175"/>
      <c r="L59" s="3175"/>
      <c r="M59" s="3175"/>
      <c r="N59" s="3175"/>
      <c r="O59" s="3176"/>
    </row>
    <row r="60" spans="1:106" s="2542" customFormat="1" ht="32.25" customHeight="1" thickBot="1" x14ac:dyDescent="0.25">
      <c r="B60" s="3177" t="s">
        <v>3145</v>
      </c>
      <c r="C60" s="2510">
        <f>C61+C68</f>
        <v>5.0553999999999997</v>
      </c>
      <c r="D60" s="2510">
        <f t="shared" ref="D60:O60" si="43">C60</f>
        <v>5.0553999999999997</v>
      </c>
      <c r="E60" s="2510">
        <f t="shared" si="43"/>
        <v>5.0553999999999997</v>
      </c>
      <c r="F60" s="2510">
        <f t="shared" si="43"/>
        <v>5.0553999999999997</v>
      </c>
      <c r="G60" s="2510">
        <f t="shared" si="43"/>
        <v>5.0553999999999997</v>
      </c>
      <c r="H60" s="2510">
        <f t="shared" si="43"/>
        <v>5.0553999999999997</v>
      </c>
      <c r="I60" s="2510">
        <f t="shared" si="43"/>
        <v>5.0553999999999997</v>
      </c>
      <c r="J60" s="2510">
        <f t="shared" si="43"/>
        <v>5.0553999999999997</v>
      </c>
      <c r="K60" s="2510">
        <f t="shared" si="43"/>
        <v>5.0553999999999997</v>
      </c>
      <c r="L60" s="2510">
        <f t="shared" si="43"/>
        <v>5.0553999999999997</v>
      </c>
      <c r="M60" s="2510">
        <f t="shared" si="43"/>
        <v>5.0553999999999997</v>
      </c>
      <c r="N60" s="2510">
        <f t="shared" si="43"/>
        <v>5.0553999999999997</v>
      </c>
      <c r="O60" s="2511">
        <f t="shared" si="43"/>
        <v>5.0553999999999997</v>
      </c>
    </row>
    <row r="61" spans="1:106" s="2542" customFormat="1" ht="15.75" thickBot="1" x14ac:dyDescent="0.3">
      <c r="B61" s="3155" t="s">
        <v>628</v>
      </c>
      <c r="C61" s="3178">
        <f>C62+C65</f>
        <v>4.6399999999999997</v>
      </c>
      <c r="D61" s="3179">
        <f t="shared" ref="D61:G61" si="44">D62+D65</f>
        <v>4.6399999999999997</v>
      </c>
      <c r="E61" s="3179">
        <f t="shared" si="44"/>
        <v>4.6399999999999997</v>
      </c>
      <c r="F61" s="3179">
        <f t="shared" si="44"/>
        <v>4.6399999999999997</v>
      </c>
      <c r="G61" s="3179">
        <f t="shared" si="44"/>
        <v>4.6399999999999997</v>
      </c>
      <c r="H61" s="3179">
        <f>H62+H65</f>
        <v>4.6399999999999997</v>
      </c>
      <c r="I61" s="3179">
        <f t="shared" ref="I61:O61" si="45">I62+I65</f>
        <v>4.6399999999999997</v>
      </c>
      <c r="J61" s="3179">
        <f t="shared" si="45"/>
        <v>4.6399999999999997</v>
      </c>
      <c r="K61" s="3179">
        <f t="shared" si="45"/>
        <v>4.6399999999999997</v>
      </c>
      <c r="L61" s="3179">
        <f t="shared" si="45"/>
        <v>4.6399999999999997</v>
      </c>
      <c r="M61" s="3179">
        <f t="shared" si="45"/>
        <v>4.6399999999999997</v>
      </c>
      <c r="N61" s="3179">
        <f t="shared" si="45"/>
        <v>4.6399999999999997</v>
      </c>
      <c r="O61" s="3179">
        <f t="shared" si="45"/>
        <v>4.6399999999999997</v>
      </c>
    </row>
    <row r="62" spans="1:106" s="2542" customFormat="1" ht="15.75" thickBot="1" x14ac:dyDescent="0.3">
      <c r="B62" s="3139" t="s">
        <v>629</v>
      </c>
      <c r="C62" s="3178">
        <f>C63+C64</f>
        <v>0.85050000000000003</v>
      </c>
      <c r="D62" s="3179">
        <f t="shared" ref="D62:G62" si="46">D63+D64</f>
        <v>0.85050000000000003</v>
      </c>
      <c r="E62" s="3179">
        <f t="shared" si="46"/>
        <v>0.85050000000000003</v>
      </c>
      <c r="F62" s="3179">
        <f t="shared" si="46"/>
        <v>0.85050000000000003</v>
      </c>
      <c r="G62" s="3179">
        <f t="shared" si="46"/>
        <v>0.85050000000000003</v>
      </c>
      <c r="H62" s="3179">
        <f>H63+H64</f>
        <v>0.85050000000000003</v>
      </c>
      <c r="I62" s="3179">
        <f t="shared" ref="I62:O62" si="47">I63+I64</f>
        <v>0.85050000000000003</v>
      </c>
      <c r="J62" s="3179">
        <f t="shared" si="47"/>
        <v>0.85050000000000003</v>
      </c>
      <c r="K62" s="3179">
        <f t="shared" si="47"/>
        <v>0.85050000000000003</v>
      </c>
      <c r="L62" s="3179">
        <f t="shared" si="47"/>
        <v>0.85050000000000003</v>
      </c>
      <c r="M62" s="3179">
        <f t="shared" si="47"/>
        <v>0.85050000000000003</v>
      </c>
      <c r="N62" s="3179">
        <f t="shared" si="47"/>
        <v>0.85050000000000003</v>
      </c>
      <c r="O62" s="3179">
        <f t="shared" si="47"/>
        <v>0.85050000000000003</v>
      </c>
    </row>
    <row r="63" spans="1:106" s="2542" customFormat="1" ht="15.75" thickBot="1" x14ac:dyDescent="0.3">
      <c r="B63" s="3142" t="s">
        <v>633</v>
      </c>
      <c r="C63" s="3178">
        <v>0.85050000000000003</v>
      </c>
      <c r="D63" s="3179">
        <v>0.85050000000000003</v>
      </c>
      <c r="E63" s="3179">
        <v>0.85050000000000003</v>
      </c>
      <c r="F63" s="3179">
        <v>0.85050000000000003</v>
      </c>
      <c r="G63" s="3179">
        <v>0.85050000000000003</v>
      </c>
      <c r="H63" s="3179">
        <v>0.85050000000000003</v>
      </c>
      <c r="I63" s="3179">
        <v>0.85050000000000003</v>
      </c>
      <c r="J63" s="3179">
        <v>0.85050000000000003</v>
      </c>
      <c r="K63" s="3179">
        <v>0.85050000000000003</v>
      </c>
      <c r="L63" s="3179">
        <v>0.85050000000000003</v>
      </c>
      <c r="M63" s="3179">
        <v>0.85050000000000003</v>
      </c>
      <c r="N63" s="3179">
        <v>0.85050000000000003</v>
      </c>
      <c r="O63" s="3179">
        <v>0.85050000000000003</v>
      </c>
    </row>
    <row r="64" spans="1:106" s="2542" customFormat="1" ht="15.75" thickBot="1" x14ac:dyDescent="0.3">
      <c r="B64" s="3142" t="s">
        <v>634</v>
      </c>
      <c r="C64" s="3178">
        <v>0</v>
      </c>
      <c r="D64" s="3179">
        <v>0</v>
      </c>
      <c r="E64" s="3179">
        <v>0</v>
      </c>
      <c r="F64" s="3179">
        <v>0</v>
      </c>
      <c r="G64" s="3179">
        <v>0</v>
      </c>
      <c r="H64" s="3179">
        <v>0</v>
      </c>
      <c r="I64" s="3179">
        <v>0</v>
      </c>
      <c r="J64" s="3179">
        <v>0</v>
      </c>
      <c r="K64" s="3179">
        <v>0</v>
      </c>
      <c r="L64" s="3179">
        <v>0</v>
      </c>
      <c r="M64" s="3179">
        <v>0</v>
      </c>
      <c r="N64" s="3179">
        <v>0</v>
      </c>
      <c r="O64" s="3179">
        <v>0</v>
      </c>
    </row>
    <row r="65" spans="2:17" s="2542" customFormat="1" ht="15.75" thickBot="1" x14ac:dyDescent="0.3">
      <c r="B65" s="3139" t="s">
        <v>630</v>
      </c>
      <c r="C65" s="3178">
        <f>C66+C67</f>
        <v>3.7894999999999999</v>
      </c>
      <c r="D65" s="3179">
        <f t="shared" ref="D65:G65" si="48">D66+D67</f>
        <v>3.7894999999999999</v>
      </c>
      <c r="E65" s="3179">
        <f t="shared" si="48"/>
        <v>3.7894999999999999</v>
      </c>
      <c r="F65" s="3179">
        <f t="shared" si="48"/>
        <v>3.7894999999999999</v>
      </c>
      <c r="G65" s="3179">
        <f t="shared" si="48"/>
        <v>3.7894999999999999</v>
      </c>
      <c r="H65" s="3179">
        <f>H66+H67</f>
        <v>3.7894999999999999</v>
      </c>
      <c r="I65" s="3179">
        <f t="shared" ref="I65:O65" si="49">I66+I67</f>
        <v>3.7894999999999999</v>
      </c>
      <c r="J65" s="3179">
        <f t="shared" si="49"/>
        <v>3.7894999999999999</v>
      </c>
      <c r="K65" s="3179">
        <f t="shared" si="49"/>
        <v>3.7894999999999999</v>
      </c>
      <c r="L65" s="3179">
        <f t="shared" si="49"/>
        <v>3.7894999999999999</v>
      </c>
      <c r="M65" s="3179">
        <f t="shared" si="49"/>
        <v>3.7894999999999999</v>
      </c>
      <c r="N65" s="3179">
        <f t="shared" si="49"/>
        <v>3.7894999999999999</v>
      </c>
      <c r="O65" s="3179">
        <f t="shared" si="49"/>
        <v>3.7894999999999999</v>
      </c>
    </row>
    <row r="66" spans="2:17" s="2542" customFormat="1" ht="15.75" thickBot="1" x14ac:dyDescent="0.3">
      <c r="B66" s="3142" t="s">
        <v>633</v>
      </c>
      <c r="C66" s="3178">
        <v>1.627</v>
      </c>
      <c r="D66" s="3179">
        <v>1.627</v>
      </c>
      <c r="E66" s="3179">
        <v>1.627</v>
      </c>
      <c r="F66" s="3179">
        <v>1.627</v>
      </c>
      <c r="G66" s="3179">
        <v>1.627</v>
      </c>
      <c r="H66" s="3179">
        <v>1.627</v>
      </c>
      <c r="I66" s="3179">
        <v>1.627</v>
      </c>
      <c r="J66" s="3179">
        <v>1.627</v>
      </c>
      <c r="K66" s="3179">
        <v>1.627</v>
      </c>
      <c r="L66" s="3179">
        <v>1.627</v>
      </c>
      <c r="M66" s="3179">
        <v>1.627</v>
      </c>
      <c r="N66" s="3179">
        <v>1.627</v>
      </c>
      <c r="O66" s="3179">
        <v>1.627</v>
      </c>
    </row>
    <row r="67" spans="2:17" s="2542" customFormat="1" ht="15.75" thickBot="1" x14ac:dyDescent="0.3">
      <c r="B67" s="3142" t="s">
        <v>634</v>
      </c>
      <c r="C67" s="3178">
        <v>2.1625000000000001</v>
      </c>
      <c r="D67" s="3179">
        <v>2.1625000000000001</v>
      </c>
      <c r="E67" s="3179">
        <v>2.1625000000000001</v>
      </c>
      <c r="F67" s="3179">
        <v>2.1625000000000001</v>
      </c>
      <c r="G67" s="3179">
        <v>2.1625000000000001</v>
      </c>
      <c r="H67" s="3179">
        <v>2.1625000000000001</v>
      </c>
      <c r="I67" s="3179">
        <v>2.1625000000000001</v>
      </c>
      <c r="J67" s="3179">
        <v>2.1625000000000001</v>
      </c>
      <c r="K67" s="3179">
        <v>2.1625000000000001</v>
      </c>
      <c r="L67" s="3179">
        <v>2.1625000000000001</v>
      </c>
      <c r="M67" s="3179">
        <v>2.1625000000000001</v>
      </c>
      <c r="N67" s="3179">
        <v>2.1625000000000001</v>
      </c>
      <c r="O67" s="3179">
        <v>2.1625000000000001</v>
      </c>
    </row>
    <row r="68" spans="2:17" s="2542" customFormat="1" ht="15.75" thickBot="1" x14ac:dyDescent="0.3">
      <c r="B68" s="3155" t="s">
        <v>636</v>
      </c>
      <c r="C68" s="3178">
        <f>C69+C72</f>
        <v>0.41539999999999999</v>
      </c>
      <c r="D68" s="3179">
        <f t="shared" ref="D68:O68" si="50">D69+D72</f>
        <v>0.41539999999999999</v>
      </c>
      <c r="E68" s="3179">
        <f t="shared" si="50"/>
        <v>0.41539999999999999</v>
      </c>
      <c r="F68" s="3179">
        <f t="shared" si="50"/>
        <v>0.41539999999999999</v>
      </c>
      <c r="G68" s="3179">
        <f t="shared" si="50"/>
        <v>0.41539999999999999</v>
      </c>
      <c r="H68" s="3179">
        <f t="shared" si="50"/>
        <v>0.41539999999999999</v>
      </c>
      <c r="I68" s="3179">
        <f t="shared" si="50"/>
        <v>0.41539999999999999</v>
      </c>
      <c r="J68" s="3179">
        <f t="shared" si="50"/>
        <v>0.41539999999999999</v>
      </c>
      <c r="K68" s="3179">
        <f t="shared" si="50"/>
        <v>0.41539999999999999</v>
      </c>
      <c r="L68" s="3179">
        <f t="shared" si="50"/>
        <v>0.41539999999999999</v>
      </c>
      <c r="M68" s="3179">
        <f t="shared" si="50"/>
        <v>0.41539999999999999</v>
      </c>
      <c r="N68" s="3179">
        <f t="shared" si="50"/>
        <v>0.41539999999999999</v>
      </c>
      <c r="O68" s="3179">
        <f t="shared" si="50"/>
        <v>0.41539999999999999</v>
      </c>
    </row>
    <row r="69" spans="2:17" s="2542" customFormat="1" ht="15.75" thickBot="1" x14ac:dyDescent="0.3">
      <c r="B69" s="3139" t="s">
        <v>631</v>
      </c>
      <c r="C69" s="3178">
        <f>C70+C71</f>
        <v>0</v>
      </c>
      <c r="D69" s="3179">
        <f t="shared" ref="D69:O69" si="51">D70+D71</f>
        <v>0</v>
      </c>
      <c r="E69" s="3179">
        <f t="shared" si="51"/>
        <v>0</v>
      </c>
      <c r="F69" s="3179">
        <f t="shared" si="51"/>
        <v>0</v>
      </c>
      <c r="G69" s="3179">
        <f t="shared" si="51"/>
        <v>0</v>
      </c>
      <c r="H69" s="3179">
        <f t="shared" si="51"/>
        <v>0</v>
      </c>
      <c r="I69" s="3179">
        <f t="shared" si="51"/>
        <v>0</v>
      </c>
      <c r="J69" s="3179">
        <f t="shared" si="51"/>
        <v>0</v>
      </c>
      <c r="K69" s="3179">
        <f t="shared" si="51"/>
        <v>0</v>
      </c>
      <c r="L69" s="3179">
        <f t="shared" si="51"/>
        <v>0</v>
      </c>
      <c r="M69" s="3179">
        <f t="shared" si="51"/>
        <v>0</v>
      </c>
      <c r="N69" s="3179">
        <f t="shared" si="51"/>
        <v>0</v>
      </c>
      <c r="O69" s="3179">
        <f t="shared" si="51"/>
        <v>0</v>
      </c>
    </row>
    <row r="70" spans="2:17" s="2542" customFormat="1" ht="15.75" thickBot="1" x14ac:dyDescent="0.3">
      <c r="B70" s="3142" t="s">
        <v>633</v>
      </c>
      <c r="C70" s="3178">
        <v>0</v>
      </c>
      <c r="D70" s="3179">
        <v>0</v>
      </c>
      <c r="E70" s="3179">
        <v>0</v>
      </c>
      <c r="F70" s="3179">
        <v>0</v>
      </c>
      <c r="G70" s="3179">
        <v>0</v>
      </c>
      <c r="H70" s="3179">
        <v>0</v>
      </c>
      <c r="I70" s="3179">
        <v>0</v>
      </c>
      <c r="J70" s="3179">
        <v>0</v>
      </c>
      <c r="K70" s="3179">
        <v>0</v>
      </c>
      <c r="L70" s="3179">
        <v>0</v>
      </c>
      <c r="M70" s="3179">
        <v>0</v>
      </c>
      <c r="N70" s="3179">
        <v>0</v>
      </c>
      <c r="O70" s="3179">
        <v>0</v>
      </c>
    </row>
    <row r="71" spans="2:17" s="2542" customFormat="1" ht="15.75" thickBot="1" x14ac:dyDescent="0.3">
      <c r="B71" s="3142" t="s">
        <v>634</v>
      </c>
      <c r="C71" s="3178">
        <v>0</v>
      </c>
      <c r="D71" s="3179">
        <v>0</v>
      </c>
      <c r="E71" s="3179">
        <v>0</v>
      </c>
      <c r="F71" s="3179">
        <v>0</v>
      </c>
      <c r="G71" s="3179">
        <v>0</v>
      </c>
      <c r="H71" s="3179">
        <v>0</v>
      </c>
      <c r="I71" s="3179">
        <v>0</v>
      </c>
      <c r="J71" s="3179">
        <v>0</v>
      </c>
      <c r="K71" s="3179">
        <v>0</v>
      </c>
      <c r="L71" s="3179">
        <v>0</v>
      </c>
      <c r="M71" s="3179">
        <v>0</v>
      </c>
      <c r="N71" s="3179">
        <v>0</v>
      </c>
      <c r="O71" s="3179">
        <v>0</v>
      </c>
    </row>
    <row r="72" spans="2:17" s="2542" customFormat="1" ht="15.75" thickBot="1" x14ac:dyDescent="0.3">
      <c r="B72" s="3139" t="s">
        <v>630</v>
      </c>
      <c r="C72" s="3178">
        <f>C73+C74</f>
        <v>0.41539999999999999</v>
      </c>
      <c r="D72" s="3179">
        <f t="shared" ref="D72:O72" si="52">D73+D74</f>
        <v>0.41539999999999999</v>
      </c>
      <c r="E72" s="3179">
        <f t="shared" si="52"/>
        <v>0.41539999999999999</v>
      </c>
      <c r="F72" s="3179">
        <f t="shared" si="52"/>
        <v>0.41539999999999999</v>
      </c>
      <c r="G72" s="3179">
        <f t="shared" si="52"/>
        <v>0.41539999999999999</v>
      </c>
      <c r="H72" s="3179">
        <f t="shared" si="52"/>
        <v>0.41539999999999999</v>
      </c>
      <c r="I72" s="3179">
        <f t="shared" si="52"/>
        <v>0.41539999999999999</v>
      </c>
      <c r="J72" s="3179">
        <f t="shared" si="52"/>
        <v>0.41539999999999999</v>
      </c>
      <c r="K72" s="3179">
        <f t="shared" si="52"/>
        <v>0.41539999999999999</v>
      </c>
      <c r="L72" s="3179">
        <f t="shared" si="52"/>
        <v>0.41539999999999999</v>
      </c>
      <c r="M72" s="3179">
        <f t="shared" si="52"/>
        <v>0.41539999999999999</v>
      </c>
      <c r="N72" s="3179">
        <f t="shared" si="52"/>
        <v>0.41539999999999999</v>
      </c>
      <c r="O72" s="3179">
        <f t="shared" si="52"/>
        <v>0.41539999999999999</v>
      </c>
    </row>
    <row r="73" spans="2:17" s="2542" customFormat="1" ht="15.75" thickBot="1" x14ac:dyDescent="0.3">
      <c r="B73" s="3142" t="s">
        <v>633</v>
      </c>
      <c r="C73" s="3178">
        <v>5.9499999999999997E-2</v>
      </c>
      <c r="D73" s="3179">
        <v>5.9499999999999997E-2</v>
      </c>
      <c r="E73" s="3179">
        <v>5.9499999999999997E-2</v>
      </c>
      <c r="F73" s="3179">
        <v>5.9499999999999997E-2</v>
      </c>
      <c r="G73" s="3179">
        <v>5.9499999999999997E-2</v>
      </c>
      <c r="H73" s="3179">
        <v>5.9499999999999997E-2</v>
      </c>
      <c r="I73" s="3179">
        <v>5.9499999999999997E-2</v>
      </c>
      <c r="J73" s="3179">
        <v>5.9499999999999997E-2</v>
      </c>
      <c r="K73" s="3179">
        <v>5.9499999999999997E-2</v>
      </c>
      <c r="L73" s="3179">
        <v>5.9499999999999997E-2</v>
      </c>
      <c r="M73" s="3179">
        <v>5.9499999999999997E-2</v>
      </c>
      <c r="N73" s="3179">
        <v>5.9499999999999997E-2</v>
      </c>
      <c r="O73" s="3179">
        <v>5.9499999999999997E-2</v>
      </c>
    </row>
    <row r="74" spans="2:17" s="2542" customFormat="1" ht="15.75" thickBot="1" x14ac:dyDescent="0.3">
      <c r="B74" s="3142" t="s">
        <v>634</v>
      </c>
      <c r="C74" s="3178">
        <v>0.35589999999999999</v>
      </c>
      <c r="D74" s="3179">
        <v>0.35589999999999999</v>
      </c>
      <c r="E74" s="3179">
        <v>0.35589999999999999</v>
      </c>
      <c r="F74" s="3179">
        <v>0.35589999999999999</v>
      </c>
      <c r="G74" s="3179">
        <v>0.35589999999999999</v>
      </c>
      <c r="H74" s="3179">
        <v>0.35589999999999999</v>
      </c>
      <c r="I74" s="3179">
        <v>0.35589999999999999</v>
      </c>
      <c r="J74" s="3179">
        <v>0.35589999999999999</v>
      </c>
      <c r="K74" s="3179">
        <v>0.35589999999999999</v>
      </c>
      <c r="L74" s="3179">
        <v>0.35589999999999999</v>
      </c>
      <c r="M74" s="3179">
        <v>0.35589999999999999</v>
      </c>
      <c r="N74" s="3179">
        <v>0.35589999999999999</v>
      </c>
      <c r="O74" s="3179">
        <v>0.35589999999999999</v>
      </c>
    </row>
    <row r="75" spans="2:17" s="2542" customFormat="1" thickBot="1" x14ac:dyDescent="0.25">
      <c r="B75" s="3180" t="s">
        <v>635</v>
      </c>
      <c r="C75" s="3181">
        <f>C76+C84+C91+C99+C106+C113</f>
        <v>7926.86</v>
      </c>
      <c r="D75" s="3182">
        <f>D76+D84+D91+D99+D106+D113</f>
        <v>1932.68</v>
      </c>
      <c r="E75" s="3182">
        <f t="shared" ref="E75:O75" si="53">E76+E84+E91+E99+E106+E113</f>
        <v>1596.71</v>
      </c>
      <c r="F75" s="3182">
        <f t="shared" si="53"/>
        <v>1528.12</v>
      </c>
      <c r="G75" s="3182">
        <f t="shared" si="53"/>
        <v>62.4</v>
      </c>
      <c r="H75" s="3182">
        <f t="shared" si="53"/>
        <v>0</v>
      </c>
      <c r="I75" s="3182">
        <f t="shared" si="53"/>
        <v>0</v>
      </c>
      <c r="J75" s="3182">
        <f t="shared" si="53"/>
        <v>0</v>
      </c>
      <c r="K75" s="3182">
        <f t="shared" si="53"/>
        <v>0</v>
      </c>
      <c r="L75" s="3182">
        <f t="shared" si="53"/>
        <v>0</v>
      </c>
      <c r="M75" s="3182">
        <f t="shared" si="53"/>
        <v>0</v>
      </c>
      <c r="N75" s="3182">
        <f t="shared" si="53"/>
        <v>1212.8499999999999</v>
      </c>
      <c r="O75" s="3182">
        <f t="shared" si="53"/>
        <v>1594.09</v>
      </c>
      <c r="P75" s="2546"/>
    </row>
    <row r="76" spans="2:17" s="2542" customFormat="1" ht="28.5" x14ac:dyDescent="0.2">
      <c r="B76" s="3183" t="s">
        <v>637</v>
      </c>
      <c r="C76" s="3184">
        <f t="shared" ref="C76:O76" si="54">C77+C80</f>
        <v>0</v>
      </c>
      <c r="D76" s="3184">
        <f t="shared" si="54"/>
        <v>0</v>
      </c>
      <c r="E76" s="3184">
        <f t="shared" si="54"/>
        <v>0</v>
      </c>
      <c r="F76" s="3184">
        <f t="shared" si="54"/>
        <v>0</v>
      </c>
      <c r="G76" s="3184">
        <f t="shared" si="54"/>
        <v>0</v>
      </c>
      <c r="H76" s="3184"/>
      <c r="I76" s="3184"/>
      <c r="J76" s="3184"/>
      <c r="K76" s="3184"/>
      <c r="L76" s="3184"/>
      <c r="M76" s="3184">
        <f t="shared" si="54"/>
        <v>0</v>
      </c>
      <c r="N76" s="3184">
        <f t="shared" si="54"/>
        <v>0</v>
      </c>
      <c r="O76" s="3185">
        <f t="shared" si="54"/>
        <v>0</v>
      </c>
      <c r="Q76" s="2544"/>
    </row>
    <row r="77" spans="2:17" s="2542" customFormat="1" x14ac:dyDescent="0.25">
      <c r="B77" s="3139" t="s">
        <v>629</v>
      </c>
      <c r="C77" s="3186">
        <f>C78+C79</f>
        <v>0</v>
      </c>
      <c r="D77" s="3186">
        <f t="shared" ref="D77:O77" si="55">D78+D79</f>
        <v>0</v>
      </c>
      <c r="E77" s="3186">
        <f t="shared" si="55"/>
        <v>0</v>
      </c>
      <c r="F77" s="3186">
        <f t="shared" si="55"/>
        <v>0</v>
      </c>
      <c r="G77" s="3186">
        <f t="shared" si="55"/>
        <v>0</v>
      </c>
      <c r="H77" s="3186"/>
      <c r="I77" s="3186"/>
      <c r="J77" s="3186"/>
      <c r="K77" s="3186"/>
      <c r="L77" s="3186"/>
      <c r="M77" s="3186">
        <f t="shared" si="55"/>
        <v>0</v>
      </c>
      <c r="N77" s="3186">
        <f t="shared" si="55"/>
        <v>0</v>
      </c>
      <c r="O77" s="3187">
        <f t="shared" si="55"/>
        <v>0</v>
      </c>
    </row>
    <row r="78" spans="2:17" s="2542" customFormat="1" x14ac:dyDescent="0.25">
      <c r="B78" s="3142" t="s">
        <v>712</v>
      </c>
      <c r="C78" s="3188">
        <f>(C18-C19)*C12</f>
        <v>0</v>
      </c>
      <c r="D78" s="3188">
        <f>(D18-D19)*D12</f>
        <v>0</v>
      </c>
      <c r="E78" s="3188">
        <f>(E18-E19)*E12</f>
        <v>0</v>
      </c>
      <c r="F78" s="3188">
        <f>(F18-F19)*F12</f>
        <v>0</v>
      </c>
      <c r="G78" s="3188">
        <f>(G18-G19)*G12</f>
        <v>0</v>
      </c>
      <c r="H78" s="3188"/>
      <c r="I78" s="3188"/>
      <c r="J78" s="3188"/>
      <c r="K78" s="3188"/>
      <c r="L78" s="3188"/>
      <c r="M78" s="3188">
        <f>(M18-M19)*M12</f>
        <v>0</v>
      </c>
      <c r="N78" s="3188">
        <f>(N18-N19)*N12</f>
        <v>0</v>
      </c>
      <c r="O78" s="3189">
        <f>(O18-O19)*O12</f>
        <v>0</v>
      </c>
    </row>
    <row r="79" spans="2:17" s="2542" customFormat="1" x14ac:dyDescent="0.25">
      <c r="B79" s="3142" t="s">
        <v>693</v>
      </c>
      <c r="C79" s="3188">
        <f>C19*C11</f>
        <v>0</v>
      </c>
      <c r="D79" s="3188">
        <f>D19*D11</f>
        <v>0</v>
      </c>
      <c r="E79" s="3188">
        <f>E19*E11</f>
        <v>0</v>
      </c>
      <c r="F79" s="3188">
        <f>F19*F11</f>
        <v>0</v>
      </c>
      <c r="G79" s="3188">
        <f>G19*G11</f>
        <v>0</v>
      </c>
      <c r="H79" s="3188"/>
      <c r="I79" s="3188"/>
      <c r="J79" s="3188"/>
      <c r="K79" s="3188"/>
      <c r="L79" s="3188"/>
      <c r="M79" s="3188">
        <f>M19*M11</f>
        <v>0</v>
      </c>
      <c r="N79" s="3188">
        <f>N19*N11</f>
        <v>0</v>
      </c>
      <c r="O79" s="3189">
        <f>O19*O11</f>
        <v>0</v>
      </c>
    </row>
    <row r="80" spans="2:17" s="2542" customFormat="1" x14ac:dyDescent="0.25">
      <c r="B80" s="3139" t="s">
        <v>630</v>
      </c>
      <c r="C80" s="3186">
        <f t="shared" ref="C80:O80" si="56">C81+C83</f>
        <v>0</v>
      </c>
      <c r="D80" s="3186">
        <f t="shared" si="56"/>
        <v>0</v>
      </c>
      <c r="E80" s="3186">
        <f t="shared" si="56"/>
        <v>0</v>
      </c>
      <c r="F80" s="3186">
        <f t="shared" si="56"/>
        <v>0</v>
      </c>
      <c r="G80" s="3186">
        <f t="shared" si="56"/>
        <v>0</v>
      </c>
      <c r="H80" s="3186"/>
      <c r="I80" s="3186"/>
      <c r="J80" s="3186"/>
      <c r="K80" s="3186"/>
      <c r="L80" s="3186"/>
      <c r="M80" s="3186">
        <f t="shared" si="56"/>
        <v>0</v>
      </c>
      <c r="N80" s="3186">
        <f t="shared" si="56"/>
        <v>0</v>
      </c>
      <c r="O80" s="3187">
        <f t="shared" si="56"/>
        <v>0</v>
      </c>
    </row>
    <row r="81" spans="1:106" s="2542" customFormat="1" x14ac:dyDescent="0.25">
      <c r="B81" s="3142" t="s">
        <v>712</v>
      </c>
      <c r="C81" s="3188">
        <f>(C21-C22)*C12</f>
        <v>0</v>
      </c>
      <c r="D81" s="3188">
        <f>(D21-D22)*D12</f>
        <v>0</v>
      </c>
      <c r="E81" s="3188">
        <f>(E21-E22)*E12</f>
        <v>0</v>
      </c>
      <c r="F81" s="3188">
        <f>(F21-F22)*F12</f>
        <v>0</v>
      </c>
      <c r="G81" s="3188">
        <f>(G21-G22)*G12</f>
        <v>0</v>
      </c>
      <c r="H81" s="3188"/>
      <c r="I81" s="3188"/>
      <c r="J81" s="3188"/>
      <c r="K81" s="3188"/>
      <c r="L81" s="3188"/>
      <c r="M81" s="3188">
        <f>(M21-M22)*M12</f>
        <v>0</v>
      </c>
      <c r="N81" s="3188">
        <f>(N21-N22)*N12</f>
        <v>0</v>
      </c>
      <c r="O81" s="3189">
        <f>(O21-O22)*O12</f>
        <v>0</v>
      </c>
    </row>
    <row r="82" spans="1:106" s="2542" customFormat="1" x14ac:dyDescent="0.25">
      <c r="B82" s="3146"/>
      <c r="C82" s="3188">
        <f>C23*C12</f>
        <v>0</v>
      </c>
      <c r="D82" s="3188">
        <f>D23*D12</f>
        <v>0</v>
      </c>
      <c r="E82" s="3188">
        <f>E23*E12</f>
        <v>0</v>
      </c>
      <c r="F82" s="3188">
        <f>F23*F12</f>
        <v>0</v>
      </c>
      <c r="G82" s="3188">
        <f>G23*G12</f>
        <v>0</v>
      </c>
      <c r="H82" s="3188"/>
      <c r="I82" s="3188"/>
      <c r="J82" s="3188"/>
      <c r="K82" s="3188"/>
      <c r="L82" s="3188"/>
      <c r="M82" s="3188">
        <f>M23*M12</f>
        <v>0</v>
      </c>
      <c r="N82" s="3188">
        <f>N23*N12</f>
        <v>0</v>
      </c>
      <c r="O82" s="3189">
        <f>O23*O12</f>
        <v>0</v>
      </c>
    </row>
    <row r="83" spans="1:106" s="2542" customFormat="1" ht="15.75" thickBot="1" x14ac:dyDescent="0.3">
      <c r="B83" s="3174" t="s">
        <v>693</v>
      </c>
      <c r="C83" s="3190">
        <f>C22*C11</f>
        <v>0</v>
      </c>
      <c r="D83" s="3190">
        <f>D22*D11</f>
        <v>0</v>
      </c>
      <c r="E83" s="3190">
        <f>E22*E11</f>
        <v>0</v>
      </c>
      <c r="F83" s="3190">
        <f>F22*F11</f>
        <v>0</v>
      </c>
      <c r="G83" s="3190">
        <f>G22*G11</f>
        <v>0</v>
      </c>
      <c r="H83" s="3190"/>
      <c r="I83" s="3190"/>
      <c r="J83" s="3190"/>
      <c r="K83" s="3190"/>
      <c r="L83" s="3190"/>
      <c r="M83" s="3190">
        <f>M22*M11</f>
        <v>0</v>
      </c>
      <c r="N83" s="3190">
        <f>N22*N11</f>
        <v>0</v>
      </c>
      <c r="O83" s="3191">
        <f>O22*O11</f>
        <v>0</v>
      </c>
    </row>
    <row r="84" spans="1:106" s="2542" customFormat="1" ht="29.25" thickBot="1" x14ac:dyDescent="0.25">
      <c r="B84" s="3192" t="s">
        <v>638</v>
      </c>
      <c r="C84" s="3193">
        <f t="shared" ref="C84:O84" si="57">C85+C88</f>
        <v>0</v>
      </c>
      <c r="D84" s="3193">
        <f t="shared" si="57"/>
        <v>0</v>
      </c>
      <c r="E84" s="3193">
        <f t="shared" si="57"/>
        <v>0</v>
      </c>
      <c r="F84" s="3193">
        <f t="shared" si="57"/>
        <v>0</v>
      </c>
      <c r="G84" s="3193">
        <f t="shared" si="57"/>
        <v>0</v>
      </c>
      <c r="H84" s="3193"/>
      <c r="I84" s="3193"/>
      <c r="J84" s="3193"/>
      <c r="K84" s="3193"/>
      <c r="L84" s="3193"/>
      <c r="M84" s="3193">
        <f t="shared" si="57"/>
        <v>0</v>
      </c>
      <c r="N84" s="3193">
        <f t="shared" si="57"/>
        <v>0</v>
      </c>
      <c r="O84" s="3194">
        <f t="shared" si="57"/>
        <v>0</v>
      </c>
    </row>
    <row r="85" spans="1:106" s="2542" customFormat="1" x14ac:dyDescent="0.25">
      <c r="B85" s="3195" t="s">
        <v>629</v>
      </c>
      <c r="C85" s="3196">
        <f t="shared" ref="C85:O85" si="58">C86+C87</f>
        <v>0</v>
      </c>
      <c r="D85" s="3196">
        <f t="shared" si="58"/>
        <v>0</v>
      </c>
      <c r="E85" s="3196">
        <f t="shared" si="58"/>
        <v>0</v>
      </c>
      <c r="F85" s="3196">
        <f t="shared" si="58"/>
        <v>0</v>
      </c>
      <c r="G85" s="3196">
        <f t="shared" si="58"/>
        <v>0</v>
      </c>
      <c r="H85" s="3196"/>
      <c r="I85" s="3196"/>
      <c r="J85" s="3196"/>
      <c r="K85" s="3196"/>
      <c r="L85" s="3196"/>
      <c r="M85" s="3196">
        <f t="shared" si="58"/>
        <v>0</v>
      </c>
      <c r="N85" s="3196">
        <f t="shared" si="58"/>
        <v>0</v>
      </c>
      <c r="O85" s="3197">
        <f t="shared" si="58"/>
        <v>0</v>
      </c>
    </row>
    <row r="86" spans="1:106" x14ac:dyDescent="0.25">
      <c r="B86" s="3142" t="s">
        <v>633</v>
      </c>
      <c r="C86" s="3198">
        <f>C26*$C$12</f>
        <v>0</v>
      </c>
      <c r="D86" s="3198">
        <f>D26*$D$12</f>
        <v>0</v>
      </c>
      <c r="E86" s="3198">
        <f>E26*$E$12</f>
        <v>0</v>
      </c>
      <c r="F86" s="3198">
        <f>F26*$F$12</f>
        <v>0</v>
      </c>
      <c r="G86" s="3198">
        <f>G26*$G$12</f>
        <v>0</v>
      </c>
      <c r="H86" s="3198"/>
      <c r="I86" s="3198"/>
      <c r="J86" s="3198"/>
      <c r="K86" s="3198"/>
      <c r="L86" s="3198"/>
      <c r="M86" s="3198">
        <f>M26*$M$12</f>
        <v>0</v>
      </c>
      <c r="N86" s="3198">
        <f>N26*$N$12</f>
        <v>0</v>
      </c>
      <c r="O86" s="3199">
        <f>O26*$O$12</f>
        <v>0</v>
      </c>
    </row>
    <row r="87" spans="1:106" x14ac:dyDescent="0.25">
      <c r="B87" s="3142" t="s">
        <v>634</v>
      </c>
      <c r="C87" s="3198">
        <f>C27*$C$12</f>
        <v>0</v>
      </c>
      <c r="D87" s="3198">
        <f>D27*$D$12</f>
        <v>0</v>
      </c>
      <c r="E87" s="3198">
        <f>E27*$E$12</f>
        <v>0</v>
      </c>
      <c r="F87" s="3198">
        <f>F27*$F$12</f>
        <v>0</v>
      </c>
      <c r="G87" s="3198">
        <f>G27*$G$12</f>
        <v>0</v>
      </c>
      <c r="H87" s="3198"/>
      <c r="I87" s="3198"/>
      <c r="J87" s="3198"/>
      <c r="K87" s="3198"/>
      <c r="L87" s="3198"/>
      <c r="M87" s="3198">
        <f>M27*$M$12</f>
        <v>0</v>
      </c>
      <c r="N87" s="3198">
        <f>N27*$N$12</f>
        <v>0</v>
      </c>
      <c r="O87" s="3199">
        <f>O27*$O$12</f>
        <v>0</v>
      </c>
    </row>
    <row r="88" spans="1:106" s="2542" customFormat="1" x14ac:dyDescent="0.25">
      <c r="B88" s="3139" t="s">
        <v>630</v>
      </c>
      <c r="C88" s="3196">
        <f t="shared" ref="C88:O88" si="59">C89+C90</f>
        <v>0</v>
      </c>
      <c r="D88" s="3196">
        <f t="shared" si="59"/>
        <v>0</v>
      </c>
      <c r="E88" s="3196">
        <f t="shared" si="59"/>
        <v>0</v>
      </c>
      <c r="F88" s="3196">
        <f t="shared" si="59"/>
        <v>0</v>
      </c>
      <c r="G88" s="3196">
        <f t="shared" si="59"/>
        <v>0</v>
      </c>
      <c r="H88" s="3196"/>
      <c r="I88" s="3196"/>
      <c r="J88" s="3196"/>
      <c r="K88" s="3196"/>
      <c r="L88" s="3196"/>
      <c r="M88" s="3196">
        <f t="shared" si="59"/>
        <v>0</v>
      </c>
      <c r="N88" s="3196">
        <f t="shared" si="59"/>
        <v>0</v>
      </c>
      <c r="O88" s="3197">
        <f t="shared" si="59"/>
        <v>0</v>
      </c>
    </row>
    <row r="89" spans="1:106" s="2542" customFormat="1" x14ac:dyDescent="0.25">
      <c r="B89" s="3142" t="s">
        <v>633</v>
      </c>
      <c r="C89" s="3198">
        <f>C29*$C$12</f>
        <v>0</v>
      </c>
      <c r="D89" s="3198">
        <f>D29*$D$12</f>
        <v>0</v>
      </c>
      <c r="E89" s="3198">
        <f>E29*$E$12</f>
        <v>0</v>
      </c>
      <c r="F89" s="3198">
        <f>F29*$F$12</f>
        <v>0</v>
      </c>
      <c r="G89" s="3198">
        <f>G29*$G$12</f>
        <v>0</v>
      </c>
      <c r="H89" s="3198"/>
      <c r="I89" s="3198"/>
      <c r="J89" s="3198"/>
      <c r="K89" s="3198"/>
      <c r="L89" s="3198"/>
      <c r="M89" s="3198">
        <f>M29*$M$12</f>
        <v>0</v>
      </c>
      <c r="N89" s="3198">
        <f>N29*$N$12</f>
        <v>0</v>
      </c>
      <c r="O89" s="3199">
        <f>O29*$O$12</f>
        <v>0</v>
      </c>
    </row>
    <row r="90" spans="1:106" s="2542" customFormat="1" x14ac:dyDescent="0.25">
      <c r="B90" s="3142" t="s">
        <v>634</v>
      </c>
      <c r="C90" s="3198">
        <f>C30*$C$12</f>
        <v>0</v>
      </c>
      <c r="D90" s="3198">
        <f>D30*$D$12</f>
        <v>0</v>
      </c>
      <c r="E90" s="3198">
        <f>E30*$E$12</f>
        <v>0</v>
      </c>
      <c r="F90" s="3198">
        <f>F30*$F$12</f>
        <v>0</v>
      </c>
      <c r="G90" s="3198">
        <f>G30*$G$12</f>
        <v>0</v>
      </c>
      <c r="H90" s="3198"/>
      <c r="I90" s="3198"/>
      <c r="J90" s="3198"/>
      <c r="K90" s="3198"/>
      <c r="L90" s="3198"/>
      <c r="M90" s="3198">
        <f>M30*$M$12</f>
        <v>0</v>
      </c>
      <c r="N90" s="3198">
        <f>N30*$N$12</f>
        <v>0</v>
      </c>
      <c r="O90" s="3199">
        <f>O30*$O$12</f>
        <v>0</v>
      </c>
    </row>
    <row r="91" spans="1:106" s="3203" customFormat="1" x14ac:dyDescent="0.25">
      <c r="A91" s="2542"/>
      <c r="B91" s="3155" t="s">
        <v>627</v>
      </c>
      <c r="C91" s="3200">
        <f>C92+C95</f>
        <v>0</v>
      </c>
      <c r="D91" s="3201">
        <f t="shared" ref="D91:O91" si="60">D92+D95</f>
        <v>0</v>
      </c>
      <c r="E91" s="3201">
        <f t="shared" si="60"/>
        <v>0</v>
      </c>
      <c r="F91" s="3201">
        <f t="shared" si="60"/>
        <v>0</v>
      </c>
      <c r="G91" s="3201">
        <f t="shared" si="60"/>
        <v>0</v>
      </c>
      <c r="H91" s="3201"/>
      <c r="I91" s="3201"/>
      <c r="J91" s="3201"/>
      <c r="K91" s="3201"/>
      <c r="L91" s="3201"/>
      <c r="M91" s="3201">
        <f t="shared" si="60"/>
        <v>0</v>
      </c>
      <c r="N91" s="3201">
        <f t="shared" si="60"/>
        <v>0</v>
      </c>
      <c r="O91" s="3202">
        <f t="shared" si="60"/>
        <v>0</v>
      </c>
      <c r="P91" s="2545"/>
      <c r="Q91" s="2542"/>
      <c r="R91" s="2542"/>
      <c r="S91" s="2542"/>
      <c r="T91" s="2542"/>
      <c r="U91" s="2542"/>
      <c r="V91" s="2542"/>
      <c r="W91" s="2542"/>
      <c r="X91" s="2542"/>
      <c r="Y91" s="2542"/>
      <c r="Z91" s="2542"/>
      <c r="AA91" s="2542"/>
      <c r="AB91" s="2542"/>
      <c r="AC91" s="2542"/>
      <c r="AD91" s="2542"/>
      <c r="AE91" s="2542"/>
      <c r="AF91" s="2542"/>
      <c r="AG91" s="2542"/>
      <c r="AH91" s="2542"/>
      <c r="AI91" s="2542"/>
      <c r="AJ91" s="2542"/>
      <c r="AK91" s="2542"/>
      <c r="AL91" s="2542"/>
      <c r="AM91" s="2542"/>
      <c r="AN91" s="2542"/>
      <c r="AO91" s="2542"/>
      <c r="AP91" s="2542"/>
      <c r="AQ91" s="2542"/>
      <c r="AR91" s="2542"/>
      <c r="AS91" s="2542"/>
      <c r="AT91" s="2542"/>
      <c r="AU91" s="2542"/>
      <c r="AV91" s="2542"/>
      <c r="AW91" s="2542"/>
      <c r="AX91" s="2542"/>
      <c r="AY91" s="2542"/>
      <c r="AZ91" s="2542"/>
      <c r="BA91" s="2542"/>
      <c r="BB91" s="2542"/>
      <c r="BC91" s="2542"/>
      <c r="BD91" s="2542"/>
      <c r="BE91" s="2542"/>
      <c r="BF91" s="2542"/>
      <c r="BG91" s="2542"/>
      <c r="BH91" s="2542"/>
      <c r="BI91" s="2542"/>
      <c r="BJ91" s="2542"/>
      <c r="BK91" s="2542"/>
      <c r="BL91" s="2542"/>
      <c r="BM91" s="2542"/>
      <c r="BN91" s="2542"/>
      <c r="BO91" s="2542"/>
      <c r="BP91" s="2542"/>
      <c r="BQ91" s="2542"/>
      <c r="BR91" s="2542"/>
      <c r="BS91" s="2542"/>
      <c r="BT91" s="2542"/>
      <c r="BU91" s="2542"/>
      <c r="BV91" s="2542"/>
      <c r="BW91" s="2542"/>
      <c r="BX91" s="2542"/>
      <c r="BY91" s="2542"/>
      <c r="BZ91" s="2542"/>
      <c r="CA91" s="2542"/>
      <c r="CB91" s="2542"/>
      <c r="CC91" s="2542"/>
      <c r="CD91" s="2542"/>
      <c r="CE91" s="2542"/>
      <c r="CF91" s="2542"/>
      <c r="CG91" s="2542"/>
      <c r="CH91" s="2542"/>
      <c r="CI91" s="2542"/>
      <c r="CJ91" s="2542"/>
      <c r="CK91" s="2542"/>
      <c r="CL91" s="2542"/>
      <c r="CM91" s="2542"/>
      <c r="CN91" s="2542"/>
      <c r="CO91" s="2542"/>
      <c r="CP91" s="2542"/>
      <c r="CQ91" s="2542"/>
      <c r="CR91" s="2542"/>
      <c r="CS91" s="2542"/>
      <c r="CT91" s="2542"/>
      <c r="CU91" s="2542"/>
      <c r="CV91" s="2542"/>
      <c r="CW91" s="2542"/>
      <c r="CX91" s="2542"/>
      <c r="CY91" s="2542"/>
      <c r="CZ91" s="2542"/>
      <c r="DA91" s="2542"/>
      <c r="DB91" s="2542"/>
    </row>
    <row r="92" spans="1:106" s="3172" customFormat="1" ht="15.75" thickBot="1" x14ac:dyDescent="0.3">
      <c r="A92" s="2542"/>
      <c r="B92" s="3522" t="s">
        <v>629</v>
      </c>
      <c r="C92" s="3523">
        <f t="shared" ref="C92:O92" si="61">C93+C94</f>
        <v>0</v>
      </c>
      <c r="D92" s="3523">
        <f t="shared" si="61"/>
        <v>0</v>
      </c>
      <c r="E92" s="3523">
        <f t="shared" si="61"/>
        <v>0</v>
      </c>
      <c r="F92" s="3523">
        <f t="shared" si="61"/>
        <v>0</v>
      </c>
      <c r="G92" s="3523">
        <f t="shared" si="61"/>
        <v>0</v>
      </c>
      <c r="H92" s="3523"/>
      <c r="I92" s="3523"/>
      <c r="J92" s="3523"/>
      <c r="K92" s="3523"/>
      <c r="L92" s="3523"/>
      <c r="M92" s="3523">
        <f t="shared" si="61"/>
        <v>0</v>
      </c>
      <c r="N92" s="3523">
        <f t="shared" si="61"/>
        <v>0</v>
      </c>
      <c r="O92" s="3524">
        <f t="shared" si="61"/>
        <v>0</v>
      </c>
      <c r="P92" s="2542"/>
      <c r="Q92" s="2542"/>
      <c r="R92" s="2542"/>
      <c r="S92" s="2542"/>
      <c r="T92" s="2542"/>
      <c r="U92" s="2542"/>
      <c r="V92" s="2542"/>
      <c r="W92" s="2542"/>
      <c r="X92" s="2542"/>
      <c r="Y92" s="2542"/>
      <c r="Z92" s="2542"/>
      <c r="AA92" s="2542"/>
      <c r="AB92" s="2542"/>
      <c r="AC92" s="2542"/>
      <c r="AD92" s="2542"/>
      <c r="AE92" s="2542"/>
      <c r="AF92" s="2542"/>
      <c r="AG92" s="2542"/>
      <c r="AH92" s="2542"/>
      <c r="AI92" s="2542"/>
      <c r="AJ92" s="2542"/>
      <c r="AK92" s="2542"/>
      <c r="AL92" s="2542"/>
      <c r="AM92" s="2542"/>
      <c r="AN92" s="2542"/>
      <c r="AO92" s="2542"/>
      <c r="AP92" s="2542"/>
      <c r="AQ92" s="2542"/>
      <c r="AR92" s="2542"/>
      <c r="AS92" s="2542"/>
      <c r="AT92" s="2542"/>
      <c r="AU92" s="2542"/>
      <c r="AV92" s="2542"/>
      <c r="AW92" s="2542"/>
      <c r="AX92" s="2542"/>
      <c r="AY92" s="2542"/>
      <c r="AZ92" s="2542"/>
      <c r="BA92" s="2542"/>
      <c r="BB92" s="2542"/>
      <c r="BC92" s="2542"/>
      <c r="BD92" s="2542"/>
      <c r="BE92" s="2542"/>
      <c r="BF92" s="2542"/>
      <c r="BG92" s="2542"/>
      <c r="BH92" s="2542"/>
      <c r="BI92" s="2542"/>
      <c r="BJ92" s="2542"/>
      <c r="BK92" s="2542"/>
      <c r="BL92" s="2542"/>
      <c r="BM92" s="2542"/>
      <c r="BN92" s="2542"/>
      <c r="BO92" s="2542"/>
      <c r="BP92" s="2542"/>
      <c r="BQ92" s="2542"/>
      <c r="BR92" s="2542"/>
      <c r="BS92" s="2542"/>
      <c r="BT92" s="2542"/>
      <c r="BU92" s="2542"/>
      <c r="BV92" s="2542"/>
      <c r="BW92" s="2542"/>
      <c r="BX92" s="2542"/>
      <c r="BY92" s="2542"/>
      <c r="BZ92" s="2542"/>
      <c r="CA92" s="2542"/>
      <c r="CB92" s="2542"/>
      <c r="CC92" s="2542"/>
      <c r="CD92" s="2542"/>
      <c r="CE92" s="2542"/>
      <c r="CF92" s="2542"/>
      <c r="CG92" s="2542"/>
      <c r="CH92" s="2542"/>
      <c r="CI92" s="2542"/>
      <c r="CJ92" s="2542"/>
      <c r="CK92" s="2542"/>
      <c r="CL92" s="2542"/>
      <c r="CM92" s="2542"/>
      <c r="CN92" s="2542"/>
      <c r="CO92" s="2542"/>
      <c r="CP92" s="2542"/>
      <c r="CQ92" s="2542"/>
      <c r="CR92" s="2542"/>
      <c r="CS92" s="2542"/>
      <c r="CT92" s="2542"/>
      <c r="CU92" s="2542"/>
      <c r="CV92" s="2542"/>
      <c r="CW92" s="2542"/>
      <c r="CX92" s="2542"/>
      <c r="CY92" s="2542"/>
      <c r="CZ92" s="2542"/>
      <c r="DA92" s="2542"/>
      <c r="DB92" s="2542"/>
    </row>
    <row r="93" spans="1:106" s="3172" customFormat="1" x14ac:dyDescent="0.25">
      <c r="A93" s="2542"/>
      <c r="B93" s="3521" t="s">
        <v>633</v>
      </c>
      <c r="C93" s="3198">
        <f>C33*$C$12</f>
        <v>0</v>
      </c>
      <c r="D93" s="3198">
        <f>D33*$D$12</f>
        <v>0</v>
      </c>
      <c r="E93" s="3198">
        <f>E33*$E$12</f>
        <v>0</v>
      </c>
      <c r="F93" s="3198">
        <f>F33*$F$12</f>
        <v>0</v>
      </c>
      <c r="G93" s="3198">
        <f>G33*$G$12</f>
        <v>0</v>
      </c>
      <c r="H93" s="3198"/>
      <c r="I93" s="3198"/>
      <c r="J93" s="3198"/>
      <c r="K93" s="3198"/>
      <c r="L93" s="3198"/>
      <c r="M93" s="3198">
        <f>M33*$M$12</f>
        <v>0</v>
      </c>
      <c r="N93" s="3198">
        <f>N33*$N$12</f>
        <v>0</v>
      </c>
      <c r="O93" s="3199">
        <f>O33*$O$12</f>
        <v>0</v>
      </c>
      <c r="P93" s="2542"/>
      <c r="Q93" s="2542"/>
      <c r="R93" s="2542"/>
      <c r="S93" s="2542"/>
      <c r="T93" s="2542"/>
      <c r="U93" s="2542"/>
      <c r="V93" s="2542"/>
      <c r="W93" s="2542"/>
      <c r="X93" s="2542"/>
      <c r="Y93" s="2542"/>
      <c r="Z93" s="2542"/>
      <c r="AA93" s="2542"/>
      <c r="AB93" s="2542"/>
      <c r="AC93" s="2542"/>
      <c r="AD93" s="2542"/>
      <c r="AE93" s="2542"/>
      <c r="AF93" s="2542"/>
      <c r="AG93" s="2542"/>
      <c r="AH93" s="2542"/>
      <c r="AI93" s="2542"/>
      <c r="AJ93" s="2542"/>
      <c r="AK93" s="2542"/>
      <c r="AL93" s="2542"/>
      <c r="AM93" s="2542"/>
      <c r="AN93" s="2542"/>
      <c r="AO93" s="2542"/>
      <c r="AP93" s="2542"/>
      <c r="AQ93" s="2542"/>
      <c r="AR93" s="2542"/>
      <c r="AS93" s="2542"/>
      <c r="AT93" s="2542"/>
      <c r="AU93" s="2542"/>
      <c r="AV93" s="2542"/>
      <c r="AW93" s="2542"/>
      <c r="AX93" s="2542"/>
      <c r="AY93" s="2542"/>
      <c r="AZ93" s="2542"/>
      <c r="BA93" s="2542"/>
      <c r="BB93" s="2542"/>
      <c r="BC93" s="2542"/>
      <c r="BD93" s="2542"/>
      <c r="BE93" s="2542"/>
      <c r="BF93" s="2542"/>
      <c r="BG93" s="2542"/>
      <c r="BH93" s="2542"/>
      <c r="BI93" s="2542"/>
      <c r="BJ93" s="2542"/>
      <c r="BK93" s="2542"/>
      <c r="BL93" s="2542"/>
      <c r="BM93" s="2542"/>
      <c r="BN93" s="2542"/>
      <c r="BO93" s="2542"/>
      <c r="BP93" s="2542"/>
      <c r="BQ93" s="2542"/>
      <c r="BR93" s="2542"/>
      <c r="BS93" s="2542"/>
      <c r="BT93" s="2542"/>
      <c r="BU93" s="2542"/>
      <c r="BV93" s="2542"/>
      <c r="BW93" s="2542"/>
      <c r="BX93" s="2542"/>
      <c r="BY93" s="2542"/>
      <c r="BZ93" s="2542"/>
      <c r="CA93" s="2542"/>
      <c r="CB93" s="2542"/>
      <c r="CC93" s="2542"/>
      <c r="CD93" s="2542"/>
      <c r="CE93" s="2542"/>
      <c r="CF93" s="2542"/>
      <c r="CG93" s="2542"/>
      <c r="CH93" s="2542"/>
      <c r="CI93" s="2542"/>
      <c r="CJ93" s="2542"/>
      <c r="CK93" s="2542"/>
      <c r="CL93" s="2542"/>
      <c r="CM93" s="2542"/>
      <c r="CN93" s="2542"/>
      <c r="CO93" s="2542"/>
      <c r="CP93" s="2542"/>
      <c r="CQ93" s="2542"/>
      <c r="CR93" s="2542"/>
      <c r="CS93" s="2542"/>
      <c r="CT93" s="2542"/>
      <c r="CU93" s="2542"/>
      <c r="CV93" s="2542"/>
      <c r="CW93" s="2542"/>
      <c r="CX93" s="2542"/>
      <c r="CY93" s="2542"/>
      <c r="CZ93" s="2542"/>
      <c r="DA93" s="2542"/>
      <c r="DB93" s="2542"/>
    </row>
    <row r="94" spans="1:106" s="3172" customFormat="1" x14ac:dyDescent="0.25">
      <c r="A94" s="2542"/>
      <c r="B94" s="3142" t="s">
        <v>634</v>
      </c>
      <c r="C94" s="3198">
        <f>C34*$C$12</f>
        <v>0</v>
      </c>
      <c r="D94" s="3198">
        <f>D34*$D$12</f>
        <v>0</v>
      </c>
      <c r="E94" s="3198">
        <f>E34*$E$12</f>
        <v>0</v>
      </c>
      <c r="F94" s="3198">
        <f>F34*$F$12</f>
        <v>0</v>
      </c>
      <c r="G94" s="3198">
        <f>G34*$G$12</f>
        <v>0</v>
      </c>
      <c r="H94" s="3198"/>
      <c r="I94" s="3198"/>
      <c r="J94" s="3198"/>
      <c r="K94" s="3198"/>
      <c r="L94" s="3198"/>
      <c r="M94" s="3198">
        <f>M34*$M$12</f>
        <v>0</v>
      </c>
      <c r="N94" s="3198">
        <f>N34*$N$12</f>
        <v>0</v>
      </c>
      <c r="O94" s="3198">
        <f>O34*$N$12</f>
        <v>0</v>
      </c>
      <c r="P94" s="2542"/>
      <c r="Q94" s="2542"/>
      <c r="R94" s="2542"/>
      <c r="S94" s="2542"/>
      <c r="T94" s="2542"/>
      <c r="U94" s="2542"/>
      <c r="V94" s="2542"/>
      <c r="W94" s="2542"/>
      <c r="X94" s="2542"/>
      <c r="Y94" s="2542"/>
      <c r="Z94" s="2542"/>
      <c r="AA94" s="2542"/>
      <c r="AB94" s="2542"/>
      <c r="AC94" s="2542"/>
      <c r="AD94" s="2542"/>
      <c r="AE94" s="2542"/>
      <c r="AF94" s="2542"/>
      <c r="AG94" s="2542"/>
      <c r="AH94" s="2542"/>
      <c r="AI94" s="2542"/>
      <c r="AJ94" s="2542"/>
      <c r="AK94" s="2542"/>
      <c r="AL94" s="2542"/>
      <c r="AM94" s="2542"/>
      <c r="AN94" s="2542"/>
      <c r="AO94" s="2542"/>
      <c r="AP94" s="2542"/>
      <c r="AQ94" s="2542"/>
      <c r="AR94" s="2542"/>
      <c r="AS94" s="2542"/>
      <c r="AT94" s="2542"/>
      <c r="AU94" s="2542"/>
      <c r="AV94" s="2542"/>
      <c r="AW94" s="2542"/>
      <c r="AX94" s="2542"/>
      <c r="AY94" s="2542"/>
      <c r="AZ94" s="2542"/>
      <c r="BA94" s="2542"/>
      <c r="BB94" s="2542"/>
      <c r="BC94" s="2542"/>
      <c r="BD94" s="2542"/>
      <c r="BE94" s="2542"/>
      <c r="BF94" s="2542"/>
      <c r="BG94" s="2542"/>
      <c r="BH94" s="2542"/>
      <c r="BI94" s="2542"/>
      <c r="BJ94" s="2542"/>
      <c r="BK94" s="2542"/>
      <c r="BL94" s="2542"/>
      <c r="BM94" s="2542"/>
      <c r="BN94" s="2542"/>
      <c r="BO94" s="2542"/>
      <c r="BP94" s="2542"/>
      <c r="BQ94" s="2542"/>
      <c r="BR94" s="2542"/>
      <c r="BS94" s="2542"/>
      <c r="BT94" s="2542"/>
      <c r="BU94" s="2542"/>
      <c r="BV94" s="2542"/>
      <c r="BW94" s="2542"/>
      <c r="BX94" s="2542"/>
      <c r="BY94" s="2542"/>
      <c r="BZ94" s="2542"/>
      <c r="CA94" s="2542"/>
      <c r="CB94" s="2542"/>
      <c r="CC94" s="2542"/>
      <c r="CD94" s="2542"/>
      <c r="CE94" s="2542"/>
      <c r="CF94" s="2542"/>
      <c r="CG94" s="2542"/>
      <c r="CH94" s="2542"/>
      <c r="CI94" s="2542"/>
      <c r="CJ94" s="2542"/>
      <c r="CK94" s="2542"/>
      <c r="CL94" s="2542"/>
      <c r="CM94" s="2542"/>
      <c r="CN94" s="2542"/>
      <c r="CO94" s="2542"/>
      <c r="CP94" s="2542"/>
      <c r="CQ94" s="2542"/>
      <c r="CR94" s="2542"/>
      <c r="CS94" s="2542"/>
      <c r="CT94" s="2542"/>
      <c r="CU94" s="2542"/>
      <c r="CV94" s="2542"/>
      <c r="CW94" s="2542"/>
      <c r="CX94" s="2542"/>
      <c r="CY94" s="2542"/>
      <c r="CZ94" s="2542"/>
      <c r="DA94" s="2542"/>
      <c r="DB94" s="2542"/>
    </row>
    <row r="95" spans="1:106" s="3172" customFormat="1" x14ac:dyDescent="0.25">
      <c r="A95" s="2542"/>
      <c r="B95" s="3139" t="s">
        <v>630</v>
      </c>
      <c r="C95" s="3196">
        <f t="shared" ref="C95:O95" si="62">C96+C98</f>
        <v>0</v>
      </c>
      <c r="D95" s="3196">
        <f>D96+D98</f>
        <v>0</v>
      </c>
      <c r="E95" s="3196">
        <f t="shared" si="62"/>
        <v>0</v>
      </c>
      <c r="F95" s="3196">
        <f t="shared" si="62"/>
        <v>0</v>
      </c>
      <c r="G95" s="3196">
        <f t="shared" si="62"/>
        <v>0</v>
      </c>
      <c r="H95" s="3196"/>
      <c r="I95" s="3196"/>
      <c r="J95" s="3196"/>
      <c r="K95" s="3196"/>
      <c r="L95" s="3196"/>
      <c r="M95" s="3196">
        <f t="shared" si="62"/>
        <v>0</v>
      </c>
      <c r="N95" s="3196">
        <f t="shared" si="62"/>
        <v>0</v>
      </c>
      <c r="O95" s="3197">
        <f t="shared" si="62"/>
        <v>0</v>
      </c>
      <c r="P95" s="2542"/>
      <c r="Q95" s="2542"/>
      <c r="R95" s="2542"/>
      <c r="S95" s="2542"/>
      <c r="T95" s="2542"/>
      <c r="U95" s="2542"/>
      <c r="V95" s="2542"/>
      <c r="W95" s="2542"/>
      <c r="X95" s="2542"/>
      <c r="Y95" s="2542"/>
      <c r="Z95" s="2542"/>
      <c r="AA95" s="2542"/>
      <c r="AB95" s="2542"/>
      <c r="AC95" s="2542"/>
      <c r="AD95" s="2542"/>
      <c r="AE95" s="2542"/>
      <c r="AF95" s="2542"/>
      <c r="AG95" s="2542"/>
      <c r="AH95" s="2542"/>
      <c r="AI95" s="2542"/>
      <c r="AJ95" s="2542"/>
      <c r="AK95" s="2542"/>
      <c r="AL95" s="2542"/>
      <c r="AM95" s="2542"/>
      <c r="AN95" s="2542"/>
      <c r="AO95" s="2542"/>
      <c r="AP95" s="2542"/>
      <c r="AQ95" s="2542"/>
      <c r="AR95" s="2542"/>
      <c r="AS95" s="2542"/>
      <c r="AT95" s="2542"/>
      <c r="AU95" s="2542"/>
      <c r="AV95" s="2542"/>
      <c r="AW95" s="2542"/>
      <c r="AX95" s="2542"/>
      <c r="AY95" s="2542"/>
      <c r="AZ95" s="2542"/>
      <c r="BA95" s="2542"/>
      <c r="BB95" s="2542"/>
      <c r="BC95" s="2542"/>
      <c r="BD95" s="2542"/>
      <c r="BE95" s="2542"/>
      <c r="BF95" s="2542"/>
      <c r="BG95" s="2542"/>
      <c r="BH95" s="2542"/>
      <c r="BI95" s="2542"/>
      <c r="BJ95" s="2542"/>
      <c r="BK95" s="2542"/>
      <c r="BL95" s="2542"/>
      <c r="BM95" s="2542"/>
      <c r="BN95" s="2542"/>
      <c r="BO95" s="2542"/>
      <c r="BP95" s="2542"/>
      <c r="BQ95" s="2542"/>
      <c r="BR95" s="2542"/>
      <c r="BS95" s="2542"/>
      <c r="BT95" s="2542"/>
      <c r="BU95" s="2542"/>
      <c r="BV95" s="2542"/>
      <c r="BW95" s="2542"/>
      <c r="BX95" s="2542"/>
      <c r="BY95" s="2542"/>
      <c r="BZ95" s="2542"/>
      <c r="CA95" s="2542"/>
      <c r="CB95" s="2542"/>
      <c r="CC95" s="2542"/>
      <c r="CD95" s="2542"/>
      <c r="CE95" s="2542"/>
      <c r="CF95" s="2542"/>
      <c r="CG95" s="2542"/>
      <c r="CH95" s="2542"/>
      <c r="CI95" s="2542"/>
      <c r="CJ95" s="2542"/>
      <c r="CK95" s="2542"/>
      <c r="CL95" s="2542"/>
      <c r="CM95" s="2542"/>
      <c r="CN95" s="2542"/>
      <c r="CO95" s="2542"/>
      <c r="CP95" s="2542"/>
      <c r="CQ95" s="2542"/>
      <c r="CR95" s="2542"/>
      <c r="CS95" s="2542"/>
      <c r="CT95" s="2542"/>
      <c r="CU95" s="2542"/>
      <c r="CV95" s="2542"/>
      <c r="CW95" s="2542"/>
      <c r="CX95" s="2542"/>
      <c r="CY95" s="2542"/>
      <c r="CZ95" s="2542"/>
      <c r="DA95" s="2542"/>
      <c r="DB95" s="2542"/>
    </row>
    <row r="96" spans="1:106" s="3172" customFormat="1" x14ac:dyDescent="0.25">
      <c r="A96" s="2542"/>
      <c r="B96" s="3142" t="s">
        <v>633</v>
      </c>
      <c r="C96" s="3198">
        <f>C36*$C$12</f>
        <v>0</v>
      </c>
      <c r="D96" s="3198">
        <f>D36*$D$12</f>
        <v>0</v>
      </c>
      <c r="E96" s="3198">
        <f>E36*$E$12</f>
        <v>0</v>
      </c>
      <c r="F96" s="3198">
        <f>F36*$F$12</f>
        <v>0</v>
      </c>
      <c r="G96" s="3198">
        <f>G36*$G$12</f>
        <v>0</v>
      </c>
      <c r="H96" s="3198"/>
      <c r="I96" s="3198"/>
      <c r="J96" s="3198"/>
      <c r="K96" s="3198"/>
      <c r="L96" s="3198"/>
      <c r="M96" s="3198">
        <f>M36*$M$12</f>
        <v>0</v>
      </c>
      <c r="N96" s="3198">
        <f>N36*$N$12</f>
        <v>0</v>
      </c>
      <c r="O96" s="3199">
        <f>O36*$O$12</f>
        <v>0</v>
      </c>
      <c r="P96" s="2542"/>
      <c r="Q96" s="2542"/>
      <c r="R96" s="2542"/>
      <c r="S96" s="2542"/>
      <c r="T96" s="2542"/>
      <c r="U96" s="2542"/>
      <c r="V96" s="2542"/>
      <c r="W96" s="2542"/>
      <c r="X96" s="2542"/>
      <c r="Y96" s="2542"/>
      <c r="Z96" s="2542"/>
      <c r="AA96" s="2542"/>
      <c r="AB96" s="2542"/>
      <c r="AC96" s="2542"/>
      <c r="AD96" s="2542"/>
      <c r="AE96" s="2542"/>
      <c r="AF96" s="2542"/>
      <c r="AG96" s="2542"/>
      <c r="AH96" s="2542"/>
      <c r="AI96" s="2542"/>
      <c r="AJ96" s="2542"/>
      <c r="AK96" s="2542"/>
      <c r="AL96" s="2542"/>
      <c r="AM96" s="2542"/>
      <c r="AN96" s="2542"/>
      <c r="AO96" s="2542"/>
      <c r="AP96" s="2542"/>
      <c r="AQ96" s="2542"/>
      <c r="AR96" s="2542"/>
      <c r="AS96" s="2542"/>
      <c r="AT96" s="2542"/>
      <c r="AU96" s="2542"/>
      <c r="AV96" s="2542"/>
      <c r="AW96" s="2542"/>
      <c r="AX96" s="2542"/>
      <c r="AY96" s="2542"/>
      <c r="AZ96" s="2542"/>
      <c r="BA96" s="2542"/>
      <c r="BB96" s="2542"/>
      <c r="BC96" s="2542"/>
      <c r="BD96" s="2542"/>
      <c r="BE96" s="2542"/>
      <c r="BF96" s="2542"/>
      <c r="BG96" s="2542"/>
      <c r="BH96" s="2542"/>
      <c r="BI96" s="2542"/>
      <c r="BJ96" s="2542"/>
      <c r="BK96" s="2542"/>
      <c r="BL96" s="2542"/>
      <c r="BM96" s="2542"/>
      <c r="BN96" s="2542"/>
      <c r="BO96" s="2542"/>
      <c r="BP96" s="2542"/>
      <c r="BQ96" s="2542"/>
      <c r="BR96" s="2542"/>
      <c r="BS96" s="2542"/>
      <c r="BT96" s="2542"/>
      <c r="BU96" s="2542"/>
      <c r="BV96" s="2542"/>
      <c r="BW96" s="2542"/>
      <c r="BX96" s="2542"/>
      <c r="BY96" s="2542"/>
      <c r="BZ96" s="2542"/>
      <c r="CA96" s="2542"/>
      <c r="CB96" s="2542"/>
      <c r="CC96" s="2542"/>
      <c r="CD96" s="2542"/>
      <c r="CE96" s="2542"/>
      <c r="CF96" s="2542"/>
      <c r="CG96" s="2542"/>
      <c r="CH96" s="2542"/>
      <c r="CI96" s="2542"/>
      <c r="CJ96" s="2542"/>
      <c r="CK96" s="2542"/>
      <c r="CL96" s="2542"/>
      <c r="CM96" s="2542"/>
      <c r="CN96" s="2542"/>
      <c r="CO96" s="2542"/>
      <c r="CP96" s="2542"/>
      <c r="CQ96" s="2542"/>
      <c r="CR96" s="2542"/>
      <c r="CS96" s="2542"/>
      <c r="CT96" s="2542"/>
      <c r="CU96" s="2542"/>
      <c r="CV96" s="2542"/>
      <c r="CW96" s="2542"/>
      <c r="CX96" s="2542"/>
      <c r="CY96" s="2542"/>
      <c r="CZ96" s="2542"/>
      <c r="DA96" s="2542"/>
      <c r="DB96" s="2542"/>
    </row>
    <row r="97" spans="1:106" s="3172" customFormat="1" x14ac:dyDescent="0.25">
      <c r="A97" s="2542"/>
      <c r="B97" s="3142"/>
      <c r="C97" s="3198">
        <f>SUM(D97:O97)</f>
        <v>0</v>
      </c>
      <c r="D97" s="3198">
        <f>D37*D12</f>
        <v>0</v>
      </c>
      <c r="E97" s="3198">
        <f>E37*E12</f>
        <v>0</v>
      </c>
      <c r="F97" s="3198">
        <f>F37*F12</f>
        <v>0</v>
      </c>
      <c r="G97" s="3198">
        <f>G37*G12</f>
        <v>0</v>
      </c>
      <c r="H97" s="3198"/>
      <c r="I97" s="3198"/>
      <c r="J97" s="3198"/>
      <c r="K97" s="3198"/>
      <c r="L97" s="3198"/>
      <c r="M97" s="3198">
        <f>M37*M12</f>
        <v>0</v>
      </c>
      <c r="N97" s="3198">
        <f>N37*N12</f>
        <v>0</v>
      </c>
      <c r="O97" s="3198">
        <f>O37*O12</f>
        <v>0</v>
      </c>
      <c r="P97" s="2542"/>
      <c r="Q97" s="2542"/>
      <c r="R97" s="2542"/>
      <c r="S97" s="2542"/>
      <c r="T97" s="2542"/>
      <c r="U97" s="2542"/>
      <c r="V97" s="2542"/>
      <c r="W97" s="2542"/>
      <c r="X97" s="2542"/>
      <c r="Y97" s="2542"/>
      <c r="Z97" s="2542"/>
      <c r="AA97" s="2542"/>
      <c r="AB97" s="2542"/>
      <c r="AC97" s="2542"/>
      <c r="AD97" s="2542"/>
      <c r="AE97" s="2542"/>
      <c r="AF97" s="2542"/>
      <c r="AG97" s="2542"/>
      <c r="AH97" s="2542"/>
      <c r="AI97" s="2542"/>
      <c r="AJ97" s="2542"/>
      <c r="AK97" s="2542"/>
      <c r="AL97" s="2542"/>
      <c r="AM97" s="2542"/>
      <c r="AN97" s="2542"/>
      <c r="AO97" s="2542"/>
      <c r="AP97" s="2542"/>
      <c r="AQ97" s="2542"/>
      <c r="AR97" s="2542"/>
      <c r="AS97" s="2542"/>
      <c r="AT97" s="2542"/>
      <c r="AU97" s="2542"/>
      <c r="AV97" s="2542"/>
      <c r="AW97" s="2542"/>
      <c r="AX97" s="2542"/>
      <c r="AY97" s="2542"/>
      <c r="AZ97" s="2542"/>
      <c r="BA97" s="2542"/>
      <c r="BB97" s="2542"/>
      <c r="BC97" s="2542"/>
      <c r="BD97" s="2542"/>
      <c r="BE97" s="2542"/>
      <c r="BF97" s="2542"/>
      <c r="BG97" s="2542"/>
      <c r="BH97" s="2542"/>
      <c r="BI97" s="2542"/>
      <c r="BJ97" s="2542"/>
      <c r="BK97" s="2542"/>
      <c r="BL97" s="2542"/>
      <c r="BM97" s="2542"/>
      <c r="BN97" s="2542"/>
      <c r="BO97" s="2542"/>
      <c r="BP97" s="2542"/>
      <c r="BQ97" s="2542"/>
      <c r="BR97" s="2542"/>
      <c r="BS97" s="2542"/>
      <c r="BT97" s="2542"/>
      <c r="BU97" s="2542"/>
      <c r="BV97" s="2542"/>
      <c r="BW97" s="2542"/>
      <c r="BX97" s="2542"/>
      <c r="BY97" s="2542"/>
      <c r="BZ97" s="2542"/>
      <c r="CA97" s="2542"/>
      <c r="CB97" s="2542"/>
      <c r="CC97" s="2542"/>
      <c r="CD97" s="2542"/>
      <c r="CE97" s="2542"/>
      <c r="CF97" s="2542"/>
      <c r="CG97" s="2542"/>
      <c r="CH97" s="2542"/>
      <c r="CI97" s="2542"/>
      <c r="CJ97" s="2542"/>
      <c r="CK97" s="2542"/>
      <c r="CL97" s="2542"/>
      <c r="CM97" s="2542"/>
      <c r="CN97" s="2542"/>
      <c r="CO97" s="2542"/>
      <c r="CP97" s="2542"/>
      <c r="CQ97" s="2542"/>
      <c r="CR97" s="2542"/>
      <c r="CS97" s="2542"/>
      <c r="CT97" s="2542"/>
      <c r="CU97" s="2542"/>
      <c r="CV97" s="2542"/>
      <c r="CW97" s="2542"/>
      <c r="CX97" s="2542"/>
      <c r="CY97" s="2542"/>
      <c r="CZ97" s="2542"/>
      <c r="DA97" s="2542"/>
      <c r="DB97" s="2542"/>
    </row>
    <row r="98" spans="1:106" s="3172" customFormat="1" x14ac:dyDescent="0.25">
      <c r="A98" s="2542"/>
      <c r="B98" s="3142" t="s">
        <v>634</v>
      </c>
      <c r="C98" s="3198">
        <f>C38*$C$12</f>
        <v>0</v>
      </c>
      <c r="D98" s="3198">
        <f>D38*$D$12</f>
        <v>0</v>
      </c>
      <c r="E98" s="3198">
        <f>E38*$E$12</f>
        <v>0</v>
      </c>
      <c r="F98" s="3198">
        <f>F38*$F$12</f>
        <v>0</v>
      </c>
      <c r="G98" s="3198">
        <f>G38*$G$12</f>
        <v>0</v>
      </c>
      <c r="H98" s="3198"/>
      <c r="I98" s="3198"/>
      <c r="J98" s="3198"/>
      <c r="K98" s="3198"/>
      <c r="L98" s="3198"/>
      <c r="M98" s="3198">
        <f>M38*$M$12</f>
        <v>0</v>
      </c>
      <c r="N98" s="3198">
        <f>N38*$N$12</f>
        <v>0</v>
      </c>
      <c r="O98" s="3199">
        <f>O38*$O$12</f>
        <v>0</v>
      </c>
      <c r="P98" s="2542"/>
      <c r="Q98" s="2542"/>
      <c r="R98" s="2542"/>
      <c r="S98" s="2542"/>
      <c r="T98" s="2542"/>
      <c r="U98" s="2542"/>
      <c r="V98" s="2542"/>
      <c r="W98" s="2542"/>
      <c r="X98" s="2542"/>
      <c r="Y98" s="2542"/>
      <c r="Z98" s="2542"/>
      <c r="AA98" s="2542"/>
      <c r="AB98" s="2542"/>
      <c r="AC98" s="2542"/>
      <c r="AD98" s="2542"/>
      <c r="AE98" s="2542"/>
      <c r="AF98" s="2542"/>
      <c r="AG98" s="2542"/>
      <c r="AH98" s="2542"/>
      <c r="AI98" s="2542"/>
      <c r="AJ98" s="2542"/>
      <c r="AK98" s="2542"/>
      <c r="AL98" s="2542"/>
      <c r="AM98" s="2542"/>
      <c r="AN98" s="2542"/>
      <c r="AO98" s="2542"/>
      <c r="AP98" s="2542"/>
      <c r="AQ98" s="2542"/>
      <c r="AR98" s="2542"/>
      <c r="AS98" s="2542"/>
      <c r="AT98" s="2542"/>
      <c r="AU98" s="2542"/>
      <c r="AV98" s="2542"/>
      <c r="AW98" s="2542"/>
      <c r="AX98" s="2542"/>
      <c r="AY98" s="2542"/>
      <c r="AZ98" s="2542"/>
      <c r="BA98" s="2542"/>
      <c r="BB98" s="2542"/>
      <c r="BC98" s="2542"/>
      <c r="BD98" s="2542"/>
      <c r="BE98" s="2542"/>
      <c r="BF98" s="2542"/>
      <c r="BG98" s="2542"/>
      <c r="BH98" s="2542"/>
      <c r="BI98" s="2542"/>
      <c r="BJ98" s="2542"/>
      <c r="BK98" s="2542"/>
      <c r="BL98" s="2542"/>
      <c r="BM98" s="2542"/>
      <c r="BN98" s="2542"/>
      <c r="BO98" s="2542"/>
      <c r="BP98" s="2542"/>
      <c r="BQ98" s="2542"/>
      <c r="BR98" s="2542"/>
      <c r="BS98" s="2542"/>
      <c r="BT98" s="2542"/>
      <c r="BU98" s="2542"/>
      <c r="BV98" s="2542"/>
      <c r="BW98" s="2542"/>
      <c r="BX98" s="2542"/>
      <c r="BY98" s="2542"/>
      <c r="BZ98" s="2542"/>
      <c r="CA98" s="2542"/>
      <c r="CB98" s="2542"/>
      <c r="CC98" s="2542"/>
      <c r="CD98" s="2542"/>
      <c r="CE98" s="2542"/>
      <c r="CF98" s="2542"/>
      <c r="CG98" s="2542"/>
      <c r="CH98" s="2542"/>
      <c r="CI98" s="2542"/>
      <c r="CJ98" s="2542"/>
      <c r="CK98" s="2542"/>
      <c r="CL98" s="2542"/>
      <c r="CM98" s="2542"/>
      <c r="CN98" s="2542"/>
      <c r="CO98" s="2542"/>
      <c r="CP98" s="2542"/>
      <c r="CQ98" s="2542"/>
      <c r="CR98" s="2542"/>
      <c r="CS98" s="2542"/>
      <c r="CT98" s="2542"/>
      <c r="CU98" s="2542"/>
      <c r="CV98" s="2542"/>
      <c r="CW98" s="2542"/>
      <c r="CX98" s="2542"/>
      <c r="CY98" s="2542"/>
      <c r="CZ98" s="2542"/>
      <c r="DA98" s="2542"/>
      <c r="DB98" s="2542"/>
    </row>
    <row r="99" spans="1:106" s="3172" customFormat="1" x14ac:dyDescent="0.25">
      <c r="A99" s="2542"/>
      <c r="B99" s="3155" t="s">
        <v>628</v>
      </c>
      <c r="C99" s="3200">
        <f t="shared" ref="C99:O99" si="63">C100+C103</f>
        <v>6072.19</v>
      </c>
      <c r="D99" s="3201">
        <f t="shared" si="63"/>
        <v>1480.48</v>
      </c>
      <c r="E99" s="3201">
        <f t="shared" si="63"/>
        <v>1223.1199999999999</v>
      </c>
      <c r="F99" s="3201">
        <f t="shared" si="63"/>
        <v>1170.58</v>
      </c>
      <c r="G99" s="3201">
        <f t="shared" si="63"/>
        <v>47.8</v>
      </c>
      <c r="H99" s="3201">
        <f t="shared" si="63"/>
        <v>0</v>
      </c>
      <c r="I99" s="3201">
        <f t="shared" si="63"/>
        <v>0</v>
      </c>
      <c r="J99" s="3201">
        <f t="shared" si="63"/>
        <v>0</v>
      </c>
      <c r="K99" s="3201">
        <f t="shared" si="63"/>
        <v>0</v>
      </c>
      <c r="L99" s="3201">
        <f t="shared" si="63"/>
        <v>0</v>
      </c>
      <c r="M99" s="3201">
        <f t="shared" si="63"/>
        <v>0</v>
      </c>
      <c r="N99" s="3201">
        <f t="shared" si="63"/>
        <v>929.08</v>
      </c>
      <c r="O99" s="3202">
        <f t="shared" si="63"/>
        <v>1221.1199999999999</v>
      </c>
      <c r="P99" s="2545"/>
      <c r="Q99" s="2542"/>
      <c r="R99" s="2542"/>
      <c r="S99" s="2542"/>
      <c r="T99" s="2542"/>
      <c r="U99" s="2542"/>
      <c r="V99" s="2542"/>
      <c r="W99" s="2542"/>
      <c r="X99" s="2542"/>
      <c r="Y99" s="2542"/>
      <c r="Z99" s="2542"/>
      <c r="AA99" s="2542"/>
      <c r="AB99" s="2542"/>
      <c r="AC99" s="2542"/>
      <c r="AD99" s="2542"/>
      <c r="AE99" s="2542"/>
      <c r="AF99" s="2542"/>
      <c r="AG99" s="2542"/>
      <c r="AH99" s="2542"/>
      <c r="AI99" s="2542"/>
      <c r="AJ99" s="2542"/>
      <c r="AK99" s="2542"/>
      <c r="AL99" s="2542"/>
      <c r="AM99" s="2542"/>
      <c r="AN99" s="2542"/>
      <c r="AO99" s="2542"/>
      <c r="AP99" s="2542"/>
      <c r="AQ99" s="2542"/>
      <c r="AR99" s="2542"/>
      <c r="AS99" s="2542"/>
      <c r="AT99" s="2542"/>
      <c r="AU99" s="2542"/>
      <c r="AV99" s="2542"/>
      <c r="AW99" s="2542"/>
      <c r="AX99" s="2542"/>
      <c r="AY99" s="2542"/>
      <c r="AZ99" s="2542"/>
      <c r="BA99" s="2542"/>
      <c r="BB99" s="2542"/>
      <c r="BC99" s="2542"/>
      <c r="BD99" s="2542"/>
      <c r="BE99" s="2542"/>
      <c r="BF99" s="2542"/>
      <c r="BG99" s="2542"/>
      <c r="BH99" s="2542"/>
      <c r="BI99" s="2542"/>
      <c r="BJ99" s="2542"/>
      <c r="BK99" s="2542"/>
      <c r="BL99" s="2542"/>
      <c r="BM99" s="2542"/>
      <c r="BN99" s="2542"/>
      <c r="BO99" s="2542"/>
      <c r="BP99" s="2542"/>
      <c r="BQ99" s="2542"/>
      <c r="BR99" s="2542"/>
      <c r="BS99" s="2542"/>
      <c r="BT99" s="2542"/>
      <c r="BU99" s="2542"/>
      <c r="BV99" s="2542"/>
      <c r="BW99" s="2542"/>
      <c r="BX99" s="2542"/>
      <c r="BY99" s="2542"/>
      <c r="BZ99" s="2542"/>
      <c r="CA99" s="2542"/>
      <c r="CB99" s="2542"/>
      <c r="CC99" s="2542"/>
      <c r="CD99" s="2542"/>
      <c r="CE99" s="2542"/>
      <c r="CF99" s="2542"/>
      <c r="CG99" s="2542"/>
      <c r="CH99" s="2542"/>
      <c r="CI99" s="2542"/>
      <c r="CJ99" s="2542"/>
      <c r="CK99" s="2542"/>
      <c r="CL99" s="2542"/>
      <c r="CM99" s="2542"/>
      <c r="CN99" s="2542"/>
      <c r="CO99" s="2542"/>
      <c r="CP99" s="2542"/>
      <c r="CQ99" s="2542"/>
      <c r="CR99" s="2542"/>
      <c r="CS99" s="2542"/>
      <c r="CT99" s="2542"/>
      <c r="CU99" s="2542"/>
      <c r="CV99" s="2542"/>
      <c r="CW99" s="2542"/>
      <c r="CX99" s="2542"/>
      <c r="CY99" s="2542"/>
      <c r="CZ99" s="2542"/>
      <c r="DA99" s="2542"/>
      <c r="DB99" s="2542"/>
    </row>
    <row r="100" spans="1:106" s="3172" customFormat="1" x14ac:dyDescent="0.25">
      <c r="A100" s="2542"/>
      <c r="B100" s="3139" t="s">
        <v>629</v>
      </c>
      <c r="C100" s="3196">
        <f t="shared" ref="C100:O100" si="64">C101+C102</f>
        <v>577.88</v>
      </c>
      <c r="D100" s="3196">
        <f t="shared" si="64"/>
        <v>140.88999999999999</v>
      </c>
      <c r="E100" s="3196">
        <f t="shared" si="64"/>
        <v>116.4</v>
      </c>
      <c r="F100" s="3196">
        <f t="shared" si="64"/>
        <v>111.4</v>
      </c>
      <c r="G100" s="3196">
        <f t="shared" si="64"/>
        <v>4.55</v>
      </c>
      <c r="H100" s="3196"/>
      <c r="I100" s="3196"/>
      <c r="J100" s="3196"/>
      <c r="K100" s="3196"/>
      <c r="L100" s="3196"/>
      <c r="M100" s="3196">
        <f t="shared" si="64"/>
        <v>0</v>
      </c>
      <c r="N100" s="3196">
        <f t="shared" si="64"/>
        <v>88.42</v>
      </c>
      <c r="O100" s="3197">
        <f t="shared" si="64"/>
        <v>116.21</v>
      </c>
      <c r="P100" s="2542"/>
      <c r="Q100" s="2542"/>
      <c r="R100" s="2542"/>
      <c r="S100" s="2542"/>
      <c r="T100" s="2542"/>
      <c r="U100" s="2542"/>
      <c r="V100" s="2542"/>
      <c r="W100" s="2542"/>
      <c r="X100" s="2542"/>
      <c r="Y100" s="2542"/>
      <c r="Z100" s="2542"/>
      <c r="AA100" s="2542"/>
      <c r="AB100" s="2542"/>
      <c r="AC100" s="2542"/>
      <c r="AD100" s="2542"/>
      <c r="AE100" s="2542"/>
      <c r="AF100" s="2542"/>
      <c r="AG100" s="2542"/>
      <c r="AH100" s="2542"/>
      <c r="AI100" s="2542"/>
      <c r="AJ100" s="2542"/>
      <c r="AK100" s="2542"/>
      <c r="AL100" s="2542"/>
      <c r="AM100" s="2542"/>
      <c r="AN100" s="2542"/>
      <c r="AO100" s="2542"/>
      <c r="AP100" s="2542"/>
      <c r="AQ100" s="2542"/>
      <c r="AR100" s="2542"/>
      <c r="AS100" s="2542"/>
      <c r="AT100" s="2542"/>
      <c r="AU100" s="2542"/>
      <c r="AV100" s="2542"/>
      <c r="AW100" s="2542"/>
      <c r="AX100" s="2542"/>
      <c r="AY100" s="2542"/>
      <c r="AZ100" s="2542"/>
      <c r="BA100" s="2542"/>
      <c r="BB100" s="2542"/>
      <c r="BC100" s="2542"/>
      <c r="BD100" s="2542"/>
      <c r="BE100" s="2542"/>
      <c r="BF100" s="2542"/>
      <c r="BG100" s="2542"/>
      <c r="BH100" s="2542"/>
      <c r="BI100" s="2542"/>
      <c r="BJ100" s="2542"/>
      <c r="BK100" s="2542"/>
      <c r="BL100" s="2542"/>
      <c r="BM100" s="2542"/>
      <c r="BN100" s="2542"/>
      <c r="BO100" s="2542"/>
      <c r="BP100" s="2542"/>
      <c r="BQ100" s="2542"/>
      <c r="BR100" s="2542"/>
      <c r="BS100" s="2542"/>
      <c r="BT100" s="2542"/>
      <c r="BU100" s="2542"/>
      <c r="BV100" s="2542"/>
      <c r="BW100" s="2542"/>
      <c r="BX100" s="2542"/>
      <c r="BY100" s="2542"/>
      <c r="BZ100" s="2542"/>
      <c r="CA100" s="2542"/>
      <c r="CB100" s="2542"/>
      <c r="CC100" s="2542"/>
      <c r="CD100" s="2542"/>
      <c r="CE100" s="2542"/>
      <c r="CF100" s="2542"/>
      <c r="CG100" s="2542"/>
      <c r="CH100" s="2542"/>
      <c r="CI100" s="2542"/>
      <c r="CJ100" s="2542"/>
      <c r="CK100" s="2542"/>
      <c r="CL100" s="2542"/>
      <c r="CM100" s="2542"/>
      <c r="CN100" s="2542"/>
      <c r="CO100" s="2542"/>
      <c r="CP100" s="2542"/>
      <c r="CQ100" s="2542"/>
      <c r="CR100" s="2542"/>
      <c r="CS100" s="2542"/>
      <c r="CT100" s="2542"/>
      <c r="CU100" s="2542"/>
      <c r="CV100" s="2542"/>
      <c r="CW100" s="2542"/>
      <c r="CX100" s="2542"/>
      <c r="CY100" s="2542"/>
      <c r="CZ100" s="2542"/>
      <c r="DA100" s="2542"/>
      <c r="DB100" s="2542"/>
    </row>
    <row r="101" spans="1:106" s="2542" customFormat="1" x14ac:dyDescent="0.25">
      <c r="B101" s="3142" t="s">
        <v>633</v>
      </c>
      <c r="C101" s="3198">
        <f>C41*$C$12</f>
        <v>392.8</v>
      </c>
      <c r="D101" s="3198">
        <f>D41*$D$12</f>
        <v>95.77</v>
      </c>
      <c r="E101" s="3198">
        <f>E41*$E$12</f>
        <v>79.12</v>
      </c>
      <c r="F101" s="3198">
        <f>F41*$F$12</f>
        <v>75.72</v>
      </c>
      <c r="G101" s="3198">
        <f>G41*$G$12</f>
        <v>3.09</v>
      </c>
      <c r="H101" s="3198"/>
      <c r="I101" s="3198"/>
      <c r="J101" s="3198"/>
      <c r="K101" s="3198"/>
      <c r="L101" s="3198"/>
      <c r="M101" s="3198">
        <f>M41*$M$12</f>
        <v>0</v>
      </c>
      <c r="N101" s="3198">
        <f>N41*$N$12</f>
        <v>60.1</v>
      </c>
      <c r="O101" s="3199">
        <f>O41*$O$12</f>
        <v>78.989999999999995</v>
      </c>
    </row>
    <row r="102" spans="1:106" s="2542" customFormat="1" x14ac:dyDescent="0.25">
      <c r="B102" s="3142" t="s">
        <v>634</v>
      </c>
      <c r="C102" s="3198">
        <f>C42*$C$12</f>
        <v>185.08</v>
      </c>
      <c r="D102" s="3198">
        <f>D42*$D$12</f>
        <v>45.12</v>
      </c>
      <c r="E102" s="3198">
        <f>E42*$E$12</f>
        <v>37.28</v>
      </c>
      <c r="F102" s="3198">
        <f>F42*$F$12</f>
        <v>35.68</v>
      </c>
      <c r="G102" s="3198">
        <f>G42*$G$12</f>
        <v>1.46</v>
      </c>
      <c r="H102" s="3198"/>
      <c r="I102" s="3198"/>
      <c r="J102" s="3198"/>
      <c r="K102" s="3198"/>
      <c r="L102" s="3198"/>
      <c r="M102" s="3198">
        <f>M42*$M$12</f>
        <v>0</v>
      </c>
      <c r="N102" s="3198">
        <f>N42*$N$12</f>
        <v>28.32</v>
      </c>
      <c r="O102" s="3199">
        <f>O42*$O$12</f>
        <v>37.22</v>
      </c>
    </row>
    <row r="103" spans="1:106" s="2542" customFormat="1" x14ac:dyDescent="0.25">
      <c r="B103" s="3139" t="s">
        <v>630</v>
      </c>
      <c r="C103" s="3196">
        <f t="shared" ref="C103:O103" si="65">C104+C105</f>
        <v>5494.31</v>
      </c>
      <c r="D103" s="3196">
        <f t="shared" si="65"/>
        <v>1339.59</v>
      </c>
      <c r="E103" s="3196">
        <f t="shared" si="65"/>
        <v>1106.72</v>
      </c>
      <c r="F103" s="3196">
        <f t="shared" si="65"/>
        <v>1059.18</v>
      </c>
      <c r="G103" s="3196">
        <f t="shared" si="65"/>
        <v>43.25</v>
      </c>
      <c r="H103" s="3196"/>
      <c r="I103" s="3196"/>
      <c r="J103" s="3196"/>
      <c r="K103" s="3196"/>
      <c r="L103" s="3196"/>
      <c r="M103" s="3196">
        <f t="shared" si="65"/>
        <v>0</v>
      </c>
      <c r="N103" s="3196">
        <f t="shared" si="65"/>
        <v>840.66</v>
      </c>
      <c r="O103" s="3197">
        <f t="shared" si="65"/>
        <v>1104.9100000000001</v>
      </c>
    </row>
    <row r="104" spans="1:106" s="2542" customFormat="1" x14ac:dyDescent="0.25">
      <c r="B104" s="3142" t="s">
        <v>633</v>
      </c>
      <c r="C104" s="3198">
        <f>C44*$C$12</f>
        <v>1915.74</v>
      </c>
      <c r="D104" s="3198">
        <f>D44*$D$12</f>
        <v>467.08</v>
      </c>
      <c r="E104" s="3198">
        <f>E44*$E$12</f>
        <v>385.89</v>
      </c>
      <c r="F104" s="3198">
        <f>F44*$F$12</f>
        <v>369.31</v>
      </c>
      <c r="G104" s="3198">
        <f>G44*$G$12</f>
        <v>15.08</v>
      </c>
      <c r="H104" s="3198"/>
      <c r="I104" s="3198"/>
      <c r="J104" s="3198"/>
      <c r="K104" s="3198"/>
      <c r="L104" s="3198"/>
      <c r="M104" s="3198">
        <f>M44*$M$12</f>
        <v>0</v>
      </c>
      <c r="N104" s="3198">
        <f>N44*$N$12</f>
        <v>293.12</v>
      </c>
      <c r="O104" s="3199">
        <f>O44*$O$12</f>
        <v>385.26</v>
      </c>
    </row>
    <row r="105" spans="1:106" s="2542" customFormat="1" x14ac:dyDescent="0.25">
      <c r="B105" s="3142" t="s">
        <v>634</v>
      </c>
      <c r="C105" s="3198">
        <f>C45*$C$12</f>
        <v>3578.57</v>
      </c>
      <c r="D105" s="3198">
        <f>D45*$D$12</f>
        <v>872.51</v>
      </c>
      <c r="E105" s="3198">
        <f>E45*$E$12</f>
        <v>720.83</v>
      </c>
      <c r="F105" s="3198">
        <f>F45*$F$12</f>
        <v>689.87</v>
      </c>
      <c r="G105" s="3198">
        <f>G45*$G$12</f>
        <v>28.17</v>
      </c>
      <c r="H105" s="3198"/>
      <c r="I105" s="3198"/>
      <c r="J105" s="3198"/>
      <c r="K105" s="3198"/>
      <c r="L105" s="3198"/>
      <c r="M105" s="3198">
        <f>M45*$M$12</f>
        <v>0</v>
      </c>
      <c r="N105" s="3198">
        <f>N45*$N$12</f>
        <v>547.54</v>
      </c>
      <c r="O105" s="3199">
        <f>O45*$O$12</f>
        <v>719.65</v>
      </c>
    </row>
    <row r="106" spans="1:106" s="2542" customFormat="1" x14ac:dyDescent="0.25">
      <c r="B106" s="3155" t="s">
        <v>636</v>
      </c>
      <c r="C106" s="3200">
        <f>C107+C110</f>
        <v>1854.67</v>
      </c>
      <c r="D106" s="3201">
        <f t="shared" ref="D106:O106" si="66">D107+D110</f>
        <v>452.2</v>
      </c>
      <c r="E106" s="3201">
        <f t="shared" si="66"/>
        <v>373.59</v>
      </c>
      <c r="F106" s="3201">
        <f t="shared" si="66"/>
        <v>357.54</v>
      </c>
      <c r="G106" s="3201">
        <f t="shared" si="66"/>
        <v>14.6</v>
      </c>
      <c r="H106" s="3201">
        <f t="shared" si="66"/>
        <v>0</v>
      </c>
      <c r="I106" s="3201">
        <f t="shared" si="66"/>
        <v>0</v>
      </c>
      <c r="J106" s="3201">
        <f t="shared" si="66"/>
        <v>0</v>
      </c>
      <c r="K106" s="3201">
        <f t="shared" si="66"/>
        <v>0</v>
      </c>
      <c r="L106" s="3201">
        <f t="shared" si="66"/>
        <v>0</v>
      </c>
      <c r="M106" s="3201">
        <f t="shared" si="66"/>
        <v>0</v>
      </c>
      <c r="N106" s="3201">
        <f t="shared" si="66"/>
        <v>283.77</v>
      </c>
      <c r="O106" s="3202">
        <f t="shared" si="66"/>
        <v>372.97</v>
      </c>
      <c r="P106" s="2545"/>
    </row>
    <row r="107" spans="1:106" s="2542" customFormat="1" x14ac:dyDescent="0.25">
      <c r="B107" s="3139" t="s">
        <v>631</v>
      </c>
      <c r="C107" s="3196">
        <f t="shared" ref="C107:O107" si="67">C108+C109</f>
        <v>0</v>
      </c>
      <c r="D107" s="3196">
        <f t="shared" si="67"/>
        <v>0</v>
      </c>
      <c r="E107" s="3196">
        <f t="shared" si="67"/>
        <v>0</v>
      </c>
      <c r="F107" s="3196">
        <f t="shared" si="67"/>
        <v>0</v>
      </c>
      <c r="G107" s="3196">
        <f t="shared" si="67"/>
        <v>0</v>
      </c>
      <c r="H107" s="3196"/>
      <c r="I107" s="3196"/>
      <c r="J107" s="3196"/>
      <c r="K107" s="3196"/>
      <c r="L107" s="3196"/>
      <c r="M107" s="3196">
        <f t="shared" si="67"/>
        <v>0</v>
      </c>
      <c r="N107" s="3196">
        <f t="shared" si="67"/>
        <v>0</v>
      </c>
      <c r="O107" s="3197">
        <f t="shared" si="67"/>
        <v>0</v>
      </c>
    </row>
    <row r="108" spans="1:106" x14ac:dyDescent="0.25">
      <c r="B108" s="3142" t="s">
        <v>633</v>
      </c>
      <c r="C108" s="3198">
        <f>C48*$C$12</f>
        <v>0</v>
      </c>
      <c r="D108" s="3198">
        <f>D48*$D$12</f>
        <v>0</v>
      </c>
      <c r="E108" s="3198">
        <f>E48*$E$12</f>
        <v>0</v>
      </c>
      <c r="F108" s="3198">
        <f>F48*$F$12</f>
        <v>0</v>
      </c>
      <c r="G108" s="3198">
        <f>G48*$G$12</f>
        <v>0</v>
      </c>
      <c r="H108" s="3198"/>
      <c r="I108" s="3198"/>
      <c r="J108" s="3198"/>
      <c r="K108" s="3198"/>
      <c r="L108" s="3198"/>
      <c r="M108" s="3198">
        <f>M48*$M$12</f>
        <v>0</v>
      </c>
      <c r="N108" s="3198">
        <f>N48*$N$12</f>
        <v>0</v>
      </c>
      <c r="O108" s="3199">
        <f>O48*$O$12</f>
        <v>0</v>
      </c>
    </row>
    <row r="109" spans="1:106" x14ac:dyDescent="0.25">
      <c r="B109" s="3142" t="s">
        <v>634</v>
      </c>
      <c r="C109" s="3198">
        <f>C49*$C$12</f>
        <v>0</v>
      </c>
      <c r="D109" s="3198">
        <f>D49*$D$12</f>
        <v>0</v>
      </c>
      <c r="E109" s="3198">
        <f>E49*$E$12</f>
        <v>0</v>
      </c>
      <c r="F109" s="3198">
        <f>F49*$F$12</f>
        <v>0</v>
      </c>
      <c r="G109" s="3198">
        <f>G49*$G$12</f>
        <v>0</v>
      </c>
      <c r="H109" s="3198"/>
      <c r="I109" s="3198"/>
      <c r="J109" s="3198"/>
      <c r="K109" s="3198"/>
      <c r="L109" s="3198"/>
      <c r="M109" s="3198">
        <f>M49*$M$12</f>
        <v>0</v>
      </c>
      <c r="N109" s="3198">
        <f>N49*$N$12</f>
        <v>0</v>
      </c>
      <c r="O109" s="3199">
        <f>O49*$O$12</f>
        <v>0</v>
      </c>
    </row>
    <row r="110" spans="1:106" x14ac:dyDescent="0.25">
      <c r="B110" s="3139" t="s">
        <v>630</v>
      </c>
      <c r="C110" s="3196">
        <f t="shared" ref="C110:O110" si="68">C111+C112</f>
        <v>1854.67</v>
      </c>
      <c r="D110" s="3196">
        <f t="shared" si="68"/>
        <v>452.2</v>
      </c>
      <c r="E110" s="3196">
        <f t="shared" si="68"/>
        <v>373.59</v>
      </c>
      <c r="F110" s="3196">
        <f t="shared" si="68"/>
        <v>357.54</v>
      </c>
      <c r="G110" s="3196">
        <f t="shared" si="68"/>
        <v>14.6</v>
      </c>
      <c r="H110" s="3196"/>
      <c r="I110" s="3196"/>
      <c r="J110" s="3196"/>
      <c r="K110" s="3196"/>
      <c r="L110" s="3196"/>
      <c r="M110" s="3196">
        <f t="shared" si="68"/>
        <v>0</v>
      </c>
      <c r="N110" s="3196">
        <f t="shared" si="68"/>
        <v>283.77</v>
      </c>
      <c r="O110" s="3197">
        <f t="shared" si="68"/>
        <v>372.97</v>
      </c>
    </row>
    <row r="111" spans="1:106" x14ac:dyDescent="0.25">
      <c r="B111" s="3142" t="s">
        <v>633</v>
      </c>
      <c r="C111" s="3198">
        <f>C51*$C$12</f>
        <v>597.13</v>
      </c>
      <c r="D111" s="3198">
        <f>D51*$D$12</f>
        <v>145.59</v>
      </c>
      <c r="E111" s="3198">
        <f>E51*$E$12</f>
        <v>120.28</v>
      </c>
      <c r="F111" s="3198">
        <f>F51*$F$12</f>
        <v>115.11</v>
      </c>
      <c r="G111" s="3198">
        <f>G51*$G$12</f>
        <v>4.7</v>
      </c>
      <c r="H111" s="3198"/>
      <c r="I111" s="3198"/>
      <c r="J111" s="3198"/>
      <c r="K111" s="3198"/>
      <c r="L111" s="3198"/>
      <c r="M111" s="3198">
        <f>M51*$M$12</f>
        <v>0</v>
      </c>
      <c r="N111" s="3198">
        <f>N51*$N$12</f>
        <v>91.36</v>
      </c>
      <c r="O111" s="3199">
        <f>O51*$O$12</f>
        <v>120.08</v>
      </c>
    </row>
    <row r="112" spans="1:106" x14ac:dyDescent="0.25">
      <c r="B112" s="3142" t="s">
        <v>634</v>
      </c>
      <c r="C112" s="3198">
        <f>C52*$C$12</f>
        <v>1257.54</v>
      </c>
      <c r="D112" s="3198">
        <f>D52*$D$12</f>
        <v>306.61</v>
      </c>
      <c r="E112" s="3198">
        <f>E52*$E$12</f>
        <v>253.31</v>
      </c>
      <c r="F112" s="3198">
        <f>F52*$F$12</f>
        <v>242.43</v>
      </c>
      <c r="G112" s="3198">
        <f>G52*$G$12</f>
        <v>9.9</v>
      </c>
      <c r="H112" s="3198"/>
      <c r="I112" s="3198"/>
      <c r="J112" s="3198"/>
      <c r="K112" s="3198"/>
      <c r="L112" s="3198"/>
      <c r="M112" s="3198">
        <f>M52*$M$12</f>
        <v>0</v>
      </c>
      <c r="N112" s="3198">
        <f>N52*$N$12</f>
        <v>192.41</v>
      </c>
      <c r="O112" s="3199">
        <f>O52*$O$12</f>
        <v>252.89</v>
      </c>
    </row>
    <row r="113" spans="2:16" x14ac:dyDescent="0.25">
      <c r="B113" s="3155" t="s">
        <v>632</v>
      </c>
      <c r="C113" s="3200">
        <f t="shared" ref="C113:O113" si="69">C114+C117</f>
        <v>0</v>
      </c>
      <c r="D113" s="3201">
        <f t="shared" si="69"/>
        <v>0</v>
      </c>
      <c r="E113" s="3201">
        <f t="shared" si="69"/>
        <v>0</v>
      </c>
      <c r="F113" s="3201">
        <f t="shared" si="69"/>
        <v>0</v>
      </c>
      <c r="G113" s="3201">
        <f t="shared" si="69"/>
        <v>0</v>
      </c>
      <c r="H113" s="3201"/>
      <c r="I113" s="3201"/>
      <c r="J113" s="3201"/>
      <c r="K113" s="3201"/>
      <c r="L113" s="3201"/>
      <c r="M113" s="3201">
        <f t="shared" si="69"/>
        <v>0</v>
      </c>
      <c r="N113" s="3201">
        <f t="shared" si="69"/>
        <v>0</v>
      </c>
      <c r="O113" s="3202">
        <f t="shared" si="69"/>
        <v>0</v>
      </c>
      <c r="P113" s="2545"/>
    </row>
    <row r="114" spans="2:16" x14ac:dyDescent="0.25">
      <c r="B114" s="3139" t="s">
        <v>631</v>
      </c>
      <c r="C114" s="3196">
        <f t="shared" ref="C114:O114" si="70">C115+C116</f>
        <v>0</v>
      </c>
      <c r="D114" s="3196">
        <f t="shared" si="70"/>
        <v>0</v>
      </c>
      <c r="E114" s="3196">
        <f t="shared" si="70"/>
        <v>0</v>
      </c>
      <c r="F114" s="3196">
        <f t="shared" si="70"/>
        <v>0</v>
      </c>
      <c r="G114" s="3196">
        <f t="shared" si="70"/>
        <v>0</v>
      </c>
      <c r="H114" s="3196"/>
      <c r="I114" s="3196"/>
      <c r="J114" s="3196"/>
      <c r="K114" s="3196"/>
      <c r="L114" s="3196"/>
      <c r="M114" s="3196">
        <f t="shared" si="70"/>
        <v>0</v>
      </c>
      <c r="N114" s="3196">
        <f t="shared" si="70"/>
        <v>0</v>
      </c>
      <c r="O114" s="3197">
        <f t="shared" si="70"/>
        <v>0</v>
      </c>
    </row>
    <row r="115" spans="2:16" x14ac:dyDescent="0.25">
      <c r="B115" s="3142" t="s">
        <v>633</v>
      </c>
      <c r="C115" s="3198">
        <f>C55*$C$12</f>
        <v>0</v>
      </c>
      <c r="D115" s="3198">
        <f>D55*$D$12</f>
        <v>0</v>
      </c>
      <c r="E115" s="3198">
        <f>E55*$E$12</f>
        <v>0</v>
      </c>
      <c r="F115" s="3198">
        <f>F55*$F$12</f>
        <v>0</v>
      </c>
      <c r="G115" s="3198">
        <f>G55*$G$12</f>
        <v>0</v>
      </c>
      <c r="H115" s="3198"/>
      <c r="I115" s="3198"/>
      <c r="J115" s="3198"/>
      <c r="K115" s="3198"/>
      <c r="L115" s="3198"/>
      <c r="M115" s="3198">
        <f>M55*$M$12</f>
        <v>0</v>
      </c>
      <c r="N115" s="3198">
        <f>N55*$N$12</f>
        <v>0</v>
      </c>
      <c r="O115" s="3199">
        <f>O55*$O$12</f>
        <v>0</v>
      </c>
    </row>
    <row r="116" spans="2:16" x14ac:dyDescent="0.25">
      <c r="B116" s="3142" t="s">
        <v>634</v>
      </c>
      <c r="C116" s="3198">
        <f>C56*$C$12</f>
        <v>0</v>
      </c>
      <c r="D116" s="3198">
        <f>D56*$D$12</f>
        <v>0</v>
      </c>
      <c r="E116" s="3198">
        <f>E56*$E$12</f>
        <v>0</v>
      </c>
      <c r="F116" s="3198">
        <f>F56*$F$12</f>
        <v>0</v>
      </c>
      <c r="G116" s="3198">
        <f>G56*$G$12</f>
        <v>0</v>
      </c>
      <c r="H116" s="3198"/>
      <c r="I116" s="3198"/>
      <c r="J116" s="3198"/>
      <c r="K116" s="3198"/>
      <c r="L116" s="3198"/>
      <c r="M116" s="3198">
        <f>M56*$M$12</f>
        <v>0</v>
      </c>
      <c r="N116" s="3198">
        <f>N56*$N$12</f>
        <v>0</v>
      </c>
      <c r="O116" s="3199">
        <f>O56*$O$12</f>
        <v>0</v>
      </c>
    </row>
    <row r="117" spans="2:16" x14ac:dyDescent="0.25">
      <c r="B117" s="3139" t="s">
        <v>630</v>
      </c>
      <c r="C117" s="3196">
        <f t="shared" ref="C117:O117" si="71">C118+C119</f>
        <v>0</v>
      </c>
      <c r="D117" s="3196">
        <f t="shared" si="71"/>
        <v>0</v>
      </c>
      <c r="E117" s="3196">
        <f t="shared" si="71"/>
        <v>0</v>
      </c>
      <c r="F117" s="3196">
        <f t="shared" si="71"/>
        <v>0</v>
      </c>
      <c r="G117" s="3196">
        <f t="shared" si="71"/>
        <v>0</v>
      </c>
      <c r="H117" s="3196"/>
      <c r="I117" s="3196"/>
      <c r="J117" s="3196"/>
      <c r="K117" s="3196"/>
      <c r="L117" s="3196"/>
      <c r="M117" s="3196">
        <f t="shared" si="71"/>
        <v>0</v>
      </c>
      <c r="N117" s="3196">
        <f t="shared" si="71"/>
        <v>0</v>
      </c>
      <c r="O117" s="3197">
        <f t="shared" si="71"/>
        <v>0</v>
      </c>
    </row>
    <row r="118" spans="2:16" x14ac:dyDescent="0.25">
      <c r="B118" s="3142" t="s">
        <v>633</v>
      </c>
      <c r="C118" s="3198">
        <f>C58*$C$12</f>
        <v>0</v>
      </c>
      <c r="D118" s="3198">
        <f>D58*$D$12</f>
        <v>0</v>
      </c>
      <c r="E118" s="3198">
        <f>E58*$E$12</f>
        <v>0</v>
      </c>
      <c r="F118" s="3198">
        <f>F58*$F$12</f>
        <v>0</v>
      </c>
      <c r="G118" s="3198">
        <f>G58*$G$12</f>
        <v>0</v>
      </c>
      <c r="H118" s="3198"/>
      <c r="I118" s="3198"/>
      <c r="J118" s="3198"/>
      <c r="K118" s="3198"/>
      <c r="L118" s="3198"/>
      <c r="M118" s="3198">
        <f>M58*$M$12</f>
        <v>0</v>
      </c>
      <c r="N118" s="3198">
        <f>N58*$N$12</f>
        <v>0</v>
      </c>
      <c r="O118" s="3199">
        <f>O58*$O$12</f>
        <v>0</v>
      </c>
    </row>
    <row r="119" spans="2:16" ht="15.75" thickBot="1" x14ac:dyDescent="0.3">
      <c r="B119" s="3174" t="s">
        <v>634</v>
      </c>
      <c r="C119" s="3252">
        <f>C59*$C$12</f>
        <v>0</v>
      </c>
      <c r="D119" s="3252">
        <f>D59*$D$12</f>
        <v>0</v>
      </c>
      <c r="E119" s="3252">
        <f>E59*$E$12</f>
        <v>0</v>
      </c>
      <c r="F119" s="3252">
        <f>F59*$F$12</f>
        <v>0</v>
      </c>
      <c r="G119" s="3252">
        <f>G59*$G$12</f>
        <v>0</v>
      </c>
      <c r="H119" s="3252"/>
      <c r="I119" s="3252"/>
      <c r="J119" s="3252"/>
      <c r="K119" s="3252"/>
      <c r="L119" s="3252"/>
      <c r="M119" s="3252">
        <f>M59*$M$12</f>
        <v>0</v>
      </c>
      <c r="N119" s="3252">
        <f>N59*$N$12</f>
        <v>0</v>
      </c>
      <c r="O119" s="3253">
        <f>O59*$O$12</f>
        <v>0</v>
      </c>
    </row>
    <row r="120" spans="2:16" ht="15.75" thickBot="1" x14ac:dyDescent="0.3">
      <c r="B120" s="3208" t="s">
        <v>3146</v>
      </c>
      <c r="C120" s="3518">
        <f>C121+C128</f>
        <v>3690.46</v>
      </c>
      <c r="D120" s="3519">
        <f>D121+D128</f>
        <v>313.44</v>
      </c>
      <c r="E120" s="3519">
        <f t="shared" ref="E120:O120" si="72">E121+E128</f>
        <v>283.10000000000002</v>
      </c>
      <c r="F120" s="3519">
        <f t="shared" si="72"/>
        <v>313.44</v>
      </c>
      <c r="G120" s="3519">
        <f t="shared" si="72"/>
        <v>303.32</v>
      </c>
      <c r="H120" s="3519">
        <f t="shared" si="72"/>
        <v>313.44</v>
      </c>
      <c r="I120" s="3519">
        <f t="shared" si="72"/>
        <v>303.32</v>
      </c>
      <c r="J120" s="3519">
        <f t="shared" si="72"/>
        <v>313.44</v>
      </c>
      <c r="K120" s="3519">
        <f t="shared" si="72"/>
        <v>313.44</v>
      </c>
      <c r="L120" s="3519">
        <f t="shared" si="72"/>
        <v>303.32</v>
      </c>
      <c r="M120" s="3519">
        <f t="shared" si="72"/>
        <v>313.44</v>
      </c>
      <c r="N120" s="3519">
        <f t="shared" si="72"/>
        <v>303.32</v>
      </c>
      <c r="O120" s="3520">
        <f t="shared" si="72"/>
        <v>313.44</v>
      </c>
    </row>
    <row r="121" spans="2:16" x14ac:dyDescent="0.25">
      <c r="B121" s="3155" t="s">
        <v>628</v>
      </c>
      <c r="C121" s="3515">
        <f>SUM(D121:O121)</f>
        <v>3387.2</v>
      </c>
      <c r="D121" s="3516">
        <f>D122+D125</f>
        <v>287.68</v>
      </c>
      <c r="E121" s="3516">
        <f t="shared" ref="E121:O121" si="73">E122+E125</f>
        <v>259.83999999999997</v>
      </c>
      <c r="F121" s="3516">
        <f t="shared" si="73"/>
        <v>287.68</v>
      </c>
      <c r="G121" s="3516">
        <f t="shared" si="73"/>
        <v>278.39999999999998</v>
      </c>
      <c r="H121" s="3516">
        <f t="shared" si="73"/>
        <v>287.68</v>
      </c>
      <c r="I121" s="3516">
        <f t="shared" si="73"/>
        <v>278.39999999999998</v>
      </c>
      <c r="J121" s="3516">
        <f t="shared" si="73"/>
        <v>287.68</v>
      </c>
      <c r="K121" s="3516">
        <f t="shared" si="73"/>
        <v>287.68</v>
      </c>
      <c r="L121" s="3516">
        <f t="shared" si="73"/>
        <v>278.39999999999998</v>
      </c>
      <c r="M121" s="3516">
        <f t="shared" si="73"/>
        <v>287.68</v>
      </c>
      <c r="N121" s="3516">
        <f t="shared" si="73"/>
        <v>278.39999999999998</v>
      </c>
      <c r="O121" s="3517">
        <f t="shared" si="73"/>
        <v>287.68</v>
      </c>
    </row>
    <row r="122" spans="2:16" x14ac:dyDescent="0.25">
      <c r="B122" s="3139" t="s">
        <v>629</v>
      </c>
      <c r="C122" s="3188">
        <f>SUM(D122:O122)</f>
        <v>620.86</v>
      </c>
      <c r="D122" s="3255">
        <f>D123+D124</f>
        <v>52.73</v>
      </c>
      <c r="E122" s="3255">
        <f t="shared" ref="E122:O122" si="74">E123+E124</f>
        <v>47.63</v>
      </c>
      <c r="F122" s="3255">
        <f t="shared" si="74"/>
        <v>52.73</v>
      </c>
      <c r="G122" s="3255">
        <f t="shared" si="74"/>
        <v>51.03</v>
      </c>
      <c r="H122" s="3255">
        <f t="shared" si="74"/>
        <v>52.73</v>
      </c>
      <c r="I122" s="3255">
        <f t="shared" si="74"/>
        <v>51.03</v>
      </c>
      <c r="J122" s="3255">
        <f t="shared" si="74"/>
        <v>52.73</v>
      </c>
      <c r="K122" s="3255">
        <f t="shared" si="74"/>
        <v>52.73</v>
      </c>
      <c r="L122" s="3255">
        <f t="shared" si="74"/>
        <v>51.03</v>
      </c>
      <c r="M122" s="3255">
        <f t="shared" si="74"/>
        <v>52.73</v>
      </c>
      <c r="N122" s="3255">
        <f t="shared" si="74"/>
        <v>51.03</v>
      </c>
      <c r="O122" s="3259">
        <f t="shared" si="74"/>
        <v>52.73</v>
      </c>
    </row>
    <row r="123" spans="2:16" x14ac:dyDescent="0.25">
      <c r="B123" s="3142" t="s">
        <v>633</v>
      </c>
      <c r="C123" s="3188">
        <f t="shared" ref="C123:C127" si="75">SUM(D123:O123)</f>
        <v>620.86</v>
      </c>
      <c r="D123" s="3255">
        <f>$D$63*D13</f>
        <v>52.73</v>
      </c>
      <c r="E123" s="3255">
        <f t="shared" ref="E123:O123" si="76">$D$63*E13</f>
        <v>47.63</v>
      </c>
      <c r="F123" s="3255">
        <f t="shared" si="76"/>
        <v>52.73</v>
      </c>
      <c r="G123" s="3255">
        <f t="shared" si="76"/>
        <v>51.03</v>
      </c>
      <c r="H123" s="3255">
        <f t="shared" si="76"/>
        <v>52.73</v>
      </c>
      <c r="I123" s="3255">
        <f t="shared" si="76"/>
        <v>51.03</v>
      </c>
      <c r="J123" s="3255">
        <f t="shared" si="76"/>
        <v>52.73</v>
      </c>
      <c r="K123" s="3255">
        <f t="shared" si="76"/>
        <v>52.73</v>
      </c>
      <c r="L123" s="3255">
        <f t="shared" si="76"/>
        <v>51.03</v>
      </c>
      <c r="M123" s="3255">
        <f t="shared" si="76"/>
        <v>52.73</v>
      </c>
      <c r="N123" s="3255">
        <f t="shared" si="76"/>
        <v>51.03</v>
      </c>
      <c r="O123" s="3259">
        <f t="shared" si="76"/>
        <v>52.73</v>
      </c>
    </row>
    <row r="124" spans="2:16" x14ac:dyDescent="0.25">
      <c r="B124" s="3142" t="s">
        <v>634</v>
      </c>
      <c r="C124" s="3188">
        <f t="shared" si="75"/>
        <v>0</v>
      </c>
      <c r="D124" s="3255">
        <f>$D$64*D13</f>
        <v>0</v>
      </c>
      <c r="E124" s="3255">
        <f t="shared" ref="E124:O124" si="77">$D$64*E13</f>
        <v>0</v>
      </c>
      <c r="F124" s="3255">
        <f t="shared" si="77"/>
        <v>0</v>
      </c>
      <c r="G124" s="3255">
        <f t="shared" si="77"/>
        <v>0</v>
      </c>
      <c r="H124" s="3255">
        <f t="shared" si="77"/>
        <v>0</v>
      </c>
      <c r="I124" s="3255">
        <f t="shared" si="77"/>
        <v>0</v>
      </c>
      <c r="J124" s="3255">
        <f t="shared" si="77"/>
        <v>0</v>
      </c>
      <c r="K124" s="3255">
        <f t="shared" si="77"/>
        <v>0</v>
      </c>
      <c r="L124" s="3255">
        <f t="shared" si="77"/>
        <v>0</v>
      </c>
      <c r="M124" s="3255">
        <f t="shared" si="77"/>
        <v>0</v>
      </c>
      <c r="N124" s="3255">
        <f t="shared" si="77"/>
        <v>0</v>
      </c>
      <c r="O124" s="3259">
        <f t="shared" si="77"/>
        <v>0</v>
      </c>
    </row>
    <row r="125" spans="2:16" x14ac:dyDescent="0.25">
      <c r="B125" s="3139" t="s">
        <v>630</v>
      </c>
      <c r="C125" s="3188">
        <f t="shared" si="75"/>
        <v>2766.34</v>
      </c>
      <c r="D125" s="3255">
        <f>D126+D127</f>
        <v>234.95</v>
      </c>
      <c r="E125" s="3255">
        <f t="shared" ref="E125:O125" si="78">E126+E127</f>
        <v>212.21</v>
      </c>
      <c r="F125" s="3255">
        <f t="shared" si="78"/>
        <v>234.95</v>
      </c>
      <c r="G125" s="3255">
        <f t="shared" si="78"/>
        <v>227.37</v>
      </c>
      <c r="H125" s="3255">
        <f t="shared" si="78"/>
        <v>234.95</v>
      </c>
      <c r="I125" s="3255">
        <f t="shared" si="78"/>
        <v>227.37</v>
      </c>
      <c r="J125" s="3255">
        <f t="shared" si="78"/>
        <v>234.95</v>
      </c>
      <c r="K125" s="3255">
        <f t="shared" si="78"/>
        <v>234.95</v>
      </c>
      <c r="L125" s="3255">
        <f t="shared" si="78"/>
        <v>227.37</v>
      </c>
      <c r="M125" s="3255">
        <f t="shared" si="78"/>
        <v>234.95</v>
      </c>
      <c r="N125" s="3255">
        <f t="shared" si="78"/>
        <v>227.37</v>
      </c>
      <c r="O125" s="3259">
        <f t="shared" si="78"/>
        <v>234.95</v>
      </c>
    </row>
    <row r="126" spans="2:16" x14ac:dyDescent="0.25">
      <c r="B126" s="3142" t="s">
        <v>633</v>
      </c>
      <c r="C126" s="3188">
        <f t="shared" si="75"/>
        <v>1187.68</v>
      </c>
      <c r="D126" s="3255">
        <f>$D$66*D13</f>
        <v>100.87</v>
      </c>
      <c r="E126" s="3255">
        <f t="shared" ref="E126:O126" si="79">$D$66*E13</f>
        <v>91.11</v>
      </c>
      <c r="F126" s="3255">
        <f t="shared" si="79"/>
        <v>100.87</v>
      </c>
      <c r="G126" s="3255">
        <f t="shared" si="79"/>
        <v>97.62</v>
      </c>
      <c r="H126" s="3255">
        <f t="shared" si="79"/>
        <v>100.87</v>
      </c>
      <c r="I126" s="3255">
        <f t="shared" si="79"/>
        <v>97.62</v>
      </c>
      <c r="J126" s="3255">
        <f t="shared" si="79"/>
        <v>100.87</v>
      </c>
      <c r="K126" s="3255">
        <f t="shared" si="79"/>
        <v>100.87</v>
      </c>
      <c r="L126" s="3255">
        <f t="shared" si="79"/>
        <v>97.62</v>
      </c>
      <c r="M126" s="3255">
        <f t="shared" si="79"/>
        <v>100.87</v>
      </c>
      <c r="N126" s="3255">
        <f t="shared" si="79"/>
        <v>97.62</v>
      </c>
      <c r="O126" s="3259">
        <f t="shared" si="79"/>
        <v>100.87</v>
      </c>
    </row>
    <row r="127" spans="2:16" x14ac:dyDescent="0.25">
      <c r="B127" s="3142" t="s">
        <v>634</v>
      </c>
      <c r="C127" s="3188">
        <f t="shared" si="75"/>
        <v>1578.66</v>
      </c>
      <c r="D127" s="3255">
        <f>$D$67*D13</f>
        <v>134.08000000000001</v>
      </c>
      <c r="E127" s="3255">
        <f t="shared" ref="E127:O127" si="80">$D$67*E13</f>
        <v>121.1</v>
      </c>
      <c r="F127" s="3255">
        <f t="shared" si="80"/>
        <v>134.08000000000001</v>
      </c>
      <c r="G127" s="3255">
        <f t="shared" si="80"/>
        <v>129.75</v>
      </c>
      <c r="H127" s="3255">
        <f t="shared" si="80"/>
        <v>134.08000000000001</v>
      </c>
      <c r="I127" s="3255">
        <f t="shared" si="80"/>
        <v>129.75</v>
      </c>
      <c r="J127" s="3255">
        <f t="shared" si="80"/>
        <v>134.08000000000001</v>
      </c>
      <c r="K127" s="3255">
        <f t="shared" si="80"/>
        <v>134.08000000000001</v>
      </c>
      <c r="L127" s="3255">
        <f t="shared" si="80"/>
        <v>129.75</v>
      </c>
      <c r="M127" s="3255">
        <f t="shared" si="80"/>
        <v>134.08000000000001</v>
      </c>
      <c r="N127" s="3255">
        <f t="shared" si="80"/>
        <v>129.75</v>
      </c>
      <c r="O127" s="3259">
        <f t="shared" si="80"/>
        <v>134.08000000000001</v>
      </c>
    </row>
    <row r="128" spans="2:16" x14ac:dyDescent="0.25">
      <c r="B128" s="3155" t="s">
        <v>636</v>
      </c>
      <c r="C128" s="3256">
        <f>SUM(D128:O128)</f>
        <v>303.26</v>
      </c>
      <c r="D128" s="3254">
        <f>D129+D132</f>
        <v>25.76</v>
      </c>
      <c r="E128" s="3254">
        <f t="shared" ref="E128:O128" si="81">E129+E132</f>
        <v>23.26</v>
      </c>
      <c r="F128" s="3254">
        <f t="shared" si="81"/>
        <v>25.76</v>
      </c>
      <c r="G128" s="3254">
        <f t="shared" si="81"/>
        <v>24.92</v>
      </c>
      <c r="H128" s="3254">
        <f t="shared" si="81"/>
        <v>25.76</v>
      </c>
      <c r="I128" s="3254">
        <f t="shared" si="81"/>
        <v>24.92</v>
      </c>
      <c r="J128" s="3254">
        <f t="shared" si="81"/>
        <v>25.76</v>
      </c>
      <c r="K128" s="3254">
        <f t="shared" si="81"/>
        <v>25.76</v>
      </c>
      <c r="L128" s="3254">
        <f t="shared" si="81"/>
        <v>24.92</v>
      </c>
      <c r="M128" s="3254">
        <f t="shared" si="81"/>
        <v>25.76</v>
      </c>
      <c r="N128" s="3254">
        <f t="shared" si="81"/>
        <v>24.92</v>
      </c>
      <c r="O128" s="3258">
        <f t="shared" si="81"/>
        <v>25.76</v>
      </c>
    </row>
    <row r="129" spans="1:23" x14ac:dyDescent="0.25">
      <c r="B129" s="3139" t="s">
        <v>631</v>
      </c>
      <c r="C129" s="3188">
        <f t="shared" ref="C129:C134" si="82">SUM(D129:O129)</f>
        <v>0</v>
      </c>
      <c r="D129" s="3255">
        <f>D130+D131</f>
        <v>0</v>
      </c>
      <c r="E129" s="3255">
        <f t="shared" ref="E129:O129" si="83">E130+E131</f>
        <v>0</v>
      </c>
      <c r="F129" s="3255">
        <f t="shared" si="83"/>
        <v>0</v>
      </c>
      <c r="G129" s="3255">
        <f t="shared" si="83"/>
        <v>0</v>
      </c>
      <c r="H129" s="3255">
        <f t="shared" si="83"/>
        <v>0</v>
      </c>
      <c r="I129" s="3255">
        <f t="shared" si="83"/>
        <v>0</v>
      </c>
      <c r="J129" s="3255">
        <f t="shared" si="83"/>
        <v>0</v>
      </c>
      <c r="K129" s="3255">
        <f t="shared" si="83"/>
        <v>0</v>
      </c>
      <c r="L129" s="3255">
        <f t="shared" si="83"/>
        <v>0</v>
      </c>
      <c r="M129" s="3255">
        <f t="shared" si="83"/>
        <v>0</v>
      </c>
      <c r="N129" s="3255">
        <f t="shared" si="83"/>
        <v>0</v>
      </c>
      <c r="O129" s="3259">
        <f t="shared" si="83"/>
        <v>0</v>
      </c>
    </row>
    <row r="130" spans="1:23" x14ac:dyDescent="0.25">
      <c r="B130" s="3142" t="s">
        <v>633</v>
      </c>
      <c r="C130" s="3188">
        <f t="shared" si="82"/>
        <v>0</v>
      </c>
      <c r="D130" s="3255">
        <f>$D$70*D13</f>
        <v>0</v>
      </c>
      <c r="E130" s="3255">
        <f t="shared" ref="E130:O130" si="84">$D$70*E13</f>
        <v>0</v>
      </c>
      <c r="F130" s="3255">
        <f t="shared" si="84"/>
        <v>0</v>
      </c>
      <c r="G130" s="3255">
        <f t="shared" si="84"/>
        <v>0</v>
      </c>
      <c r="H130" s="3255">
        <f t="shared" si="84"/>
        <v>0</v>
      </c>
      <c r="I130" s="3255">
        <f t="shared" si="84"/>
        <v>0</v>
      </c>
      <c r="J130" s="3255">
        <f t="shared" si="84"/>
        <v>0</v>
      </c>
      <c r="K130" s="3255">
        <f t="shared" si="84"/>
        <v>0</v>
      </c>
      <c r="L130" s="3255">
        <f t="shared" si="84"/>
        <v>0</v>
      </c>
      <c r="M130" s="3255">
        <f t="shared" si="84"/>
        <v>0</v>
      </c>
      <c r="N130" s="3255">
        <f t="shared" si="84"/>
        <v>0</v>
      </c>
      <c r="O130" s="3259">
        <f t="shared" si="84"/>
        <v>0</v>
      </c>
    </row>
    <row r="131" spans="1:23" x14ac:dyDescent="0.25">
      <c r="B131" s="3142" t="s">
        <v>634</v>
      </c>
      <c r="C131" s="3188">
        <f t="shared" si="82"/>
        <v>0</v>
      </c>
      <c r="D131" s="3255">
        <f>$D$71*D13</f>
        <v>0</v>
      </c>
      <c r="E131" s="3255">
        <f t="shared" ref="E131:O131" si="85">$D$71*E13</f>
        <v>0</v>
      </c>
      <c r="F131" s="3255">
        <f t="shared" si="85"/>
        <v>0</v>
      </c>
      <c r="G131" s="3255">
        <f t="shared" si="85"/>
        <v>0</v>
      </c>
      <c r="H131" s="3255">
        <f t="shared" si="85"/>
        <v>0</v>
      </c>
      <c r="I131" s="3255">
        <f t="shared" si="85"/>
        <v>0</v>
      </c>
      <c r="J131" s="3255">
        <f t="shared" si="85"/>
        <v>0</v>
      </c>
      <c r="K131" s="3255">
        <f t="shared" si="85"/>
        <v>0</v>
      </c>
      <c r="L131" s="3255">
        <f t="shared" si="85"/>
        <v>0</v>
      </c>
      <c r="M131" s="3255">
        <f t="shared" si="85"/>
        <v>0</v>
      </c>
      <c r="N131" s="3255">
        <f t="shared" si="85"/>
        <v>0</v>
      </c>
      <c r="O131" s="3259">
        <f t="shared" si="85"/>
        <v>0</v>
      </c>
    </row>
    <row r="132" spans="1:23" x14ac:dyDescent="0.25">
      <c r="B132" s="3139" t="s">
        <v>630</v>
      </c>
      <c r="C132" s="3188">
        <f t="shared" si="82"/>
        <v>303.26</v>
      </c>
      <c r="D132" s="3255">
        <f>D133+D134</f>
        <v>25.76</v>
      </c>
      <c r="E132" s="3255">
        <f t="shared" ref="E132:O132" si="86">E133+E134</f>
        <v>23.26</v>
      </c>
      <c r="F132" s="3255">
        <f t="shared" si="86"/>
        <v>25.76</v>
      </c>
      <c r="G132" s="3255">
        <f t="shared" si="86"/>
        <v>24.92</v>
      </c>
      <c r="H132" s="3255">
        <f t="shared" si="86"/>
        <v>25.76</v>
      </c>
      <c r="I132" s="3255">
        <f t="shared" si="86"/>
        <v>24.92</v>
      </c>
      <c r="J132" s="3255">
        <f t="shared" si="86"/>
        <v>25.76</v>
      </c>
      <c r="K132" s="3255">
        <f t="shared" si="86"/>
        <v>25.76</v>
      </c>
      <c r="L132" s="3255">
        <f t="shared" si="86"/>
        <v>24.92</v>
      </c>
      <c r="M132" s="3255">
        <f t="shared" si="86"/>
        <v>25.76</v>
      </c>
      <c r="N132" s="3255">
        <f t="shared" si="86"/>
        <v>24.92</v>
      </c>
      <c r="O132" s="3259">
        <f t="shared" si="86"/>
        <v>25.76</v>
      </c>
    </row>
    <row r="133" spans="1:23" x14ac:dyDescent="0.25">
      <c r="B133" s="3142" t="s">
        <v>633</v>
      </c>
      <c r="C133" s="3188">
        <f t="shared" si="82"/>
        <v>43.44</v>
      </c>
      <c r="D133" s="3255">
        <f>$D$73*D13</f>
        <v>3.69</v>
      </c>
      <c r="E133" s="3255">
        <f t="shared" ref="E133:O133" si="87">$D$73*E13</f>
        <v>3.33</v>
      </c>
      <c r="F133" s="3255">
        <f t="shared" si="87"/>
        <v>3.69</v>
      </c>
      <c r="G133" s="3255">
        <f t="shared" si="87"/>
        <v>3.57</v>
      </c>
      <c r="H133" s="3255">
        <f t="shared" si="87"/>
        <v>3.69</v>
      </c>
      <c r="I133" s="3255">
        <f t="shared" si="87"/>
        <v>3.57</v>
      </c>
      <c r="J133" s="3255">
        <f t="shared" si="87"/>
        <v>3.69</v>
      </c>
      <c r="K133" s="3255">
        <f t="shared" si="87"/>
        <v>3.69</v>
      </c>
      <c r="L133" s="3255">
        <f t="shared" si="87"/>
        <v>3.57</v>
      </c>
      <c r="M133" s="3255">
        <f t="shared" si="87"/>
        <v>3.69</v>
      </c>
      <c r="N133" s="3255">
        <f t="shared" si="87"/>
        <v>3.57</v>
      </c>
      <c r="O133" s="3259">
        <f t="shared" si="87"/>
        <v>3.69</v>
      </c>
    </row>
    <row r="134" spans="1:23" ht="15.75" thickBot="1" x14ac:dyDescent="0.3">
      <c r="B134" s="3174" t="s">
        <v>634</v>
      </c>
      <c r="C134" s="3190">
        <f t="shared" si="82"/>
        <v>259.82</v>
      </c>
      <c r="D134" s="3257">
        <f>$D$74*D13</f>
        <v>22.07</v>
      </c>
      <c r="E134" s="3257">
        <f t="shared" ref="E134:O134" si="88">$D$74*E13</f>
        <v>19.93</v>
      </c>
      <c r="F134" s="3257">
        <f t="shared" si="88"/>
        <v>22.07</v>
      </c>
      <c r="G134" s="3257">
        <f t="shared" si="88"/>
        <v>21.35</v>
      </c>
      <c r="H134" s="3257">
        <f t="shared" si="88"/>
        <v>22.07</v>
      </c>
      <c r="I134" s="3257">
        <f t="shared" si="88"/>
        <v>21.35</v>
      </c>
      <c r="J134" s="3257">
        <f t="shared" si="88"/>
        <v>22.07</v>
      </c>
      <c r="K134" s="3257">
        <f t="shared" si="88"/>
        <v>22.07</v>
      </c>
      <c r="L134" s="3257">
        <f t="shared" si="88"/>
        <v>21.35</v>
      </c>
      <c r="M134" s="3257">
        <f t="shared" si="88"/>
        <v>22.07</v>
      </c>
      <c r="N134" s="3257">
        <f t="shared" si="88"/>
        <v>21.35</v>
      </c>
      <c r="O134" s="3260">
        <f t="shared" si="88"/>
        <v>22.07</v>
      </c>
    </row>
    <row r="135" spans="1:23" x14ac:dyDescent="0.25">
      <c r="B135" s="3205"/>
      <c r="C135" s="3204"/>
      <c r="D135" s="3204"/>
      <c r="E135" s="3204"/>
      <c r="F135" s="3204"/>
      <c r="G135" s="3204"/>
      <c r="H135" s="3204"/>
      <c r="I135" s="3204"/>
      <c r="J135" s="3204"/>
      <c r="K135" s="3204"/>
      <c r="L135" s="3204"/>
      <c r="M135" s="3204"/>
      <c r="N135" s="3204"/>
      <c r="O135" s="3204"/>
    </row>
    <row r="137" spans="1:23" ht="15.75" x14ac:dyDescent="0.25">
      <c r="B137" s="3206" t="s">
        <v>1335</v>
      </c>
    </row>
    <row r="138" spans="1:23" ht="14.25" customHeight="1" thickBot="1" x14ac:dyDescent="0.3"/>
    <row r="139" spans="1:23" ht="30" thickBot="1" x14ac:dyDescent="0.3">
      <c r="A139" s="3512"/>
      <c r="B139" s="3207"/>
      <c r="C139" s="3208" t="s">
        <v>495</v>
      </c>
      <c r="D139" s="3209" t="s">
        <v>10</v>
      </c>
      <c r="E139" s="3210" t="s">
        <v>11</v>
      </c>
      <c r="F139" s="3209" t="s">
        <v>12</v>
      </c>
      <c r="G139" s="3210" t="s">
        <v>13</v>
      </c>
      <c r="H139" s="3114" t="s">
        <v>139</v>
      </c>
      <c r="I139" s="3114" t="s">
        <v>15</v>
      </c>
      <c r="J139" s="3114" t="s">
        <v>16</v>
      </c>
      <c r="K139" s="3114" t="s">
        <v>17</v>
      </c>
      <c r="L139" s="3114" t="s">
        <v>18</v>
      </c>
      <c r="M139" s="3209" t="s">
        <v>19</v>
      </c>
      <c r="N139" s="3210" t="s">
        <v>20</v>
      </c>
      <c r="O139" s="3210" t="s">
        <v>21</v>
      </c>
    </row>
    <row r="140" spans="1:23" s="2542" customFormat="1" ht="15.75" thickBot="1" x14ac:dyDescent="0.3">
      <c r="A140" s="3513"/>
      <c r="B140" s="3211" t="s">
        <v>745</v>
      </c>
      <c r="C140" s="3212">
        <f t="shared" ref="C140:O140" si="89">C141+C168</f>
        <v>1450.116</v>
      </c>
      <c r="D140" s="3212">
        <f>D141+D168</f>
        <v>369.25</v>
      </c>
      <c r="E140" s="3212">
        <f t="shared" si="89"/>
        <v>101.28</v>
      </c>
      <c r="F140" s="3212">
        <f t="shared" si="89"/>
        <v>178.4</v>
      </c>
      <c r="G140" s="3212">
        <f t="shared" si="89"/>
        <v>99.74</v>
      </c>
      <c r="H140" s="3212">
        <f t="shared" si="89"/>
        <v>130.08799999999999</v>
      </c>
      <c r="I140" s="3212">
        <f t="shared" si="89"/>
        <v>55.271000000000001</v>
      </c>
      <c r="J140" s="3212">
        <f t="shared" si="89"/>
        <v>31.119</v>
      </c>
      <c r="K140" s="3212">
        <f t="shared" si="89"/>
        <v>32.119</v>
      </c>
      <c r="L140" s="3212">
        <f t="shared" si="89"/>
        <v>39.908999999999999</v>
      </c>
      <c r="M140" s="3212">
        <f t="shared" si="89"/>
        <v>54.52</v>
      </c>
      <c r="N140" s="3212">
        <f t="shared" si="89"/>
        <v>128.51</v>
      </c>
      <c r="O140" s="3212">
        <f t="shared" si="89"/>
        <v>229.91</v>
      </c>
      <c r="P140" s="3213"/>
      <c r="Q140" s="2545"/>
    </row>
    <row r="141" spans="1:23" ht="15.75" thickBot="1" x14ac:dyDescent="0.3">
      <c r="A141" s="3512"/>
      <c r="B141" s="3214" t="s">
        <v>3183</v>
      </c>
      <c r="C141" s="3215">
        <f t="shared" ref="C141:O141" si="90">C142+C148</f>
        <v>1450.116</v>
      </c>
      <c r="D141" s="3215">
        <f t="shared" si="90"/>
        <v>369.25</v>
      </c>
      <c r="E141" s="3215">
        <f t="shared" si="90"/>
        <v>101.28</v>
      </c>
      <c r="F141" s="3215">
        <f t="shared" si="90"/>
        <v>178.4</v>
      </c>
      <c r="G141" s="3215">
        <f t="shared" si="90"/>
        <v>99.74</v>
      </c>
      <c r="H141" s="3215">
        <f t="shared" si="90"/>
        <v>130.08799999999999</v>
      </c>
      <c r="I141" s="3215">
        <f t="shared" si="90"/>
        <v>55.271000000000001</v>
      </c>
      <c r="J141" s="3215">
        <f>J142+J148</f>
        <v>31.119</v>
      </c>
      <c r="K141" s="3215">
        <f t="shared" si="90"/>
        <v>32.119</v>
      </c>
      <c r="L141" s="3215">
        <f t="shared" si="90"/>
        <v>39.908999999999999</v>
      </c>
      <c r="M141" s="3215">
        <f t="shared" si="90"/>
        <v>54.52</v>
      </c>
      <c r="N141" s="3215">
        <f t="shared" si="90"/>
        <v>128.51</v>
      </c>
      <c r="O141" s="3215">
        <f t="shared" si="90"/>
        <v>229.91</v>
      </c>
      <c r="P141" s="3217"/>
      <c r="Q141" s="2545"/>
    </row>
    <row r="142" spans="1:23" x14ac:dyDescent="0.25">
      <c r="A142" s="3512"/>
      <c r="B142" s="3218" t="s">
        <v>629</v>
      </c>
      <c r="C142" s="3219">
        <f>SUM(D142:O142)</f>
        <v>196.33699999999999</v>
      </c>
      <c r="D142" s="3219">
        <v>49.994</v>
      </c>
      <c r="E142" s="3219">
        <v>13.712999999999999</v>
      </c>
      <c r="F142" s="3219">
        <v>24.154</v>
      </c>
      <c r="G142" s="3219">
        <v>13.504</v>
      </c>
      <c r="H142" s="3219">
        <v>17.613</v>
      </c>
      <c r="I142" s="3219">
        <v>7.4829999999999997</v>
      </c>
      <c r="J142" s="3219">
        <v>4.3490000000000002</v>
      </c>
      <c r="K142" s="3219">
        <v>4.2130000000000001</v>
      </c>
      <c r="L142" s="3219">
        <v>5.4029999999999996</v>
      </c>
      <c r="M142" s="3219">
        <v>7.3819999999999997</v>
      </c>
      <c r="N142" s="3219">
        <v>17.399999999999999</v>
      </c>
      <c r="O142" s="3219">
        <v>31.129000000000001</v>
      </c>
      <c r="P142" s="3221">
        <f>C141+C155</f>
        <v>13067.425999999999</v>
      </c>
      <c r="Q142" s="3222">
        <f>C141/P142</f>
        <v>0.111</v>
      </c>
    </row>
    <row r="143" spans="1:23" x14ac:dyDescent="0.25">
      <c r="A143" s="3512"/>
      <c r="B143" s="3223" t="s">
        <v>3</v>
      </c>
      <c r="C143" s="3224">
        <f t="shared" ref="C143:O143" si="91">C142*(C157/C156)</f>
        <v>0</v>
      </c>
      <c r="D143" s="3224">
        <f>D142*(D157/D156)</f>
        <v>0</v>
      </c>
      <c r="E143" s="3224">
        <f t="shared" si="91"/>
        <v>0</v>
      </c>
      <c r="F143" s="3224">
        <f t="shared" si="91"/>
        <v>0</v>
      </c>
      <c r="G143" s="3224">
        <f t="shared" si="91"/>
        <v>0</v>
      </c>
      <c r="H143" s="3224">
        <f t="shared" si="91"/>
        <v>0</v>
      </c>
      <c r="I143" s="3224">
        <f t="shared" si="91"/>
        <v>0</v>
      </c>
      <c r="J143" s="3224">
        <f t="shared" si="91"/>
        <v>0</v>
      </c>
      <c r="K143" s="3224">
        <f t="shared" si="91"/>
        <v>0</v>
      </c>
      <c r="L143" s="3224">
        <f t="shared" si="91"/>
        <v>0</v>
      </c>
      <c r="M143" s="3224">
        <f t="shared" si="91"/>
        <v>0</v>
      </c>
      <c r="N143" s="3224">
        <f t="shared" si="91"/>
        <v>0</v>
      </c>
      <c r="O143" s="3224">
        <f t="shared" si="91"/>
        <v>0</v>
      </c>
      <c r="P143" s="3221">
        <f>C142+C156</f>
        <v>1395.067</v>
      </c>
      <c r="Q143" s="3222">
        <f>C142/P143</f>
        <v>0.14069999999999999</v>
      </c>
    </row>
    <row r="144" spans="1:23" ht="15.75" thickBot="1" x14ac:dyDescent="0.3">
      <c r="A144" s="3512"/>
      <c r="B144" s="3227" t="s">
        <v>749</v>
      </c>
      <c r="C144" s="3228">
        <f t="shared" ref="C144:O144" si="92">C142*(C158/C156)</f>
        <v>0</v>
      </c>
      <c r="D144" s="3228">
        <f>D142*(D158/D156)</f>
        <v>0</v>
      </c>
      <c r="E144" s="3228">
        <f t="shared" si="92"/>
        <v>0</v>
      </c>
      <c r="F144" s="3228">
        <f t="shared" si="92"/>
        <v>0</v>
      </c>
      <c r="G144" s="3228">
        <f t="shared" si="92"/>
        <v>0</v>
      </c>
      <c r="H144" s="3228">
        <f t="shared" si="92"/>
        <v>0</v>
      </c>
      <c r="I144" s="3228">
        <f t="shared" si="92"/>
        <v>0</v>
      </c>
      <c r="J144" s="3228">
        <f t="shared" si="92"/>
        <v>0</v>
      </c>
      <c r="K144" s="3228">
        <f t="shared" si="92"/>
        <v>0</v>
      </c>
      <c r="L144" s="3228">
        <f t="shared" si="92"/>
        <v>0</v>
      </c>
      <c r="M144" s="3228">
        <f t="shared" si="92"/>
        <v>0</v>
      </c>
      <c r="N144" s="3228">
        <f t="shared" si="92"/>
        <v>0</v>
      </c>
      <c r="O144" s="3228">
        <f t="shared" si="92"/>
        <v>0</v>
      </c>
      <c r="P144" s="3221">
        <f>C148+C162</f>
        <v>11672.359</v>
      </c>
      <c r="Q144" s="3222">
        <f>C148/P144</f>
        <v>0.1074</v>
      </c>
      <c r="R144" s="3221"/>
      <c r="S144" s="3221"/>
      <c r="T144" s="3221"/>
      <c r="U144" s="3221"/>
      <c r="V144" s="3221"/>
      <c r="W144" s="3221"/>
    </row>
    <row r="145" spans="1:18" x14ac:dyDescent="0.25">
      <c r="A145" s="3512"/>
      <c r="B145" s="3223" t="s">
        <v>162</v>
      </c>
      <c r="C145" s="3224">
        <f>SUM(D145:O145)</f>
        <v>196.33699999999999</v>
      </c>
      <c r="D145" s="3224">
        <f>D142*(D159/D156)</f>
        <v>49.994</v>
      </c>
      <c r="E145" s="3224">
        <f t="shared" ref="E145:O145" si="93">E142*(E159/E156)</f>
        <v>13.712999999999999</v>
      </c>
      <c r="F145" s="3224">
        <f t="shared" si="93"/>
        <v>24.154</v>
      </c>
      <c r="G145" s="3224">
        <f t="shared" si="93"/>
        <v>13.504</v>
      </c>
      <c r="H145" s="3224">
        <f t="shared" si="93"/>
        <v>17.613</v>
      </c>
      <c r="I145" s="3224">
        <f t="shared" si="93"/>
        <v>7.4829999999999997</v>
      </c>
      <c r="J145" s="3224">
        <f t="shared" si="93"/>
        <v>4.3490000000000002</v>
      </c>
      <c r="K145" s="3224">
        <f t="shared" si="93"/>
        <v>4.2130000000000001</v>
      </c>
      <c r="L145" s="3224">
        <f t="shared" si="93"/>
        <v>5.4029999999999996</v>
      </c>
      <c r="M145" s="3224">
        <f t="shared" si="93"/>
        <v>7.3819999999999997</v>
      </c>
      <c r="N145" s="3224">
        <f t="shared" si="93"/>
        <v>17.399999999999999</v>
      </c>
      <c r="O145" s="3224">
        <f t="shared" si="93"/>
        <v>31.129000000000001</v>
      </c>
    </row>
    <row r="146" spans="1:18" x14ac:dyDescent="0.25">
      <c r="A146" s="3512"/>
      <c r="B146" s="3223" t="s">
        <v>750</v>
      </c>
      <c r="C146" s="3224">
        <f>SUM(D146:O146)</f>
        <v>0</v>
      </c>
      <c r="D146" s="3224">
        <f t="shared" ref="D146:O146" si="94">D142*(D160/D156)</f>
        <v>0</v>
      </c>
      <c r="E146" s="3224">
        <f t="shared" si="94"/>
        <v>0</v>
      </c>
      <c r="F146" s="3224">
        <f t="shared" si="94"/>
        <v>0</v>
      </c>
      <c r="G146" s="3224">
        <f t="shared" si="94"/>
        <v>0</v>
      </c>
      <c r="H146" s="3224">
        <f t="shared" si="94"/>
        <v>0</v>
      </c>
      <c r="I146" s="3224">
        <f t="shared" si="94"/>
        <v>0</v>
      </c>
      <c r="J146" s="3224">
        <f t="shared" si="94"/>
        <v>0</v>
      </c>
      <c r="K146" s="3224">
        <f t="shared" si="94"/>
        <v>0</v>
      </c>
      <c r="L146" s="3224">
        <f t="shared" si="94"/>
        <v>0</v>
      </c>
      <c r="M146" s="3224">
        <f t="shared" si="94"/>
        <v>0</v>
      </c>
      <c r="N146" s="3224">
        <f t="shared" si="94"/>
        <v>0</v>
      </c>
      <c r="O146" s="3224">
        <f t="shared" si="94"/>
        <v>0</v>
      </c>
    </row>
    <row r="147" spans="1:18" x14ac:dyDescent="0.25">
      <c r="A147" s="3512"/>
      <c r="B147" s="3223" t="s">
        <v>169</v>
      </c>
      <c r="C147" s="3224">
        <f t="shared" ref="C147:O147" si="95">C142*(C161/C156)</f>
        <v>0</v>
      </c>
      <c r="D147" s="3224">
        <f t="shared" si="95"/>
        <v>0</v>
      </c>
      <c r="E147" s="3224">
        <f t="shared" si="95"/>
        <v>0</v>
      </c>
      <c r="F147" s="3224">
        <f t="shared" si="95"/>
        <v>0</v>
      </c>
      <c r="G147" s="3224">
        <f t="shared" si="95"/>
        <v>0</v>
      </c>
      <c r="H147" s="3224">
        <f t="shared" si="95"/>
        <v>0</v>
      </c>
      <c r="I147" s="3224">
        <f t="shared" si="95"/>
        <v>0</v>
      </c>
      <c r="J147" s="3224">
        <f t="shared" si="95"/>
        <v>0</v>
      </c>
      <c r="K147" s="3224">
        <f t="shared" si="95"/>
        <v>0</v>
      </c>
      <c r="L147" s="3224">
        <f t="shared" si="95"/>
        <v>0</v>
      </c>
      <c r="M147" s="3224">
        <f t="shared" si="95"/>
        <v>0</v>
      </c>
      <c r="N147" s="3224">
        <f t="shared" si="95"/>
        <v>0</v>
      </c>
      <c r="O147" s="3224">
        <f t="shared" si="95"/>
        <v>0</v>
      </c>
    </row>
    <row r="148" spans="1:18" x14ac:dyDescent="0.25">
      <c r="A148" s="3512"/>
      <c r="B148" s="3218" t="s">
        <v>630</v>
      </c>
      <c r="C148" s="3219">
        <f>SUM(D148:O148)</f>
        <v>1253.779</v>
      </c>
      <c r="D148" s="3219">
        <v>319.25599999999997</v>
      </c>
      <c r="E148" s="3219">
        <v>87.566999999999993</v>
      </c>
      <c r="F148" s="3219">
        <v>154.24600000000001</v>
      </c>
      <c r="G148" s="3219">
        <v>86.236000000000004</v>
      </c>
      <c r="H148" s="3219">
        <v>112.47499999999999</v>
      </c>
      <c r="I148" s="3219">
        <v>47.787999999999997</v>
      </c>
      <c r="J148" s="3219">
        <v>26.77</v>
      </c>
      <c r="K148" s="3219">
        <v>27.905999999999999</v>
      </c>
      <c r="L148" s="3219">
        <v>34.506</v>
      </c>
      <c r="M148" s="3219">
        <v>47.137999999999998</v>
      </c>
      <c r="N148" s="3219">
        <v>111.11</v>
      </c>
      <c r="O148" s="3219">
        <v>198.78100000000001</v>
      </c>
    </row>
    <row r="149" spans="1:18" x14ac:dyDescent="0.25">
      <c r="A149" s="3512"/>
      <c r="B149" s="3223" t="s">
        <v>3</v>
      </c>
      <c r="C149" s="3224">
        <f>SUM(D149:O149)</f>
        <v>0</v>
      </c>
      <c r="D149" s="3224">
        <f t="shared" ref="D149:O149" si="96">D148*(D163/D162)</f>
        <v>0</v>
      </c>
      <c r="E149" s="3224">
        <f t="shared" si="96"/>
        <v>0</v>
      </c>
      <c r="F149" s="3224">
        <f t="shared" si="96"/>
        <v>0</v>
      </c>
      <c r="G149" s="3224">
        <f t="shared" si="96"/>
        <v>0</v>
      </c>
      <c r="H149" s="3224">
        <f t="shared" si="96"/>
        <v>0</v>
      </c>
      <c r="I149" s="3224">
        <f t="shared" si="96"/>
        <v>0</v>
      </c>
      <c r="J149" s="3224">
        <f t="shared" si="96"/>
        <v>0</v>
      </c>
      <c r="K149" s="3224">
        <f t="shared" si="96"/>
        <v>0</v>
      </c>
      <c r="L149" s="3224">
        <f t="shared" si="96"/>
        <v>0</v>
      </c>
      <c r="M149" s="3224">
        <f t="shared" si="96"/>
        <v>0</v>
      </c>
      <c r="N149" s="3224">
        <f t="shared" si="96"/>
        <v>0</v>
      </c>
      <c r="O149" s="3224">
        <f t="shared" si="96"/>
        <v>0</v>
      </c>
    </row>
    <row r="150" spans="1:18" x14ac:dyDescent="0.25">
      <c r="A150" s="3512"/>
      <c r="B150" s="3223" t="s">
        <v>749</v>
      </c>
      <c r="C150" s="3224">
        <f t="shared" ref="C150:C153" si="97">SUM(D150:O150)</f>
        <v>0</v>
      </c>
      <c r="D150" s="3224">
        <f t="shared" ref="D150:O150" si="98">D148*(D164/D162)</f>
        <v>0</v>
      </c>
      <c r="E150" s="3224">
        <f t="shared" si="98"/>
        <v>0</v>
      </c>
      <c r="F150" s="3224">
        <f t="shared" si="98"/>
        <v>0</v>
      </c>
      <c r="G150" s="3224">
        <f t="shared" si="98"/>
        <v>0</v>
      </c>
      <c r="H150" s="3224">
        <f t="shared" si="98"/>
        <v>0</v>
      </c>
      <c r="I150" s="3224">
        <f t="shared" si="98"/>
        <v>0</v>
      </c>
      <c r="J150" s="3224">
        <f t="shared" si="98"/>
        <v>0</v>
      </c>
      <c r="K150" s="3224">
        <f t="shared" si="98"/>
        <v>0</v>
      </c>
      <c r="L150" s="3224">
        <f t="shared" si="98"/>
        <v>0</v>
      </c>
      <c r="M150" s="3224">
        <f t="shared" si="98"/>
        <v>0</v>
      </c>
      <c r="N150" s="3224">
        <f t="shared" si="98"/>
        <v>0</v>
      </c>
      <c r="O150" s="3224">
        <f t="shared" si="98"/>
        <v>0</v>
      </c>
    </row>
    <row r="151" spans="1:18" x14ac:dyDescent="0.25">
      <c r="A151" s="3512"/>
      <c r="B151" s="3223" t="s">
        <v>162</v>
      </c>
      <c r="C151" s="3224">
        <f t="shared" si="97"/>
        <v>1013.143</v>
      </c>
      <c r="D151" s="3224">
        <f t="shared" ref="D151:O151" si="99">D148*(D165/D162)</f>
        <v>244.91200000000001</v>
      </c>
      <c r="E151" s="3224">
        <f t="shared" si="99"/>
        <v>67.313000000000002</v>
      </c>
      <c r="F151" s="3224">
        <f t="shared" si="99"/>
        <v>119</v>
      </c>
      <c r="G151" s="3224">
        <f t="shared" si="99"/>
        <v>75.247</v>
      </c>
      <c r="H151" s="3224">
        <f t="shared" si="99"/>
        <v>101.36199999999999</v>
      </c>
      <c r="I151" s="3224">
        <f t="shared" si="99"/>
        <v>43.067999999999998</v>
      </c>
      <c r="J151" s="3224">
        <f t="shared" si="99"/>
        <v>24.125</v>
      </c>
      <c r="K151" s="3224">
        <f t="shared" si="99"/>
        <v>25.149000000000001</v>
      </c>
      <c r="L151" s="3224">
        <f t="shared" si="99"/>
        <v>31.097999999999999</v>
      </c>
      <c r="M151" s="3224">
        <f t="shared" si="99"/>
        <v>42.48</v>
      </c>
      <c r="N151" s="3224">
        <f t="shared" si="99"/>
        <v>86.197000000000003</v>
      </c>
      <c r="O151" s="3224">
        <f t="shared" si="99"/>
        <v>153.19200000000001</v>
      </c>
    </row>
    <row r="152" spans="1:18" x14ac:dyDescent="0.25">
      <c r="A152" s="3512"/>
      <c r="B152" s="3223" t="s">
        <v>750</v>
      </c>
      <c r="C152" s="3224">
        <f t="shared" si="97"/>
        <v>240.636</v>
      </c>
      <c r="D152" s="3224">
        <f>D148*(D166/D162)</f>
        <v>74.343999999999994</v>
      </c>
      <c r="E152" s="3224">
        <f t="shared" ref="E152:O152" si="100">E148*(E166/E162)</f>
        <v>20.254000000000001</v>
      </c>
      <c r="F152" s="3224">
        <f t="shared" si="100"/>
        <v>35.246000000000002</v>
      </c>
      <c r="G152" s="3224">
        <f t="shared" si="100"/>
        <v>10.989000000000001</v>
      </c>
      <c r="H152" s="3224">
        <f t="shared" si="100"/>
        <v>11.113</v>
      </c>
      <c r="I152" s="3224">
        <f t="shared" si="100"/>
        <v>4.72</v>
      </c>
      <c r="J152" s="3224">
        <f t="shared" si="100"/>
        <v>2.645</v>
      </c>
      <c r="K152" s="3224">
        <f t="shared" si="100"/>
        <v>2.7570000000000001</v>
      </c>
      <c r="L152" s="3224">
        <f t="shared" si="100"/>
        <v>3.4079999999999999</v>
      </c>
      <c r="M152" s="3224">
        <f t="shared" si="100"/>
        <v>4.6580000000000004</v>
      </c>
      <c r="N152" s="3224">
        <f t="shared" si="100"/>
        <v>24.913</v>
      </c>
      <c r="O152" s="3224">
        <f t="shared" si="100"/>
        <v>45.588999999999999</v>
      </c>
    </row>
    <row r="153" spans="1:18" x14ac:dyDescent="0.25">
      <c r="A153" s="3512"/>
      <c r="B153" s="3223" t="s">
        <v>169</v>
      </c>
      <c r="C153" s="3224">
        <f t="shared" si="97"/>
        <v>0</v>
      </c>
      <c r="D153" s="3224">
        <f t="shared" ref="D153:O153" si="101">D148*(D167/D162)</f>
        <v>0</v>
      </c>
      <c r="E153" s="3224">
        <f t="shared" si="101"/>
        <v>0</v>
      </c>
      <c r="F153" s="3224">
        <f t="shared" si="101"/>
        <v>0</v>
      </c>
      <c r="G153" s="3224">
        <f t="shared" si="101"/>
        <v>0</v>
      </c>
      <c r="H153" s="3224">
        <f t="shared" si="101"/>
        <v>0</v>
      </c>
      <c r="I153" s="3224">
        <f t="shared" si="101"/>
        <v>0</v>
      </c>
      <c r="J153" s="3224">
        <f t="shared" si="101"/>
        <v>0</v>
      </c>
      <c r="K153" s="3224">
        <f t="shared" si="101"/>
        <v>0</v>
      </c>
      <c r="L153" s="3224">
        <f t="shared" si="101"/>
        <v>0</v>
      </c>
      <c r="M153" s="3224">
        <f t="shared" si="101"/>
        <v>0</v>
      </c>
      <c r="N153" s="3224">
        <f t="shared" si="101"/>
        <v>0</v>
      </c>
      <c r="O153" s="3224">
        <f t="shared" si="101"/>
        <v>0</v>
      </c>
    </row>
    <row r="154" spans="1:18" x14ac:dyDescent="0.25">
      <c r="A154" s="3512"/>
      <c r="B154" s="3225"/>
      <c r="C154" s="3224"/>
      <c r="D154" s="3224"/>
      <c r="E154" s="3224"/>
      <c r="F154" s="3224"/>
      <c r="G154" s="3224"/>
      <c r="H154" s="3224"/>
      <c r="I154" s="3224"/>
      <c r="J154" s="3224"/>
      <c r="K154" s="3224"/>
      <c r="L154" s="3224"/>
      <c r="M154" s="3224"/>
      <c r="N154" s="3224"/>
      <c r="O154" s="3224"/>
    </row>
    <row r="155" spans="1:18" x14ac:dyDescent="0.25">
      <c r="A155" s="3512"/>
      <c r="B155" s="3226" t="s">
        <v>748</v>
      </c>
      <c r="C155" s="3220">
        <f>C156+C162</f>
        <v>11617.31</v>
      </c>
      <c r="D155" s="3220">
        <f t="shared" ref="D155:O155" si="102">D156+D162</f>
        <v>2246.12</v>
      </c>
      <c r="E155" s="3220">
        <f t="shared" si="102"/>
        <v>1879.81</v>
      </c>
      <c r="F155" s="3220">
        <f t="shared" si="102"/>
        <v>1841.56</v>
      </c>
      <c r="G155" s="3220">
        <f t="shared" si="102"/>
        <v>365.72</v>
      </c>
      <c r="H155" s="3220">
        <f t="shared" si="102"/>
        <v>313.44</v>
      </c>
      <c r="I155" s="3220">
        <f t="shared" si="102"/>
        <v>303.32</v>
      </c>
      <c r="J155" s="3220">
        <f t="shared" si="102"/>
        <v>313.44</v>
      </c>
      <c r="K155" s="3220">
        <f t="shared" si="102"/>
        <v>313.44</v>
      </c>
      <c r="L155" s="3220">
        <f t="shared" si="102"/>
        <v>303.32</v>
      </c>
      <c r="M155" s="3220">
        <f t="shared" si="102"/>
        <v>313.44</v>
      </c>
      <c r="N155" s="3220">
        <f t="shared" si="102"/>
        <v>1516.17</v>
      </c>
      <c r="O155" s="3220">
        <f t="shared" si="102"/>
        <v>1907.53</v>
      </c>
      <c r="R155" s="3221">
        <f>C155-C160</f>
        <v>11617.31</v>
      </c>
    </row>
    <row r="156" spans="1:18" s="2542" customFormat="1" x14ac:dyDescent="0.25">
      <c r="A156" s="3513"/>
      <c r="B156" s="3218" t="s">
        <v>629</v>
      </c>
      <c r="C156" s="3219">
        <f>SUM(C157:C161)</f>
        <v>1198.73</v>
      </c>
      <c r="D156" s="3219">
        <f t="shared" ref="D156:O156" si="103">SUM(D157:D161)</f>
        <v>193.62</v>
      </c>
      <c r="E156" s="3219">
        <f t="shared" si="103"/>
        <v>164.03</v>
      </c>
      <c r="F156" s="3219">
        <f t="shared" si="103"/>
        <v>164.13</v>
      </c>
      <c r="G156" s="3219">
        <f t="shared" si="103"/>
        <v>55.58</v>
      </c>
      <c r="H156" s="3219">
        <f t="shared" si="103"/>
        <v>52.73</v>
      </c>
      <c r="I156" s="3219">
        <f t="shared" si="103"/>
        <v>51.03</v>
      </c>
      <c r="J156" s="3219">
        <f t="shared" si="103"/>
        <v>52.73</v>
      </c>
      <c r="K156" s="3219">
        <f t="shared" si="103"/>
        <v>52.73</v>
      </c>
      <c r="L156" s="3219">
        <f t="shared" si="103"/>
        <v>51.03</v>
      </c>
      <c r="M156" s="3219">
        <f t="shared" si="103"/>
        <v>52.73</v>
      </c>
      <c r="N156" s="3219">
        <f t="shared" si="103"/>
        <v>139.44999999999999</v>
      </c>
      <c r="O156" s="3219">
        <f t="shared" si="103"/>
        <v>168.94</v>
      </c>
    </row>
    <row r="157" spans="1:18" x14ac:dyDescent="0.25">
      <c r="A157" s="3512"/>
      <c r="B157" s="3223" t="s">
        <v>3</v>
      </c>
      <c r="C157" s="3224">
        <f>SUM(D157:O157)</f>
        <v>0</v>
      </c>
      <c r="D157" s="3224">
        <f t="shared" ref="D157:O157" si="104">D77+D85</f>
        <v>0</v>
      </c>
      <c r="E157" s="3224">
        <f t="shared" si="104"/>
        <v>0</v>
      </c>
      <c r="F157" s="3224">
        <f t="shared" si="104"/>
        <v>0</v>
      </c>
      <c r="G157" s="3224">
        <f t="shared" si="104"/>
        <v>0</v>
      </c>
      <c r="H157" s="3224">
        <f t="shared" si="104"/>
        <v>0</v>
      </c>
      <c r="I157" s="3224">
        <f t="shared" si="104"/>
        <v>0</v>
      </c>
      <c r="J157" s="3224">
        <f t="shared" si="104"/>
        <v>0</v>
      </c>
      <c r="K157" s="3224">
        <f t="shared" si="104"/>
        <v>0</v>
      </c>
      <c r="L157" s="3224">
        <f t="shared" si="104"/>
        <v>0</v>
      </c>
      <c r="M157" s="3224">
        <f t="shared" si="104"/>
        <v>0</v>
      </c>
      <c r="N157" s="3224">
        <f t="shared" si="104"/>
        <v>0</v>
      </c>
      <c r="O157" s="3224">
        <f t="shared" si="104"/>
        <v>0</v>
      </c>
    </row>
    <row r="158" spans="1:18" x14ac:dyDescent="0.25">
      <c r="A158" s="3512"/>
      <c r="B158" s="3223" t="s">
        <v>749</v>
      </c>
      <c r="C158" s="3224">
        <f>SUM(D158:O158)</f>
        <v>0</v>
      </c>
      <c r="D158" s="3224">
        <f t="shared" ref="D158:O158" si="105">D92</f>
        <v>0</v>
      </c>
      <c r="E158" s="3224">
        <f t="shared" si="105"/>
        <v>0</v>
      </c>
      <c r="F158" s="3224">
        <f t="shared" si="105"/>
        <v>0</v>
      </c>
      <c r="G158" s="3224">
        <f t="shared" si="105"/>
        <v>0</v>
      </c>
      <c r="H158" s="3224">
        <f t="shared" si="105"/>
        <v>0</v>
      </c>
      <c r="I158" s="3224">
        <f t="shared" si="105"/>
        <v>0</v>
      </c>
      <c r="J158" s="3224">
        <f t="shared" si="105"/>
        <v>0</v>
      </c>
      <c r="K158" s="3224">
        <f t="shared" si="105"/>
        <v>0</v>
      </c>
      <c r="L158" s="3224">
        <f t="shared" si="105"/>
        <v>0</v>
      </c>
      <c r="M158" s="3224">
        <f t="shared" si="105"/>
        <v>0</v>
      </c>
      <c r="N158" s="3224">
        <f t="shared" si="105"/>
        <v>0</v>
      </c>
      <c r="O158" s="3224">
        <f t="shared" si="105"/>
        <v>0</v>
      </c>
    </row>
    <row r="159" spans="1:18" x14ac:dyDescent="0.25">
      <c r="A159" s="3512"/>
      <c r="B159" s="3223" t="s">
        <v>162</v>
      </c>
      <c r="C159" s="3224">
        <f>SUM(D159:O159)</f>
        <v>1198.73</v>
      </c>
      <c r="D159" s="3224">
        <f t="shared" ref="D159:O159" si="106">D100+D122</f>
        <v>193.62</v>
      </c>
      <c r="E159" s="3224">
        <f t="shared" si="106"/>
        <v>164.03</v>
      </c>
      <c r="F159" s="3224">
        <f t="shared" si="106"/>
        <v>164.13</v>
      </c>
      <c r="G159" s="3224">
        <f t="shared" si="106"/>
        <v>55.58</v>
      </c>
      <c r="H159" s="3224">
        <f t="shared" si="106"/>
        <v>52.73</v>
      </c>
      <c r="I159" s="3224">
        <f t="shared" si="106"/>
        <v>51.03</v>
      </c>
      <c r="J159" s="3224">
        <f t="shared" si="106"/>
        <v>52.73</v>
      </c>
      <c r="K159" s="3224">
        <f t="shared" si="106"/>
        <v>52.73</v>
      </c>
      <c r="L159" s="3224">
        <f t="shared" si="106"/>
        <v>51.03</v>
      </c>
      <c r="M159" s="3224">
        <f t="shared" si="106"/>
        <v>52.73</v>
      </c>
      <c r="N159" s="3224">
        <f t="shared" si="106"/>
        <v>139.44999999999999</v>
      </c>
      <c r="O159" s="3224">
        <f t="shared" si="106"/>
        <v>168.94</v>
      </c>
    </row>
    <row r="160" spans="1:18" x14ac:dyDescent="0.25">
      <c r="A160" s="3512"/>
      <c r="B160" s="3223" t="s">
        <v>750</v>
      </c>
      <c r="C160" s="3224">
        <f>SUM(D160:O160)</f>
        <v>0</v>
      </c>
      <c r="D160" s="3224">
        <f t="shared" ref="D160:O160" si="107">D107+D129</f>
        <v>0</v>
      </c>
      <c r="E160" s="3224">
        <f t="shared" si="107"/>
        <v>0</v>
      </c>
      <c r="F160" s="3224">
        <f t="shared" si="107"/>
        <v>0</v>
      </c>
      <c r="G160" s="3224">
        <f t="shared" si="107"/>
        <v>0</v>
      </c>
      <c r="H160" s="3224">
        <f t="shared" si="107"/>
        <v>0</v>
      </c>
      <c r="I160" s="3224">
        <f t="shared" si="107"/>
        <v>0</v>
      </c>
      <c r="J160" s="3224">
        <f t="shared" si="107"/>
        <v>0</v>
      </c>
      <c r="K160" s="3224">
        <f t="shared" si="107"/>
        <v>0</v>
      </c>
      <c r="L160" s="3224">
        <f t="shared" si="107"/>
        <v>0</v>
      </c>
      <c r="M160" s="3224">
        <f t="shared" si="107"/>
        <v>0</v>
      </c>
      <c r="N160" s="3224">
        <f t="shared" si="107"/>
        <v>0</v>
      </c>
      <c r="O160" s="3224">
        <f t="shared" si="107"/>
        <v>0</v>
      </c>
    </row>
    <row r="161" spans="1:17" x14ac:dyDescent="0.25">
      <c r="A161" s="3512"/>
      <c r="B161" s="3223" t="s">
        <v>169</v>
      </c>
      <c r="C161" s="3224">
        <f>SUM(D161:O161)</f>
        <v>0</v>
      </c>
      <c r="D161" s="3224">
        <f t="shared" ref="D161:O161" si="108">D114</f>
        <v>0</v>
      </c>
      <c r="E161" s="3224">
        <f t="shared" si="108"/>
        <v>0</v>
      </c>
      <c r="F161" s="3224">
        <f t="shared" si="108"/>
        <v>0</v>
      </c>
      <c r="G161" s="3224">
        <f t="shared" si="108"/>
        <v>0</v>
      </c>
      <c r="H161" s="3224">
        <f t="shared" si="108"/>
        <v>0</v>
      </c>
      <c r="I161" s="3224">
        <f t="shared" si="108"/>
        <v>0</v>
      </c>
      <c r="J161" s="3224">
        <f t="shared" si="108"/>
        <v>0</v>
      </c>
      <c r="K161" s="3224">
        <f t="shared" si="108"/>
        <v>0</v>
      </c>
      <c r="L161" s="3224">
        <f t="shared" si="108"/>
        <v>0</v>
      </c>
      <c r="M161" s="3224">
        <f t="shared" si="108"/>
        <v>0</v>
      </c>
      <c r="N161" s="3224">
        <f t="shared" si="108"/>
        <v>0</v>
      </c>
      <c r="O161" s="3224">
        <f t="shared" si="108"/>
        <v>0</v>
      </c>
    </row>
    <row r="162" spans="1:17" s="2542" customFormat="1" x14ac:dyDescent="0.25">
      <c r="A162" s="3513"/>
      <c r="B162" s="3218" t="s">
        <v>630</v>
      </c>
      <c r="C162" s="3219">
        <f>SUM(C163:C167)</f>
        <v>10418.58</v>
      </c>
      <c r="D162" s="3219">
        <f t="shared" ref="D162:O162" si="109">SUM(D163:D167)</f>
        <v>2052.5</v>
      </c>
      <c r="E162" s="3219">
        <f t="shared" si="109"/>
        <v>1715.78</v>
      </c>
      <c r="F162" s="3219">
        <f t="shared" si="109"/>
        <v>1677.43</v>
      </c>
      <c r="G162" s="3219">
        <f t="shared" si="109"/>
        <v>310.14</v>
      </c>
      <c r="H162" s="3219">
        <f t="shared" si="109"/>
        <v>260.70999999999998</v>
      </c>
      <c r="I162" s="3219">
        <f t="shared" si="109"/>
        <v>252.29</v>
      </c>
      <c r="J162" s="3219">
        <f t="shared" si="109"/>
        <v>260.70999999999998</v>
      </c>
      <c r="K162" s="3219">
        <f t="shared" si="109"/>
        <v>260.70999999999998</v>
      </c>
      <c r="L162" s="3219">
        <f t="shared" si="109"/>
        <v>252.29</v>
      </c>
      <c r="M162" s="3219">
        <f t="shared" si="109"/>
        <v>260.70999999999998</v>
      </c>
      <c r="N162" s="3219">
        <f t="shared" si="109"/>
        <v>1376.72</v>
      </c>
      <c r="O162" s="3219">
        <f t="shared" si="109"/>
        <v>1738.59</v>
      </c>
    </row>
    <row r="163" spans="1:17" x14ac:dyDescent="0.25">
      <c r="A163" s="3512"/>
      <c r="B163" s="3223" t="s">
        <v>3</v>
      </c>
      <c r="C163" s="3224">
        <f t="shared" ref="C163:C169" si="110">SUM(D163:O163)</f>
        <v>0</v>
      </c>
      <c r="D163" s="3224">
        <f t="shared" ref="D163:O163" si="111">(D80-D82)+D88</f>
        <v>0</v>
      </c>
      <c r="E163" s="3224">
        <f t="shared" si="111"/>
        <v>0</v>
      </c>
      <c r="F163" s="3224">
        <f t="shared" si="111"/>
        <v>0</v>
      </c>
      <c r="G163" s="3224">
        <f t="shared" si="111"/>
        <v>0</v>
      </c>
      <c r="H163" s="3224">
        <f t="shared" si="111"/>
        <v>0</v>
      </c>
      <c r="I163" s="3224">
        <f t="shared" si="111"/>
        <v>0</v>
      </c>
      <c r="J163" s="3224">
        <f t="shared" si="111"/>
        <v>0</v>
      </c>
      <c r="K163" s="3224">
        <f t="shared" si="111"/>
        <v>0</v>
      </c>
      <c r="L163" s="3224">
        <f t="shared" si="111"/>
        <v>0</v>
      </c>
      <c r="M163" s="3224">
        <f t="shared" si="111"/>
        <v>0</v>
      </c>
      <c r="N163" s="3224">
        <f t="shared" si="111"/>
        <v>0</v>
      </c>
      <c r="O163" s="3224">
        <f t="shared" si="111"/>
        <v>0</v>
      </c>
    </row>
    <row r="164" spans="1:17" x14ac:dyDescent="0.25">
      <c r="A164" s="3512"/>
      <c r="B164" s="3223" t="s">
        <v>749</v>
      </c>
      <c r="C164" s="3224">
        <f t="shared" si="110"/>
        <v>0</v>
      </c>
      <c r="D164" s="3224">
        <f t="shared" ref="D164:O164" si="112">D95-D97</f>
        <v>0</v>
      </c>
      <c r="E164" s="3224">
        <f t="shared" si="112"/>
        <v>0</v>
      </c>
      <c r="F164" s="3224">
        <f t="shared" si="112"/>
        <v>0</v>
      </c>
      <c r="G164" s="3224">
        <f t="shared" si="112"/>
        <v>0</v>
      </c>
      <c r="H164" s="3224">
        <f t="shared" si="112"/>
        <v>0</v>
      </c>
      <c r="I164" s="3224">
        <f t="shared" si="112"/>
        <v>0</v>
      </c>
      <c r="J164" s="3224">
        <f t="shared" si="112"/>
        <v>0</v>
      </c>
      <c r="K164" s="3224">
        <f t="shared" si="112"/>
        <v>0</v>
      </c>
      <c r="L164" s="3224">
        <f t="shared" si="112"/>
        <v>0</v>
      </c>
      <c r="M164" s="3224">
        <f t="shared" si="112"/>
        <v>0</v>
      </c>
      <c r="N164" s="3224">
        <f t="shared" si="112"/>
        <v>0</v>
      </c>
      <c r="O164" s="3224">
        <f t="shared" si="112"/>
        <v>0</v>
      </c>
    </row>
    <row r="165" spans="1:17" x14ac:dyDescent="0.25">
      <c r="A165" s="3512"/>
      <c r="B165" s="3223" t="s">
        <v>162</v>
      </c>
      <c r="C165" s="3224">
        <f t="shared" si="110"/>
        <v>8260.65</v>
      </c>
      <c r="D165" s="3224">
        <f t="shared" ref="D165:O165" si="113">D103+D125</f>
        <v>1574.54</v>
      </c>
      <c r="E165" s="3224">
        <f t="shared" si="113"/>
        <v>1318.93</v>
      </c>
      <c r="F165" s="3224">
        <f t="shared" si="113"/>
        <v>1294.1300000000001</v>
      </c>
      <c r="G165" s="3224">
        <f t="shared" si="113"/>
        <v>270.62</v>
      </c>
      <c r="H165" s="3224">
        <f t="shared" si="113"/>
        <v>234.95</v>
      </c>
      <c r="I165" s="3224">
        <f t="shared" si="113"/>
        <v>227.37</v>
      </c>
      <c r="J165" s="3224">
        <f t="shared" si="113"/>
        <v>234.95</v>
      </c>
      <c r="K165" s="3224">
        <f t="shared" si="113"/>
        <v>234.95</v>
      </c>
      <c r="L165" s="3224">
        <f t="shared" si="113"/>
        <v>227.37</v>
      </c>
      <c r="M165" s="3224">
        <f t="shared" si="113"/>
        <v>234.95</v>
      </c>
      <c r="N165" s="3224">
        <f t="shared" si="113"/>
        <v>1068.03</v>
      </c>
      <c r="O165" s="3224">
        <f t="shared" si="113"/>
        <v>1339.86</v>
      </c>
    </row>
    <row r="166" spans="1:17" x14ac:dyDescent="0.25">
      <c r="A166" s="3512"/>
      <c r="B166" s="3223" t="s">
        <v>750</v>
      </c>
      <c r="C166" s="3224">
        <f t="shared" si="110"/>
        <v>2157.9299999999998</v>
      </c>
      <c r="D166" s="3224">
        <f t="shared" ref="D166:O166" si="114">D110+D132</f>
        <v>477.96</v>
      </c>
      <c r="E166" s="3224">
        <f t="shared" si="114"/>
        <v>396.85</v>
      </c>
      <c r="F166" s="3224">
        <f t="shared" si="114"/>
        <v>383.3</v>
      </c>
      <c r="G166" s="3224">
        <f t="shared" si="114"/>
        <v>39.520000000000003</v>
      </c>
      <c r="H166" s="3224">
        <f t="shared" si="114"/>
        <v>25.76</v>
      </c>
      <c r="I166" s="3224">
        <f t="shared" si="114"/>
        <v>24.92</v>
      </c>
      <c r="J166" s="3224">
        <f t="shared" si="114"/>
        <v>25.76</v>
      </c>
      <c r="K166" s="3224">
        <f t="shared" si="114"/>
        <v>25.76</v>
      </c>
      <c r="L166" s="3224">
        <f t="shared" si="114"/>
        <v>24.92</v>
      </c>
      <c r="M166" s="3224">
        <f t="shared" si="114"/>
        <v>25.76</v>
      </c>
      <c r="N166" s="3224">
        <f t="shared" si="114"/>
        <v>308.69</v>
      </c>
      <c r="O166" s="3224">
        <f t="shared" si="114"/>
        <v>398.73</v>
      </c>
    </row>
    <row r="167" spans="1:17" ht="15.75" thickBot="1" x14ac:dyDescent="0.3">
      <c r="A167" s="3512"/>
      <c r="B167" s="3227" t="s">
        <v>169</v>
      </c>
      <c r="C167" s="3224">
        <f t="shared" si="110"/>
        <v>0</v>
      </c>
      <c r="D167" s="3228">
        <f t="shared" ref="D167:O167" si="115">D117</f>
        <v>0</v>
      </c>
      <c r="E167" s="3228">
        <f t="shared" si="115"/>
        <v>0</v>
      </c>
      <c r="F167" s="3228">
        <f t="shared" si="115"/>
        <v>0</v>
      </c>
      <c r="G167" s="3228">
        <f t="shared" si="115"/>
        <v>0</v>
      </c>
      <c r="H167" s="3228">
        <f t="shared" si="115"/>
        <v>0</v>
      </c>
      <c r="I167" s="3228">
        <f t="shared" si="115"/>
        <v>0</v>
      </c>
      <c r="J167" s="3228">
        <f t="shared" si="115"/>
        <v>0</v>
      </c>
      <c r="K167" s="3228">
        <f t="shared" si="115"/>
        <v>0</v>
      </c>
      <c r="L167" s="3228">
        <f t="shared" si="115"/>
        <v>0</v>
      </c>
      <c r="M167" s="3228">
        <f t="shared" si="115"/>
        <v>0</v>
      </c>
      <c r="N167" s="3228">
        <f t="shared" si="115"/>
        <v>0</v>
      </c>
      <c r="O167" s="3228">
        <f t="shared" si="115"/>
        <v>0</v>
      </c>
    </row>
    <row r="168" spans="1:17" s="2542" customFormat="1" thickBot="1" x14ac:dyDescent="0.25">
      <c r="A168" s="3513"/>
      <c r="B168" s="3229"/>
      <c r="C168" s="3216">
        <f t="shared" si="110"/>
        <v>0</v>
      </c>
      <c r="D168" s="3216">
        <v>0</v>
      </c>
      <c r="E168" s="3216">
        <v>0</v>
      </c>
      <c r="F168" s="3216">
        <v>0</v>
      </c>
      <c r="G168" s="3216">
        <v>0</v>
      </c>
      <c r="H168" s="3216"/>
      <c r="I168" s="3216"/>
      <c r="J168" s="3216"/>
      <c r="K168" s="3216"/>
      <c r="L168" s="3216"/>
      <c r="M168" s="3216">
        <v>0</v>
      </c>
      <c r="N168" s="3216">
        <v>0</v>
      </c>
      <c r="O168" s="3216">
        <v>0</v>
      </c>
    </row>
    <row r="169" spans="1:17" x14ac:dyDescent="0.25">
      <c r="A169" s="3512"/>
      <c r="B169" s="3230" t="s">
        <v>630</v>
      </c>
      <c r="C169" s="3231">
        <f t="shared" si="110"/>
        <v>0</v>
      </c>
      <c r="D169" s="3231">
        <f>D168</f>
        <v>0</v>
      </c>
      <c r="E169" s="3231">
        <f t="shared" ref="E169:N169" si="116">E168</f>
        <v>0</v>
      </c>
      <c r="F169" s="3231">
        <f t="shared" si="116"/>
        <v>0</v>
      </c>
      <c r="G169" s="3231">
        <f t="shared" si="116"/>
        <v>0</v>
      </c>
      <c r="H169" s="3231"/>
      <c r="I169" s="3231"/>
      <c r="J169" s="3231"/>
      <c r="K169" s="3231"/>
      <c r="L169" s="3231"/>
      <c r="M169" s="3231">
        <f t="shared" si="116"/>
        <v>0</v>
      </c>
      <c r="N169" s="3231">
        <f t="shared" si="116"/>
        <v>0</v>
      </c>
      <c r="O169" s="3231">
        <v>0</v>
      </c>
      <c r="Q169" s="3232"/>
    </row>
    <row r="170" spans="1:17" x14ac:dyDescent="0.25">
      <c r="A170" s="3512"/>
      <c r="B170" s="3233" t="s">
        <v>746</v>
      </c>
      <c r="C170" s="3234"/>
      <c r="D170" s="3234"/>
      <c r="E170" s="3234"/>
      <c r="F170" s="3234"/>
      <c r="G170" s="3234"/>
      <c r="H170" s="3234"/>
      <c r="I170" s="3234"/>
      <c r="J170" s="3234"/>
      <c r="K170" s="3234"/>
      <c r="L170" s="3234"/>
      <c r="M170" s="3234"/>
      <c r="N170" s="3234"/>
      <c r="O170" s="3234"/>
    </row>
    <row r="171" spans="1:17" x14ac:dyDescent="0.25">
      <c r="A171" s="3512"/>
      <c r="B171" s="3233" t="s">
        <v>747</v>
      </c>
      <c r="C171" s="3234"/>
      <c r="D171" s="3234"/>
      <c r="E171" s="3234"/>
      <c r="F171" s="3234"/>
      <c r="G171" s="3234"/>
      <c r="H171" s="3234"/>
      <c r="I171" s="3234"/>
      <c r="J171" s="3234"/>
      <c r="K171" s="3234"/>
      <c r="L171" s="3234"/>
      <c r="M171" s="3234"/>
      <c r="N171" s="3234"/>
      <c r="O171" s="3234"/>
    </row>
    <row r="172" spans="1:17" x14ac:dyDescent="0.25">
      <c r="A172" s="3512"/>
      <c r="B172" s="3235"/>
      <c r="C172" s="3235"/>
      <c r="D172" s="3235"/>
      <c r="E172" s="3235"/>
      <c r="F172" s="3235"/>
      <c r="G172" s="3235"/>
      <c r="H172" s="3235"/>
      <c r="I172" s="3235"/>
      <c r="J172" s="3235"/>
      <c r="K172" s="3235"/>
      <c r="L172" s="3235"/>
      <c r="M172" s="3235"/>
      <c r="N172" s="3235"/>
      <c r="O172" s="3235"/>
    </row>
    <row r="173" spans="1:17" x14ac:dyDescent="0.25">
      <c r="A173" s="3512"/>
      <c r="B173" s="3236" t="s">
        <v>748</v>
      </c>
      <c r="C173" s="3237">
        <f>C174+C175</f>
        <v>0</v>
      </c>
      <c r="D173" s="3237">
        <f t="shared" ref="D173:O173" si="117">D174+D175</f>
        <v>0</v>
      </c>
      <c r="E173" s="3237">
        <f t="shared" si="117"/>
        <v>0</v>
      </c>
      <c r="F173" s="3237">
        <f t="shared" si="117"/>
        <v>0</v>
      </c>
      <c r="G173" s="3237">
        <f t="shared" si="117"/>
        <v>0</v>
      </c>
      <c r="H173" s="3237"/>
      <c r="I173" s="3237"/>
      <c r="J173" s="3237"/>
      <c r="K173" s="3237"/>
      <c r="L173" s="3237"/>
      <c r="M173" s="3237">
        <f t="shared" si="117"/>
        <v>0</v>
      </c>
      <c r="N173" s="3237">
        <f t="shared" si="117"/>
        <v>0</v>
      </c>
      <c r="O173" s="3237">
        <f t="shared" si="117"/>
        <v>0</v>
      </c>
    </row>
    <row r="174" spans="1:17" x14ac:dyDescent="0.25">
      <c r="A174" s="3512"/>
      <c r="B174" s="3233" t="s">
        <v>746</v>
      </c>
      <c r="C174" s="3238">
        <f>C82</f>
        <v>0</v>
      </c>
      <c r="D174" s="3238">
        <f>D82</f>
        <v>0</v>
      </c>
      <c r="E174" s="3238">
        <f>E82</f>
        <v>0</v>
      </c>
      <c r="F174" s="3238">
        <f>F82</f>
        <v>0</v>
      </c>
      <c r="G174" s="3238">
        <f>G82</f>
        <v>0</v>
      </c>
      <c r="H174" s="3238"/>
      <c r="I174" s="3238"/>
      <c r="J174" s="3238"/>
      <c r="K174" s="3238"/>
      <c r="L174" s="3238"/>
      <c r="M174" s="3238">
        <f>M82</f>
        <v>0</v>
      </c>
      <c r="N174" s="3238">
        <f>N82</f>
        <v>0</v>
      </c>
      <c r="O174" s="3238">
        <f>O82</f>
        <v>0</v>
      </c>
    </row>
    <row r="175" spans="1:17" ht="15.75" thickBot="1" x14ac:dyDescent="0.3">
      <c r="A175" s="3512"/>
      <c r="B175" s="3239" t="s">
        <v>747</v>
      </c>
      <c r="C175" s="3240">
        <f>C97</f>
        <v>0</v>
      </c>
      <c r="D175" s="3240">
        <f>D97</f>
        <v>0</v>
      </c>
      <c r="E175" s="3240">
        <f>E97</f>
        <v>0</v>
      </c>
      <c r="F175" s="3240">
        <f>F97</f>
        <v>0</v>
      </c>
      <c r="G175" s="3240">
        <f>G97</f>
        <v>0</v>
      </c>
      <c r="H175" s="3240"/>
      <c r="I175" s="3240"/>
      <c r="J175" s="3240"/>
      <c r="K175" s="3240"/>
      <c r="L175" s="3240"/>
      <c r="M175" s="3240">
        <f>M97</f>
        <v>0</v>
      </c>
      <c r="N175" s="3240">
        <f>N97</f>
        <v>0</v>
      </c>
      <c r="O175" s="3240">
        <f>O97</f>
        <v>0</v>
      </c>
    </row>
    <row r="177" spans="2:18" ht="15.75" thickBot="1" x14ac:dyDescent="0.3"/>
    <row r="178" spans="2:18" ht="15.75" thickBot="1" x14ac:dyDescent="0.3">
      <c r="B178" s="3241" t="s">
        <v>782</v>
      </c>
      <c r="C178" s="3242">
        <f t="shared" ref="C178:O178" si="118">C140+C75+C120</f>
        <v>13067.436</v>
      </c>
      <c r="D178" s="3243">
        <f t="shared" si="118"/>
        <v>2615.37</v>
      </c>
      <c r="E178" s="3243">
        <f t="shared" si="118"/>
        <v>1981.09</v>
      </c>
      <c r="F178" s="3243">
        <f t="shared" si="118"/>
        <v>2019.96</v>
      </c>
      <c r="G178" s="3243">
        <f t="shared" si="118"/>
        <v>465.46</v>
      </c>
      <c r="H178" s="3243">
        <f t="shared" si="118"/>
        <v>443.52800000000002</v>
      </c>
      <c r="I178" s="3243">
        <f t="shared" si="118"/>
        <v>358.59100000000001</v>
      </c>
      <c r="J178" s="3243">
        <f t="shared" si="118"/>
        <v>344.55900000000003</v>
      </c>
      <c r="K178" s="3243">
        <f t="shared" si="118"/>
        <v>345.55900000000003</v>
      </c>
      <c r="L178" s="3243">
        <f t="shared" si="118"/>
        <v>343.22899999999998</v>
      </c>
      <c r="M178" s="3243">
        <f t="shared" si="118"/>
        <v>367.96</v>
      </c>
      <c r="N178" s="3243">
        <f t="shared" si="118"/>
        <v>1644.68</v>
      </c>
      <c r="O178" s="3243">
        <f t="shared" si="118"/>
        <v>2137.44</v>
      </c>
    </row>
    <row r="179" spans="2:18" x14ac:dyDescent="0.25">
      <c r="B179" s="3244" t="s">
        <v>3158</v>
      </c>
      <c r="C179" s="3245">
        <f>C178-C182</f>
        <v>13067.436</v>
      </c>
      <c r="D179" s="3245">
        <f t="shared" ref="D179:O179" si="119">D178-D182</f>
        <v>2615.37</v>
      </c>
      <c r="E179" s="3245">
        <f t="shared" si="119"/>
        <v>1981.09</v>
      </c>
      <c r="F179" s="3245">
        <f t="shared" si="119"/>
        <v>2019.96</v>
      </c>
      <c r="G179" s="3245">
        <f t="shared" si="119"/>
        <v>465.46</v>
      </c>
      <c r="H179" s="3245">
        <f t="shared" si="119"/>
        <v>443.52800000000002</v>
      </c>
      <c r="I179" s="3245">
        <f t="shared" si="119"/>
        <v>358.59100000000001</v>
      </c>
      <c r="J179" s="3245">
        <f t="shared" si="119"/>
        <v>344.55900000000003</v>
      </c>
      <c r="K179" s="3245">
        <f t="shared" si="119"/>
        <v>345.55900000000003</v>
      </c>
      <c r="L179" s="3245">
        <f t="shared" si="119"/>
        <v>343.22899999999998</v>
      </c>
      <c r="M179" s="3245">
        <f t="shared" si="119"/>
        <v>367.96</v>
      </c>
      <c r="N179" s="3245">
        <f t="shared" si="119"/>
        <v>1644.68</v>
      </c>
      <c r="O179" s="3245">
        <f t="shared" si="119"/>
        <v>2137.44</v>
      </c>
    </row>
    <row r="180" spans="2:18" x14ac:dyDescent="0.25">
      <c r="B180" s="3246" t="s">
        <v>631</v>
      </c>
      <c r="C180" s="3247">
        <f>C142+C156</f>
        <v>1395.067</v>
      </c>
      <c r="D180" s="3247">
        <f>D142+D156</f>
        <v>243.614</v>
      </c>
      <c r="E180" s="3247">
        <f t="shared" ref="E180:O180" si="120">E142+E156</f>
        <v>177.74299999999999</v>
      </c>
      <c r="F180" s="3247">
        <f t="shared" si="120"/>
        <v>188.28399999999999</v>
      </c>
      <c r="G180" s="3247">
        <f t="shared" si="120"/>
        <v>69.084000000000003</v>
      </c>
      <c r="H180" s="3247">
        <f t="shared" si="120"/>
        <v>70.343000000000004</v>
      </c>
      <c r="I180" s="3247">
        <f t="shared" si="120"/>
        <v>58.512999999999998</v>
      </c>
      <c r="J180" s="3247">
        <f t="shared" si="120"/>
        <v>57.079000000000001</v>
      </c>
      <c r="K180" s="3247">
        <f t="shared" si="120"/>
        <v>56.942999999999998</v>
      </c>
      <c r="L180" s="3247">
        <f t="shared" si="120"/>
        <v>56.433</v>
      </c>
      <c r="M180" s="3247">
        <f t="shared" si="120"/>
        <v>60.112000000000002</v>
      </c>
      <c r="N180" s="3247">
        <f>N142+N156</f>
        <v>156.85</v>
      </c>
      <c r="O180" s="3247">
        <f t="shared" si="120"/>
        <v>200.06899999999999</v>
      </c>
    </row>
    <row r="181" spans="2:18" x14ac:dyDescent="0.25">
      <c r="B181" s="3246" t="s">
        <v>630</v>
      </c>
      <c r="C181" s="3247">
        <f>C162+C148</f>
        <v>11672.359</v>
      </c>
      <c r="D181" s="3247">
        <f>D162+D148</f>
        <v>2371.7559999999999</v>
      </c>
      <c r="E181" s="3247">
        <f t="shared" ref="E181:O181" si="121">E162+E148</f>
        <v>1803.347</v>
      </c>
      <c r="F181" s="3247">
        <f t="shared" si="121"/>
        <v>1831.6759999999999</v>
      </c>
      <c r="G181" s="3247">
        <f t="shared" si="121"/>
        <v>396.37599999999998</v>
      </c>
      <c r="H181" s="3247">
        <f t="shared" si="121"/>
        <v>373.185</v>
      </c>
      <c r="I181" s="3247">
        <f t="shared" si="121"/>
        <v>300.07799999999997</v>
      </c>
      <c r="J181" s="3514">
        <f t="shared" si="121"/>
        <v>287.48</v>
      </c>
      <c r="K181" s="3247">
        <f t="shared" si="121"/>
        <v>288.61599999999999</v>
      </c>
      <c r="L181" s="3247">
        <f t="shared" si="121"/>
        <v>286.79599999999999</v>
      </c>
      <c r="M181" s="3514">
        <f t="shared" si="121"/>
        <v>307.84800000000001</v>
      </c>
      <c r="N181" s="3247">
        <f t="shared" si="121"/>
        <v>1487.83</v>
      </c>
      <c r="O181" s="3247">
        <f t="shared" si="121"/>
        <v>1937.3710000000001</v>
      </c>
    </row>
    <row r="182" spans="2:18" ht="15.75" thickBot="1" x14ac:dyDescent="0.3">
      <c r="B182" s="3248"/>
      <c r="C182" s="3249">
        <f>C168+C97+C82</f>
        <v>0</v>
      </c>
      <c r="D182" s="3250">
        <f>D168+D97+D82</f>
        <v>0</v>
      </c>
      <c r="E182" s="3249">
        <f>E168+E97+E82</f>
        <v>0</v>
      </c>
      <c r="F182" s="3250">
        <f>F168+F97+F82</f>
        <v>0</v>
      </c>
      <c r="G182" s="3249">
        <f>G168+G97+G82</f>
        <v>0</v>
      </c>
      <c r="H182" s="3249"/>
      <c r="I182" s="3249"/>
      <c r="J182" s="3249"/>
      <c r="K182" s="3249"/>
      <c r="L182" s="3249"/>
      <c r="M182" s="3250">
        <f>M168+M97+M82</f>
        <v>0</v>
      </c>
      <c r="N182" s="3249">
        <f>N168+N97+N82</f>
        <v>0</v>
      </c>
      <c r="O182" s="3251">
        <f>O168+O97+O82</f>
        <v>0</v>
      </c>
    </row>
    <row r="185" spans="2:18" x14ac:dyDescent="0.25">
      <c r="B185" s="3069"/>
      <c r="C185" s="3069"/>
      <c r="D185" s="3069" t="s">
        <v>3176</v>
      </c>
      <c r="E185" s="3069"/>
      <c r="F185" s="3069"/>
      <c r="G185" s="3069"/>
      <c r="H185" s="3069"/>
      <c r="I185" s="3069"/>
      <c r="J185" s="3069"/>
      <c r="K185" s="3069"/>
      <c r="L185" s="3069" t="str">
        <f>'Вхідні дані'!F18</f>
        <v>Олександр ФЕДОРОВИЧ</v>
      </c>
      <c r="M185" s="3069"/>
      <c r="N185" s="3069"/>
      <c r="O185" s="3069"/>
      <c r="P185" s="3069"/>
      <c r="Q185" s="3069"/>
      <c r="R185" s="3069"/>
    </row>
    <row r="186" spans="2:18" x14ac:dyDescent="0.25">
      <c r="B186" s="3069"/>
      <c r="C186" s="3069"/>
      <c r="D186" s="3069"/>
      <c r="E186" s="3069"/>
      <c r="F186" s="3069"/>
      <c r="G186" s="3069"/>
      <c r="H186" s="3069"/>
      <c r="I186" s="3069"/>
      <c r="J186" s="3069"/>
      <c r="K186" s="3069"/>
      <c r="L186" s="3069"/>
      <c r="M186" s="3069"/>
      <c r="N186" s="3069"/>
      <c r="O186" s="3069"/>
      <c r="P186" s="3069"/>
      <c r="Q186" s="3069"/>
      <c r="R186" s="3069"/>
    </row>
    <row r="187" spans="2:18" x14ac:dyDescent="0.25">
      <c r="B187" s="3069"/>
      <c r="C187" s="3069"/>
      <c r="D187" s="3069"/>
      <c r="E187" s="3069"/>
      <c r="F187" s="3069"/>
      <c r="G187" s="3069"/>
      <c r="H187" s="3069"/>
      <c r="I187" s="3069"/>
      <c r="J187" s="3069"/>
      <c r="K187" s="3069"/>
      <c r="L187" s="3069"/>
      <c r="M187" s="3069"/>
      <c r="N187" s="3069"/>
      <c r="O187" s="3069"/>
      <c r="P187" s="3069"/>
      <c r="Q187" s="3069"/>
      <c r="R187" s="3069"/>
    </row>
    <row r="188" spans="2:18" x14ac:dyDescent="0.25">
      <c r="B188" s="3069"/>
      <c r="C188" s="3069"/>
      <c r="D188" s="3069"/>
      <c r="E188" s="3069"/>
      <c r="F188" s="3069"/>
      <c r="G188" s="3069"/>
      <c r="H188" s="3069"/>
      <c r="I188" s="3069"/>
      <c r="J188" s="3069"/>
      <c r="K188" s="3069"/>
      <c r="L188" s="3069"/>
      <c r="M188" s="3069"/>
      <c r="N188" s="3069"/>
      <c r="O188" s="3069"/>
      <c r="P188" s="3069"/>
      <c r="Q188" s="3069"/>
      <c r="R188" s="3069"/>
    </row>
    <row r="189" spans="2:18" x14ac:dyDescent="0.25">
      <c r="B189" s="3069"/>
      <c r="C189" s="3069"/>
      <c r="D189" s="3069"/>
      <c r="E189" s="3069"/>
      <c r="F189" s="3069"/>
      <c r="G189" s="3069"/>
      <c r="H189" s="3069"/>
      <c r="I189" s="3069"/>
      <c r="J189" s="3069"/>
      <c r="K189" s="3069"/>
      <c r="L189" s="3069"/>
      <c r="M189" s="3069"/>
      <c r="N189" s="3069"/>
      <c r="O189" s="3069"/>
      <c r="P189" s="3069"/>
      <c r="Q189" s="3069"/>
      <c r="R189" s="3069"/>
    </row>
    <row r="190" spans="2:18" x14ac:dyDescent="0.25">
      <c r="B190" s="3069"/>
      <c r="C190" s="3069"/>
      <c r="D190" s="3069"/>
      <c r="E190" s="3069"/>
      <c r="F190" s="3069"/>
      <c r="G190" s="3069"/>
      <c r="H190" s="3069"/>
      <c r="I190" s="3069"/>
      <c r="J190" s="3069"/>
      <c r="K190" s="3069"/>
      <c r="L190" s="3069"/>
      <c r="M190" s="3069"/>
      <c r="N190" s="3069"/>
      <c r="O190" s="3069"/>
      <c r="P190" s="3069"/>
      <c r="Q190" s="3069"/>
      <c r="R190" s="3069"/>
    </row>
    <row r="191" spans="2:18" x14ac:dyDescent="0.25">
      <c r="B191" s="3069"/>
      <c r="C191" s="3069"/>
      <c r="D191" s="3069"/>
      <c r="E191" s="3069"/>
      <c r="F191" s="3069"/>
      <c r="G191" s="3069"/>
      <c r="H191" s="3069"/>
      <c r="I191" s="3069"/>
      <c r="J191" s="3069"/>
      <c r="K191" s="3069"/>
      <c r="L191" s="3069"/>
      <c r="M191" s="3069"/>
      <c r="N191" s="3069"/>
      <c r="O191" s="3069"/>
      <c r="P191" s="3069"/>
      <c r="Q191" s="3069"/>
      <c r="R191" s="3069"/>
    </row>
    <row r="192" spans="2:18" x14ac:dyDescent="0.25">
      <c r="B192" s="3069"/>
      <c r="C192" s="3069"/>
      <c r="D192" s="3069"/>
      <c r="E192" s="3069"/>
      <c r="F192" s="3069"/>
      <c r="G192" s="3069"/>
      <c r="H192" s="3069"/>
      <c r="I192" s="3069"/>
      <c r="J192" s="3069"/>
      <c r="K192" s="3069"/>
      <c r="L192" s="3069"/>
      <c r="M192" s="3069"/>
      <c r="N192" s="3069"/>
      <c r="O192" s="3069"/>
      <c r="P192" s="3069"/>
      <c r="Q192" s="3069"/>
      <c r="R192" s="3069"/>
    </row>
    <row r="193" spans="1:19" x14ac:dyDescent="0.25">
      <c r="B193" s="3069"/>
      <c r="C193" s="3069"/>
      <c r="D193" s="3069"/>
      <c r="E193" s="3069"/>
      <c r="F193" s="3069"/>
      <c r="G193" s="3069"/>
      <c r="H193" s="3069"/>
      <c r="I193" s="3069"/>
      <c r="J193" s="3069"/>
      <c r="K193" s="3069"/>
      <c r="L193" s="3069"/>
      <c r="M193" s="3069"/>
      <c r="N193" s="3069"/>
      <c r="O193" s="3069"/>
      <c r="P193" s="3069"/>
      <c r="Q193" s="3069"/>
      <c r="R193" s="3069"/>
    </row>
    <row r="194" spans="1:19" x14ac:dyDescent="0.25">
      <c r="B194" s="3069"/>
      <c r="C194" s="3069"/>
      <c r="D194" s="3069"/>
      <c r="E194" s="3069"/>
      <c r="F194" s="3069"/>
      <c r="G194" s="3069"/>
      <c r="H194" s="3069"/>
      <c r="I194" s="3069"/>
      <c r="J194" s="3069"/>
      <c r="K194" s="3069"/>
      <c r="L194" s="3069"/>
      <c r="M194" s="3069"/>
      <c r="N194" s="3069"/>
      <c r="O194" s="3069"/>
      <c r="P194" s="3069"/>
      <c r="Q194" s="3069"/>
      <c r="R194" s="3069"/>
    </row>
    <row r="195" spans="1:19" x14ac:dyDescent="0.25">
      <c r="B195" s="3109" t="s">
        <v>3407</v>
      </c>
      <c r="C195" s="3069"/>
      <c r="D195" s="3069"/>
      <c r="E195" s="3069"/>
      <c r="F195" s="3069"/>
      <c r="G195" s="3069"/>
      <c r="H195" s="3069"/>
      <c r="I195" s="3069"/>
      <c r="J195" s="3069"/>
      <c r="K195" s="3069"/>
      <c r="L195" s="3069"/>
      <c r="M195" s="3069"/>
      <c r="N195" s="3069"/>
      <c r="O195" s="3069"/>
      <c r="P195" s="3069"/>
      <c r="Q195" s="3069"/>
      <c r="R195" s="3069"/>
    </row>
    <row r="196" spans="1:19" x14ac:dyDescent="0.25">
      <c r="B196" s="3069"/>
      <c r="C196" s="3069"/>
      <c r="D196" s="3069"/>
      <c r="E196" s="3069"/>
      <c r="F196" s="3069"/>
      <c r="G196" s="3069"/>
      <c r="H196" s="3069"/>
      <c r="I196" s="3069"/>
      <c r="J196" s="3069"/>
      <c r="K196" s="3069"/>
      <c r="L196" s="3069"/>
      <c r="M196" s="3069"/>
      <c r="N196" s="3069"/>
      <c r="O196" s="3069"/>
      <c r="P196" s="3069"/>
      <c r="Q196" s="3069"/>
      <c r="R196" s="3069"/>
    </row>
    <row r="197" spans="1:19" x14ac:dyDescent="0.25">
      <c r="B197" s="3069"/>
      <c r="C197" s="3069"/>
      <c r="D197" s="3069"/>
      <c r="E197" s="3069"/>
      <c r="F197" s="3069"/>
      <c r="G197" s="3069"/>
      <c r="H197" s="3069"/>
      <c r="I197" s="3069"/>
      <c r="J197" s="3069"/>
      <c r="K197" s="3069"/>
      <c r="L197" s="3069"/>
      <c r="M197" s="3069"/>
      <c r="N197" s="3069"/>
      <c r="O197" s="3069"/>
      <c r="P197" s="3069"/>
      <c r="Q197" s="3069"/>
      <c r="R197" s="3069"/>
    </row>
    <row r="198" spans="1:19" x14ac:dyDescent="0.25">
      <c r="B198" s="3069"/>
      <c r="C198" s="3069"/>
      <c r="D198" s="3069"/>
      <c r="E198" s="3069"/>
      <c r="F198" s="3069"/>
      <c r="G198" s="3069"/>
      <c r="H198" s="3069"/>
      <c r="I198" s="3069"/>
      <c r="J198" s="3069"/>
      <c r="K198" s="3069"/>
      <c r="L198" s="3069"/>
      <c r="M198" s="3069"/>
      <c r="N198" s="3069"/>
      <c r="O198" s="3069"/>
      <c r="P198" s="3069"/>
      <c r="Q198" s="3069"/>
      <c r="R198" s="3069"/>
    </row>
    <row r="199" spans="1:19" x14ac:dyDescent="0.25">
      <c r="B199" s="3069"/>
      <c r="C199" s="3069"/>
      <c r="D199" s="3069"/>
      <c r="E199" s="3069"/>
      <c r="F199" s="3069"/>
      <c r="G199" s="3069"/>
      <c r="H199" s="3069"/>
      <c r="I199" s="3069"/>
      <c r="J199" s="3069"/>
      <c r="K199" s="3069"/>
      <c r="L199" s="3069"/>
      <c r="M199" s="3069"/>
      <c r="N199" s="3069"/>
      <c r="O199" s="3069"/>
      <c r="P199" s="3069"/>
      <c r="Q199" s="3069"/>
      <c r="R199" s="3069"/>
    </row>
    <row r="200" spans="1:19" x14ac:dyDescent="0.25">
      <c r="E200" s="3069"/>
      <c r="F200" s="3069"/>
      <c r="G200" s="3069"/>
      <c r="H200" s="3069"/>
      <c r="I200" s="3069"/>
      <c r="J200" s="3069"/>
      <c r="K200" s="3069"/>
      <c r="L200" s="3069"/>
      <c r="M200" s="3069"/>
      <c r="N200" s="3069"/>
      <c r="O200" s="3069"/>
      <c r="P200" s="3069"/>
      <c r="Q200" s="3069"/>
      <c r="R200" s="3069"/>
    </row>
    <row r="202" spans="1:19" s="2542" customFormat="1" ht="29.25" x14ac:dyDescent="0.25">
      <c r="A202" s="3135"/>
      <c r="B202" s="3136" t="s">
        <v>637</v>
      </c>
      <c r="C202" s="3137">
        <f>C203+C206</f>
        <v>0</v>
      </c>
      <c r="D202" s="3137">
        <f t="shared" ref="D202:O202" si="122">D203+D206</f>
        <v>0</v>
      </c>
      <c r="E202" s="3137">
        <f t="shared" si="122"/>
        <v>0</v>
      </c>
      <c r="F202" s="3137">
        <f t="shared" si="122"/>
        <v>0</v>
      </c>
      <c r="G202" s="3137">
        <f t="shared" si="122"/>
        <v>0</v>
      </c>
      <c r="H202" s="3137"/>
      <c r="I202" s="3137"/>
      <c r="J202" s="3137"/>
      <c r="K202" s="3137"/>
      <c r="L202" s="3137"/>
      <c r="M202" s="3137">
        <f t="shared" si="122"/>
        <v>0</v>
      </c>
      <c r="N202" s="3137">
        <f t="shared" si="122"/>
        <v>0</v>
      </c>
      <c r="O202" s="3138">
        <f t="shared" si="122"/>
        <v>0</v>
      </c>
      <c r="R202" s="2544"/>
    </row>
    <row r="203" spans="1:19" s="2542" customFormat="1" x14ac:dyDescent="0.25">
      <c r="B203" s="3139" t="s">
        <v>629</v>
      </c>
      <c r="C203" s="3140">
        <f t="shared" ref="C203:C208" si="123">C17+C25</f>
        <v>0</v>
      </c>
      <c r="D203" s="3140">
        <f t="shared" ref="D203:O203" si="124">D204</f>
        <v>0</v>
      </c>
      <c r="E203" s="3140">
        <f t="shared" si="124"/>
        <v>0</v>
      </c>
      <c r="F203" s="3140">
        <f t="shared" si="124"/>
        <v>0</v>
      </c>
      <c r="G203" s="3140">
        <f t="shared" si="124"/>
        <v>0</v>
      </c>
      <c r="H203" s="3140"/>
      <c r="I203" s="3140"/>
      <c r="J203" s="3140"/>
      <c r="K203" s="3140"/>
      <c r="L203" s="3140"/>
      <c r="M203" s="3140">
        <f t="shared" si="124"/>
        <v>0</v>
      </c>
      <c r="N203" s="3140">
        <f t="shared" si="124"/>
        <v>0</v>
      </c>
      <c r="O203" s="3141">
        <f t="shared" si="124"/>
        <v>0</v>
      </c>
      <c r="P203" s="2543"/>
    </row>
    <row r="204" spans="1:19" s="2542" customFormat="1" x14ac:dyDescent="0.25">
      <c r="B204" s="3142" t="s">
        <v>633</v>
      </c>
      <c r="C204" s="3140">
        <f t="shared" si="123"/>
        <v>0</v>
      </c>
      <c r="D204" s="3144">
        <f t="shared" ref="D204:F205" si="125">C204</f>
        <v>0</v>
      </c>
      <c r="E204" s="3144">
        <f t="shared" si="125"/>
        <v>0</v>
      </c>
      <c r="F204" s="3144">
        <f t="shared" si="125"/>
        <v>0</v>
      </c>
      <c r="G204" s="3144">
        <f t="shared" ref="G204:G205" si="126">F204</f>
        <v>0</v>
      </c>
      <c r="H204" s="3144"/>
      <c r="I204" s="3144"/>
      <c r="J204" s="3144"/>
      <c r="K204" s="3144"/>
      <c r="L204" s="3144"/>
      <c r="M204" s="3144">
        <f t="shared" ref="M204:M205" si="127">G204</f>
        <v>0</v>
      </c>
      <c r="N204" s="3144">
        <f t="shared" ref="N204:N205" si="128">M204</f>
        <v>0</v>
      </c>
      <c r="O204" s="3145">
        <f t="shared" ref="O204:O205" si="129">N204</f>
        <v>0</v>
      </c>
    </row>
    <row r="205" spans="1:19" s="2542" customFormat="1" x14ac:dyDescent="0.25">
      <c r="B205" s="3146" t="s">
        <v>639</v>
      </c>
      <c r="C205" s="3140">
        <f t="shared" si="123"/>
        <v>0</v>
      </c>
      <c r="D205" s="3144">
        <f t="shared" si="125"/>
        <v>0</v>
      </c>
      <c r="E205" s="3144">
        <f t="shared" si="125"/>
        <v>0</v>
      </c>
      <c r="F205" s="3144">
        <f t="shared" si="125"/>
        <v>0</v>
      </c>
      <c r="G205" s="3144">
        <f t="shared" si="126"/>
        <v>0</v>
      </c>
      <c r="H205" s="3144"/>
      <c r="I205" s="3144"/>
      <c r="J205" s="3144"/>
      <c r="K205" s="3144"/>
      <c r="L205" s="3144"/>
      <c r="M205" s="3144">
        <f t="shared" si="127"/>
        <v>0</v>
      </c>
      <c r="N205" s="3144">
        <f t="shared" si="128"/>
        <v>0</v>
      </c>
      <c r="O205" s="3145">
        <f t="shared" si="129"/>
        <v>0</v>
      </c>
      <c r="P205" s="2543"/>
    </row>
    <row r="206" spans="1:19" s="2542" customFormat="1" x14ac:dyDescent="0.25">
      <c r="B206" s="3139" t="s">
        <v>630</v>
      </c>
      <c r="C206" s="3140">
        <f t="shared" si="123"/>
        <v>0</v>
      </c>
      <c r="D206" s="3140">
        <f t="shared" ref="D206:O206" si="130">D207</f>
        <v>0</v>
      </c>
      <c r="E206" s="3140">
        <f t="shared" si="130"/>
        <v>0</v>
      </c>
      <c r="F206" s="3140">
        <f t="shared" si="130"/>
        <v>0</v>
      </c>
      <c r="G206" s="3140">
        <f t="shared" si="130"/>
        <v>0</v>
      </c>
      <c r="H206" s="3140"/>
      <c r="I206" s="3140"/>
      <c r="J206" s="3140"/>
      <c r="K206" s="3140"/>
      <c r="L206" s="3140"/>
      <c r="M206" s="3140">
        <f t="shared" si="130"/>
        <v>0</v>
      </c>
      <c r="N206" s="3140">
        <f t="shared" si="130"/>
        <v>0</v>
      </c>
      <c r="O206" s="3141">
        <f t="shared" si="130"/>
        <v>0</v>
      </c>
      <c r="P206" s="2543"/>
      <c r="R206" s="3148"/>
      <c r="S206" s="3148"/>
    </row>
    <row r="207" spans="1:19" s="2542" customFormat="1" x14ac:dyDescent="0.25">
      <c r="B207" s="3142" t="s">
        <v>633</v>
      </c>
      <c r="C207" s="3140">
        <f t="shared" si="123"/>
        <v>0</v>
      </c>
      <c r="D207" s="3144">
        <f t="shared" ref="D207:F209" si="131">C207</f>
        <v>0</v>
      </c>
      <c r="E207" s="3144">
        <f t="shared" si="131"/>
        <v>0</v>
      </c>
      <c r="F207" s="3144">
        <f t="shared" si="131"/>
        <v>0</v>
      </c>
      <c r="G207" s="3144">
        <f t="shared" ref="G207:G209" si="132">F207</f>
        <v>0</v>
      </c>
      <c r="H207" s="3144"/>
      <c r="I207" s="3144"/>
      <c r="J207" s="3144"/>
      <c r="K207" s="3144"/>
      <c r="L207" s="3144"/>
      <c r="M207" s="3144">
        <f t="shared" ref="M207:M209" si="133">G207</f>
        <v>0</v>
      </c>
      <c r="N207" s="3144">
        <f t="shared" ref="N207:N209" si="134">M207</f>
        <v>0</v>
      </c>
      <c r="O207" s="3145">
        <f t="shared" ref="O207:O209" si="135">N207</f>
        <v>0</v>
      </c>
      <c r="R207" s="3149"/>
      <c r="S207" s="3150"/>
    </row>
    <row r="208" spans="1:19" s="2542" customFormat="1" x14ac:dyDescent="0.25">
      <c r="B208" s="3146" t="s">
        <v>639</v>
      </c>
      <c r="C208" s="3140">
        <f t="shared" si="123"/>
        <v>0</v>
      </c>
      <c r="D208" s="3144">
        <f t="shared" si="131"/>
        <v>0</v>
      </c>
      <c r="E208" s="3144">
        <f t="shared" si="131"/>
        <v>0</v>
      </c>
      <c r="F208" s="3144">
        <f t="shared" si="131"/>
        <v>0</v>
      </c>
      <c r="G208" s="3144">
        <f t="shared" si="132"/>
        <v>0</v>
      </c>
      <c r="H208" s="3144"/>
      <c r="I208" s="3144"/>
      <c r="J208" s="3144"/>
      <c r="K208" s="3144"/>
      <c r="L208" s="3144"/>
      <c r="M208" s="3144">
        <f t="shared" si="133"/>
        <v>0</v>
      </c>
      <c r="N208" s="3144">
        <f t="shared" si="134"/>
        <v>0</v>
      </c>
      <c r="O208" s="3145">
        <f t="shared" si="135"/>
        <v>0</v>
      </c>
      <c r="P208" s="2543"/>
      <c r="R208" s="3148"/>
      <c r="S208" s="3148"/>
    </row>
    <row r="209" spans="2:19" s="2542" customFormat="1" x14ac:dyDescent="0.25">
      <c r="B209" s="3146"/>
      <c r="C209" s="3151"/>
      <c r="D209" s="3151">
        <f t="shared" si="131"/>
        <v>0</v>
      </c>
      <c r="E209" s="3151">
        <f t="shared" si="131"/>
        <v>0</v>
      </c>
      <c r="F209" s="3151">
        <f t="shared" si="131"/>
        <v>0</v>
      </c>
      <c r="G209" s="3151">
        <f t="shared" si="132"/>
        <v>0</v>
      </c>
      <c r="H209" s="3151"/>
      <c r="I209" s="3151"/>
      <c r="J209" s="3151"/>
      <c r="K209" s="3151"/>
      <c r="L209" s="3151"/>
      <c r="M209" s="3151">
        <f t="shared" si="133"/>
        <v>0</v>
      </c>
      <c r="N209" s="3151">
        <f t="shared" si="134"/>
        <v>0</v>
      </c>
      <c r="O209" s="3152">
        <f t="shared" si="135"/>
        <v>0</v>
      </c>
      <c r="P209" s="2543"/>
      <c r="R209" s="3148"/>
      <c r="S209" s="3148"/>
    </row>
    <row r="211" spans="2:19" x14ac:dyDescent="0.25">
      <c r="D211" s="3232"/>
      <c r="E211" s="3232"/>
    </row>
    <row r="212" spans="2:19" x14ac:dyDescent="0.25">
      <c r="D212" s="3232"/>
    </row>
    <row r="213" spans="2:19" x14ac:dyDescent="0.25">
      <c r="D213" s="3232"/>
    </row>
    <row r="215" spans="2:19" x14ac:dyDescent="0.25">
      <c r="C215" s="3232"/>
      <c r="D215" s="3232"/>
    </row>
    <row r="216" spans="2:19" x14ac:dyDescent="0.25">
      <c r="C216" s="3232"/>
      <c r="D216" s="3232"/>
    </row>
  </sheetData>
  <pageMargins left="0.70866141732283472" right="0.31496062992125984" top="0.74803149606299213" bottom="0.55118110236220474" header="0.31496062992125984" footer="0.31496062992125984"/>
  <pageSetup paperSize="9" scale="64" orientation="landscape" r:id="rId1"/>
  <rowBreaks count="1" manualBreakCount="1">
    <brk id="201"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E42"/>
  <sheetViews>
    <sheetView view="pageBreakPreview" zoomScaleNormal="100" zoomScaleSheetLayoutView="100" workbookViewId="0">
      <selection activeCell="A34" sqref="A34:B34"/>
    </sheetView>
  </sheetViews>
  <sheetFormatPr defaultColWidth="9.140625" defaultRowHeight="15" x14ac:dyDescent="0.25"/>
  <cols>
    <col min="1" max="1" width="62" style="18" customWidth="1"/>
    <col min="2" max="2" width="37" style="18" customWidth="1"/>
    <col min="3" max="3" width="15.85546875" style="18" customWidth="1"/>
    <col min="4" max="16384" width="9.140625" style="18"/>
  </cols>
  <sheetData>
    <row r="1" spans="1:3" x14ac:dyDescent="0.25">
      <c r="B1" s="18" t="s">
        <v>447</v>
      </c>
    </row>
    <row r="2" spans="1:3" ht="108.75" customHeight="1" x14ac:dyDescent="0.25">
      <c r="B2" s="108" t="s">
        <v>556</v>
      </c>
    </row>
    <row r="3" spans="1:3" x14ac:dyDescent="0.25">
      <c r="B3" s="108"/>
    </row>
    <row r="4" spans="1:3" ht="15.75" x14ac:dyDescent="0.25">
      <c r="B4" s="2175" t="s">
        <v>448</v>
      </c>
    </row>
    <row r="5" spans="1:3" ht="31.5" x14ac:dyDescent="0.25">
      <c r="B5" s="1913" t="s">
        <v>2723</v>
      </c>
    </row>
    <row r="6" spans="1:3" x14ac:dyDescent="0.25">
      <c r="B6" s="2144" t="s">
        <v>449</v>
      </c>
    </row>
    <row r="7" spans="1:3" ht="31.5" x14ac:dyDescent="0.25">
      <c r="B7" s="1913" t="s">
        <v>2727</v>
      </c>
    </row>
    <row r="10" spans="1:3" ht="16.5" x14ac:dyDescent="0.25">
      <c r="A10" s="3652" t="s">
        <v>423</v>
      </c>
      <c r="B10" s="3652"/>
    </row>
    <row r="11" spans="1:3" ht="16.5" x14ac:dyDescent="0.25">
      <c r="A11" s="3652" t="s">
        <v>2722</v>
      </c>
      <c r="B11" s="3652"/>
    </row>
    <row r="12" spans="1:3" ht="33.6" customHeight="1" x14ac:dyDescent="0.25">
      <c r="A12" s="3655" t="str">
        <f>'Вхідні дані'!C2</f>
        <v>на теплову енергію, її виробництво, транспортування та постачання, послуги з постачання теплової енергії</v>
      </c>
      <c r="B12" s="3655"/>
    </row>
    <row r="13" spans="1:3" x14ac:dyDescent="0.25">
      <c r="A13" s="3656" t="s">
        <v>424</v>
      </c>
      <c r="B13" s="3656"/>
    </row>
    <row r="14" spans="1:3" ht="58.5" customHeight="1" x14ac:dyDescent="0.25">
      <c r="A14" s="3654" t="s">
        <v>3434</v>
      </c>
      <c r="B14" s="3654"/>
      <c r="C14" s="2541"/>
    </row>
    <row r="15" spans="1:3" x14ac:dyDescent="0.25">
      <c r="A15" s="3645" t="s">
        <v>425</v>
      </c>
      <c r="B15" s="3645"/>
    </row>
    <row r="16" spans="1:3" x14ac:dyDescent="0.25">
      <c r="A16" s="55"/>
    </row>
    <row r="17" spans="1:5" s="58" customFormat="1" ht="32.25" customHeight="1" x14ac:dyDescent="0.25">
      <c r="A17" s="3650" t="s">
        <v>3174</v>
      </c>
      <c r="B17" s="3650"/>
      <c r="C17" s="3566"/>
    </row>
    <row r="18" spans="1:5" s="58" customFormat="1" ht="48" customHeight="1" x14ac:dyDescent="0.25">
      <c r="A18" s="3650" t="s">
        <v>3172</v>
      </c>
      <c r="B18" s="3650"/>
      <c r="C18" s="3566"/>
    </row>
    <row r="19" spans="1:5" s="58" customFormat="1" ht="32.25" customHeight="1" x14ac:dyDescent="0.25">
      <c r="A19" s="3650" t="s">
        <v>3173</v>
      </c>
      <c r="B19" s="3650"/>
      <c r="C19" s="3566"/>
    </row>
    <row r="20" spans="1:5" x14ac:dyDescent="0.25">
      <c r="A20" s="3645" t="s">
        <v>426</v>
      </c>
      <c r="B20" s="3645"/>
    </row>
    <row r="21" spans="1:5" x14ac:dyDescent="0.25">
      <c r="A21" s="52"/>
    </row>
    <row r="22" spans="1:5" s="3567" customFormat="1" ht="16.5" x14ac:dyDescent="0.25">
      <c r="A22" s="3659" t="s">
        <v>2244</v>
      </c>
      <c r="B22" s="3659"/>
    </row>
    <row r="23" spans="1:5" s="58" customFormat="1" ht="37.15" customHeight="1" x14ac:dyDescent="0.25">
      <c r="A23" s="3657" t="str">
        <f>'Вхідні дані'!C2</f>
        <v>на теплову енергію, її виробництво, транспортування та постачання, послуги з постачання теплової енергії</v>
      </c>
      <c r="B23" s="3657"/>
    </row>
    <row r="24" spans="1:5" ht="15.75" x14ac:dyDescent="0.25">
      <c r="A24" s="3646" t="s">
        <v>424</v>
      </c>
      <c r="B24" s="3646"/>
    </row>
    <row r="25" spans="1:5" x14ac:dyDescent="0.25">
      <c r="A25" s="52"/>
    </row>
    <row r="26" spans="1:5" s="58" customFormat="1" ht="36" customHeight="1" x14ac:dyDescent="0.25">
      <c r="A26" s="3657" t="s">
        <v>2247</v>
      </c>
      <c r="B26" s="3657"/>
    </row>
    <row r="27" spans="1:5" ht="16.5" hidden="1" x14ac:dyDescent="0.25">
      <c r="A27" s="3651"/>
      <c r="B27" s="3651"/>
      <c r="D27" s="155"/>
      <c r="E27" s="155"/>
    </row>
    <row r="28" spans="1:5" x14ac:dyDescent="0.25">
      <c r="A28" s="3658" t="s">
        <v>427</v>
      </c>
      <c r="B28" s="3658"/>
    </row>
    <row r="29" spans="1:5" x14ac:dyDescent="0.25">
      <c r="A29" s="56"/>
    </row>
    <row r="30" spans="1:5" ht="19.5" customHeight="1" x14ac:dyDescent="0.25">
      <c r="A30" s="3651" t="s">
        <v>428</v>
      </c>
      <c r="B30" s="3651"/>
    </row>
    <row r="31" spans="1:5" x14ac:dyDescent="0.25">
      <c r="A31" s="52"/>
    </row>
    <row r="32" spans="1:5" ht="16.5" x14ac:dyDescent="0.25">
      <c r="A32" s="3651" t="s">
        <v>2123</v>
      </c>
      <c r="B32" s="3651"/>
    </row>
    <row r="33" spans="1:3" ht="18.75" x14ac:dyDescent="0.25">
      <c r="A33" s="54"/>
    </row>
    <row r="34" spans="1:3" s="58" customFormat="1" ht="18.75" customHeight="1" x14ac:dyDescent="0.25">
      <c r="A34" s="3650" t="s">
        <v>3441</v>
      </c>
      <c r="B34" s="3650"/>
      <c r="C34" s="66"/>
    </row>
    <row r="35" spans="1:3" s="1240" customFormat="1" ht="12.75" x14ac:dyDescent="0.2">
      <c r="A35" s="3649" t="s">
        <v>3435</v>
      </c>
      <c r="B35" s="3649"/>
      <c r="C35" s="1239"/>
    </row>
    <row r="36" spans="1:3" s="58" customFormat="1" ht="9.6" customHeight="1" x14ac:dyDescent="0.25">
      <c r="A36" s="66"/>
      <c r="B36" s="66"/>
      <c r="C36" s="66"/>
    </row>
    <row r="37" spans="1:3" s="58" customFormat="1" ht="9.6" customHeight="1" x14ac:dyDescent="0.25">
      <c r="A37" s="67"/>
      <c r="B37" s="66"/>
      <c r="C37" s="66"/>
    </row>
    <row r="38" spans="1:3" s="58" customFormat="1" ht="15.75" x14ac:dyDescent="0.25">
      <c r="A38" s="3647" t="s">
        <v>3436</v>
      </c>
      <c r="B38" s="3648"/>
    </row>
    <row r="39" spans="1:3" s="58" customFormat="1" ht="15.75" x14ac:dyDescent="0.25">
      <c r="A39" s="3660" t="s">
        <v>429</v>
      </c>
      <c r="B39" s="3660"/>
    </row>
    <row r="40" spans="1:3" x14ac:dyDescent="0.25">
      <c r="A40" s="52"/>
    </row>
    <row r="41" spans="1:3" ht="27" customHeight="1" x14ac:dyDescent="0.25">
      <c r="A41" s="3653" t="s">
        <v>430</v>
      </c>
      <c r="B41" s="3653"/>
    </row>
    <row r="42" spans="1:3" ht="3.6" customHeight="1" x14ac:dyDescent="0.25"/>
  </sheetData>
  <mergeCells count="23">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 ref="A20:B20"/>
    <mergeCell ref="A24:B24"/>
    <mergeCell ref="A38:B38"/>
    <mergeCell ref="A35:B35"/>
    <mergeCell ref="A34:B34"/>
    <mergeCell ref="A32:B32"/>
    <mergeCell ref="A30:B30"/>
  </mergeCells>
  <pageMargins left="0.7" right="0.33" top="0.75" bottom="0.33" header="0.3" footer="0.3"/>
  <pageSetup paperSize="9" scale="93" fitToHeight="0" orientation="portrait" r:id="rId1"/>
  <rowBreaks count="2" manualBreakCount="2">
    <brk id="31" max="1" man="1"/>
    <brk id="4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AB45"/>
  <sheetViews>
    <sheetView zoomScale="88" zoomScaleNormal="88" workbookViewId="0">
      <selection activeCell="A8" sqref="A8"/>
    </sheetView>
  </sheetViews>
  <sheetFormatPr defaultColWidth="9.140625" defaultRowHeight="12.75" x14ac:dyDescent="0.2"/>
  <cols>
    <col min="1" max="1" width="37.5703125" style="156" customWidth="1"/>
    <col min="2" max="2" width="6.28515625" style="156" customWidth="1"/>
    <col min="3" max="3" width="6.42578125" style="156" customWidth="1"/>
    <col min="4" max="4" width="6.140625" style="156" customWidth="1"/>
    <col min="5" max="5" width="5.85546875" style="156" customWidth="1"/>
    <col min="6" max="6" width="7" style="156" customWidth="1"/>
    <col min="7" max="7" width="7.85546875" style="156" customWidth="1"/>
    <col min="8" max="8" width="8" style="156" customWidth="1"/>
    <col min="9" max="9" width="6.140625" style="156" customWidth="1"/>
    <col min="10" max="10" width="7.85546875" style="156" customWidth="1"/>
    <col min="11" max="11" width="5.85546875" style="156" customWidth="1"/>
    <col min="12" max="12" width="7.5703125" style="156" customWidth="1"/>
    <col min="13" max="13" width="7.28515625" style="156" customWidth="1"/>
    <col min="14" max="14" width="6.5703125" style="156" hidden="1" customWidth="1"/>
    <col min="15" max="15" width="5.85546875" style="156" hidden="1" customWidth="1"/>
    <col min="16" max="16" width="10.5703125" style="156" bestFit="1" customWidth="1"/>
    <col min="17" max="17" width="9.140625" style="156"/>
    <col min="18" max="18" width="14.85546875" style="156" bestFit="1" customWidth="1"/>
    <col min="19" max="16384" width="9.140625" style="156"/>
  </cols>
  <sheetData>
    <row r="1" spans="1:26" ht="15" x14ac:dyDescent="0.25">
      <c r="A1" s="3070"/>
      <c r="B1" s="3069"/>
      <c r="C1" s="3069"/>
      <c r="D1" s="3069"/>
      <c r="E1" s="3069"/>
      <c r="F1" s="3069"/>
      <c r="G1" s="3069"/>
      <c r="H1" s="3069"/>
      <c r="I1" s="3069"/>
      <c r="J1" s="3069"/>
      <c r="K1" s="3070" t="s">
        <v>601</v>
      </c>
      <c r="L1" s="3070"/>
      <c r="M1" s="3070"/>
      <c r="N1" s="3069"/>
      <c r="O1" s="3069"/>
      <c r="P1" s="3069"/>
      <c r="Q1" s="3069"/>
    </row>
    <row r="2" spans="1:26" ht="15" x14ac:dyDescent="0.25">
      <c r="A2" s="3069"/>
      <c r="B2" s="3069"/>
      <c r="C2" s="3069"/>
      <c r="D2" s="3069"/>
      <c r="E2" s="3069"/>
      <c r="F2" s="3069"/>
      <c r="G2" s="3069"/>
      <c r="H2" s="3069"/>
      <c r="I2" s="3069"/>
      <c r="J2" s="3069"/>
      <c r="K2" s="3069" t="s">
        <v>3175</v>
      </c>
      <c r="L2" s="3069"/>
      <c r="M2" s="3069"/>
      <c r="N2" s="3069"/>
      <c r="O2" s="3069"/>
      <c r="P2" s="3069"/>
      <c r="Q2" s="3069"/>
    </row>
    <row r="3" spans="1:26" ht="15" x14ac:dyDescent="0.25">
      <c r="A3" s="3068"/>
      <c r="B3" s="3069"/>
      <c r="C3" s="3069"/>
      <c r="D3" s="3069"/>
      <c r="E3" s="3069"/>
      <c r="F3" s="3069"/>
      <c r="G3" s="3069"/>
      <c r="H3" s="3069"/>
      <c r="I3" s="3069"/>
      <c r="J3" s="3069"/>
      <c r="K3" s="3069" t="s">
        <v>3262</v>
      </c>
      <c r="L3" s="3069"/>
      <c r="M3" s="3069"/>
      <c r="N3" s="3069"/>
      <c r="O3" s="3069"/>
      <c r="P3" s="3069"/>
      <c r="Q3" s="3069"/>
      <c r="R3" s="157"/>
      <c r="S3" s="157"/>
      <c r="T3" s="157"/>
      <c r="U3" s="157"/>
      <c r="V3" s="157"/>
      <c r="W3" s="157"/>
      <c r="X3" s="157"/>
      <c r="Y3" s="157"/>
      <c r="Z3" s="157"/>
    </row>
    <row r="4" spans="1:26" ht="15" x14ac:dyDescent="0.25">
      <c r="A4" s="3068"/>
      <c r="B4" s="3069"/>
      <c r="C4" s="3069"/>
      <c r="D4" s="3069"/>
      <c r="E4" s="3069"/>
      <c r="F4" s="3069"/>
      <c r="G4" s="3069"/>
      <c r="H4" s="3069"/>
      <c r="I4" s="3069"/>
      <c r="J4" s="3069"/>
      <c r="K4" s="3069"/>
      <c r="L4" s="3069"/>
      <c r="M4" s="3069"/>
      <c r="N4" s="3069"/>
      <c r="O4" s="3069"/>
      <c r="P4" s="3069"/>
      <c r="Q4" s="3069"/>
      <c r="R4" s="157"/>
      <c r="S4" s="157"/>
      <c r="T4" s="157"/>
      <c r="U4" s="157"/>
      <c r="V4" s="157"/>
      <c r="W4" s="157"/>
      <c r="X4" s="157"/>
      <c r="Y4" s="157"/>
      <c r="Z4" s="157"/>
    </row>
    <row r="5" spans="1:26" ht="15" x14ac:dyDescent="0.25">
      <c r="A5" s="3068"/>
      <c r="B5" s="3069"/>
      <c r="C5" s="3069"/>
      <c r="D5" s="3069"/>
      <c r="E5" s="3069"/>
      <c r="F5" s="3069"/>
      <c r="G5" s="3069"/>
      <c r="H5" s="3069"/>
      <c r="I5" s="3069"/>
      <c r="J5" s="3069"/>
      <c r="K5" s="3069"/>
      <c r="L5" s="3069"/>
      <c r="M5" s="3069"/>
      <c r="N5" s="3069"/>
      <c r="O5" s="3069"/>
      <c r="P5" s="3069"/>
      <c r="Q5" s="3069"/>
      <c r="R5" s="157"/>
      <c r="S5" s="157"/>
      <c r="T5" s="157"/>
      <c r="U5" s="157"/>
      <c r="V5" s="157"/>
      <c r="W5" s="157"/>
      <c r="X5" s="157"/>
      <c r="Y5" s="157"/>
      <c r="Z5" s="157"/>
    </row>
    <row r="6" spans="1:26" ht="27.75" customHeight="1" thickBot="1" x14ac:dyDescent="0.35">
      <c r="A6" s="3938" t="s">
        <v>604</v>
      </c>
      <c r="B6" s="3938"/>
      <c r="C6" s="3938"/>
      <c r="D6" s="3938"/>
      <c r="E6" s="3938"/>
      <c r="F6" s="3938"/>
      <c r="G6" s="3938"/>
      <c r="H6" s="3938"/>
      <c r="I6" s="3938"/>
      <c r="J6" s="3938"/>
      <c r="K6" s="3938"/>
      <c r="L6" s="3938"/>
      <c r="M6" s="3938"/>
      <c r="N6" s="3938"/>
      <c r="O6" s="3938"/>
      <c r="P6" s="3938"/>
      <c r="Q6" s="3938"/>
      <c r="R6" s="157"/>
      <c r="S6" s="157"/>
      <c r="T6" s="157"/>
      <c r="U6" s="157"/>
      <c r="V6" s="157"/>
      <c r="W6" s="157"/>
      <c r="X6" s="157"/>
      <c r="Y6" s="157"/>
      <c r="Z6" s="157"/>
    </row>
    <row r="7" spans="1:26" ht="30" x14ac:dyDescent="0.25">
      <c r="A7" s="3071" t="s">
        <v>605</v>
      </c>
      <c r="B7" s="3940" t="s">
        <v>606</v>
      </c>
      <c r="C7" s="3940"/>
      <c r="D7" s="3940"/>
      <c r="E7" s="3940"/>
      <c r="F7" s="3940"/>
      <c r="G7" s="3940"/>
      <c r="H7" s="3940"/>
      <c r="I7" s="3940"/>
      <c r="J7" s="3940"/>
      <c r="K7" s="3940"/>
      <c r="L7" s="3940"/>
      <c r="M7" s="3940"/>
      <c r="N7" s="3940"/>
      <c r="O7" s="3940"/>
      <c r="P7" s="3941" t="s">
        <v>607</v>
      </c>
      <c r="Q7" s="3941"/>
      <c r="R7" s="157"/>
      <c r="S7" s="157"/>
      <c r="T7" s="157"/>
      <c r="U7" s="157"/>
      <c r="V7" s="157"/>
      <c r="W7" s="157"/>
      <c r="X7" s="157"/>
      <c r="Y7" s="157"/>
      <c r="Z7" s="157"/>
    </row>
    <row r="8" spans="1:26" ht="30" x14ac:dyDescent="0.25">
      <c r="A8" s="3072" t="s">
        <v>461</v>
      </c>
      <c r="B8" s="3073">
        <v>10</v>
      </c>
      <c r="C8" s="3073">
        <v>11</v>
      </c>
      <c r="D8" s="3073">
        <v>12</v>
      </c>
      <c r="E8" s="3073">
        <v>1</v>
      </c>
      <c r="F8" s="3073">
        <v>2</v>
      </c>
      <c r="G8" s="3073">
        <v>3</v>
      </c>
      <c r="H8" s="3073">
        <v>4</v>
      </c>
      <c r="I8" s="3073">
        <v>5</v>
      </c>
      <c r="J8" s="3073">
        <v>6</v>
      </c>
      <c r="K8" s="3073">
        <v>7</v>
      </c>
      <c r="L8" s="3073">
        <v>8</v>
      </c>
      <c r="M8" s="3073">
        <v>9</v>
      </c>
      <c r="N8" s="3074"/>
      <c r="O8" s="3074">
        <v>12</v>
      </c>
      <c r="P8" s="3107" t="s">
        <v>608</v>
      </c>
      <c r="Q8" s="3107" t="s">
        <v>609</v>
      </c>
      <c r="R8" s="157"/>
      <c r="S8" s="157"/>
      <c r="T8" s="157"/>
      <c r="U8" s="157"/>
      <c r="V8" s="157"/>
      <c r="W8" s="157"/>
      <c r="X8" s="157"/>
      <c r="Y8" s="157"/>
      <c r="Z8" s="157"/>
    </row>
    <row r="9" spans="1:26" ht="15" x14ac:dyDescent="0.25">
      <c r="A9" s="3075" t="s">
        <v>610</v>
      </c>
      <c r="B9" s="3076">
        <v>0</v>
      </c>
      <c r="C9" s="3077">
        <v>30</v>
      </c>
      <c r="D9" s="3078">
        <v>31</v>
      </c>
      <c r="E9" s="3078">
        <v>31</v>
      </c>
      <c r="F9" s="3079">
        <v>28</v>
      </c>
      <c r="G9" s="3080">
        <v>31</v>
      </c>
      <c r="H9" s="3076">
        <v>5</v>
      </c>
      <c r="I9" s="3076">
        <v>0</v>
      </c>
      <c r="J9" s="3076">
        <v>0</v>
      </c>
      <c r="K9" s="3076">
        <v>0</v>
      </c>
      <c r="L9" s="3076">
        <v>0</v>
      </c>
      <c r="M9" s="3076">
        <v>0</v>
      </c>
      <c r="N9" s="3081">
        <v>0</v>
      </c>
      <c r="O9" s="3080">
        <v>0</v>
      </c>
      <c r="P9" s="3082">
        <f>ROUND(B9+C9+D9+E9+F9+G9+H9,0)</f>
        <v>156</v>
      </c>
      <c r="Q9" s="3083"/>
      <c r="R9" s="157"/>
      <c r="S9" s="157"/>
      <c r="T9" s="157"/>
      <c r="U9" s="157"/>
      <c r="V9" s="157"/>
      <c r="W9" s="157"/>
      <c r="X9" s="157"/>
      <c r="Y9" s="157"/>
      <c r="Z9" s="157"/>
    </row>
    <row r="10" spans="1:26" ht="15" x14ac:dyDescent="0.25">
      <c r="A10" s="3084" t="s">
        <v>611</v>
      </c>
      <c r="B10" s="3080">
        <v>0</v>
      </c>
      <c r="C10" s="3079">
        <v>30</v>
      </c>
      <c r="D10" s="3078">
        <v>31</v>
      </c>
      <c r="E10" s="3079">
        <v>31</v>
      </c>
      <c r="F10" s="3079">
        <v>28</v>
      </c>
      <c r="G10" s="3076">
        <v>31</v>
      </c>
      <c r="H10" s="3076">
        <v>2</v>
      </c>
      <c r="I10" s="3076">
        <v>0</v>
      </c>
      <c r="J10" s="3076">
        <v>0</v>
      </c>
      <c r="K10" s="3076">
        <v>0</v>
      </c>
      <c r="L10" s="3076">
        <v>0</v>
      </c>
      <c r="M10" s="3076">
        <v>0</v>
      </c>
      <c r="N10" s="3081">
        <v>0</v>
      </c>
      <c r="O10" s="3080">
        <v>0</v>
      </c>
      <c r="P10" s="3082">
        <f>ROUND(B10+C10+D10+E10+F10+G10+H10,0)</f>
        <v>153</v>
      </c>
      <c r="Q10" s="3083"/>
      <c r="R10" s="157"/>
      <c r="S10" s="157"/>
      <c r="T10" s="157"/>
      <c r="U10" s="157"/>
      <c r="V10" s="157"/>
      <c r="W10" s="157"/>
      <c r="X10" s="157"/>
      <c r="Y10" s="157"/>
      <c r="Z10" s="157"/>
    </row>
    <row r="11" spans="1:26" ht="15" x14ac:dyDescent="0.25">
      <c r="A11" s="3084" t="s">
        <v>2311</v>
      </c>
      <c r="B11" s="3080">
        <v>0</v>
      </c>
      <c r="C11" s="3079">
        <v>18</v>
      </c>
      <c r="D11" s="3078">
        <v>31</v>
      </c>
      <c r="E11" s="3079">
        <v>31</v>
      </c>
      <c r="F11" s="3079">
        <v>29</v>
      </c>
      <c r="G11" s="3076">
        <v>11</v>
      </c>
      <c r="H11" s="3076">
        <v>0</v>
      </c>
      <c r="I11" s="3076">
        <v>0</v>
      </c>
      <c r="J11" s="3076">
        <v>0</v>
      </c>
      <c r="K11" s="3076">
        <v>0</v>
      </c>
      <c r="L11" s="3076">
        <v>0</v>
      </c>
      <c r="M11" s="3076">
        <v>0</v>
      </c>
      <c r="N11" s="3081">
        <v>0</v>
      </c>
      <c r="O11" s="3080">
        <v>0</v>
      </c>
      <c r="P11" s="3082">
        <f>ROUND(B11+C11+D11+E11+F11+G11+H11,1)</f>
        <v>120</v>
      </c>
      <c r="Q11" s="3085"/>
      <c r="R11" s="157"/>
      <c r="S11" s="157"/>
      <c r="T11" s="157"/>
      <c r="U11" s="157"/>
      <c r="V11" s="157"/>
      <c r="W11" s="157"/>
      <c r="X11" s="157"/>
      <c r="Y11" s="157"/>
      <c r="Z11" s="157"/>
    </row>
    <row r="12" spans="1:26" ht="15" x14ac:dyDescent="0.25">
      <c r="A12" s="3075" t="s">
        <v>2312</v>
      </c>
      <c r="B12" s="3080">
        <v>0</v>
      </c>
      <c r="C12" s="3079">
        <v>19</v>
      </c>
      <c r="D12" s="3078">
        <v>31</v>
      </c>
      <c r="E12" s="3079">
        <v>31</v>
      </c>
      <c r="F12" s="3079">
        <v>28</v>
      </c>
      <c r="G12" s="3081">
        <v>31</v>
      </c>
      <c r="H12" s="3076">
        <v>0</v>
      </c>
      <c r="I12" s="3081">
        <v>0</v>
      </c>
      <c r="J12" s="3081">
        <v>0</v>
      </c>
      <c r="K12" s="3081">
        <v>0</v>
      </c>
      <c r="L12" s="3081">
        <v>0</v>
      </c>
      <c r="M12" s="3076">
        <v>0</v>
      </c>
      <c r="N12" s="3081">
        <v>0</v>
      </c>
      <c r="O12" s="3080">
        <v>0</v>
      </c>
      <c r="P12" s="3082">
        <f>ROUND(B12+C12+D12+E12+F12+G12+H12,0)</f>
        <v>140</v>
      </c>
      <c r="Q12" s="3083"/>
      <c r="R12" s="157"/>
      <c r="S12" s="157"/>
      <c r="T12" s="157"/>
      <c r="U12" s="157"/>
      <c r="V12" s="157"/>
      <c r="W12" s="157"/>
      <c r="X12" s="157"/>
      <c r="Y12" s="157"/>
      <c r="Z12" s="157"/>
    </row>
    <row r="13" spans="1:26" ht="15" x14ac:dyDescent="0.25">
      <c r="A13" s="3075" t="s">
        <v>3140</v>
      </c>
      <c r="B13" s="3076">
        <v>0</v>
      </c>
      <c r="C13" s="3077">
        <v>15</v>
      </c>
      <c r="D13" s="3078">
        <v>31</v>
      </c>
      <c r="E13" s="3079">
        <v>31</v>
      </c>
      <c r="F13" s="3079">
        <v>28</v>
      </c>
      <c r="G13" s="3081">
        <v>22</v>
      </c>
      <c r="H13" s="3076">
        <v>0</v>
      </c>
      <c r="I13" s="3081">
        <v>0</v>
      </c>
      <c r="J13" s="3081">
        <v>0</v>
      </c>
      <c r="K13" s="3081">
        <v>0</v>
      </c>
      <c r="L13" s="3081">
        <v>0</v>
      </c>
      <c r="M13" s="3081">
        <v>0</v>
      </c>
      <c r="N13" s="3081">
        <v>0</v>
      </c>
      <c r="O13" s="3080">
        <v>0</v>
      </c>
      <c r="P13" s="3082">
        <f>ROUND(B13+C13+D13+E13+F13+G13+H13,0)</f>
        <v>127</v>
      </c>
      <c r="Q13" s="3083"/>
      <c r="R13" s="157"/>
      <c r="S13" s="157"/>
      <c r="T13" s="157"/>
      <c r="U13" s="157"/>
      <c r="V13" s="157"/>
      <c r="W13" s="157"/>
      <c r="X13" s="157"/>
      <c r="Y13" s="157"/>
      <c r="Z13" s="157"/>
    </row>
    <row r="14" spans="1:26" ht="30" x14ac:dyDescent="0.25">
      <c r="A14" s="3086" t="s">
        <v>612</v>
      </c>
      <c r="B14" s="3087">
        <f>ROUND((B9+B10+B11+B12+B13)/5,2)</f>
        <v>0</v>
      </c>
      <c r="C14" s="3088">
        <f>ROUND((C9+C10+C11+C12+C13)/5,2)</f>
        <v>22.4</v>
      </c>
      <c r="D14" s="3087">
        <f>SUM(D9:D13)/5</f>
        <v>31</v>
      </c>
      <c r="E14" s="3087">
        <f>ROUND((E9+E10+E11+E12+E13)/5,0)</f>
        <v>31</v>
      </c>
      <c r="F14" s="3087">
        <f>ROUND((F9+F10+F11+F12+F13)/5,2)</f>
        <v>28.2</v>
      </c>
      <c r="G14" s="3087">
        <f>ROUND((G9+G10+G11+G12+G13)/5,1)</f>
        <v>25.2</v>
      </c>
      <c r="H14" s="3087">
        <f>(ROUND((H9+H10+H11+H12+H13)/5,2))</f>
        <v>1.4</v>
      </c>
      <c r="I14" s="3080">
        <v>0</v>
      </c>
      <c r="J14" s="3080">
        <v>0</v>
      </c>
      <c r="K14" s="3080">
        <v>0</v>
      </c>
      <c r="L14" s="3080">
        <v>0</v>
      </c>
      <c r="M14" s="3080">
        <f>ROUND((M9+M10+M11+M12+M13)/5,0)</f>
        <v>0</v>
      </c>
      <c r="N14" s="3080">
        <f>ROUND((N9+N10+N11+N12+N13)/5,0)</f>
        <v>0</v>
      </c>
      <c r="O14" s="3080">
        <f>SUM(O9:O13)/5</f>
        <v>0</v>
      </c>
      <c r="P14" s="3942">
        <f>ROUND(SUM(B14:H14),15)</f>
        <v>139.19999999999999</v>
      </c>
      <c r="Q14" s="3944"/>
      <c r="R14" s="157"/>
      <c r="S14" s="157"/>
      <c r="T14" s="157"/>
      <c r="U14" s="157"/>
      <c r="V14" s="157"/>
      <c r="W14" s="157"/>
      <c r="X14" s="157"/>
      <c r="Y14" s="157"/>
      <c r="Z14" s="157"/>
    </row>
    <row r="15" spans="1:26" ht="27" customHeight="1" x14ac:dyDescent="0.25">
      <c r="A15" s="3086" t="s">
        <v>613</v>
      </c>
      <c r="B15" s="3089"/>
      <c r="C15" s="3089"/>
      <c r="D15" s="3089"/>
      <c r="E15" s="3089"/>
      <c r="F15" s="3090">
        <v>0</v>
      </c>
      <c r="G15" s="3090">
        <v>0</v>
      </c>
      <c r="H15" s="3090">
        <v>0</v>
      </c>
      <c r="I15" s="3090">
        <f>ROUND((I9+I10+I11)/5,0)</f>
        <v>0</v>
      </c>
      <c r="J15" s="3090">
        <f>ROUND((J9+J10+J11)/5,0)</f>
        <v>0</v>
      </c>
      <c r="K15" s="3090">
        <f>ROUND((K9+K10+K11)/5,0)</f>
        <v>0</v>
      </c>
      <c r="L15" s="3090">
        <f>ROUND((L9+L10+L11)/5,0)</f>
        <v>0</v>
      </c>
      <c r="M15" s="3089"/>
      <c r="N15" s="3089"/>
      <c r="O15" s="3080"/>
      <c r="P15" s="3943"/>
      <c r="Q15" s="3945"/>
      <c r="R15" s="157"/>
      <c r="S15" s="159"/>
      <c r="T15" s="157"/>
      <c r="U15" s="157"/>
      <c r="V15" s="157"/>
      <c r="W15" s="157"/>
      <c r="X15" s="157"/>
      <c r="Y15" s="157"/>
      <c r="Z15" s="157"/>
    </row>
    <row r="16" spans="1:26" ht="15" x14ac:dyDescent="0.25">
      <c r="A16" s="3080"/>
      <c r="B16" s="3939" t="s">
        <v>614</v>
      </c>
      <c r="C16" s="3939"/>
      <c r="D16" s="3939"/>
      <c r="E16" s="3939"/>
      <c r="F16" s="3939"/>
      <c r="G16" s="3939"/>
      <c r="H16" s="3939"/>
      <c r="I16" s="3939"/>
      <c r="J16" s="3939"/>
      <c r="K16" s="3939"/>
      <c r="L16" s="3939"/>
      <c r="M16" s="3939"/>
      <c r="N16" s="3939"/>
      <c r="O16" s="3939"/>
      <c r="P16" s="3080"/>
      <c r="Q16" s="3080"/>
      <c r="R16" s="157"/>
      <c r="S16" s="157"/>
      <c r="T16" s="157"/>
      <c r="U16" s="157"/>
      <c r="V16" s="157"/>
      <c r="W16" s="157"/>
      <c r="X16" s="157"/>
      <c r="Y16" s="157"/>
      <c r="Z16" s="157"/>
    </row>
    <row r="17" spans="1:28" ht="30" x14ac:dyDescent="0.25">
      <c r="A17" s="3080"/>
      <c r="B17" s="3073">
        <v>10</v>
      </c>
      <c r="C17" s="3073">
        <v>11</v>
      </c>
      <c r="D17" s="3073">
        <v>12</v>
      </c>
      <c r="E17" s="3073">
        <v>1</v>
      </c>
      <c r="F17" s="3073">
        <v>2</v>
      </c>
      <c r="G17" s="3073">
        <v>3</v>
      </c>
      <c r="H17" s="3073">
        <v>4</v>
      </c>
      <c r="I17" s="3073">
        <v>5</v>
      </c>
      <c r="J17" s="3073">
        <v>6</v>
      </c>
      <c r="K17" s="3073">
        <v>7</v>
      </c>
      <c r="L17" s="3073">
        <v>8</v>
      </c>
      <c r="M17" s="3073">
        <v>9</v>
      </c>
      <c r="N17" s="3074">
        <v>11</v>
      </c>
      <c r="O17" s="3074">
        <v>12</v>
      </c>
      <c r="P17" s="3107" t="s">
        <v>608</v>
      </c>
      <c r="Q17" s="3107" t="s">
        <v>609</v>
      </c>
      <c r="R17" s="157"/>
      <c r="S17" s="157"/>
      <c r="T17" s="157"/>
      <c r="U17" s="157"/>
      <c r="V17" s="157"/>
      <c r="W17" s="157"/>
      <c r="X17" s="157"/>
      <c r="Y17" s="157"/>
      <c r="Z17" s="157"/>
    </row>
    <row r="18" spans="1:28" ht="15" x14ac:dyDescent="0.25">
      <c r="A18" s="3075" t="s">
        <v>610</v>
      </c>
      <c r="B18" s="3091">
        <v>0</v>
      </c>
      <c r="C18" s="3092">
        <v>7.6</v>
      </c>
      <c r="D18" s="3092">
        <v>5.6</v>
      </c>
      <c r="E18" s="3077">
        <v>1.4</v>
      </c>
      <c r="F18" s="3092">
        <v>0.7</v>
      </c>
      <c r="G18" s="3077">
        <v>1.3</v>
      </c>
      <c r="H18" s="3077">
        <v>-2.5</v>
      </c>
      <c r="I18" s="3093"/>
      <c r="J18" s="3093"/>
      <c r="K18" s="3093"/>
      <c r="L18" s="3093"/>
      <c r="M18" s="3091"/>
      <c r="N18" s="3093"/>
      <c r="O18" s="3093"/>
      <c r="P18" s="3094">
        <f>ROUND((B9*B18+C9*C18+D9*D18+E9*E18+F9*F18+G9*G18+H9*H18)/P9,3)</f>
        <v>3.1560000000000001</v>
      </c>
      <c r="Q18" s="3090" t="e">
        <f>(B18*B9+C18*C9+D18*D9+E18*E9+F18*F9+G18*G9+H18*H9+I18*I9+J18*J9+K18*K9+L18*L9+M18*M9+N18*N9+O18*O9)/Q9</f>
        <v>#DIV/0!</v>
      </c>
      <c r="R18" s="157"/>
      <c r="S18" s="157"/>
      <c r="T18" s="157"/>
      <c r="U18" s="157"/>
      <c r="V18" s="157"/>
      <c r="W18" s="157"/>
      <c r="X18" s="157"/>
      <c r="Y18" s="157"/>
      <c r="Z18" s="157"/>
    </row>
    <row r="19" spans="1:28" ht="15" x14ac:dyDescent="0.25">
      <c r="A19" s="3084" t="s">
        <v>611</v>
      </c>
      <c r="B19" s="3081">
        <v>0</v>
      </c>
      <c r="C19" s="3092">
        <v>2.1</v>
      </c>
      <c r="D19" s="3077">
        <v>1.4</v>
      </c>
      <c r="E19" s="3092">
        <v>-0.1</v>
      </c>
      <c r="F19" s="3092">
        <v>2.8</v>
      </c>
      <c r="G19" s="3077">
        <v>6.3</v>
      </c>
      <c r="H19" s="3077">
        <v>7.7</v>
      </c>
      <c r="I19" s="3081"/>
      <c r="J19" s="3081"/>
      <c r="K19" s="3081"/>
      <c r="L19" s="3081"/>
      <c r="M19" s="3095"/>
      <c r="N19" s="3081"/>
      <c r="O19" s="3081"/>
      <c r="P19" s="3096">
        <f>ROUND((B10*B19+C10*C19+D10*D19+E10*E19+F10*F19+G10*G19+H10*H19)/P10,3)</f>
        <v>2.5649999999999999</v>
      </c>
      <c r="Q19" s="3090" t="e">
        <f>(B19*B10+C19*C10+D19*D10+E19*E10+F19*F10+G19*G10+H19*H10+I19*I10+J19*J10+K19*K10+L19*L10+M19*M10+N19*N10+O19*O10)/Q10</f>
        <v>#DIV/0!</v>
      </c>
      <c r="R19" s="158"/>
      <c r="S19" s="157"/>
      <c r="T19" s="157"/>
      <c r="U19" s="157"/>
      <c r="V19" s="157"/>
      <c r="W19" s="157"/>
      <c r="X19" s="157"/>
      <c r="Y19" s="157"/>
      <c r="Z19" s="157"/>
    </row>
    <row r="20" spans="1:28" ht="15" x14ac:dyDescent="0.25">
      <c r="A20" s="3084" t="s">
        <v>2311</v>
      </c>
      <c r="B20" s="3097"/>
      <c r="C20" s="3092">
        <v>9.9</v>
      </c>
      <c r="D20" s="3077">
        <v>5.5</v>
      </c>
      <c r="E20" s="3077">
        <v>2.5</v>
      </c>
      <c r="F20" s="3092">
        <v>4.5999999999999996</v>
      </c>
      <c r="G20" s="3077">
        <v>7.7</v>
      </c>
      <c r="H20" s="3077">
        <v>0</v>
      </c>
      <c r="I20" s="3081"/>
      <c r="J20" s="3081"/>
      <c r="K20" s="3081"/>
      <c r="L20" s="3081"/>
      <c r="M20" s="3097"/>
      <c r="N20" s="3081"/>
      <c r="O20" s="3081"/>
      <c r="P20" s="3096">
        <f>ROUND((B11*B20+C11*C20+D11*D20+E11*E20+F11*F20+G11*G20+H11*H20)/P11,3)</f>
        <v>5.3689999999999998</v>
      </c>
      <c r="Q20" s="3090" t="e">
        <f>(B20*B11+C20*C11+D20*D11+E20*E11+F20*F11+G20*G11+H20*H11+I20*I11+J20*J11+K20*K11+L20*L11+M20*M11+N20*N11+O20*O11)/Q11</f>
        <v>#DIV/0!</v>
      </c>
      <c r="R20" s="157"/>
      <c r="S20" s="157"/>
      <c r="T20" s="157"/>
      <c r="U20" s="157"/>
      <c r="V20" s="157"/>
      <c r="W20" s="157"/>
      <c r="X20" s="157"/>
      <c r="Y20" s="157"/>
      <c r="Z20" s="157"/>
    </row>
    <row r="21" spans="1:28" ht="15" x14ac:dyDescent="0.25">
      <c r="A21" s="3075" t="s">
        <v>2312</v>
      </c>
      <c r="B21" s="3081"/>
      <c r="C21" s="3092">
        <v>6.5</v>
      </c>
      <c r="D21" s="3077">
        <v>4.2</v>
      </c>
      <c r="E21" s="3077">
        <v>1.3</v>
      </c>
      <c r="F21" s="3092">
        <v>0.9</v>
      </c>
      <c r="G21" s="3077">
        <v>3.8</v>
      </c>
      <c r="H21" s="3077">
        <v>0</v>
      </c>
      <c r="I21" s="3081"/>
      <c r="J21" s="3081"/>
      <c r="K21" s="3081"/>
      <c r="L21" s="3081"/>
      <c r="M21" s="3097"/>
      <c r="N21" s="3081"/>
      <c r="O21" s="3097"/>
      <c r="P21" s="3096">
        <f>ROUND((B12*B21+C12*C21+D12*D21+E12*E21+F12*F21+G12*G21+H12*H21)/P12,3)</f>
        <v>3.121</v>
      </c>
      <c r="Q21" s="3090" t="e">
        <f>(B21*B12+C21*C12+D21*D12+E21*E12+F21*F12+G21*G12+H21*H12+I21*I12+J21*J12+K21*K12+L21*L12+M21*M12+N21*N12+O21*O12)/Q12</f>
        <v>#DIV/0!</v>
      </c>
      <c r="R21" s="157"/>
      <c r="S21" s="157"/>
      <c r="T21" s="157"/>
      <c r="U21" s="157"/>
      <c r="V21" s="157"/>
      <c r="W21" s="157"/>
      <c r="X21" s="157"/>
      <c r="Y21" s="157"/>
      <c r="Z21" s="157"/>
    </row>
    <row r="22" spans="1:28" ht="15" x14ac:dyDescent="0.25">
      <c r="A22" s="3075" t="s">
        <v>3140</v>
      </c>
      <c r="B22" s="3081"/>
      <c r="C22" s="3092">
        <v>8.6</v>
      </c>
      <c r="D22" s="3077">
        <v>5.4</v>
      </c>
      <c r="E22" s="3077">
        <v>1.1000000000000001</v>
      </c>
      <c r="F22" s="3098">
        <v>4.0999999999999996</v>
      </c>
      <c r="G22" s="3077">
        <v>3.6</v>
      </c>
      <c r="H22" s="3077"/>
      <c r="I22" s="3081"/>
      <c r="J22" s="3081"/>
      <c r="K22" s="3081"/>
      <c r="L22" s="3081"/>
      <c r="M22" s="3097"/>
      <c r="N22" s="3081"/>
      <c r="O22" s="3081"/>
      <c r="P22" s="3096">
        <f>ROUND((B13*B22+C13*C22+D13*D22+E13*E22+F13*F22+G13*G22+H13*H22)/P13,3)</f>
        <v>4.13</v>
      </c>
      <c r="Q22" s="3090" t="e">
        <f>(B22*B13+C22*C13+D22*D13+E22*E13+F22*F13+G22*G13+H22*H13+I22*I13+J22*J13+K22*K13+L22*L13+M22*M13+N22*N13+O22*O13)/Q13</f>
        <v>#DIV/0!</v>
      </c>
      <c r="R22" s="157"/>
      <c r="S22" s="157"/>
      <c r="T22" s="157"/>
      <c r="U22" s="157"/>
      <c r="V22" s="157"/>
      <c r="W22" s="157"/>
      <c r="X22" s="157"/>
      <c r="Y22" s="157"/>
      <c r="Z22" s="157"/>
    </row>
    <row r="23" spans="1:28" ht="42.75" customHeight="1" x14ac:dyDescent="0.25">
      <c r="A23" s="3086" t="s">
        <v>615</v>
      </c>
      <c r="B23" s="3082"/>
      <c r="C23" s="3082">
        <f>(C18*C9+C19*C10+C20*C11+C12*C21+C13*C22)/SUM(C9:C13)</f>
        <v>6.444</v>
      </c>
      <c r="D23" s="3082">
        <f>(D18*D9+D19*D10+D20*D11+D12*D21+D13*D22)/SUM(D9:D13)</f>
        <v>4.42</v>
      </c>
      <c r="E23" s="3087">
        <f>(E18*E9+E19*E10+E20*E11+E12*E21+E13*E22)/SUM(E9:E13)</f>
        <v>1.24</v>
      </c>
      <c r="F23" s="3099">
        <f>(F9*F18+F10*F19+F11*F20+F12*F21+F13*F22)/(F9+F10+F11+F12+F13)</f>
        <v>2.6339999999999999</v>
      </c>
      <c r="G23" s="3082">
        <f>(G9*G18+G10*G19+G11*G20+G12*G21+G13*G22)/(G9+G10+G11+G12+G13)</f>
        <v>4.1059999999999999</v>
      </c>
      <c r="H23" s="3082">
        <f>(H9*H18+H10*H19+H11*H20+H12*H21+H13*H22)/(H9+H10+H11+H12+H13)</f>
        <v>0.41399999999999998</v>
      </c>
      <c r="I23" s="3082"/>
      <c r="J23" s="3082"/>
      <c r="K23" s="3082"/>
      <c r="L23" s="3082"/>
      <c r="M23" s="3082"/>
      <c r="N23" s="3082"/>
      <c r="O23" s="3082"/>
      <c r="P23" s="3950">
        <f>ROUND((B23*B14+C23*C14+D23*D14+E23*E14+F14*F23+G14*G23+H14*H23)/((P9+P10+P11+P12+P13)/5),2)</f>
        <v>3.58</v>
      </c>
      <c r="Q23" s="3952"/>
      <c r="R23" s="157"/>
      <c r="S23" s="158"/>
      <c r="T23" s="158"/>
      <c r="U23" s="157"/>
      <c r="V23" s="157"/>
      <c r="W23" s="157"/>
      <c r="X23" s="157"/>
      <c r="Y23" s="157"/>
      <c r="Z23" s="157"/>
    </row>
    <row r="24" spans="1:28" ht="51" customHeight="1" x14ac:dyDescent="0.25">
      <c r="A24" s="3086" t="s">
        <v>616</v>
      </c>
      <c r="B24" s="3080"/>
      <c r="C24" s="3080"/>
      <c r="D24" s="3080"/>
      <c r="E24" s="3080"/>
      <c r="F24" s="3087"/>
      <c r="G24" s="3087"/>
      <c r="H24" s="3087"/>
      <c r="I24" s="3087"/>
      <c r="J24" s="3087"/>
      <c r="K24" s="3087"/>
      <c r="L24" s="3087"/>
      <c r="M24" s="3080"/>
      <c r="N24" s="3080"/>
      <c r="O24" s="3080"/>
      <c r="P24" s="3951"/>
      <c r="Q24" s="3953"/>
      <c r="R24" s="160"/>
      <c r="S24" s="157"/>
      <c r="T24" s="157"/>
      <c r="U24" s="157"/>
      <c r="V24" s="157"/>
      <c r="W24" s="157"/>
      <c r="X24" s="157"/>
      <c r="Y24" s="157"/>
      <c r="Z24" s="157"/>
    </row>
    <row r="25" spans="1:28" ht="15.75" thickBot="1" x14ac:dyDescent="0.3">
      <c r="A25" s="3954" t="s">
        <v>3261</v>
      </c>
      <c r="B25" s="3955"/>
      <c r="C25" s="3955"/>
      <c r="D25" s="3955"/>
      <c r="E25" s="3955"/>
      <c r="F25" s="3955"/>
      <c r="G25" s="3955"/>
      <c r="H25" s="3955"/>
      <c r="I25" s="3955"/>
      <c r="J25" s="3955"/>
      <c r="K25" s="3955"/>
      <c r="L25" s="3955"/>
      <c r="M25" s="3955"/>
      <c r="N25" s="3955"/>
      <c r="O25" s="3955"/>
      <c r="P25" s="3955"/>
      <c r="Q25" s="3955"/>
      <c r="R25" s="157"/>
      <c r="S25" s="157"/>
      <c r="T25" s="157"/>
      <c r="U25" s="157"/>
      <c r="V25" s="157"/>
      <c r="W25" s="157"/>
      <c r="X25" s="157"/>
      <c r="Y25" s="157"/>
      <c r="Z25" s="157"/>
    </row>
    <row r="26" spans="1:28" ht="42.75" customHeight="1" x14ac:dyDescent="0.25">
      <c r="A26" s="3100" t="s">
        <v>617</v>
      </c>
      <c r="B26" s="3956" t="s">
        <v>618</v>
      </c>
      <c r="C26" s="3956"/>
      <c r="D26" s="3956"/>
      <c r="E26" s="3956"/>
      <c r="F26" s="3956"/>
      <c r="G26" s="3956"/>
      <c r="H26" s="3956"/>
      <c r="I26" s="3956"/>
      <c r="J26" s="3956"/>
      <c r="K26" s="3956"/>
      <c r="L26" s="3956"/>
      <c r="M26" s="3956"/>
      <c r="N26" s="3956"/>
      <c r="O26" s="3956"/>
      <c r="P26" s="3957" t="s">
        <v>607</v>
      </c>
      <c r="Q26" s="3958"/>
      <c r="R26" s="157"/>
      <c r="S26" s="157"/>
      <c r="T26" s="157"/>
      <c r="U26" s="157"/>
      <c r="V26" s="157"/>
      <c r="W26" s="157"/>
      <c r="X26" s="157"/>
      <c r="Y26" s="157"/>
      <c r="Z26" s="157"/>
    </row>
    <row r="27" spans="1:28" ht="30" x14ac:dyDescent="0.25">
      <c r="A27" s="3101" t="s">
        <v>619</v>
      </c>
      <c r="B27" s="3073">
        <v>10</v>
      </c>
      <c r="C27" s="3102">
        <v>11</v>
      </c>
      <c r="D27" s="3073">
        <v>12</v>
      </c>
      <c r="E27" s="3073">
        <v>1</v>
      </c>
      <c r="F27" s="3073">
        <v>2</v>
      </c>
      <c r="G27" s="3073">
        <v>3</v>
      </c>
      <c r="H27" s="3073">
        <v>4</v>
      </c>
      <c r="I27" s="3073">
        <v>5</v>
      </c>
      <c r="J27" s="3073">
        <v>6</v>
      </c>
      <c r="K27" s="3073">
        <v>7</v>
      </c>
      <c r="L27" s="3073">
        <v>8</v>
      </c>
      <c r="M27" s="3073">
        <v>9</v>
      </c>
      <c r="N27" s="3073">
        <v>11</v>
      </c>
      <c r="O27" s="3073">
        <v>12</v>
      </c>
      <c r="P27" s="3107" t="s">
        <v>608</v>
      </c>
      <c r="Q27" s="3108" t="s">
        <v>609</v>
      </c>
      <c r="R27" s="157"/>
      <c r="S27" s="161"/>
      <c r="T27" s="157"/>
      <c r="U27" s="157"/>
      <c r="V27" s="157"/>
      <c r="W27" s="157"/>
      <c r="X27" s="157"/>
      <c r="Y27" s="157"/>
      <c r="Z27" s="157"/>
    </row>
    <row r="28" spans="1:28" ht="15" x14ac:dyDescent="0.25">
      <c r="A28" s="3103" t="s">
        <v>620</v>
      </c>
      <c r="B28" s="3085">
        <v>0</v>
      </c>
      <c r="C28" s="3085">
        <f>ROUND(C14+8,0)</f>
        <v>30</v>
      </c>
      <c r="D28" s="3085">
        <f>D14</f>
        <v>31</v>
      </c>
      <c r="E28" s="3085">
        <f>E14</f>
        <v>31</v>
      </c>
      <c r="F28" s="3085">
        <f>F14-0.2</f>
        <v>28</v>
      </c>
      <c r="G28" s="3085">
        <f>G14+5.8</f>
        <v>31</v>
      </c>
      <c r="H28" s="3085">
        <f>ROUND(H14,0)</f>
        <v>1</v>
      </c>
      <c r="I28" s="3085">
        <f t="shared" ref="I28:O28" si="0">I14</f>
        <v>0</v>
      </c>
      <c r="J28" s="3085">
        <f t="shared" si="0"/>
        <v>0</v>
      </c>
      <c r="K28" s="3083">
        <f t="shared" si="0"/>
        <v>0</v>
      </c>
      <c r="L28" s="3083">
        <f t="shared" si="0"/>
        <v>0</v>
      </c>
      <c r="M28" s="3083">
        <f t="shared" si="0"/>
        <v>0</v>
      </c>
      <c r="N28" s="3083">
        <f t="shared" si="0"/>
        <v>0</v>
      </c>
      <c r="O28" s="3083">
        <f t="shared" si="0"/>
        <v>0</v>
      </c>
      <c r="P28" s="3104">
        <f>ROUND(SUM(B28:H28),2)</f>
        <v>152</v>
      </c>
      <c r="Q28" s="3105">
        <f>SUM(B28:O28)</f>
        <v>152</v>
      </c>
      <c r="R28" s="157"/>
      <c r="S28" s="157"/>
      <c r="T28" s="157"/>
      <c r="U28" s="157"/>
      <c r="V28" s="157"/>
      <c r="W28" s="157"/>
      <c r="X28" s="157"/>
      <c r="Y28" s="157"/>
      <c r="Z28" s="157"/>
      <c r="AA28" s="157"/>
    </row>
    <row r="29" spans="1:28" ht="15" x14ac:dyDescent="0.25">
      <c r="A29" s="3103" t="s">
        <v>614</v>
      </c>
      <c r="B29" s="3082">
        <f>ROUND(B23,5)</f>
        <v>0</v>
      </c>
      <c r="C29" s="3082">
        <f t="shared" ref="C29:O29" si="1">ROUND(C23,5)</f>
        <v>6.444</v>
      </c>
      <c r="D29" s="3082">
        <f t="shared" si="1"/>
        <v>4.42</v>
      </c>
      <c r="E29" s="3082">
        <f t="shared" si="1"/>
        <v>1.24</v>
      </c>
      <c r="F29" s="3082">
        <f>ROUND(F23,5)</f>
        <v>2.6339999999999999</v>
      </c>
      <c r="G29" s="3082">
        <f t="shared" si="1"/>
        <v>4.1059999999999999</v>
      </c>
      <c r="H29" s="3082">
        <f t="shared" si="1"/>
        <v>0.41399999999999998</v>
      </c>
      <c r="I29" s="3082">
        <f>ROUND(I23,5)</f>
        <v>0</v>
      </c>
      <c r="J29" s="3082">
        <f t="shared" si="1"/>
        <v>0</v>
      </c>
      <c r="K29" s="3082">
        <f t="shared" si="1"/>
        <v>0</v>
      </c>
      <c r="L29" s="3082">
        <f t="shared" si="1"/>
        <v>0</v>
      </c>
      <c r="M29" s="3082">
        <f t="shared" si="1"/>
        <v>0</v>
      </c>
      <c r="N29" s="3082">
        <f t="shared" si="1"/>
        <v>0</v>
      </c>
      <c r="O29" s="3082">
        <f t="shared" si="1"/>
        <v>0</v>
      </c>
      <c r="P29" s="3104">
        <f>ROUND((B29*B28+C29*C28+D29*D28+E29*E28+F28*F29+G28*G29+H28*H29)/SUM(B28:H28),2)</f>
        <v>3.75</v>
      </c>
      <c r="Q29" s="3106">
        <f>(B29*B28+C29*C28+D29*D28+E29*E28+M29*M28+N29*N28+O29*O28+F29*F28+G29*G28+H29*H28+I29*I28+J29*J28+K29*K28+L29*L28)/SUM(B28:O28)</f>
        <v>3.75</v>
      </c>
      <c r="R29" s="157"/>
      <c r="S29" s="157"/>
      <c r="T29" s="157"/>
      <c r="U29" s="157"/>
      <c r="V29" s="157"/>
      <c r="W29" s="157"/>
      <c r="X29" s="157"/>
      <c r="Y29" s="157"/>
      <c r="Z29" s="157"/>
      <c r="AA29" s="157"/>
    </row>
    <row r="30" spans="1:28" ht="26.25" customHeight="1" x14ac:dyDescent="0.25">
      <c r="A30" s="3107" t="s">
        <v>621</v>
      </c>
      <c r="B30" s="3085">
        <f>B28</f>
        <v>0</v>
      </c>
      <c r="C30" s="3085">
        <f t="shared" ref="C30:H30" si="2">C28</f>
        <v>30</v>
      </c>
      <c r="D30" s="3085">
        <f t="shared" si="2"/>
        <v>31</v>
      </c>
      <c r="E30" s="3085">
        <f t="shared" si="2"/>
        <v>31</v>
      </c>
      <c r="F30" s="3085">
        <f t="shared" si="2"/>
        <v>28</v>
      </c>
      <c r="G30" s="3085">
        <f t="shared" si="2"/>
        <v>31</v>
      </c>
      <c r="H30" s="3085">
        <f t="shared" si="2"/>
        <v>1</v>
      </c>
      <c r="I30" s="3085">
        <f t="shared" ref="I30:O30" si="3">I14</f>
        <v>0</v>
      </c>
      <c r="J30" s="3083">
        <f t="shared" si="3"/>
        <v>0</v>
      </c>
      <c r="K30" s="3083">
        <f t="shared" si="3"/>
        <v>0</v>
      </c>
      <c r="L30" s="3083">
        <f t="shared" si="3"/>
        <v>0</v>
      </c>
      <c r="M30" s="3083">
        <f t="shared" si="3"/>
        <v>0</v>
      </c>
      <c r="N30" s="3083">
        <f t="shared" si="3"/>
        <v>0</v>
      </c>
      <c r="O30" s="3083">
        <f t="shared" si="3"/>
        <v>0</v>
      </c>
      <c r="P30" s="3950">
        <f>ROUND((B30*B29+C30*C29+D30*D29+E30*E29+F29*F30+G29*G30+H29*H30)/SUM(B30:H30),10)</f>
        <v>3.75</v>
      </c>
      <c r="Q30" s="3959" t="s">
        <v>622</v>
      </c>
      <c r="R30" s="157"/>
      <c r="S30" s="157"/>
      <c r="T30" s="157"/>
      <c r="U30" s="157"/>
      <c r="V30" s="162"/>
      <c r="W30" s="163"/>
      <c r="X30" s="157"/>
      <c r="Y30" s="157"/>
      <c r="Z30" s="162"/>
      <c r="AA30" s="164"/>
    </row>
    <row r="31" spans="1:28" ht="29.25" customHeight="1" x14ac:dyDescent="0.25">
      <c r="A31" s="3107" t="s">
        <v>623</v>
      </c>
      <c r="B31" s="3080"/>
      <c r="C31" s="3080"/>
      <c r="D31" s="3080"/>
      <c r="E31" s="3097"/>
      <c r="F31" s="3097"/>
      <c r="G31" s="3097"/>
      <c r="H31" s="3097"/>
      <c r="I31" s="3097"/>
      <c r="J31" s="3097"/>
      <c r="K31" s="3097"/>
      <c r="L31" s="3097"/>
      <c r="M31" s="3097"/>
      <c r="N31" s="3081"/>
      <c r="O31" s="3080"/>
      <c r="P31" s="3951"/>
      <c r="Q31" s="3960"/>
      <c r="R31" s="2525">
        <f>(P23-P30)/P30</f>
        <v>-4.5333329999999998E-2</v>
      </c>
      <c r="S31" s="157"/>
      <c r="T31" s="157"/>
      <c r="U31" s="157"/>
      <c r="V31" s="3946"/>
      <c r="W31" s="3946"/>
      <c r="X31" s="3946"/>
      <c r="Y31" s="3946"/>
      <c r="Z31" s="3946"/>
      <c r="AA31" s="3946"/>
      <c r="AB31" s="3946"/>
    </row>
    <row r="32" spans="1:28" ht="15" x14ac:dyDescent="0.25">
      <c r="A32" s="3947" t="s">
        <v>624</v>
      </c>
      <c r="B32" s="3948"/>
      <c r="C32" s="3948"/>
      <c r="D32" s="3948"/>
      <c r="E32" s="3948"/>
      <c r="F32" s="3948"/>
      <c r="G32" s="3948"/>
      <c r="H32" s="3948"/>
      <c r="I32" s="3948"/>
      <c r="J32" s="3948"/>
      <c r="K32" s="3948"/>
      <c r="L32" s="3948"/>
      <c r="M32" s="3948"/>
      <c r="N32" s="3948"/>
      <c r="O32" s="3948"/>
      <c r="P32" s="3948"/>
      <c r="Q32" s="3949"/>
      <c r="R32" s="157"/>
      <c r="S32" s="157"/>
      <c r="T32" s="157"/>
      <c r="U32" s="157"/>
      <c r="V32" s="157"/>
      <c r="W32" s="157"/>
      <c r="X32" s="157"/>
      <c r="Y32" s="157"/>
      <c r="Z32" s="157"/>
    </row>
    <row r="33" spans="1:26" ht="15" x14ac:dyDescent="0.25">
      <c r="A33" s="3069"/>
      <c r="B33" s="3069"/>
      <c r="C33" s="3069"/>
      <c r="D33" s="3069"/>
      <c r="E33" s="3069"/>
      <c r="F33" s="3069"/>
      <c r="G33" s="3069"/>
      <c r="H33" s="3069"/>
      <c r="I33" s="3069"/>
      <c r="J33" s="3069" t="s">
        <v>856</v>
      </c>
      <c r="K33" s="3069"/>
      <c r="L33" s="3069"/>
      <c r="M33" s="3069"/>
      <c r="N33" s="3069"/>
      <c r="O33" s="3069"/>
      <c r="P33" s="3069"/>
      <c r="Q33" s="3069"/>
      <c r="R33" s="157"/>
      <c r="S33" s="157"/>
      <c r="T33" s="157"/>
      <c r="U33" s="157"/>
      <c r="V33" s="157"/>
      <c r="W33" s="157"/>
      <c r="X33" s="157"/>
      <c r="Y33" s="157"/>
      <c r="Z33" s="157"/>
    </row>
    <row r="34" spans="1:26" ht="15" x14ac:dyDescent="0.25">
      <c r="A34" s="3069"/>
      <c r="B34" s="3069"/>
      <c r="C34" s="3069" t="s">
        <v>3176</v>
      </c>
      <c r="D34" s="3069"/>
      <c r="E34" s="3069"/>
      <c r="F34" s="3069"/>
      <c r="G34" s="3069"/>
      <c r="H34" s="3069"/>
      <c r="I34" s="3069"/>
      <c r="J34" s="3069"/>
      <c r="K34" s="3069"/>
      <c r="L34" s="3069"/>
      <c r="M34" s="3069" t="str">
        <f>'Вхідні дані'!F18</f>
        <v>Олександр ФЕДОРОВИЧ</v>
      </c>
      <c r="N34" s="3069"/>
      <c r="O34" s="3069"/>
      <c r="P34" s="3069"/>
      <c r="Q34" s="3069"/>
      <c r="R34" s="157"/>
      <c r="S34" s="157"/>
      <c r="T34" s="157"/>
      <c r="U34" s="157"/>
      <c r="V34" s="157"/>
      <c r="W34" s="157"/>
      <c r="X34" s="157"/>
      <c r="Y34" s="157"/>
      <c r="Z34" s="157"/>
    </row>
    <row r="35" spans="1:26" ht="13.5" customHeight="1" x14ac:dyDescent="0.25">
      <c r="A35" s="3069"/>
      <c r="B35" s="3069"/>
      <c r="C35" s="3069"/>
      <c r="D35" s="3069"/>
      <c r="E35" s="3069"/>
      <c r="F35" s="3069"/>
      <c r="G35" s="3069"/>
      <c r="H35" s="3069"/>
      <c r="I35" s="3069"/>
      <c r="J35" s="3069"/>
      <c r="K35" s="3069"/>
      <c r="L35" s="3069"/>
      <c r="M35" s="3069"/>
      <c r="N35" s="3069"/>
      <c r="O35" s="3069"/>
      <c r="P35" s="3069"/>
      <c r="Q35" s="3069"/>
      <c r="R35" s="157"/>
      <c r="S35" s="157"/>
      <c r="T35" s="157"/>
      <c r="U35" s="157"/>
      <c r="V35" s="157"/>
      <c r="W35" s="157"/>
      <c r="X35" s="157"/>
      <c r="Y35" s="157"/>
      <c r="Z35" s="157"/>
    </row>
    <row r="36" spans="1:26" ht="15" x14ac:dyDescent="0.25">
      <c r="A36" s="3069"/>
      <c r="B36" s="3069"/>
      <c r="C36" s="3069"/>
      <c r="D36" s="3069"/>
      <c r="E36" s="3069"/>
      <c r="F36" s="3069"/>
      <c r="G36" s="3069"/>
      <c r="H36" s="3069"/>
      <c r="I36" s="3069"/>
      <c r="J36" s="3069"/>
      <c r="K36" s="3069"/>
      <c r="L36" s="3069"/>
      <c r="M36" s="3069"/>
      <c r="N36" s="3069"/>
      <c r="O36" s="3069"/>
      <c r="P36" s="3069"/>
      <c r="Q36" s="3069"/>
      <c r="R36" s="157"/>
      <c r="S36" s="157"/>
      <c r="T36" s="157"/>
      <c r="U36" s="157"/>
      <c r="V36" s="157"/>
      <c r="W36" s="157"/>
      <c r="X36" s="157"/>
      <c r="Y36" s="157"/>
      <c r="Z36" s="157"/>
    </row>
    <row r="37" spans="1:26" ht="15" x14ac:dyDescent="0.25">
      <c r="A37" s="3109" t="s">
        <v>3407</v>
      </c>
      <c r="B37" s="3069"/>
      <c r="C37" s="3069"/>
      <c r="D37" s="3069"/>
      <c r="E37" s="3069"/>
      <c r="F37" s="3069"/>
      <c r="G37" s="3069"/>
      <c r="H37" s="3069"/>
      <c r="I37" s="3069"/>
      <c r="J37" s="3069"/>
      <c r="K37" s="3069"/>
      <c r="L37" s="3069"/>
      <c r="M37" s="3069"/>
      <c r="N37" s="3069"/>
      <c r="O37" s="3069"/>
      <c r="P37" s="3069"/>
      <c r="Q37" s="3069"/>
      <c r="R37" s="157"/>
      <c r="S37" s="157"/>
      <c r="T37" s="157"/>
      <c r="U37" s="157"/>
      <c r="V37" s="157"/>
      <c r="W37" s="157"/>
      <c r="X37" s="157"/>
      <c r="Y37" s="157"/>
      <c r="Z37" s="157"/>
    </row>
    <row r="38" spans="1:26" ht="14.25" x14ac:dyDescent="0.2">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row>
    <row r="39" spans="1:26" ht="14.25" x14ac:dyDescent="0.2">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row>
    <row r="40" spans="1:26" ht="14.25" x14ac:dyDescent="0.2">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row>
    <row r="41" spans="1:26" ht="14.25" x14ac:dyDescent="0.2">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row>
    <row r="42" spans="1:26" ht="14.25" x14ac:dyDescent="0.2">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row>
    <row r="43" spans="1:26" ht="14.25" x14ac:dyDescent="0.2">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row>
    <row r="44" spans="1:26" ht="14.25" x14ac:dyDescent="0.2">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row>
    <row r="45" spans="1:26" ht="14.25" x14ac:dyDescent="0.2">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row>
  </sheetData>
  <mergeCells count="15">
    <mergeCell ref="V31:AB31"/>
    <mergeCell ref="A32:Q32"/>
    <mergeCell ref="P23:P24"/>
    <mergeCell ref="Q23:Q24"/>
    <mergeCell ref="A25:Q25"/>
    <mergeCell ref="B26:O26"/>
    <mergeCell ref="P26:Q26"/>
    <mergeCell ref="P30:P31"/>
    <mergeCell ref="Q30:Q31"/>
    <mergeCell ref="A6:Q6"/>
    <mergeCell ref="B16:O16"/>
    <mergeCell ref="B7:O7"/>
    <mergeCell ref="P7:Q7"/>
    <mergeCell ref="P14:P15"/>
    <mergeCell ref="Q14:Q15"/>
  </mergeCells>
  <pageMargins left="1.2204724409448819" right="0.35433070866141736" top="0.55118110236220474" bottom="0.39370078740157483" header="0.62992125984251968" footer="0.31496062992125984"/>
  <pageSetup paperSize="9" scale="70" orientation="landscape" r:id="rId1"/>
  <rowBreaks count="1" manualBreakCount="1">
    <brk id="39" max="16383"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V212"/>
  <sheetViews>
    <sheetView zoomScale="93" zoomScaleNormal="93" workbookViewId="0">
      <selection activeCell="B210" sqref="B210:J237"/>
    </sheetView>
  </sheetViews>
  <sheetFormatPr defaultColWidth="9.140625" defaultRowHeight="15.75" x14ac:dyDescent="0.25"/>
  <cols>
    <col min="1" max="1" width="4.7109375" style="491" customWidth="1"/>
    <col min="2" max="2" width="62.42578125" style="491" customWidth="1"/>
    <col min="3" max="3" width="14.42578125" style="491" customWidth="1"/>
    <col min="4" max="5" width="13.85546875" style="491" customWidth="1"/>
    <col min="6" max="6" width="17.140625" style="491" customWidth="1"/>
    <col min="7" max="7" width="20" style="491" customWidth="1"/>
    <col min="8" max="8" width="17.5703125" style="491" customWidth="1"/>
    <col min="9" max="9" width="16.85546875" style="491" customWidth="1"/>
    <col min="10" max="10" width="14" style="491" customWidth="1"/>
    <col min="11" max="11" width="18.7109375" style="3261" customWidth="1"/>
    <col min="12" max="12" width="21.7109375" style="3262" customWidth="1"/>
    <col min="13" max="13" width="33.5703125" style="491" customWidth="1"/>
    <col min="14" max="14" width="13.42578125" style="491" customWidth="1"/>
    <col min="15" max="15" width="20.28515625" style="491" customWidth="1"/>
    <col min="16" max="16" width="13.7109375" style="491" bestFit="1" customWidth="1"/>
    <col min="17" max="17" width="16.42578125" style="491" bestFit="1" customWidth="1"/>
    <col min="18" max="18" width="13.7109375" style="491" customWidth="1"/>
    <col min="19" max="19" width="13.5703125" style="491" bestFit="1" customWidth="1"/>
    <col min="20" max="20" width="9.140625" style="491"/>
    <col min="21" max="22" width="9.5703125" style="491" bestFit="1" customWidth="1"/>
    <col min="23" max="16384" width="9.140625" style="491"/>
  </cols>
  <sheetData>
    <row r="1" spans="2:17" x14ac:dyDescent="0.25">
      <c r="M1" s="3262"/>
      <c r="Q1" s="2109"/>
    </row>
    <row r="2" spans="2:17" ht="18.75" x14ac:dyDescent="0.3">
      <c r="B2" s="3263"/>
      <c r="I2" s="3264" t="s">
        <v>830</v>
      </c>
      <c r="L2" s="491"/>
      <c r="M2" s="2558"/>
      <c r="N2" s="2109"/>
      <c r="O2" s="2109"/>
      <c r="P2" s="2109"/>
    </row>
    <row r="3" spans="2:17" ht="18" customHeight="1" x14ac:dyDescent="0.25">
      <c r="L3" s="2558"/>
    </row>
    <row r="4" spans="2:17" ht="19.5" x14ac:dyDescent="0.3">
      <c r="B4" s="3265" t="s">
        <v>1594</v>
      </c>
      <c r="C4" s="3266"/>
      <c r="D4" s="3569" t="str">
        <f>'Вхідні дані'!$F$5</f>
        <v>ЧФ ДП "АМПУ"</v>
      </c>
      <c r="E4" s="3267"/>
      <c r="F4" s="3267"/>
      <c r="G4" s="3267" t="s">
        <v>460</v>
      </c>
      <c r="H4" s="3267" t="str">
        <f>'Вхідні дані'!$F$6</f>
        <v>2022-2023</v>
      </c>
      <c r="I4" s="3267" t="s">
        <v>647</v>
      </c>
      <c r="J4" s="3268"/>
      <c r="K4" s="3269"/>
      <c r="L4" s="3270"/>
    </row>
    <row r="5" spans="2:17" ht="18.75" x14ac:dyDescent="0.3">
      <c r="B5" s="3268"/>
      <c r="F5" s="3271"/>
      <c r="G5" s="3272"/>
      <c r="H5" s="3272"/>
      <c r="I5" s="3272"/>
      <c r="J5" s="3272"/>
      <c r="K5" s="3269"/>
      <c r="L5" s="3270"/>
    </row>
    <row r="6" spans="2:17" ht="19.5" thickBot="1" x14ac:dyDescent="0.35">
      <c r="B6" s="3273" t="s">
        <v>2114</v>
      </c>
      <c r="F6" s="3274">
        <f>SUM(G6:J6)</f>
        <v>1</v>
      </c>
      <c r="G6" s="3274">
        <f>КОНТРОЛЬ!K43</f>
        <v>0</v>
      </c>
      <c r="H6" s="3274">
        <f>КОНТРОЛЬ!K44</f>
        <v>0</v>
      </c>
      <c r="I6" s="3274">
        <f>КОНТРОЛЬ!K45</f>
        <v>0</v>
      </c>
      <c r="J6" s="3274">
        <f>КОНТРОЛЬ!K46</f>
        <v>1</v>
      </c>
      <c r="K6" s="3275">
        <f>SUM(G6:J6)</f>
        <v>1</v>
      </c>
      <c r="L6" s="3276"/>
    </row>
    <row r="7" spans="2:17" ht="19.5" thickBot="1" x14ac:dyDescent="0.25">
      <c r="B7" s="3964" t="s">
        <v>2360</v>
      </c>
      <c r="C7" s="3277" t="s">
        <v>958</v>
      </c>
      <c r="D7" s="3277" t="s">
        <v>958</v>
      </c>
      <c r="E7" s="3277" t="s">
        <v>968</v>
      </c>
      <c r="F7" s="3277" t="s">
        <v>959</v>
      </c>
      <c r="G7" s="3966" t="s">
        <v>933</v>
      </c>
      <c r="H7" s="3967"/>
      <c r="I7" s="3967"/>
      <c r="J7" s="3968"/>
      <c r="K7" s="3278"/>
      <c r="L7" s="3279"/>
    </row>
    <row r="8" spans="2:17" ht="215.25" thickBot="1" x14ac:dyDescent="0.25">
      <c r="B8" s="3965"/>
      <c r="C8" s="3277">
        <f>'Вхідні дані'!$F$8</f>
        <v>2020</v>
      </c>
      <c r="D8" s="3277">
        <f>'Вхідні дані'!$F$7</f>
        <v>2021</v>
      </c>
      <c r="E8" s="3280" t="str">
        <f>'Вхідні дані'!$F$9</f>
        <v xml:space="preserve">Рішення виконавчого комітету Чорноморської міської ради Одеського району Одеської області № 381 від 27.12.2018 </v>
      </c>
      <c r="F8" s="3277" t="str">
        <f>'Вхідні дані'!$F$6</f>
        <v>2022-2023</v>
      </c>
      <c r="G8" s="3281" t="str">
        <f>'Вхідні дані'!$C$11</f>
        <v>населення</v>
      </c>
      <c r="H8" s="3281" t="str">
        <f>'Вхідні дані'!$D$11</f>
        <v>релігія</v>
      </c>
      <c r="I8" s="3281" t="str">
        <f>'Вхідні дані'!$E$11</f>
        <v>бюджетні установи</v>
      </c>
      <c r="J8" s="3281" t="str">
        <f>'Вхідні дані'!$F$11</f>
        <v>інші споживачі</v>
      </c>
      <c r="K8" s="3278"/>
      <c r="L8" s="3282"/>
    </row>
    <row r="9" spans="2:17" ht="37.5" x14ac:dyDescent="0.3">
      <c r="B9" s="3283" t="s">
        <v>1609</v>
      </c>
      <c r="C9" s="502">
        <f t="shared" ref="C9" si="0">C10+C28+C30</f>
        <v>17540.38</v>
      </c>
      <c r="D9" s="502">
        <f t="shared" ref="D9:J9" si="1">D10+D28+D30</f>
        <v>37690.85</v>
      </c>
      <c r="E9" s="502">
        <f>E10+E28+E30</f>
        <v>35013.699999999997</v>
      </c>
      <c r="F9" s="502">
        <f t="shared" si="1"/>
        <v>67516.94</v>
      </c>
      <c r="G9" s="502">
        <f t="shared" si="1"/>
        <v>0</v>
      </c>
      <c r="H9" s="502">
        <f t="shared" si="1"/>
        <v>0</v>
      </c>
      <c r="I9" s="502">
        <f t="shared" si="1"/>
        <v>0</v>
      </c>
      <c r="J9" s="502">
        <f t="shared" si="1"/>
        <v>67516.94</v>
      </c>
      <c r="K9" s="3284"/>
      <c r="L9" s="3285"/>
      <c r="N9" s="2109"/>
    </row>
    <row r="10" spans="2:17" ht="18.75" x14ac:dyDescent="0.3">
      <c r="B10" s="3286" t="s">
        <v>1585</v>
      </c>
      <c r="C10" s="1516">
        <f t="shared" ref="C10" si="2">SUM(C11:C27)-C12-C13-C14</f>
        <v>8736.7900000000009</v>
      </c>
      <c r="D10" s="1516">
        <f t="shared" ref="D10:J10" si="3">SUM(D11:D27)-D12-D13-D14</f>
        <v>26999.07</v>
      </c>
      <c r="E10" s="1516">
        <f t="shared" si="3"/>
        <v>27675.1</v>
      </c>
      <c r="F10" s="1516">
        <f t="shared" si="3"/>
        <v>55382.93</v>
      </c>
      <c r="G10" s="1516">
        <f t="shared" si="3"/>
        <v>0</v>
      </c>
      <c r="H10" s="1516">
        <f t="shared" si="3"/>
        <v>0</v>
      </c>
      <c r="I10" s="1516">
        <f t="shared" si="3"/>
        <v>0</v>
      </c>
      <c r="J10" s="1516">
        <f t="shared" si="3"/>
        <v>55382.93</v>
      </c>
      <c r="K10" s="3284"/>
      <c r="L10" s="3285"/>
      <c r="N10" s="2109"/>
    </row>
    <row r="11" spans="2:17" ht="37.5" x14ac:dyDescent="0.3">
      <c r="B11" s="3287" t="s">
        <v>1831</v>
      </c>
      <c r="C11" s="508">
        <f>C12+C13+C14</f>
        <v>8247.1</v>
      </c>
      <c r="D11" s="508">
        <f>SUM(D12:D14)</f>
        <v>26361.53</v>
      </c>
      <c r="E11" s="508">
        <f>27076.4</f>
        <v>27076.400000000001</v>
      </c>
      <c r="F11" s="508">
        <f>SUM(G11:J11)</f>
        <v>54631.040000000001</v>
      </c>
      <c r="G11" s="508">
        <f>'Д 8_Паливо'!H48</f>
        <v>0</v>
      </c>
      <c r="H11" s="508">
        <f>'Д 8_Паливо'!H49</f>
        <v>0</v>
      </c>
      <c r="I11" s="508">
        <f>'Д 8_Паливо'!H30</f>
        <v>0</v>
      </c>
      <c r="J11" s="508">
        <f>'Д 8_Паливо'!H31</f>
        <v>54631.040000000001</v>
      </c>
      <c r="K11" s="3288" t="s">
        <v>1611</v>
      </c>
      <c r="L11" s="3289"/>
      <c r="M11" s="491">
        <f>F11*I6</f>
        <v>0</v>
      </c>
      <c r="N11" s="2109"/>
      <c r="O11" s="916"/>
    </row>
    <row r="12" spans="2:17" ht="18.75" x14ac:dyDescent="0.3">
      <c r="B12" s="3290" t="s">
        <v>439</v>
      </c>
      <c r="C12" s="508">
        <f>6575468.66/1000</f>
        <v>6575.47</v>
      </c>
      <c r="D12" s="508">
        <f>24699193.24/1000</f>
        <v>24699.19</v>
      </c>
      <c r="E12" s="508">
        <f>9892.3*2390/1000</f>
        <v>23642.6</v>
      </c>
      <c r="F12" s="508">
        <f>SUM(G12:J12)</f>
        <v>52940.37</v>
      </c>
      <c r="G12" s="508">
        <f>'Д 8_Паливо'!H11</f>
        <v>0</v>
      </c>
      <c r="H12" s="508">
        <f>'Д 8_Паливо'!H12</f>
        <v>0</v>
      </c>
      <c r="I12" s="508">
        <f>'Д 8_Паливо'!H13</f>
        <v>0</v>
      </c>
      <c r="J12" s="508">
        <f>'Д 8_Паливо'!H14</f>
        <v>52940.37</v>
      </c>
      <c r="K12" s="3288" t="s">
        <v>1611</v>
      </c>
      <c r="L12" s="3285"/>
      <c r="N12" s="2109"/>
      <c r="O12" s="916"/>
    </row>
    <row r="13" spans="2:17" ht="18.75" x14ac:dyDescent="0.3">
      <c r="B13" s="3290" t="s">
        <v>1832</v>
      </c>
      <c r="C13" s="508">
        <f>223437.78/1000</f>
        <v>223.44</v>
      </c>
      <c r="D13" s="508">
        <f>215837.5/1000</f>
        <v>215.84</v>
      </c>
      <c r="E13" s="508">
        <f>363.6*2390/1000</f>
        <v>869</v>
      </c>
      <c r="F13" s="508">
        <f>SUM(G13:J13)</f>
        <v>236.45</v>
      </c>
      <c r="G13" s="508">
        <f>'Д 8_Паливо'!H17</f>
        <v>0</v>
      </c>
      <c r="H13" s="508">
        <f>'Д 8_Паливо'!H18</f>
        <v>0</v>
      </c>
      <c r="I13" s="508">
        <f>'Д 8_Паливо'!H19</f>
        <v>0</v>
      </c>
      <c r="J13" s="508">
        <f>'Д 8_Паливо'!H20</f>
        <v>236.45</v>
      </c>
      <c r="K13" s="3288" t="s">
        <v>1611</v>
      </c>
      <c r="L13" s="3285"/>
      <c r="N13" s="2109"/>
      <c r="O13" s="916"/>
    </row>
    <row r="14" spans="2:17" ht="18.75" x14ac:dyDescent="0.3">
      <c r="B14" s="3290" t="s">
        <v>1833</v>
      </c>
      <c r="C14" s="508">
        <f>1448190.78/1000</f>
        <v>1448.19</v>
      </c>
      <c r="D14" s="508">
        <f>1446504.36/1000</f>
        <v>1446.5</v>
      </c>
      <c r="E14" s="508">
        <f>369.1*2390/1000</f>
        <v>882.15</v>
      </c>
      <c r="F14" s="508">
        <f>SUM(G14:J14)</f>
        <v>1454.22</v>
      </c>
      <c r="G14" s="508">
        <f>'Д 8_Паливо'!H23</f>
        <v>0</v>
      </c>
      <c r="H14" s="508">
        <f>'Д 8_Паливо'!H24</f>
        <v>0</v>
      </c>
      <c r="I14" s="508">
        <f>'Д 8_Паливо'!H25</f>
        <v>0</v>
      </c>
      <c r="J14" s="508">
        <f>'Д 8_Паливо'!H26</f>
        <v>1454.22</v>
      </c>
      <c r="K14" s="3288" t="s">
        <v>1611</v>
      </c>
      <c r="L14" s="3291"/>
      <c r="N14" s="2109"/>
      <c r="O14" s="916"/>
    </row>
    <row r="15" spans="2:17" ht="19.5" customHeight="1" x14ac:dyDescent="0.3">
      <c r="B15" s="3287" t="s">
        <v>1930</v>
      </c>
      <c r="C15" s="508">
        <f>331246.65/1000</f>
        <v>331.25</v>
      </c>
      <c r="D15" s="508">
        <f>395668.996/1000</f>
        <v>395.67</v>
      </c>
      <c r="E15" s="508">
        <f>396.4</f>
        <v>396.4</v>
      </c>
      <c r="F15" s="508">
        <f>'Д 9_ЕЕ'!D25</f>
        <v>466.11</v>
      </c>
      <c r="G15" s="508">
        <f t="shared" ref="G15:G20" si="4">F15*$G$6</f>
        <v>0</v>
      </c>
      <c r="H15" s="508">
        <f t="shared" ref="H15:H20" si="5">F15*$H$6</f>
        <v>0</v>
      </c>
      <c r="I15" s="508">
        <f>F15*$I$6</f>
        <v>0</v>
      </c>
      <c r="J15" s="508">
        <f t="shared" ref="J15:J20" si="6">F15*$J$6</f>
        <v>466.11</v>
      </c>
      <c r="K15" s="3288" t="s">
        <v>1612</v>
      </c>
      <c r="L15" s="3285"/>
      <c r="N15" s="2109"/>
      <c r="O15" s="916"/>
    </row>
    <row r="16" spans="2:17" ht="37.5" x14ac:dyDescent="0.3">
      <c r="B16" s="3287" t="s">
        <v>1610</v>
      </c>
      <c r="C16" s="508">
        <f>41591.02/1000</f>
        <v>41.59</v>
      </c>
      <c r="D16" s="508">
        <f>(15526.8+35493.1)/1000</f>
        <v>51.02</v>
      </c>
      <c r="E16" s="508">
        <f>29.5</f>
        <v>29.5</v>
      </c>
      <c r="F16" s="508">
        <f>(([37]Лист1!$F$12*[37]Лист1!$F$22)+[37]Лист1!$G$12*[37]Лист1!$G$22)/1000</f>
        <v>38.79</v>
      </c>
      <c r="G16" s="508">
        <f t="shared" si="4"/>
        <v>0</v>
      </c>
      <c r="H16" s="508">
        <f t="shared" si="5"/>
        <v>0</v>
      </c>
      <c r="I16" s="508">
        <f t="shared" ref="I16:I20" si="7">F16*$I$6</f>
        <v>0</v>
      </c>
      <c r="J16" s="508">
        <f t="shared" si="6"/>
        <v>38.79</v>
      </c>
      <c r="K16" s="3292" t="s">
        <v>1801</v>
      </c>
      <c r="L16" s="3289"/>
      <c r="N16" s="2109"/>
      <c r="O16" s="916"/>
    </row>
    <row r="17" spans="1:17" ht="18.75" x14ac:dyDescent="0.3">
      <c r="B17" s="3287" t="s">
        <v>1613</v>
      </c>
      <c r="C17" s="3293">
        <f>9987.39/1000</f>
        <v>9.99</v>
      </c>
      <c r="D17" s="3293">
        <f>22007.18/1000</f>
        <v>22.01</v>
      </c>
      <c r="E17" s="3293"/>
      <c r="F17" s="508">
        <f>13*1491.25/1000</f>
        <v>19.39</v>
      </c>
      <c r="G17" s="508">
        <f t="shared" si="4"/>
        <v>0</v>
      </c>
      <c r="H17" s="508">
        <f t="shared" si="5"/>
        <v>0</v>
      </c>
      <c r="I17" s="508">
        <f>F17*$I$6</f>
        <v>0</v>
      </c>
      <c r="J17" s="508">
        <f t="shared" si="6"/>
        <v>19.39</v>
      </c>
      <c r="K17" s="3292" t="s">
        <v>1629</v>
      </c>
      <c r="N17" s="2109"/>
      <c r="O17" s="916"/>
      <c r="P17" s="3294"/>
    </row>
    <row r="18" spans="1:17" ht="18.75" x14ac:dyDescent="0.3">
      <c r="B18" s="3287" t="s">
        <v>960</v>
      </c>
      <c r="C18" s="3293">
        <f>(61.95+41357.72)/1000</f>
        <v>41.42</v>
      </c>
      <c r="D18" s="3293">
        <f>5591.72/1000</f>
        <v>5.59</v>
      </c>
      <c r="E18" s="3293"/>
      <c r="F18" s="3295">
        <f>[38]Лист1!$E$4/1000</f>
        <v>57.1</v>
      </c>
      <c r="G18" s="508">
        <f t="shared" si="4"/>
        <v>0</v>
      </c>
      <c r="H18" s="508">
        <f t="shared" si="5"/>
        <v>0</v>
      </c>
      <c r="I18" s="508">
        <f t="shared" si="7"/>
        <v>0</v>
      </c>
      <c r="J18" s="508">
        <f t="shared" si="6"/>
        <v>57.1</v>
      </c>
      <c r="K18" s="3292" t="s">
        <v>940</v>
      </c>
      <c r="N18" s="2109"/>
      <c r="O18" s="916"/>
    </row>
    <row r="19" spans="1:17" ht="18.75" x14ac:dyDescent="0.3">
      <c r="B19" s="3287" t="s">
        <v>961</v>
      </c>
      <c r="C19" s="3293">
        <f>24890.46/1000</f>
        <v>24.89</v>
      </c>
      <c r="D19" s="3293">
        <f>95131.77/1000</f>
        <v>95.13</v>
      </c>
      <c r="E19" s="3293">
        <v>172.8</v>
      </c>
      <c r="F19" s="3295">
        <f>D19*'Вхідні дані'!D77</f>
        <v>101.03</v>
      </c>
      <c r="G19" s="508">
        <f t="shared" si="4"/>
        <v>0</v>
      </c>
      <c r="H19" s="508">
        <f t="shared" si="5"/>
        <v>0</v>
      </c>
      <c r="I19" s="508">
        <f t="shared" si="7"/>
        <v>0</v>
      </c>
      <c r="J19" s="508">
        <f t="shared" si="6"/>
        <v>101.03</v>
      </c>
      <c r="K19" s="3288" t="s">
        <v>991</v>
      </c>
      <c r="L19" s="3289"/>
      <c r="N19" s="2109"/>
      <c r="O19" s="916"/>
    </row>
    <row r="20" spans="1:17" ht="18.75" x14ac:dyDescent="0.3">
      <c r="B20" s="3287" t="s">
        <v>962</v>
      </c>
      <c r="C20" s="3293">
        <f>4587.73/1000</f>
        <v>4.59</v>
      </c>
      <c r="D20" s="3293">
        <f>8134.45/1000</f>
        <v>8.1300000000000008</v>
      </c>
      <c r="E20" s="3293"/>
      <c r="F20" s="3293">
        <f>'[39]матеріали на техніку безпеки'!$AL$9/1000</f>
        <v>9.17</v>
      </c>
      <c r="G20" s="508">
        <f t="shared" si="4"/>
        <v>0</v>
      </c>
      <c r="H20" s="508">
        <f t="shared" si="5"/>
        <v>0</v>
      </c>
      <c r="I20" s="508">
        <f t="shared" si="7"/>
        <v>0</v>
      </c>
      <c r="J20" s="508">
        <f t="shared" si="6"/>
        <v>9.17</v>
      </c>
      <c r="K20" s="3288" t="s">
        <v>1347</v>
      </c>
      <c r="L20" s="3289"/>
      <c r="N20" s="2109"/>
      <c r="O20" s="916"/>
    </row>
    <row r="21" spans="1:17" ht="18" hidden="1" customHeight="1" x14ac:dyDescent="0.3">
      <c r="B21" s="3287" t="s">
        <v>1509</v>
      </c>
      <c r="C21" s="3293"/>
      <c r="D21" s="3293"/>
      <c r="E21" s="3293"/>
      <c r="F21" s="3293">
        <f>D21*'Вхідні дані'!$D$77</f>
        <v>0</v>
      </c>
      <c r="G21" s="508">
        <f t="shared" ref="G21:G72" si="8">F21*$G$6</f>
        <v>0</v>
      </c>
      <c r="H21" s="508">
        <f t="shared" ref="H21:H72" si="9">F21*$H$6</f>
        <v>0</v>
      </c>
      <c r="I21" s="508">
        <f t="shared" ref="I21:I72" si="10">F21*$I$6</f>
        <v>0</v>
      </c>
      <c r="J21" s="508">
        <f t="shared" ref="J21:J72" si="11">F21*$J$6</f>
        <v>0</v>
      </c>
      <c r="K21" s="3288"/>
      <c r="L21" s="3289"/>
      <c r="N21" s="2109"/>
      <c r="O21" s="916"/>
    </row>
    <row r="22" spans="1:17" ht="18.75" x14ac:dyDescent="0.3">
      <c r="B22" s="3287" t="s">
        <v>941</v>
      </c>
      <c r="C22" s="3293">
        <f>13719/1000</f>
        <v>13.72</v>
      </c>
      <c r="D22" s="3293">
        <f>22415.22/1000</f>
        <v>22.42</v>
      </c>
      <c r="E22" s="3293"/>
      <c r="F22" s="3295">
        <f>D22*'Вхідні дані'!D77</f>
        <v>23.81</v>
      </c>
      <c r="G22" s="508">
        <f t="shared" si="8"/>
        <v>0</v>
      </c>
      <c r="H22" s="508">
        <f t="shared" si="9"/>
        <v>0</v>
      </c>
      <c r="I22" s="508">
        <f t="shared" si="10"/>
        <v>0</v>
      </c>
      <c r="J22" s="508">
        <f t="shared" si="11"/>
        <v>23.81</v>
      </c>
      <c r="K22" s="3288" t="s">
        <v>991</v>
      </c>
      <c r="L22" s="3289"/>
      <c r="N22" s="2109"/>
      <c r="O22" s="916"/>
    </row>
    <row r="23" spans="1:17" ht="18.75" x14ac:dyDescent="0.3">
      <c r="B23" s="3287" t="s">
        <v>963</v>
      </c>
      <c r="C23" s="3293">
        <f>(545)/1000</f>
        <v>0.55000000000000004</v>
      </c>
      <c r="D23" s="3293">
        <f>11951.81/1000</f>
        <v>11.95</v>
      </c>
      <c r="E23" s="3293"/>
      <c r="F23" s="3293">
        <f>D23*'Вхідні дані'!$D$77</f>
        <v>12.69</v>
      </c>
      <c r="G23" s="508">
        <f t="shared" si="8"/>
        <v>0</v>
      </c>
      <c r="H23" s="508">
        <f t="shared" si="9"/>
        <v>0</v>
      </c>
      <c r="I23" s="508">
        <f t="shared" si="10"/>
        <v>0</v>
      </c>
      <c r="J23" s="508">
        <f t="shared" si="11"/>
        <v>12.69</v>
      </c>
      <c r="K23" s="3288" t="s">
        <v>991</v>
      </c>
      <c r="L23" s="3289"/>
      <c r="N23" s="2109"/>
      <c r="O23" s="916"/>
    </row>
    <row r="24" spans="1:17" ht="18.75" hidden="1" x14ac:dyDescent="0.3">
      <c r="B24" s="3287" t="s">
        <v>964</v>
      </c>
      <c r="C24" s="3363"/>
      <c r="E24" s="3293"/>
      <c r="F24" s="3293">
        <v>0</v>
      </c>
      <c r="G24" s="508">
        <f t="shared" si="8"/>
        <v>0</v>
      </c>
      <c r="H24" s="508">
        <f t="shared" si="9"/>
        <v>0</v>
      </c>
      <c r="I24" s="508">
        <f t="shared" si="10"/>
        <v>0</v>
      </c>
      <c r="J24" s="508">
        <f t="shared" si="11"/>
        <v>0</v>
      </c>
      <c r="K24" s="3288"/>
      <c r="L24" s="3289"/>
      <c r="N24" s="2109"/>
      <c r="O24" s="916"/>
    </row>
    <row r="25" spans="1:17" ht="18.75" hidden="1" x14ac:dyDescent="0.3">
      <c r="B25" s="3287" t="s">
        <v>965</v>
      </c>
      <c r="C25" s="3293"/>
      <c r="D25" s="3293"/>
      <c r="E25" s="3293"/>
      <c r="F25" s="3293">
        <f>D25*'Вхідні дані'!$D$77</f>
        <v>0</v>
      </c>
      <c r="G25" s="508">
        <f t="shared" si="8"/>
        <v>0</v>
      </c>
      <c r="H25" s="508">
        <f t="shared" si="9"/>
        <v>0</v>
      </c>
      <c r="I25" s="508">
        <f t="shared" si="10"/>
        <v>0</v>
      </c>
      <c r="J25" s="508">
        <f t="shared" si="11"/>
        <v>0</v>
      </c>
      <c r="K25" s="3288"/>
      <c r="L25" s="3289"/>
      <c r="N25" s="2109"/>
      <c r="O25" s="916"/>
    </row>
    <row r="26" spans="1:17" ht="18.75" x14ac:dyDescent="0.3">
      <c r="B26" s="3287" t="s">
        <v>966</v>
      </c>
      <c r="C26" s="3293">
        <f>21692.57/1000</f>
        <v>21.69</v>
      </c>
      <c r="D26" s="3293">
        <f>25619.85/1000</f>
        <v>25.62</v>
      </c>
      <c r="E26" s="3293"/>
      <c r="F26" s="3295">
        <f>'[40]Сантехнічні вироби'!$AF$11/1000*'Вхідні дані'!D77</f>
        <v>23.8</v>
      </c>
      <c r="G26" s="508">
        <f t="shared" si="8"/>
        <v>0</v>
      </c>
      <c r="H26" s="508">
        <f t="shared" si="9"/>
        <v>0</v>
      </c>
      <c r="I26" s="508">
        <f t="shared" si="10"/>
        <v>0</v>
      </c>
      <c r="J26" s="508">
        <f t="shared" si="11"/>
        <v>23.8</v>
      </c>
      <c r="K26" s="3288" t="s">
        <v>1347</v>
      </c>
      <c r="L26" s="3289"/>
      <c r="N26" s="2109"/>
      <c r="O26" s="916"/>
    </row>
    <row r="27" spans="1:17" ht="18.75" hidden="1" x14ac:dyDescent="0.3">
      <c r="B27" s="3287" t="s">
        <v>967</v>
      </c>
      <c r="C27" s="3293"/>
      <c r="D27" s="3293"/>
      <c r="E27" s="3293"/>
      <c r="F27" s="3293">
        <v>0</v>
      </c>
      <c r="G27" s="508">
        <f t="shared" si="8"/>
        <v>0</v>
      </c>
      <c r="H27" s="508">
        <f t="shared" si="9"/>
        <v>0</v>
      </c>
      <c r="I27" s="508">
        <f t="shared" si="10"/>
        <v>0</v>
      </c>
      <c r="J27" s="508">
        <f t="shared" si="11"/>
        <v>0</v>
      </c>
      <c r="K27" s="3288"/>
      <c r="L27" s="3289"/>
      <c r="N27" s="2109"/>
      <c r="O27" s="916"/>
    </row>
    <row r="28" spans="1:17" ht="18.75" x14ac:dyDescent="0.3">
      <c r="B28" s="3296" t="s">
        <v>1587</v>
      </c>
      <c r="C28" s="1516">
        <f>4059088.19/1000</f>
        <v>4059.09</v>
      </c>
      <c r="D28" s="3297">
        <f>4389877.42/1000</f>
        <v>4389.88</v>
      </c>
      <c r="E28" s="1516">
        <v>3975.1</v>
      </c>
      <c r="F28" s="1516">
        <f>ФОП!H9/1000</f>
        <v>5029.51</v>
      </c>
      <c r="G28" s="1516">
        <f t="shared" si="8"/>
        <v>0</v>
      </c>
      <c r="H28" s="1516">
        <f t="shared" si="9"/>
        <v>0</v>
      </c>
      <c r="I28" s="1516">
        <f t="shared" si="10"/>
        <v>0</v>
      </c>
      <c r="J28" s="1516">
        <f t="shared" si="11"/>
        <v>5029.51</v>
      </c>
      <c r="K28" s="3261" t="s">
        <v>1591</v>
      </c>
      <c r="L28" s="3289"/>
      <c r="N28" s="2109"/>
      <c r="O28" s="916"/>
    </row>
    <row r="29" spans="1:17" ht="18.75" hidden="1" x14ac:dyDescent="0.3">
      <c r="B29" s="3290" t="s">
        <v>943</v>
      </c>
      <c r="C29" s="508"/>
      <c r="D29" s="508"/>
      <c r="E29" s="508"/>
      <c r="F29" s="508">
        <f>ФОП!H10/1000</f>
        <v>0</v>
      </c>
      <c r="G29" s="508">
        <f t="shared" si="8"/>
        <v>0</v>
      </c>
      <c r="H29" s="508">
        <f t="shared" si="9"/>
        <v>0</v>
      </c>
      <c r="I29" s="508">
        <f t="shared" si="10"/>
        <v>0</v>
      </c>
      <c r="J29" s="508">
        <f t="shared" si="11"/>
        <v>0</v>
      </c>
      <c r="K29" s="3261" t="s">
        <v>1591</v>
      </c>
      <c r="L29" s="3289"/>
      <c r="M29" s="2109"/>
      <c r="N29" s="2109"/>
      <c r="O29" s="916"/>
    </row>
    <row r="30" spans="1:17" ht="18.75" x14ac:dyDescent="0.3">
      <c r="B30" s="3296" t="s">
        <v>1588</v>
      </c>
      <c r="C30" s="3297">
        <f>SUM(C31:C80)</f>
        <v>4744.5</v>
      </c>
      <c r="D30" s="3297">
        <f>SUM(D31:D80)</f>
        <v>6301.9</v>
      </c>
      <c r="E30" s="3297">
        <f>SUM(E31:E80)</f>
        <v>3363.5</v>
      </c>
      <c r="F30" s="3297">
        <f>SUM(F31:F80)</f>
        <v>7104.5</v>
      </c>
      <c r="G30" s="1516">
        <f t="shared" si="8"/>
        <v>0</v>
      </c>
      <c r="H30" s="1516">
        <f t="shared" si="9"/>
        <v>0</v>
      </c>
      <c r="I30" s="1516">
        <f t="shared" si="10"/>
        <v>0</v>
      </c>
      <c r="J30" s="1516">
        <f t="shared" si="11"/>
        <v>7104.5</v>
      </c>
      <c r="L30" s="3285"/>
      <c r="M30" s="2109"/>
      <c r="N30" s="2109"/>
      <c r="O30" s="916"/>
    </row>
    <row r="31" spans="1:17" ht="37.5" x14ac:dyDescent="0.3">
      <c r="B31" s="3287" t="s">
        <v>539</v>
      </c>
      <c r="C31" s="3293">
        <f>898920.92/1000</f>
        <v>898.92</v>
      </c>
      <c r="D31" s="3293">
        <f>978338.74/1000</f>
        <v>978.34</v>
      </c>
      <c r="E31" s="3293">
        <v>874.5</v>
      </c>
      <c r="F31" s="3293">
        <f>(F28-F29)*'Вхідні дані'!D44+'Вхідні дані'!D45*F29</f>
        <v>1106.49</v>
      </c>
      <c r="G31" s="508">
        <f t="shared" si="8"/>
        <v>0</v>
      </c>
      <c r="H31" s="508">
        <f t="shared" si="9"/>
        <v>0</v>
      </c>
      <c r="I31" s="508">
        <f t="shared" si="10"/>
        <v>0</v>
      </c>
      <c r="J31" s="508">
        <f t="shared" si="11"/>
        <v>1106.49</v>
      </c>
      <c r="K31" s="3261" t="s">
        <v>1591</v>
      </c>
      <c r="L31" s="3289"/>
      <c r="N31" s="2109"/>
      <c r="O31" s="916"/>
    </row>
    <row r="32" spans="1:17" s="3298" customFormat="1" ht="37.5" x14ac:dyDescent="0.3">
      <c r="A32" s="491"/>
      <c r="B32" s="3287" t="s">
        <v>1589</v>
      </c>
      <c r="C32" s="3293">
        <f>1513728.47/1000</f>
        <v>1513.73</v>
      </c>
      <c r="D32" s="3293">
        <f>1500245.66/1000</f>
        <v>1500.25</v>
      </c>
      <c r="E32" s="3293">
        <v>1870.7</v>
      </c>
      <c r="F32" s="3293">
        <f>[41]TDSheet!$AC$10/1000</f>
        <v>2255</v>
      </c>
      <c r="G32" s="508">
        <f t="shared" si="8"/>
        <v>0</v>
      </c>
      <c r="H32" s="508">
        <f t="shared" si="9"/>
        <v>0</v>
      </c>
      <c r="I32" s="508">
        <f t="shared" si="10"/>
        <v>0</v>
      </c>
      <c r="J32" s="508">
        <f t="shared" si="11"/>
        <v>2255</v>
      </c>
      <c r="K32" s="3292" t="s">
        <v>1643</v>
      </c>
      <c r="L32" s="3289"/>
      <c r="N32" s="2109"/>
      <c r="O32" s="916"/>
      <c r="P32" s="3299"/>
      <c r="Q32" s="3299"/>
    </row>
    <row r="33" spans="1:17" s="3298" customFormat="1" ht="56.45" hidden="1" customHeight="1" x14ac:dyDescent="0.3">
      <c r="A33" s="491"/>
      <c r="B33" s="3287" t="s">
        <v>1590</v>
      </c>
      <c r="C33" s="3293">
        <v>0</v>
      </c>
      <c r="D33" s="3293">
        <v>0</v>
      </c>
      <c r="E33" s="3293">
        <v>0</v>
      </c>
      <c r="F33" s="3293">
        <v>0</v>
      </c>
      <c r="G33" s="508">
        <f t="shared" si="8"/>
        <v>0</v>
      </c>
      <c r="H33" s="508">
        <f t="shared" si="9"/>
        <v>0</v>
      </c>
      <c r="I33" s="508">
        <f t="shared" si="10"/>
        <v>0</v>
      </c>
      <c r="J33" s="508">
        <f t="shared" si="11"/>
        <v>0</v>
      </c>
      <c r="K33" s="3288"/>
      <c r="L33" s="3289"/>
      <c r="N33" s="2109"/>
      <c r="O33" s="916"/>
    </row>
    <row r="34" spans="1:17" ht="18" customHeight="1" x14ac:dyDescent="0.3">
      <c r="B34" s="3300" t="s">
        <v>1330</v>
      </c>
      <c r="C34" s="3301">
        <f>73112/1000</f>
        <v>73.11</v>
      </c>
      <c r="D34" s="3301">
        <f>1011106.98/1000</f>
        <v>1011.11</v>
      </c>
      <c r="E34" s="3293">
        <v>618.29999999999995</v>
      </c>
      <c r="F34" s="3293">
        <f>'[42]технічне обслуговування'!$E$13</f>
        <v>740.1</v>
      </c>
      <c r="G34" s="508">
        <f t="shared" si="8"/>
        <v>0</v>
      </c>
      <c r="H34" s="508">
        <f t="shared" si="9"/>
        <v>0</v>
      </c>
      <c r="I34" s="508">
        <f t="shared" si="10"/>
        <v>0</v>
      </c>
      <c r="J34" s="508">
        <f t="shared" si="11"/>
        <v>740.1</v>
      </c>
      <c r="K34" s="3288" t="s">
        <v>1582</v>
      </c>
      <c r="L34" s="3289"/>
      <c r="M34" s="2109"/>
      <c r="N34" s="2109"/>
      <c r="O34" s="916"/>
    </row>
    <row r="35" spans="1:17" ht="18" hidden="1" customHeight="1" x14ac:dyDescent="0.3">
      <c r="B35" s="3300" t="s">
        <v>1479</v>
      </c>
      <c r="C35" s="3301"/>
      <c r="D35" s="3301"/>
      <c r="E35" s="3301"/>
      <c r="F35" s="3301"/>
      <c r="G35" s="508">
        <f t="shared" si="8"/>
        <v>0</v>
      </c>
      <c r="H35" s="508">
        <f t="shared" si="9"/>
        <v>0</v>
      </c>
      <c r="I35" s="508">
        <f t="shared" si="10"/>
        <v>0</v>
      </c>
      <c r="J35" s="508">
        <f t="shared" si="11"/>
        <v>0</v>
      </c>
      <c r="K35" s="3288"/>
      <c r="L35" s="3289"/>
      <c r="M35" s="2109"/>
      <c r="N35" s="2109"/>
      <c r="O35" s="916"/>
    </row>
    <row r="36" spans="1:17" ht="37.5" x14ac:dyDescent="0.3">
      <c r="B36" s="3300" t="s">
        <v>1614</v>
      </c>
      <c r="C36" s="3293"/>
      <c r="D36" s="3293"/>
      <c r="E36" s="3293"/>
      <c r="F36" s="3293">
        <f>(([37]Лист1!$F$18*[37]Лист1!$F$22)+([37]Лист1!$G$18*[37]Лист1!$G$22))/1000</f>
        <v>5.29</v>
      </c>
      <c r="G36" s="508">
        <f t="shared" si="8"/>
        <v>0</v>
      </c>
      <c r="H36" s="508">
        <f t="shared" si="9"/>
        <v>0</v>
      </c>
      <c r="I36" s="508">
        <f t="shared" si="10"/>
        <v>0</v>
      </c>
      <c r="J36" s="508">
        <f t="shared" si="11"/>
        <v>5.29</v>
      </c>
      <c r="K36" s="3292" t="s">
        <v>1801</v>
      </c>
      <c r="L36" s="3289"/>
      <c r="M36" s="2109"/>
      <c r="N36" s="2109"/>
      <c r="O36" s="916"/>
      <c r="P36" s="3299"/>
      <c r="Q36" s="3299"/>
    </row>
    <row r="37" spans="1:17" ht="18.75" hidden="1" x14ac:dyDescent="0.3">
      <c r="B37" s="3300" t="s">
        <v>946</v>
      </c>
      <c r="C37" s="508"/>
      <c r="D37" s="508"/>
      <c r="E37" s="508"/>
      <c r="F37" s="508"/>
      <c r="G37" s="508"/>
      <c r="H37" s="508"/>
      <c r="I37" s="508"/>
      <c r="J37" s="508"/>
      <c r="L37" s="3289"/>
      <c r="M37" s="2109"/>
      <c r="N37" s="2109"/>
      <c r="O37" s="916"/>
    </row>
    <row r="38" spans="1:17" ht="18.75" hidden="1" x14ac:dyDescent="0.3">
      <c r="B38" s="3300" t="s">
        <v>947</v>
      </c>
      <c r="C38" s="508"/>
      <c r="D38" s="508"/>
      <c r="E38" s="508"/>
      <c r="F38" s="508"/>
      <c r="G38" s="508">
        <f t="shared" si="8"/>
        <v>0</v>
      </c>
      <c r="H38" s="508">
        <f t="shared" si="9"/>
        <v>0</v>
      </c>
      <c r="I38" s="508">
        <f t="shared" si="10"/>
        <v>0</v>
      </c>
      <c r="J38" s="508">
        <f t="shared" si="11"/>
        <v>0</v>
      </c>
      <c r="K38" s="3288"/>
      <c r="L38" s="3289"/>
      <c r="M38" s="2109"/>
      <c r="N38" s="2109"/>
      <c r="O38" s="916"/>
    </row>
    <row r="39" spans="1:17" ht="18.75" x14ac:dyDescent="0.3">
      <c r="B39" s="3300" t="s">
        <v>1340</v>
      </c>
      <c r="C39" s="508">
        <f>20635.98/1000</f>
        <v>20.64</v>
      </c>
      <c r="D39" s="508">
        <f>12894.31/1000</f>
        <v>12.89</v>
      </c>
      <c r="E39" s="508"/>
      <c r="F39" s="508">
        <f>[43]Лист1!$F$7</f>
        <v>15.34</v>
      </c>
      <c r="G39" s="508">
        <f t="shared" si="8"/>
        <v>0</v>
      </c>
      <c r="H39" s="508">
        <f t="shared" si="9"/>
        <v>0</v>
      </c>
      <c r="I39" s="508">
        <f t="shared" si="10"/>
        <v>0</v>
      </c>
      <c r="J39" s="508">
        <f t="shared" si="11"/>
        <v>15.34</v>
      </c>
      <c r="K39" s="3288" t="s">
        <v>3178</v>
      </c>
      <c r="L39" s="3289"/>
      <c r="M39" s="2109"/>
      <c r="N39" s="2109"/>
      <c r="O39" s="916"/>
    </row>
    <row r="40" spans="1:17" ht="18.75" x14ac:dyDescent="0.3">
      <c r="B40" s="3300" t="s">
        <v>3201</v>
      </c>
      <c r="C40" s="508">
        <f>2770.35/1000</f>
        <v>2.77</v>
      </c>
      <c r="D40" s="508">
        <f>13773.12/1000</f>
        <v>13.77</v>
      </c>
      <c r="E40" s="508"/>
      <c r="F40" s="508">
        <f>'[42]технічне обслуговування'!$E$12*'Вхідні дані'!D77</f>
        <v>14.66</v>
      </c>
      <c r="G40" s="508">
        <f>F40*$G$6</f>
        <v>0</v>
      </c>
      <c r="H40" s="508">
        <f>F40*$H$6</f>
        <v>0</v>
      </c>
      <c r="I40" s="508">
        <f>F40*$I$6</f>
        <v>0</v>
      </c>
      <c r="J40" s="508">
        <f>F40*$J$6</f>
        <v>14.66</v>
      </c>
      <c r="K40" s="3261" t="s">
        <v>3232</v>
      </c>
      <c r="M40" s="2109"/>
      <c r="N40" s="2109"/>
      <c r="O40" s="916"/>
    </row>
    <row r="41" spans="1:17" ht="18.75" x14ac:dyDescent="0.3">
      <c r="B41" s="3300" t="s">
        <v>1341</v>
      </c>
      <c r="C41" s="508">
        <f>(10289.48+59011.21)/1000</f>
        <v>69.3</v>
      </c>
      <c r="D41" s="508">
        <f>(10289.48+104617.84-700)/1000</f>
        <v>114.21</v>
      </c>
      <c r="E41" s="508"/>
      <c r="F41" s="508">
        <f>'[42]технічне обслуговування'!$E$5</f>
        <v>163</v>
      </c>
      <c r="G41" s="508">
        <f t="shared" si="8"/>
        <v>0</v>
      </c>
      <c r="H41" s="508">
        <f t="shared" si="9"/>
        <v>0</v>
      </c>
      <c r="I41" s="508">
        <f t="shared" si="10"/>
        <v>0</v>
      </c>
      <c r="J41" s="508">
        <f t="shared" si="11"/>
        <v>163</v>
      </c>
      <c r="K41" s="3261" t="s">
        <v>1582</v>
      </c>
      <c r="M41" s="2109"/>
      <c r="N41" s="2109"/>
      <c r="O41" s="916"/>
    </row>
    <row r="42" spans="1:17" ht="18.75" hidden="1" x14ac:dyDescent="0.3">
      <c r="B42" s="3300" t="s">
        <v>1342</v>
      </c>
      <c r="C42" s="508"/>
      <c r="D42" s="508"/>
      <c r="E42" s="508"/>
      <c r="F42" s="508">
        <v>0</v>
      </c>
      <c r="G42" s="508">
        <f t="shared" si="8"/>
        <v>0</v>
      </c>
      <c r="H42" s="508">
        <f t="shared" si="9"/>
        <v>0</v>
      </c>
      <c r="I42" s="508">
        <f t="shared" si="10"/>
        <v>0</v>
      </c>
      <c r="J42" s="508">
        <f t="shared" si="11"/>
        <v>0</v>
      </c>
      <c r="M42" s="2109"/>
      <c r="N42" s="2109"/>
      <c r="O42" s="916"/>
    </row>
    <row r="43" spans="1:17" ht="18.75" x14ac:dyDescent="0.3">
      <c r="B43" s="3574" t="s">
        <v>3177</v>
      </c>
      <c r="C43" s="3338">
        <f>1735.9/1000</f>
        <v>1.74</v>
      </c>
      <c r="D43" s="3338">
        <f>1546.02/1000</f>
        <v>1.55</v>
      </c>
      <c r="E43" s="3338"/>
      <c r="F43" s="3338">
        <f>1080/1000</f>
        <v>1.08</v>
      </c>
      <c r="G43" s="3338">
        <f t="shared" si="8"/>
        <v>0</v>
      </c>
      <c r="H43" s="3338">
        <f t="shared" si="9"/>
        <v>0</v>
      </c>
      <c r="I43" s="3338">
        <f t="shared" si="10"/>
        <v>0</v>
      </c>
      <c r="J43" s="3338">
        <f t="shared" si="11"/>
        <v>1.08</v>
      </c>
      <c r="K43" s="3288" t="s">
        <v>3189</v>
      </c>
      <c r="L43" s="3289"/>
      <c r="M43" s="2109"/>
      <c r="N43" s="2109"/>
      <c r="O43" s="916"/>
    </row>
    <row r="44" spans="1:17" ht="18.75" x14ac:dyDescent="0.3">
      <c r="B44" s="3575" t="s">
        <v>1344</v>
      </c>
      <c r="C44" s="508">
        <f>4215.1/1000</f>
        <v>4.22</v>
      </c>
      <c r="D44" s="508">
        <f>3072.72/1000</f>
        <v>3.07</v>
      </c>
      <c r="E44" s="508"/>
      <c r="F44" s="508">
        <f>[44]TDSheet!$H$34/1000</f>
        <v>5.7</v>
      </c>
      <c r="G44" s="508">
        <f t="shared" si="8"/>
        <v>0</v>
      </c>
      <c r="H44" s="508">
        <f t="shared" si="9"/>
        <v>0</v>
      </c>
      <c r="I44" s="508">
        <f t="shared" si="10"/>
        <v>0</v>
      </c>
      <c r="J44" s="3576">
        <f t="shared" si="11"/>
        <v>5.7</v>
      </c>
      <c r="K44" s="3261" t="s">
        <v>3184</v>
      </c>
      <c r="M44" s="2109"/>
      <c r="N44" s="2109"/>
      <c r="O44" s="916"/>
    </row>
    <row r="45" spans="1:17" ht="37.5" x14ac:dyDescent="0.3">
      <c r="B45" s="3300" t="s">
        <v>3179</v>
      </c>
      <c r="C45" s="3293"/>
      <c r="D45" s="3293">
        <f>1500/1000</f>
        <v>1.5</v>
      </c>
      <c r="E45" s="3293"/>
      <c r="F45" s="3302">
        <f>170.16/1000</f>
        <v>0.17</v>
      </c>
      <c r="G45" s="3303">
        <f t="shared" si="8"/>
        <v>0</v>
      </c>
      <c r="H45" s="3303">
        <f t="shared" si="9"/>
        <v>0</v>
      </c>
      <c r="I45" s="3304">
        <f>F45*$I$6</f>
        <v>0</v>
      </c>
      <c r="J45" s="3303">
        <f t="shared" si="11"/>
        <v>0.17</v>
      </c>
      <c r="K45" s="3305" t="s">
        <v>3180</v>
      </c>
      <c r="L45" s="3289"/>
      <c r="M45" s="3306"/>
      <c r="N45" s="2109"/>
      <c r="O45" s="916"/>
    </row>
    <row r="46" spans="1:17" ht="18.75" x14ac:dyDescent="0.3">
      <c r="B46" s="3300" t="s">
        <v>3181</v>
      </c>
      <c r="C46" s="3293"/>
      <c r="D46" s="3293">
        <f>520/1000</f>
        <v>0.52</v>
      </c>
      <c r="E46" s="3293"/>
      <c r="F46" s="3293">
        <f>[43]Лист1!$F$4</f>
        <v>0.61</v>
      </c>
      <c r="G46" s="508">
        <f>F46*$G$6</f>
        <v>0</v>
      </c>
      <c r="H46" s="508">
        <f>F46*$H$6</f>
        <v>0</v>
      </c>
      <c r="I46" s="508">
        <f>F46*$I$6</f>
        <v>0</v>
      </c>
      <c r="J46" s="508">
        <f>F46*$J$6</f>
        <v>0.61</v>
      </c>
      <c r="K46" s="3261" t="s">
        <v>3182</v>
      </c>
      <c r="M46" s="2109"/>
      <c r="N46" s="2109"/>
      <c r="O46" s="916"/>
    </row>
    <row r="47" spans="1:17" ht="18.75" x14ac:dyDescent="0.3">
      <c r="B47" s="3307" t="s">
        <v>1346</v>
      </c>
      <c r="C47" s="3293">
        <f>7683.19/1000</f>
        <v>7.68</v>
      </c>
      <c r="D47" s="3293">
        <f>10683.73/1000</f>
        <v>10.68</v>
      </c>
      <c r="E47" s="3293"/>
      <c r="F47" s="3293">
        <f>[40]Медогляд!$I$21/1000</f>
        <v>13.84</v>
      </c>
      <c r="G47" s="508">
        <f t="shared" si="8"/>
        <v>0</v>
      </c>
      <c r="H47" s="508">
        <f t="shared" si="9"/>
        <v>0</v>
      </c>
      <c r="I47" s="508">
        <f t="shared" si="10"/>
        <v>0</v>
      </c>
      <c r="J47" s="508">
        <f t="shared" si="11"/>
        <v>13.84</v>
      </c>
      <c r="K47" s="3261" t="s">
        <v>1347</v>
      </c>
      <c r="N47" s="2109"/>
      <c r="O47" s="916"/>
    </row>
    <row r="48" spans="1:17" ht="18.75" customHeight="1" x14ac:dyDescent="0.3">
      <c r="B48" s="3307" t="s">
        <v>3185</v>
      </c>
      <c r="C48" s="3293">
        <f>111156/1000</f>
        <v>111.16</v>
      </c>
      <c r="D48" s="3293">
        <f>141173.73/1000</f>
        <v>141.16999999999999</v>
      </c>
      <c r="E48" s="3293"/>
      <c r="F48" s="3293">
        <f>F28*3.5%</f>
        <v>176.03</v>
      </c>
      <c r="G48" s="508">
        <f t="shared" si="8"/>
        <v>0</v>
      </c>
      <c r="H48" s="508">
        <f t="shared" si="9"/>
        <v>0</v>
      </c>
      <c r="I48" s="508">
        <f t="shared" si="10"/>
        <v>0</v>
      </c>
      <c r="J48" s="508">
        <f t="shared" si="11"/>
        <v>176.03</v>
      </c>
      <c r="N48" s="2109"/>
      <c r="O48" s="916"/>
    </row>
    <row r="49" spans="2:15" ht="18.75" customHeight="1" x14ac:dyDescent="0.3">
      <c r="B49" s="3307" t="s">
        <v>3186</v>
      </c>
      <c r="C49" s="3293">
        <f>(3.48+115107.4)/1000</f>
        <v>115.11</v>
      </c>
      <c r="D49" s="3293">
        <f>129727.9/1000</f>
        <v>129.72999999999999</v>
      </c>
      <c r="E49" s="3293"/>
      <c r="F49" s="3293">
        <f>F28*3%</f>
        <v>150.88999999999999</v>
      </c>
      <c r="G49" s="508">
        <f t="shared" si="8"/>
        <v>0</v>
      </c>
      <c r="H49" s="508">
        <f t="shared" si="9"/>
        <v>0</v>
      </c>
      <c r="I49" s="508">
        <f t="shared" si="10"/>
        <v>0</v>
      </c>
      <c r="J49" s="508">
        <f>F49*$J$6</f>
        <v>150.88999999999999</v>
      </c>
      <c r="N49" s="2109"/>
      <c r="O49" s="916"/>
    </row>
    <row r="50" spans="2:15" ht="37.5" customHeight="1" x14ac:dyDescent="0.3">
      <c r="B50" s="3300" t="s">
        <v>3187</v>
      </c>
      <c r="C50" s="3293">
        <f>(10531.55+23140.74)/1000</f>
        <v>33.67</v>
      </c>
      <c r="D50" s="3293">
        <f>(6038.58+5840.86)/1000</f>
        <v>11.88</v>
      </c>
      <c r="E50" s="3293"/>
      <c r="F50" s="3293">
        <f>(6038.58+5840.86)/1000</f>
        <v>11.88</v>
      </c>
      <c r="G50" s="508">
        <f t="shared" si="8"/>
        <v>0</v>
      </c>
      <c r="H50" s="508">
        <f t="shared" si="9"/>
        <v>0</v>
      </c>
      <c r="I50" s="508">
        <f t="shared" si="10"/>
        <v>0</v>
      </c>
      <c r="J50" s="508">
        <f t="shared" si="11"/>
        <v>11.88</v>
      </c>
      <c r="K50" s="3288"/>
      <c r="L50" s="3289"/>
      <c r="N50" s="2109"/>
      <c r="O50" s="916"/>
    </row>
    <row r="51" spans="2:15" ht="18.75" customHeight="1" x14ac:dyDescent="0.3">
      <c r="B51" s="3307" t="s">
        <v>3188</v>
      </c>
      <c r="C51" s="3293">
        <f>60605/1000</f>
        <v>60.61</v>
      </c>
      <c r="D51" s="3293">
        <f>69091/1000</f>
        <v>69.09</v>
      </c>
      <c r="E51" s="3293"/>
      <c r="F51" s="3293">
        <f>115716/1000</f>
        <v>115.72</v>
      </c>
      <c r="G51" s="508">
        <f t="shared" si="8"/>
        <v>0</v>
      </c>
      <c r="H51" s="508">
        <f t="shared" si="9"/>
        <v>0</v>
      </c>
      <c r="I51" s="508">
        <f t="shared" si="10"/>
        <v>0</v>
      </c>
      <c r="J51" s="508">
        <f t="shared" si="11"/>
        <v>115.72</v>
      </c>
      <c r="K51" s="3261" t="s">
        <v>3190</v>
      </c>
      <c r="L51" s="3289"/>
      <c r="N51" s="2109"/>
      <c r="O51" s="916"/>
    </row>
    <row r="52" spans="2:15" ht="18.75" customHeight="1" x14ac:dyDescent="0.3">
      <c r="B52" s="3307" t="s">
        <v>3193</v>
      </c>
      <c r="D52" s="3293">
        <f>233.5/1000</f>
        <v>0.23</v>
      </c>
      <c r="E52" s="3293"/>
      <c r="F52" s="3293">
        <v>0</v>
      </c>
      <c r="G52" s="508">
        <f>F52*$G$6</f>
        <v>0</v>
      </c>
      <c r="H52" s="508">
        <f>F52*$H$6</f>
        <v>0</v>
      </c>
      <c r="I52" s="508">
        <f>F52*$I$6</f>
        <v>0</v>
      </c>
      <c r="J52" s="508">
        <f>F52*$J$6</f>
        <v>0</v>
      </c>
      <c r="K52" s="3288" t="s">
        <v>3200</v>
      </c>
      <c r="L52" s="3289"/>
      <c r="N52" s="2109"/>
      <c r="O52" s="916"/>
    </row>
    <row r="53" spans="2:15" ht="18.75" customHeight="1" x14ac:dyDescent="0.3">
      <c r="B53" s="3307" t="s">
        <v>3192</v>
      </c>
      <c r="C53" s="3293">
        <f>780/1000</f>
        <v>0.78</v>
      </c>
      <c r="D53" s="3293"/>
      <c r="E53" s="3293"/>
      <c r="F53" s="3293">
        <v>0</v>
      </c>
      <c r="G53" s="508">
        <f>F53*$G$6</f>
        <v>0</v>
      </c>
      <c r="H53" s="508">
        <f>F53*$H$6</f>
        <v>0</v>
      </c>
      <c r="I53" s="508">
        <f>F53*$I$6</f>
        <v>0</v>
      </c>
      <c r="J53" s="508">
        <f>F53*$J$6</f>
        <v>0</v>
      </c>
      <c r="K53" s="3288" t="s">
        <v>3200</v>
      </c>
      <c r="L53" s="3289"/>
      <c r="N53" s="2109"/>
      <c r="O53" s="916"/>
    </row>
    <row r="54" spans="2:15" ht="57" customHeight="1" x14ac:dyDescent="0.3">
      <c r="B54" s="3307" t="s">
        <v>2741</v>
      </c>
      <c r="C54" s="3293">
        <f>7796.4/1000</f>
        <v>7.8</v>
      </c>
      <c r="D54" s="3293"/>
      <c r="E54" s="3293"/>
      <c r="F54" s="3293">
        <f>8000/1000</f>
        <v>8</v>
      </c>
      <c r="G54" s="508">
        <f>F54*$G$6</f>
        <v>0</v>
      </c>
      <c r="H54" s="508">
        <f>F54*$H$6</f>
        <v>0</v>
      </c>
      <c r="I54" s="508">
        <f>F54*$I$6</f>
        <v>0</v>
      </c>
      <c r="J54" s="508">
        <f>F54*$J$6</f>
        <v>8</v>
      </c>
      <c r="K54" s="3288" t="s">
        <v>3191</v>
      </c>
      <c r="L54" s="3289"/>
      <c r="N54" s="2109"/>
      <c r="O54" s="916"/>
    </row>
    <row r="55" spans="2:15" ht="18.75" customHeight="1" x14ac:dyDescent="0.3">
      <c r="B55" s="3307" t="s">
        <v>3194</v>
      </c>
      <c r="C55" s="3293">
        <f>1145446.62/1000</f>
        <v>1145.45</v>
      </c>
      <c r="D55" s="3293">
        <f>1133027.43/1000</f>
        <v>1133.03</v>
      </c>
      <c r="E55" s="3293"/>
      <c r="F55" s="3293">
        <f>D55*'Вхідні дані'!D77</f>
        <v>1203.28</v>
      </c>
      <c r="G55" s="508">
        <f t="shared" si="8"/>
        <v>0</v>
      </c>
      <c r="H55" s="508">
        <f t="shared" si="9"/>
        <v>0</v>
      </c>
      <c r="I55" s="508">
        <f>F55*$I$6</f>
        <v>0</v>
      </c>
      <c r="J55" s="508">
        <f>F55*$J$6</f>
        <v>1203.28</v>
      </c>
      <c r="N55" s="2109"/>
      <c r="O55" s="916"/>
    </row>
    <row r="56" spans="2:15" ht="18.75" customHeight="1" x14ac:dyDescent="0.3">
      <c r="B56" s="3307" t="s">
        <v>3195</v>
      </c>
      <c r="C56" s="3293">
        <f>208189.8/1000</f>
        <v>208.19</v>
      </c>
      <c r="D56" s="3293">
        <f>231282/1000</f>
        <v>231.28</v>
      </c>
      <c r="E56" s="3293"/>
      <c r="F56" s="3293">
        <f>'[42]послуги служби пожежної охорони'!$B$5</f>
        <v>231.28</v>
      </c>
      <c r="G56" s="508">
        <f t="shared" si="8"/>
        <v>0</v>
      </c>
      <c r="H56" s="508">
        <f t="shared" si="9"/>
        <v>0</v>
      </c>
      <c r="I56" s="508">
        <f t="shared" si="10"/>
        <v>0</v>
      </c>
      <c r="J56" s="508">
        <f t="shared" si="11"/>
        <v>231.28</v>
      </c>
      <c r="N56" s="2109"/>
      <c r="O56" s="916"/>
    </row>
    <row r="57" spans="2:15" ht="18.75" customHeight="1" x14ac:dyDescent="0.3">
      <c r="B57" s="3307" t="s">
        <v>3196</v>
      </c>
      <c r="C57" s="3293">
        <f>658057.6/1000*0.2</f>
        <v>131.61000000000001</v>
      </c>
      <c r="D57" s="3293">
        <f>1138959/1000*0.2</f>
        <v>227.79</v>
      </c>
      <c r="E57" s="3293"/>
      <c r="F57" s="3293">
        <f>'Д 9_ЕЕ'!D12*(1.67*'Вхідні дані'!D77)</f>
        <v>252.34</v>
      </c>
      <c r="G57" s="508">
        <f t="shared" si="8"/>
        <v>0</v>
      </c>
      <c r="H57" s="508">
        <f t="shared" si="9"/>
        <v>0</v>
      </c>
      <c r="I57" s="508">
        <f t="shared" si="10"/>
        <v>0</v>
      </c>
      <c r="J57" s="508">
        <f t="shared" si="11"/>
        <v>252.34</v>
      </c>
      <c r="K57" s="3288"/>
      <c r="L57" s="3289"/>
      <c r="N57" s="2109"/>
      <c r="O57" s="916"/>
    </row>
    <row r="58" spans="2:15" ht="16.5" customHeight="1" x14ac:dyDescent="0.3">
      <c r="B58" s="3307" t="s">
        <v>3197</v>
      </c>
      <c r="C58" s="3293">
        <f>(154238.48+353870.4)*0.2/1000</f>
        <v>101.62</v>
      </c>
      <c r="D58" s="3293">
        <f>124986.47/1000</f>
        <v>124.99</v>
      </c>
      <c r="E58" s="3293"/>
      <c r="F58" s="3293">
        <f>((([37]Лист1!$F$21*(36.73*'Вхідні дані'!D77))+([37]Лист1!$G$21*(37.78*'Вхідні дані'!D77))))/1000</f>
        <v>99.89</v>
      </c>
      <c r="G58" s="508">
        <f t="shared" si="8"/>
        <v>0</v>
      </c>
      <c r="H58" s="508">
        <f t="shared" si="9"/>
        <v>0</v>
      </c>
      <c r="I58" s="508">
        <f t="shared" si="10"/>
        <v>0</v>
      </c>
      <c r="J58" s="508">
        <f t="shared" si="11"/>
        <v>99.89</v>
      </c>
      <c r="K58" s="3305"/>
      <c r="L58" s="3289"/>
      <c r="N58" s="2109"/>
      <c r="O58" s="916"/>
    </row>
    <row r="59" spans="2:15" ht="18.75" customHeight="1" x14ac:dyDescent="0.3">
      <c r="B59" s="3307" t="s">
        <v>3198</v>
      </c>
      <c r="C59" s="3293">
        <f>107114.95/1000</f>
        <v>107.11</v>
      </c>
      <c r="D59" s="3293">
        <f>114828.56/1000</f>
        <v>114.83</v>
      </c>
      <c r="E59" s="3293"/>
      <c r="F59" s="3293">
        <f>'[42]послуги служби пожежної охорони'!$B$7</f>
        <v>107.43</v>
      </c>
      <c r="G59" s="508">
        <f t="shared" si="8"/>
        <v>0</v>
      </c>
      <c r="H59" s="508">
        <f t="shared" si="9"/>
        <v>0</v>
      </c>
      <c r="I59" s="508">
        <f t="shared" si="10"/>
        <v>0</v>
      </c>
      <c r="J59" s="508">
        <f t="shared" si="11"/>
        <v>107.43</v>
      </c>
      <c r="L59" s="3308"/>
      <c r="N59" s="2109"/>
      <c r="O59" s="916"/>
    </row>
    <row r="60" spans="2:15" ht="18.75" customHeight="1" x14ac:dyDescent="0.3">
      <c r="B60" s="3307" t="s">
        <v>3199</v>
      </c>
      <c r="C60" s="3293">
        <f>73228.02/1000</f>
        <v>73.23</v>
      </c>
      <c r="D60" s="3293">
        <f>96776.08/1000</f>
        <v>96.78</v>
      </c>
      <c r="E60" s="3293"/>
      <c r="F60" s="3293">
        <f>D60*'Вхідні дані'!D77</f>
        <v>102.78</v>
      </c>
      <c r="G60" s="508">
        <f t="shared" si="8"/>
        <v>0</v>
      </c>
      <c r="H60" s="508">
        <f t="shared" si="9"/>
        <v>0</v>
      </c>
      <c r="I60" s="508">
        <f t="shared" si="10"/>
        <v>0</v>
      </c>
      <c r="J60" s="508">
        <f t="shared" si="11"/>
        <v>102.78</v>
      </c>
      <c r="L60" s="3308"/>
      <c r="N60" s="2109"/>
      <c r="O60" s="916"/>
    </row>
    <row r="61" spans="2:15" ht="18.75" hidden="1" customHeight="1" x14ac:dyDescent="0.3">
      <c r="B61" s="3307" t="s">
        <v>1522</v>
      </c>
      <c r="C61" s="3293"/>
      <c r="D61" s="3293"/>
      <c r="E61" s="3293"/>
      <c r="F61" s="3293"/>
      <c r="G61" s="508">
        <f t="shared" si="8"/>
        <v>0</v>
      </c>
      <c r="H61" s="508">
        <f>F61*$H$6</f>
        <v>0</v>
      </c>
      <c r="I61" s="508">
        <f t="shared" si="10"/>
        <v>0</v>
      </c>
      <c r="J61" s="508">
        <f t="shared" si="11"/>
        <v>0</v>
      </c>
      <c r="L61" s="3289"/>
      <c r="N61" s="2109"/>
      <c r="O61" s="916"/>
    </row>
    <row r="62" spans="2:15" ht="16.5" hidden="1" customHeight="1" x14ac:dyDescent="0.3">
      <c r="B62" s="3307" t="s">
        <v>2275</v>
      </c>
      <c r="C62" s="3293"/>
      <c r="D62" s="3293"/>
      <c r="E62" s="3293"/>
      <c r="F62" s="3293">
        <f>D62</f>
        <v>0</v>
      </c>
      <c r="G62" s="508">
        <f t="shared" si="8"/>
        <v>0</v>
      </c>
      <c r="H62" s="508">
        <f t="shared" si="9"/>
        <v>0</v>
      </c>
      <c r="I62" s="508">
        <f t="shared" si="10"/>
        <v>0</v>
      </c>
      <c r="J62" s="508">
        <f t="shared" si="11"/>
        <v>0</v>
      </c>
      <c r="L62" s="3289"/>
      <c r="N62" s="2109"/>
      <c r="O62" s="916"/>
    </row>
    <row r="63" spans="2:15" ht="16.5" hidden="1" customHeight="1" x14ac:dyDescent="0.3">
      <c r="B63" s="3307" t="s">
        <v>1478</v>
      </c>
      <c r="C63" s="3293"/>
      <c r="D63" s="3293"/>
      <c r="E63" s="3293"/>
      <c r="F63" s="3293"/>
      <c r="G63" s="508">
        <f t="shared" si="8"/>
        <v>0</v>
      </c>
      <c r="H63" s="508">
        <f t="shared" si="9"/>
        <v>0</v>
      </c>
      <c r="I63" s="508">
        <f t="shared" si="10"/>
        <v>0</v>
      </c>
      <c r="J63" s="508">
        <f t="shared" si="11"/>
        <v>0</v>
      </c>
      <c r="L63" s="3289"/>
      <c r="N63" s="2109"/>
      <c r="O63" s="916"/>
    </row>
    <row r="64" spans="2:15" ht="16.5" hidden="1" customHeight="1" x14ac:dyDescent="0.3">
      <c r="B64" s="3307" t="s">
        <v>1519</v>
      </c>
      <c r="C64" s="3293"/>
      <c r="D64" s="3293"/>
      <c r="E64" s="3293"/>
      <c r="F64" s="3293"/>
      <c r="G64" s="508">
        <f t="shared" si="8"/>
        <v>0</v>
      </c>
      <c r="H64" s="508">
        <f t="shared" si="9"/>
        <v>0</v>
      </c>
      <c r="I64" s="508">
        <f t="shared" si="10"/>
        <v>0</v>
      </c>
      <c r="J64" s="508">
        <f t="shared" si="11"/>
        <v>0</v>
      </c>
      <c r="K64" s="3288"/>
      <c r="L64" s="3289"/>
      <c r="N64" s="2109"/>
      <c r="O64" s="916"/>
    </row>
    <row r="65" spans="2:15" ht="16.5" customHeight="1" x14ac:dyDescent="0.3">
      <c r="B65" s="3287" t="s">
        <v>1518</v>
      </c>
      <c r="C65" s="3293">
        <f>1847.64/1000</f>
        <v>1.85</v>
      </c>
      <c r="D65" s="3293"/>
      <c r="E65" s="3293"/>
      <c r="F65" s="3293">
        <v>0</v>
      </c>
      <c r="G65" s="508">
        <f t="shared" si="8"/>
        <v>0</v>
      </c>
      <c r="H65" s="508">
        <f t="shared" si="9"/>
        <v>0</v>
      </c>
      <c r="I65" s="508">
        <f t="shared" si="10"/>
        <v>0</v>
      </c>
      <c r="J65" s="508">
        <f t="shared" si="11"/>
        <v>0</v>
      </c>
      <c r="K65" s="3288"/>
      <c r="L65" s="3289"/>
      <c r="N65" s="2109"/>
      <c r="O65" s="916"/>
    </row>
    <row r="66" spans="2:15" ht="16.5" customHeight="1" x14ac:dyDescent="0.3">
      <c r="B66" s="3287" t="s">
        <v>1331</v>
      </c>
      <c r="C66" s="3301"/>
      <c r="D66" s="3301"/>
      <c r="E66" s="3301"/>
      <c r="F66" s="3301"/>
      <c r="G66" s="508"/>
      <c r="H66" s="508"/>
      <c r="I66" s="508"/>
      <c r="J66" s="508"/>
      <c r="K66" s="3288"/>
      <c r="L66" s="3289"/>
      <c r="N66" s="2109"/>
      <c r="O66" s="916"/>
    </row>
    <row r="67" spans="2:15" ht="18.75" x14ac:dyDescent="0.3">
      <c r="B67" s="3290" t="s">
        <v>1332</v>
      </c>
      <c r="C67" s="3301">
        <f>(4160.2+998.14)/1000</f>
        <v>5.16</v>
      </c>
      <c r="D67" s="3301">
        <f>(3958.9+731.05)/1000</f>
        <v>4.6900000000000004</v>
      </c>
      <c r="E67" s="3301"/>
      <c r="F67" s="3301">
        <f>[45]Лист1!$D$4/1000</f>
        <v>4.2699999999999996</v>
      </c>
      <c r="G67" s="508">
        <f t="shared" si="8"/>
        <v>0</v>
      </c>
      <c r="H67" s="508">
        <f t="shared" si="9"/>
        <v>0</v>
      </c>
      <c r="I67" s="508">
        <f t="shared" si="10"/>
        <v>0</v>
      </c>
      <c r="J67" s="508">
        <f t="shared" si="11"/>
        <v>4.2699999999999996</v>
      </c>
      <c r="K67" s="3261" t="s">
        <v>1512</v>
      </c>
      <c r="L67" s="3289"/>
      <c r="M67" s="2109"/>
      <c r="N67" s="2109"/>
      <c r="O67" s="916"/>
    </row>
    <row r="68" spans="2:15" ht="18.75" x14ac:dyDescent="0.3">
      <c r="B68" s="3290" t="s">
        <v>1333</v>
      </c>
      <c r="C68" s="3301"/>
      <c r="D68" s="3301"/>
      <c r="E68" s="3301"/>
      <c r="F68" s="3301">
        <v>0</v>
      </c>
      <c r="G68" s="508">
        <f t="shared" si="8"/>
        <v>0</v>
      </c>
      <c r="H68" s="508">
        <f t="shared" si="9"/>
        <v>0</v>
      </c>
      <c r="I68" s="508">
        <f t="shared" si="10"/>
        <v>0</v>
      </c>
      <c r="J68" s="508">
        <f t="shared" si="11"/>
        <v>0</v>
      </c>
      <c r="L68" s="3289"/>
      <c r="M68" s="2109"/>
      <c r="N68" s="2109"/>
      <c r="O68" s="916"/>
    </row>
    <row r="69" spans="2:15" ht="37.5" hidden="1" x14ac:dyDescent="0.3">
      <c r="B69" s="3309" t="s">
        <v>1517</v>
      </c>
      <c r="C69" s="3293"/>
      <c r="D69" s="3293"/>
      <c r="E69" s="3293"/>
      <c r="F69" s="3293"/>
      <c r="G69" s="508">
        <f t="shared" si="8"/>
        <v>0</v>
      </c>
      <c r="H69" s="508">
        <f t="shared" si="9"/>
        <v>0</v>
      </c>
      <c r="I69" s="508">
        <f t="shared" si="10"/>
        <v>0</v>
      </c>
      <c r="J69" s="508">
        <f t="shared" si="11"/>
        <v>0</v>
      </c>
      <c r="K69" s="3288"/>
      <c r="L69" s="3289"/>
      <c r="N69" s="2109"/>
      <c r="O69" s="916"/>
    </row>
    <row r="70" spans="2:15" ht="18.75" x14ac:dyDescent="0.3">
      <c r="B70" s="3300" t="s">
        <v>1338</v>
      </c>
      <c r="C70" s="3293">
        <f>(5580+42744.86)/1000</f>
        <v>48.32</v>
      </c>
      <c r="D70" s="3293">
        <f>(47327.34+274051.76)/1000</f>
        <v>321.38</v>
      </c>
      <c r="E70" s="3293"/>
      <c r="F70" s="3293">
        <f>[46]Лист1!$D$6</f>
        <v>319.43</v>
      </c>
      <c r="G70" s="508">
        <f t="shared" si="8"/>
        <v>0</v>
      </c>
      <c r="H70" s="508">
        <f t="shared" si="9"/>
        <v>0</v>
      </c>
      <c r="I70" s="508">
        <f t="shared" si="10"/>
        <v>0</v>
      </c>
      <c r="J70" s="508">
        <f t="shared" si="11"/>
        <v>319.43</v>
      </c>
      <c r="K70" s="3261" t="s">
        <v>3233</v>
      </c>
      <c r="L70" s="3289"/>
      <c r="N70" s="2109"/>
      <c r="O70" s="916"/>
    </row>
    <row r="71" spans="2:15" ht="37.5" hidden="1" x14ac:dyDescent="0.3">
      <c r="B71" s="3300" t="s">
        <v>1630</v>
      </c>
      <c r="C71" s="3293"/>
      <c r="D71" s="3293"/>
      <c r="E71" s="3293"/>
      <c r="F71" s="3293"/>
      <c r="G71" s="508">
        <f>F71*$G$6</f>
        <v>0</v>
      </c>
      <c r="H71" s="508">
        <f>F71*$H$6</f>
        <v>0</v>
      </c>
      <c r="I71" s="508">
        <f>F71*$I$6</f>
        <v>0</v>
      </c>
      <c r="J71" s="508">
        <f>F71*$J$6</f>
        <v>0</v>
      </c>
      <c r="K71" s="3288"/>
      <c r="L71" s="3289"/>
      <c r="N71" s="2109"/>
      <c r="O71" s="916"/>
    </row>
    <row r="72" spans="2:15" ht="18" customHeight="1" x14ac:dyDescent="0.3">
      <c r="B72" s="3287" t="s">
        <v>1516</v>
      </c>
      <c r="C72" s="3293"/>
      <c r="D72" s="3293">
        <f>46436.72/1000</f>
        <v>46.44</v>
      </c>
      <c r="E72" s="3310"/>
      <c r="F72" s="3293">
        <v>0</v>
      </c>
      <c r="G72" s="508">
        <f t="shared" si="8"/>
        <v>0</v>
      </c>
      <c r="H72" s="508">
        <f t="shared" si="9"/>
        <v>0</v>
      </c>
      <c r="I72" s="508">
        <f t="shared" si="10"/>
        <v>0</v>
      </c>
      <c r="J72" s="508">
        <f t="shared" si="11"/>
        <v>0</v>
      </c>
      <c r="K72" s="3288"/>
      <c r="L72" s="3289"/>
      <c r="N72" s="2109"/>
      <c r="O72" s="916"/>
    </row>
    <row r="73" spans="2:15" ht="18" hidden="1" customHeight="1" x14ac:dyDescent="0.3">
      <c r="B73" s="3287" t="s">
        <v>1631</v>
      </c>
      <c r="C73" s="3311"/>
      <c r="D73" s="3311"/>
      <c r="E73" s="3312"/>
      <c r="F73" s="3293"/>
      <c r="G73" s="508">
        <f t="shared" ref="G73:G80" si="12">F73*$G$6</f>
        <v>0</v>
      </c>
      <c r="H73" s="508">
        <f t="shared" ref="H73:H80" si="13">F73*$H$6</f>
        <v>0</v>
      </c>
      <c r="I73" s="508">
        <f t="shared" ref="I73:I80" si="14">F73*$I$6</f>
        <v>0</v>
      </c>
      <c r="J73" s="508">
        <f t="shared" ref="J73:J80" si="15">F73*$J$6</f>
        <v>0</v>
      </c>
      <c r="K73" s="3288"/>
      <c r="N73" s="2109"/>
      <c r="O73" s="916"/>
    </row>
    <row r="74" spans="2:15" ht="18" hidden="1" customHeight="1" x14ac:dyDescent="0.3">
      <c r="B74" s="3300" t="s">
        <v>950</v>
      </c>
      <c r="C74" s="3293"/>
      <c r="D74" s="3293"/>
      <c r="E74" s="3313"/>
      <c r="F74" s="3311"/>
      <c r="G74" s="508">
        <f t="shared" si="12"/>
        <v>0</v>
      </c>
      <c r="H74" s="508">
        <f t="shared" si="13"/>
        <v>0</v>
      </c>
      <c r="I74" s="508">
        <f t="shared" si="14"/>
        <v>0</v>
      </c>
      <c r="J74" s="508">
        <f t="shared" si="15"/>
        <v>0</v>
      </c>
      <c r="L74" s="3289"/>
      <c r="N74" s="2109"/>
      <c r="O74" s="916"/>
    </row>
    <row r="75" spans="2:15" ht="18" hidden="1" customHeight="1" x14ac:dyDescent="0.3">
      <c r="B75" s="3300" t="s">
        <v>1632</v>
      </c>
      <c r="C75" s="3293"/>
      <c r="D75" s="3293"/>
      <c r="E75" s="3313"/>
      <c r="F75" s="3311"/>
      <c r="G75" s="508">
        <f t="shared" si="12"/>
        <v>0</v>
      </c>
      <c r="H75" s="508">
        <f t="shared" si="13"/>
        <v>0</v>
      </c>
      <c r="I75" s="508">
        <f t="shared" si="14"/>
        <v>0</v>
      </c>
      <c r="J75" s="508">
        <f t="shared" si="15"/>
        <v>0</v>
      </c>
      <c r="K75" s="3288"/>
      <c r="L75" s="3289"/>
      <c r="N75" s="2109"/>
      <c r="O75" s="916"/>
    </row>
    <row r="76" spans="2:15" ht="18" customHeight="1" x14ac:dyDescent="0.3">
      <c r="B76" s="3300" t="s">
        <v>1633</v>
      </c>
      <c r="C76" s="3293"/>
      <c r="D76" s="3293">
        <f>700/1000</f>
        <v>0.7</v>
      </c>
      <c r="E76" s="3313"/>
      <c r="F76" s="3311">
        <v>0</v>
      </c>
      <c r="G76" s="508">
        <f t="shared" si="12"/>
        <v>0</v>
      </c>
      <c r="H76" s="508">
        <f t="shared" si="13"/>
        <v>0</v>
      </c>
      <c r="I76" s="508">
        <f t="shared" si="14"/>
        <v>0</v>
      </c>
      <c r="J76" s="508">
        <f t="shared" si="15"/>
        <v>0</v>
      </c>
      <c r="K76" s="3288"/>
      <c r="L76" s="3289"/>
      <c r="N76" s="2109"/>
      <c r="O76" s="916"/>
    </row>
    <row r="77" spans="2:15" ht="37.5" hidden="1" x14ac:dyDescent="0.3">
      <c r="B77" s="3300" t="s">
        <v>1606</v>
      </c>
      <c r="C77" s="3293"/>
      <c r="D77" s="3293"/>
      <c r="E77" s="3313"/>
      <c r="F77" s="3311"/>
      <c r="G77" s="508">
        <f t="shared" si="12"/>
        <v>0</v>
      </c>
      <c r="H77" s="508">
        <f t="shared" si="13"/>
        <v>0</v>
      </c>
      <c r="I77" s="508">
        <f t="shared" si="14"/>
        <v>0</v>
      </c>
      <c r="J77" s="508">
        <f t="shared" si="15"/>
        <v>0</v>
      </c>
      <c r="K77" s="3288"/>
      <c r="L77" s="3289"/>
      <c r="N77" s="2109"/>
      <c r="O77" s="916"/>
    </row>
    <row r="78" spans="2:15" ht="18" hidden="1" customHeight="1" x14ac:dyDescent="0.3">
      <c r="B78" s="3300" t="s">
        <v>1634</v>
      </c>
      <c r="C78" s="3293"/>
      <c r="D78" s="3293"/>
      <c r="E78" s="3313"/>
      <c r="F78" s="3311"/>
      <c r="G78" s="508">
        <f t="shared" si="12"/>
        <v>0</v>
      </c>
      <c r="H78" s="508">
        <f t="shared" si="13"/>
        <v>0</v>
      </c>
      <c r="I78" s="508">
        <f t="shared" si="14"/>
        <v>0</v>
      </c>
      <c r="J78" s="508">
        <f t="shared" si="15"/>
        <v>0</v>
      </c>
      <c r="K78" s="3288"/>
      <c r="L78" s="3314"/>
      <c r="N78" s="2109"/>
      <c r="O78" s="916"/>
    </row>
    <row r="79" spans="2:15" ht="18" hidden="1" customHeight="1" x14ac:dyDescent="0.3">
      <c r="B79" s="3300" t="s">
        <v>1635</v>
      </c>
      <c r="C79" s="3293"/>
      <c r="D79" s="3293"/>
      <c r="E79" s="3313"/>
      <c r="F79" s="3311"/>
      <c r="G79" s="508">
        <f t="shared" si="12"/>
        <v>0</v>
      </c>
      <c r="H79" s="508">
        <f t="shared" si="13"/>
        <v>0</v>
      </c>
      <c r="I79" s="508">
        <f t="shared" si="14"/>
        <v>0</v>
      </c>
      <c r="J79" s="508">
        <f t="shared" si="15"/>
        <v>0</v>
      </c>
      <c r="K79" s="3288"/>
      <c r="L79" s="3289"/>
      <c r="N79" s="2109"/>
      <c r="O79" s="916"/>
    </row>
    <row r="80" spans="2:15" ht="19.5" thickBot="1" x14ac:dyDescent="0.35">
      <c r="B80" s="3315" t="s">
        <v>58</v>
      </c>
      <c r="C80" s="605">
        <f>721/1000</f>
        <v>0.72</v>
      </c>
      <c r="D80" s="3316"/>
      <c r="E80" s="3316"/>
      <c r="F80" s="3316">
        <v>0</v>
      </c>
      <c r="G80" s="605">
        <f t="shared" si="12"/>
        <v>0</v>
      </c>
      <c r="H80" s="605">
        <f t="shared" si="13"/>
        <v>0</v>
      </c>
      <c r="I80" s="605">
        <f t="shared" si="14"/>
        <v>0</v>
      </c>
      <c r="J80" s="605">
        <f t="shared" si="15"/>
        <v>0</v>
      </c>
      <c r="K80" s="3317"/>
      <c r="M80" s="3318"/>
      <c r="N80" s="2109"/>
      <c r="O80" s="916"/>
    </row>
    <row r="81" spans="2:19" s="3319" customFormat="1" x14ac:dyDescent="0.25">
      <c r="B81" s="3320"/>
      <c r="D81" s="3306"/>
      <c r="E81" s="3306"/>
      <c r="K81" s="3321"/>
      <c r="L81" s="3322"/>
    </row>
    <row r="82" spans="2:19" s="3319" customFormat="1" x14ac:dyDescent="0.25">
      <c r="B82" s="3320"/>
      <c r="D82" s="3306"/>
      <c r="E82" s="3306"/>
      <c r="K82" s="3321"/>
      <c r="L82" s="3322"/>
    </row>
    <row r="83" spans="2:19" s="3319" customFormat="1" x14ac:dyDescent="0.25">
      <c r="B83" s="3320"/>
      <c r="D83" s="3306"/>
      <c r="E83" s="3306"/>
      <c r="K83" s="3321"/>
      <c r="L83" s="3322"/>
    </row>
    <row r="84" spans="2:19" s="3319" customFormat="1" x14ac:dyDescent="0.25">
      <c r="B84" s="3320"/>
      <c r="D84" s="3306"/>
      <c r="E84" s="3306"/>
      <c r="K84" s="3321"/>
      <c r="L84" s="3322"/>
    </row>
    <row r="85" spans="2:19" s="3319" customFormat="1" x14ac:dyDescent="0.25">
      <c r="B85" s="3320"/>
      <c r="D85" s="3306"/>
      <c r="E85" s="3306"/>
      <c r="K85" s="3321"/>
      <c r="L85" s="3322"/>
    </row>
    <row r="86" spans="2:19" x14ac:dyDescent="0.25">
      <c r="D86" s="2109"/>
      <c r="E86" s="2109"/>
      <c r="M86" s="3294"/>
    </row>
    <row r="87" spans="2:19" ht="18.75" x14ac:dyDescent="0.3">
      <c r="B87" s="3273" t="str">
        <f>'Вхідні дані'!$B$13</f>
        <v>Начальник Адміністрації морського порту Чорноморськ</v>
      </c>
      <c r="C87" s="3273"/>
      <c r="D87" s="3273"/>
      <c r="E87" s="3273"/>
      <c r="F87" s="3323" t="s">
        <v>1339</v>
      </c>
      <c r="G87" s="3969" t="str">
        <f>'Вхідні дані'!$F$13</f>
        <v>Максим ШИРОКОВ</v>
      </c>
      <c r="H87" s="3969"/>
      <c r="I87" s="3969"/>
    </row>
    <row r="88" spans="2:19" ht="18.75" x14ac:dyDescent="0.3">
      <c r="B88" s="3273"/>
      <c r="C88" s="3273"/>
      <c r="D88" s="3273"/>
      <c r="E88" s="3273"/>
      <c r="F88" s="3323" t="s">
        <v>219</v>
      </c>
      <c r="G88" s="3970" t="s">
        <v>990</v>
      </c>
      <c r="H88" s="3970"/>
      <c r="I88" s="3970"/>
    </row>
    <row r="89" spans="2:19" ht="18.75" x14ac:dyDescent="0.3">
      <c r="B89" s="3273" t="str">
        <f>'Вхідні дані'!$B$15</f>
        <v>Заступник начальника з економіки та фінансів</v>
      </c>
      <c r="C89" s="3273"/>
      <c r="D89" s="3273"/>
      <c r="E89" s="3273"/>
      <c r="F89" s="3323" t="s">
        <v>1339</v>
      </c>
      <c r="G89" s="3969" t="str">
        <f>'Вхідні дані'!$F$15</f>
        <v>Наталія БАРТОШИК</v>
      </c>
      <c r="H89" s="3969"/>
      <c r="I89" s="3969"/>
    </row>
    <row r="90" spans="2:19" ht="24" customHeight="1" x14ac:dyDescent="0.3">
      <c r="B90" s="3324"/>
      <c r="C90" s="3324"/>
      <c r="D90" s="3324"/>
      <c r="E90" s="3324"/>
      <c r="F90" s="3323" t="s">
        <v>219</v>
      </c>
      <c r="G90" s="3970" t="s">
        <v>990</v>
      </c>
      <c r="H90" s="3970"/>
      <c r="I90" s="3970"/>
      <c r="J90" s="3324"/>
      <c r="K90" s="3325"/>
      <c r="L90" s="3326"/>
    </row>
    <row r="92" spans="2:19" x14ac:dyDescent="0.25">
      <c r="F92" s="2109"/>
      <c r="G92" s="2109"/>
      <c r="H92" s="2109"/>
      <c r="I92" s="2109"/>
      <c r="J92" s="2109"/>
    </row>
    <row r="93" spans="2:19" x14ac:dyDescent="0.25">
      <c r="F93" s="2109"/>
      <c r="G93" s="2109"/>
      <c r="H93" s="2109"/>
      <c r="I93" s="2109"/>
      <c r="J93" s="2109"/>
      <c r="N93" s="2109"/>
      <c r="O93" s="2109"/>
      <c r="P93" s="2109"/>
      <c r="Q93" s="2109"/>
    </row>
    <row r="94" spans="2:19" x14ac:dyDescent="0.25">
      <c r="N94" s="2109"/>
      <c r="O94" s="2109"/>
      <c r="P94" s="2109"/>
      <c r="Q94" s="2109"/>
      <c r="R94" s="2109"/>
      <c r="S94" s="2109"/>
    </row>
    <row r="95" spans="2:19" ht="18.75" x14ac:dyDescent="0.3">
      <c r="B95" s="3263"/>
      <c r="C95" s="2109"/>
      <c r="D95" s="2109"/>
      <c r="E95" s="2109"/>
      <c r="F95" s="2109"/>
      <c r="K95" s="3264" t="s">
        <v>830</v>
      </c>
      <c r="L95" s="491"/>
    </row>
    <row r="96" spans="2:19" ht="18" customHeight="1" x14ac:dyDescent="0.2">
      <c r="K96" s="491" t="str">
        <f>'Вхідні дані'!F1</f>
        <v>станом на 01.06.2022 року</v>
      </c>
      <c r="L96" s="491"/>
    </row>
    <row r="97" spans="1:19" ht="18" customHeight="1" x14ac:dyDescent="0.25"/>
    <row r="98" spans="1:19" ht="19.5" x14ac:dyDescent="0.3">
      <c r="B98" s="3268" t="s">
        <v>1593</v>
      </c>
      <c r="C98" s="3327"/>
      <c r="D98" s="3267" t="str">
        <f>'Вхідні дані'!$F$5</f>
        <v>ЧФ ДП "АМПУ"</v>
      </c>
      <c r="E98" s="3267"/>
      <c r="F98" s="3267"/>
      <c r="G98" s="3267" t="s">
        <v>460</v>
      </c>
      <c r="H98" s="3267" t="str">
        <f>'Вхідні дані'!$F$6</f>
        <v>2022-2023</v>
      </c>
      <c r="I98" s="3267" t="s">
        <v>647</v>
      </c>
      <c r="J98" s="3268"/>
      <c r="K98" s="3269"/>
      <c r="L98" s="3270"/>
    </row>
    <row r="99" spans="1:19" ht="18.75" x14ac:dyDescent="0.3">
      <c r="B99" s="3268"/>
      <c r="C99" s="3271"/>
      <c r="D99" s="3328"/>
      <c r="E99" s="3327"/>
      <c r="F99" s="3268"/>
      <c r="G99" s="3271"/>
      <c r="H99" s="3328"/>
      <c r="I99" s="3327"/>
      <c r="J99" s="3268"/>
      <c r="K99" s="3972" t="s">
        <v>2110</v>
      </c>
      <c r="L99" s="3972"/>
      <c r="Q99" s="2109"/>
    </row>
    <row r="100" spans="1:19" ht="19.5" thickBot="1" x14ac:dyDescent="0.35">
      <c r="B100" s="3533" t="s">
        <v>2115</v>
      </c>
      <c r="C100" s="3534"/>
      <c r="D100" s="3534"/>
      <c r="E100" s="3534"/>
      <c r="F100" s="3534">
        <f>G100+H100+I100+J100</f>
        <v>1</v>
      </c>
      <c r="G100" s="3534">
        <f>'Д 7_РП'!$G$76</f>
        <v>0</v>
      </c>
      <c r="H100" s="3534">
        <f>'Д 7_РП'!$G$84</f>
        <v>0</v>
      </c>
      <c r="I100" s="3534">
        <f>'Д 7_РП'!$G$88</f>
        <v>0</v>
      </c>
      <c r="J100" s="3534">
        <f>'Д 7_РП'!$G$92</f>
        <v>1</v>
      </c>
      <c r="K100" s="3535">
        <f>'Д 7_РП'!$E$158</f>
        <v>0.12672</v>
      </c>
      <c r="L100" s="3535">
        <f>'Д 7_РП'!$E$159</f>
        <v>0.87327999999999995</v>
      </c>
      <c r="Q100" s="2109"/>
    </row>
    <row r="101" spans="1:19" ht="19.5" customHeight="1" thickBot="1" x14ac:dyDescent="0.25">
      <c r="A101" s="3531"/>
      <c r="B101" s="3964" t="s">
        <v>2361</v>
      </c>
      <c r="C101" s="3277" t="s">
        <v>958</v>
      </c>
      <c r="D101" s="3277" t="s">
        <v>958</v>
      </c>
      <c r="E101" s="3277" t="s">
        <v>968</v>
      </c>
      <c r="F101" s="3277" t="s">
        <v>959</v>
      </c>
      <c r="G101" s="3966" t="s">
        <v>1936</v>
      </c>
      <c r="H101" s="3967"/>
      <c r="I101" s="3967"/>
      <c r="J101" s="3968"/>
      <c r="K101" s="3973" t="s">
        <v>1937</v>
      </c>
      <c r="L101" s="3974"/>
    </row>
    <row r="102" spans="1:19" ht="87" customHeight="1" thickBot="1" x14ac:dyDescent="0.25">
      <c r="A102" s="3531"/>
      <c r="B102" s="3965"/>
      <c r="C102" s="3277">
        <f>'Вхідні дані'!$F$8</f>
        <v>2020</v>
      </c>
      <c r="D102" s="3277">
        <f>'Вхідні дані'!$F$7</f>
        <v>2021</v>
      </c>
      <c r="E102" s="3280" t="str">
        <f>'Вхідні дані'!$F$9</f>
        <v xml:space="preserve">Рішення виконавчого комітету Чорноморської міської ради Одеського району Одеської області № 381 від 27.12.2018 </v>
      </c>
      <c r="F102" s="3277" t="str">
        <f>'Вхідні дані'!$F$6</f>
        <v>2022-2023</v>
      </c>
      <c r="G102" s="3281" t="str">
        <f>'Вхідні дані'!$C$11</f>
        <v>населення</v>
      </c>
      <c r="H102" s="3281" t="str">
        <f>'Вхідні дані'!$D$11</f>
        <v>релігія</v>
      </c>
      <c r="I102" s="3281" t="str">
        <f>'Вхідні дані'!$E$11</f>
        <v>бюджетні установи</v>
      </c>
      <c r="J102" s="3281" t="str">
        <f>'Вхідні дані'!$F$11</f>
        <v>інші споживачі</v>
      </c>
      <c r="K102" s="3329" t="s">
        <v>1928</v>
      </c>
      <c r="L102" s="3532" t="s">
        <v>1929</v>
      </c>
    </row>
    <row r="103" spans="1:19" ht="37.5" x14ac:dyDescent="0.3">
      <c r="A103" s="3531"/>
      <c r="B103" s="3283" t="s">
        <v>1602</v>
      </c>
      <c r="C103" s="502">
        <f t="shared" ref="C103" si="16">C104+C118+C120</f>
        <v>7481.71</v>
      </c>
      <c r="D103" s="502">
        <f t="shared" ref="D103:J103" si="17">D104+D118+D120</f>
        <v>8279.9599999999991</v>
      </c>
      <c r="E103" s="502">
        <f t="shared" si="17"/>
        <v>5258.1</v>
      </c>
      <c r="F103" s="502">
        <f>F104+F118+F120</f>
        <v>17900.45</v>
      </c>
      <c r="G103" s="502">
        <f t="shared" si="17"/>
        <v>0</v>
      </c>
      <c r="H103" s="502">
        <f t="shared" si="17"/>
        <v>0</v>
      </c>
      <c r="I103" s="502">
        <f t="shared" si="17"/>
        <v>0</v>
      </c>
      <c r="J103" s="502">
        <f t="shared" si="17"/>
        <v>17900.45</v>
      </c>
      <c r="K103" s="3330">
        <f>K104+K118+K120</f>
        <v>2917.8</v>
      </c>
      <c r="L103" s="3330">
        <f>L104+L118+L120</f>
        <v>14982.64</v>
      </c>
      <c r="M103" s="2109"/>
      <c r="P103" s="2109"/>
      <c r="S103" s="2109"/>
    </row>
    <row r="104" spans="1:19" ht="18.75" x14ac:dyDescent="0.3">
      <c r="A104" s="3531"/>
      <c r="B104" s="3286" t="s">
        <v>1585</v>
      </c>
      <c r="C104" s="1516">
        <f>SUM(C105:C116)</f>
        <v>1739.05</v>
      </c>
      <c r="D104" s="1516">
        <f>SUM(D105:D116)</f>
        <v>1926.47</v>
      </c>
      <c r="E104" s="1516">
        <f t="shared" ref="E104:L104" si="18">SUM(E105:E117)</f>
        <v>1953.5</v>
      </c>
      <c r="F104" s="1516">
        <f>SUM(F105:F117)</f>
        <v>11250.29</v>
      </c>
      <c r="G104" s="1516">
        <f t="shared" si="18"/>
        <v>0</v>
      </c>
      <c r="H104" s="1516">
        <f t="shared" si="18"/>
        <v>0</v>
      </c>
      <c r="I104" s="1516">
        <f t="shared" si="18"/>
        <v>0</v>
      </c>
      <c r="J104" s="1516">
        <f t="shared" si="18"/>
        <v>11250.29</v>
      </c>
      <c r="K104" s="1516">
        <f t="shared" si="18"/>
        <v>1778.03</v>
      </c>
      <c r="L104" s="1516">
        <f t="shared" si="18"/>
        <v>9472.25</v>
      </c>
      <c r="P104" s="2109"/>
      <c r="S104" s="2109"/>
    </row>
    <row r="105" spans="1:19" ht="18.75" x14ac:dyDescent="0.3">
      <c r="A105" s="3531"/>
      <c r="B105" s="3287" t="s">
        <v>1930</v>
      </c>
      <c r="C105" s="508">
        <f>(101067.84+1324976.6)/1000</f>
        <v>1426.04</v>
      </c>
      <c r="D105" s="508">
        <f>1582475.984/1000</f>
        <v>1582.48</v>
      </c>
      <c r="E105" s="508">
        <f>1638.2</f>
        <v>1638.2</v>
      </c>
      <c r="F105" s="508">
        <f>'Д 9_ЕЕ'!D64</f>
        <v>1966.15</v>
      </c>
      <c r="G105" s="508">
        <f>F105*$G$100</f>
        <v>0</v>
      </c>
      <c r="H105" s="508">
        <f>F105*$H$100</f>
        <v>0</v>
      </c>
      <c r="I105" s="508">
        <f>F105*$I$100</f>
        <v>0</v>
      </c>
      <c r="J105" s="508">
        <f>F105*$J$100</f>
        <v>1966.15</v>
      </c>
      <c r="K105" s="508">
        <f>'Д 9_ЕЕ'!D65</f>
        <v>290.05</v>
      </c>
      <c r="L105" s="508">
        <f>'Д 9_ЕЕ'!D66</f>
        <v>1676.1</v>
      </c>
      <c r="M105" s="3288"/>
      <c r="N105" s="3288"/>
      <c r="P105" s="2109"/>
      <c r="S105" s="2109"/>
    </row>
    <row r="106" spans="1:19" ht="37.5" x14ac:dyDescent="0.3">
      <c r="A106" s="3531"/>
      <c r="B106" s="3287" t="s">
        <v>1610</v>
      </c>
      <c r="C106" s="508">
        <f>177755.48/1000</f>
        <v>177.76</v>
      </c>
      <c r="D106" s="508">
        <f>(65372.4+145597.6)/1000</f>
        <v>210.97</v>
      </c>
      <c r="E106" s="508">
        <v>118</v>
      </c>
      <c r="F106" s="508">
        <f>(([37]Лист1!$H$12*[37]Лист1!$H$22)+([37]Лист1!$I$11*[37]Лист1!$I$22))/1000</f>
        <v>473.91</v>
      </c>
      <c r="G106" s="508">
        <f t="shared" ref="G106:G164" si="19">F106*$G$100</f>
        <v>0</v>
      </c>
      <c r="H106" s="508">
        <f t="shared" ref="H106:H164" si="20">F106*$H$100</f>
        <v>0</v>
      </c>
      <c r="I106" s="508">
        <f t="shared" ref="I106:I164" si="21">F106*$I$100</f>
        <v>0</v>
      </c>
      <c r="J106" s="508">
        <f t="shared" ref="J106:J164" si="22">F106*$J$100</f>
        <v>473.91</v>
      </c>
      <c r="K106" s="3331">
        <f t="shared" ref="K106:K114" si="23">F106*$K$100</f>
        <v>60.05</v>
      </c>
      <c r="L106" s="508">
        <f t="shared" ref="L106:L114" si="24">F106*$L$100</f>
        <v>413.86</v>
      </c>
      <c r="M106" s="3292"/>
      <c r="N106" s="3288"/>
      <c r="P106" s="2109"/>
      <c r="Q106" s="2109"/>
      <c r="R106" s="2109"/>
      <c r="S106" s="2109"/>
    </row>
    <row r="107" spans="1:19" ht="18.75" x14ac:dyDescent="0.3">
      <c r="A107" s="3531"/>
      <c r="B107" s="3287" t="s">
        <v>960</v>
      </c>
      <c r="C107" s="508">
        <f>(2902.85+967.8)/1000</f>
        <v>3.87</v>
      </c>
      <c r="D107" s="508">
        <f>2154.5/1000</f>
        <v>2.15</v>
      </c>
      <c r="E107" s="508"/>
      <c r="F107" s="508">
        <f>[38]Лист1!$E$5/1000</f>
        <v>2.31</v>
      </c>
      <c r="G107" s="508">
        <f t="shared" si="19"/>
        <v>0</v>
      </c>
      <c r="H107" s="508">
        <f t="shared" si="20"/>
        <v>0</v>
      </c>
      <c r="I107" s="508">
        <f t="shared" si="21"/>
        <v>0</v>
      </c>
      <c r="J107" s="508">
        <f t="shared" si="22"/>
        <v>2.31</v>
      </c>
      <c r="K107" s="3331">
        <f t="shared" si="23"/>
        <v>0.28999999999999998</v>
      </c>
      <c r="L107" s="508">
        <f t="shared" si="24"/>
        <v>2.02</v>
      </c>
      <c r="M107" s="3292"/>
      <c r="N107" s="3288"/>
      <c r="P107" s="2109"/>
      <c r="Q107" s="2109"/>
      <c r="S107" s="2109"/>
    </row>
    <row r="108" spans="1:19" ht="18.75" x14ac:dyDescent="0.3">
      <c r="A108" s="3531"/>
      <c r="B108" s="3287" t="s">
        <v>961</v>
      </c>
      <c r="C108" s="508">
        <f>106653.98/1000</f>
        <v>106.65</v>
      </c>
      <c r="D108" s="508">
        <f>110217.77/1000</f>
        <v>110.22</v>
      </c>
      <c r="E108" s="508">
        <v>197.3</v>
      </c>
      <c r="F108" s="508">
        <f>(D108)*'Вхідні дані'!$D$77</f>
        <v>117.05</v>
      </c>
      <c r="G108" s="3338">
        <f t="shared" si="19"/>
        <v>0</v>
      </c>
      <c r="H108" s="508">
        <f t="shared" si="20"/>
        <v>0</v>
      </c>
      <c r="I108" s="508">
        <f t="shared" si="21"/>
        <v>0</v>
      </c>
      <c r="J108" s="508">
        <f t="shared" si="22"/>
        <v>117.05</v>
      </c>
      <c r="K108" s="3331">
        <f t="shared" si="23"/>
        <v>14.83</v>
      </c>
      <c r="L108" s="508">
        <f t="shared" si="24"/>
        <v>102.22</v>
      </c>
      <c r="M108" s="3288" t="s">
        <v>2586</v>
      </c>
      <c r="N108" s="3288"/>
      <c r="P108" s="2109"/>
      <c r="Q108" s="2109"/>
      <c r="S108" s="2109"/>
    </row>
    <row r="109" spans="1:19" ht="18.75" x14ac:dyDescent="0.3">
      <c r="A109" s="3531"/>
      <c r="B109" s="3287" t="s">
        <v>962</v>
      </c>
      <c r="C109" s="508">
        <f>2665.94/1000</f>
        <v>2.67</v>
      </c>
      <c r="D109" s="508">
        <f>3176.33/1000</f>
        <v>3.18</v>
      </c>
      <c r="E109" s="508"/>
      <c r="F109" s="508">
        <f>K109+L109</f>
        <v>3.77</v>
      </c>
      <c r="G109" s="3537">
        <f t="shared" si="19"/>
        <v>0</v>
      </c>
      <c r="H109" s="3530">
        <f t="shared" si="20"/>
        <v>0</v>
      </c>
      <c r="I109" s="508">
        <f t="shared" si="21"/>
        <v>0</v>
      </c>
      <c r="J109" s="508">
        <f t="shared" si="22"/>
        <v>3.77</v>
      </c>
      <c r="K109" s="3331">
        <f>('[40]матеріали на техніку безпеки'!$AL$11+'[40]матеріали на техніку безпеки'!$AL$12*K100)/1000</f>
        <v>0.92</v>
      </c>
      <c r="L109" s="508">
        <f>'[40]матеріали на техніку безпеки'!$AL$12/1000*L100</f>
        <v>2.85</v>
      </c>
      <c r="M109" s="3288" t="s">
        <v>1347</v>
      </c>
      <c r="N109" s="3288"/>
      <c r="P109" s="2109"/>
      <c r="Q109" s="2109"/>
      <c r="S109" s="2109"/>
    </row>
    <row r="110" spans="1:19" ht="18" hidden="1" customHeight="1" x14ac:dyDescent="0.3">
      <c r="A110" s="3531"/>
      <c r="B110" s="3287" t="s">
        <v>1509</v>
      </c>
      <c r="C110" s="508"/>
      <c r="D110" s="508"/>
      <c r="E110" s="508"/>
      <c r="F110" s="508">
        <f>(D110)*'Вхідні дані'!$D$77</f>
        <v>0</v>
      </c>
      <c r="G110" s="3536">
        <f t="shared" si="19"/>
        <v>0</v>
      </c>
      <c r="H110" s="508">
        <f t="shared" si="20"/>
        <v>0</v>
      </c>
      <c r="I110" s="508">
        <f t="shared" si="21"/>
        <v>0</v>
      </c>
      <c r="J110" s="508">
        <f t="shared" si="22"/>
        <v>0</v>
      </c>
      <c r="K110" s="3331">
        <f t="shared" si="23"/>
        <v>0</v>
      </c>
      <c r="L110" s="508">
        <f t="shared" si="24"/>
        <v>0</v>
      </c>
      <c r="M110" s="3288"/>
      <c r="N110" s="3288"/>
      <c r="P110" s="2109"/>
      <c r="Q110" s="2109"/>
      <c r="S110" s="2109"/>
    </row>
    <row r="111" spans="1:19" ht="18.75" x14ac:dyDescent="0.3">
      <c r="A111" s="3531"/>
      <c r="B111" s="3287" t="s">
        <v>941</v>
      </c>
      <c r="C111" s="508">
        <f>963.5/1000</f>
        <v>0.96</v>
      </c>
      <c r="D111" s="508">
        <f>547.85/1000</f>
        <v>0.55000000000000004</v>
      </c>
      <c r="E111" s="508"/>
      <c r="F111" s="508">
        <f>D111*'Вхідні дані'!D77</f>
        <v>0.57999999999999996</v>
      </c>
      <c r="G111" s="3530">
        <f t="shared" si="19"/>
        <v>0</v>
      </c>
      <c r="H111" s="508">
        <f t="shared" si="20"/>
        <v>0</v>
      </c>
      <c r="I111" s="508">
        <f t="shared" si="21"/>
        <v>0</v>
      </c>
      <c r="J111" s="508">
        <f t="shared" si="22"/>
        <v>0.57999999999999996</v>
      </c>
      <c r="K111" s="3331">
        <f t="shared" si="23"/>
        <v>7.0000000000000007E-2</v>
      </c>
      <c r="L111" s="508">
        <f t="shared" si="24"/>
        <v>0.51</v>
      </c>
      <c r="M111" s="3288" t="s">
        <v>2586</v>
      </c>
      <c r="N111" s="3288"/>
      <c r="P111" s="2109"/>
      <c r="Q111" s="2109"/>
      <c r="S111" s="2109"/>
    </row>
    <row r="112" spans="1:19" ht="18.75" x14ac:dyDescent="0.3">
      <c r="A112" s="3531"/>
      <c r="B112" s="3287" t="s">
        <v>963</v>
      </c>
      <c r="C112" s="508">
        <f>1235.9/1000</f>
        <v>1.24</v>
      </c>
      <c r="D112" s="508">
        <f>2988.53/1000</f>
        <v>2.99</v>
      </c>
      <c r="E112" s="508"/>
      <c r="F112" s="508">
        <f>(D112)*'Вхідні дані'!$D$77</f>
        <v>3.18</v>
      </c>
      <c r="G112" s="508">
        <f t="shared" si="19"/>
        <v>0</v>
      </c>
      <c r="H112" s="508">
        <f t="shared" si="20"/>
        <v>0</v>
      </c>
      <c r="I112" s="508">
        <f t="shared" si="21"/>
        <v>0</v>
      </c>
      <c r="J112" s="508">
        <f t="shared" si="22"/>
        <v>3.18</v>
      </c>
      <c r="K112" s="3331">
        <f t="shared" si="23"/>
        <v>0.4</v>
      </c>
      <c r="L112" s="508">
        <f t="shared" si="24"/>
        <v>2.78</v>
      </c>
      <c r="M112" s="3288" t="s">
        <v>2586</v>
      </c>
      <c r="N112" s="3288"/>
      <c r="P112" s="2109"/>
      <c r="Q112" s="2109"/>
      <c r="S112" s="2109"/>
    </row>
    <row r="113" spans="1:22" ht="18.75" hidden="1" x14ac:dyDescent="0.3">
      <c r="A113" s="3531"/>
      <c r="B113" s="3287" t="s">
        <v>964</v>
      </c>
      <c r="C113" s="508"/>
      <c r="D113" s="508"/>
      <c r="E113" s="508"/>
      <c r="F113" s="508">
        <f>(D113)*'Вхідні дані'!$D$77</f>
        <v>0</v>
      </c>
      <c r="G113" s="508">
        <f t="shared" si="19"/>
        <v>0</v>
      </c>
      <c r="H113" s="508">
        <f t="shared" si="20"/>
        <v>0</v>
      </c>
      <c r="I113" s="508">
        <f t="shared" si="21"/>
        <v>0</v>
      </c>
      <c r="J113" s="508">
        <f t="shared" si="22"/>
        <v>0</v>
      </c>
      <c r="K113" s="3331">
        <f t="shared" si="23"/>
        <v>0</v>
      </c>
      <c r="L113" s="508">
        <f t="shared" si="24"/>
        <v>0</v>
      </c>
      <c r="M113" s="3288"/>
      <c r="N113" s="3288"/>
      <c r="P113" s="2109"/>
      <c r="Q113" s="2109"/>
      <c r="S113" s="2109"/>
    </row>
    <row r="114" spans="1:22" ht="18.75" hidden="1" x14ac:dyDescent="0.3">
      <c r="A114" s="3531"/>
      <c r="B114" s="3287" t="s">
        <v>965</v>
      </c>
      <c r="C114" s="508"/>
      <c r="D114" s="508"/>
      <c r="E114" s="508"/>
      <c r="F114" s="508">
        <f>(D114)*'Вхідні дані'!$D$77</f>
        <v>0</v>
      </c>
      <c r="G114" s="508">
        <f t="shared" si="19"/>
        <v>0</v>
      </c>
      <c r="H114" s="508">
        <f t="shared" si="20"/>
        <v>0</v>
      </c>
      <c r="I114" s="508">
        <f t="shared" si="21"/>
        <v>0</v>
      </c>
      <c r="J114" s="508">
        <f t="shared" si="22"/>
        <v>0</v>
      </c>
      <c r="K114" s="3331">
        <f t="shared" si="23"/>
        <v>0</v>
      </c>
      <c r="L114" s="508">
        <f t="shared" si="24"/>
        <v>0</v>
      </c>
      <c r="M114" s="3288"/>
      <c r="N114" s="3288"/>
      <c r="P114" s="2109"/>
      <c r="Q114" s="2109"/>
      <c r="S114" s="2109"/>
    </row>
    <row r="115" spans="1:22" ht="18.75" x14ac:dyDescent="0.3">
      <c r="A115" s="3531"/>
      <c r="B115" s="3287" t="s">
        <v>966</v>
      </c>
      <c r="C115" s="508">
        <f>19864.72/1000</f>
        <v>19.86</v>
      </c>
      <c r="D115" s="508">
        <f>13927.97/1000</f>
        <v>13.93</v>
      </c>
      <c r="E115" s="508"/>
      <c r="F115" s="508">
        <f>'[40]Сантехнічні вироби'!$AF$13/1000*'Вхідні дані'!D77</f>
        <v>19.649999999999999</v>
      </c>
      <c r="G115" s="508">
        <f t="shared" si="19"/>
        <v>0</v>
      </c>
      <c r="H115" s="508">
        <f t="shared" si="20"/>
        <v>0</v>
      </c>
      <c r="I115" s="508">
        <f t="shared" si="21"/>
        <v>0</v>
      </c>
      <c r="J115" s="508">
        <f t="shared" si="22"/>
        <v>19.649999999999999</v>
      </c>
      <c r="K115" s="3331">
        <f>('[40]Сантехнічні вироби'!$AE$33/1000+('[40]Сантехнічні вироби'!$AF$13-'[40]Сантехнічні вироби'!$AE$33)/1000*K100)*'Вхідні дані'!D77</f>
        <v>5.2</v>
      </c>
      <c r="L115" s="508">
        <f>(('[40]Сантехнічні вироби'!$AF$13-'[40]Сантехнічні вироби'!$AE$33)/1000*L100)*'Вхідні дані'!D77</f>
        <v>14.44</v>
      </c>
      <c r="M115" s="3288" t="s">
        <v>1347</v>
      </c>
      <c r="N115" s="3288"/>
      <c r="P115" s="2109"/>
      <c r="Q115" s="2109"/>
      <c r="S115" s="2109"/>
    </row>
    <row r="116" spans="1:22" ht="18.75" hidden="1" x14ac:dyDescent="0.3">
      <c r="A116" s="3531"/>
      <c r="B116" s="3287" t="s">
        <v>967</v>
      </c>
      <c r="C116" s="508"/>
      <c r="D116" s="508"/>
      <c r="E116" s="508"/>
      <c r="F116" s="508">
        <v>0</v>
      </c>
      <c r="G116" s="508">
        <f t="shared" si="19"/>
        <v>0</v>
      </c>
      <c r="H116" s="508">
        <f t="shared" si="20"/>
        <v>0</v>
      </c>
      <c r="I116" s="508">
        <f t="shared" si="21"/>
        <v>0</v>
      </c>
      <c r="J116" s="508">
        <f t="shared" si="22"/>
        <v>0</v>
      </c>
      <c r="K116" s="3331">
        <f>СПЕЦХАРЧ!F33/1000+(F116-СПЕЦХАРЧ!F33/1000)*$K$100</f>
        <v>0</v>
      </c>
      <c r="L116" s="508">
        <f>(F116-СПЕЦХАРЧ!F33/1000)*$L$100</f>
        <v>0</v>
      </c>
      <c r="M116" s="3288"/>
      <c r="N116" s="3288"/>
      <c r="P116" s="2109"/>
      <c r="Q116" s="2109"/>
      <c r="S116" s="2109"/>
    </row>
    <row r="117" spans="1:22" ht="37.5" x14ac:dyDescent="0.3">
      <c r="A117" s="3531"/>
      <c r="B117" s="3287" t="s">
        <v>2261</v>
      </c>
      <c r="C117" s="508"/>
      <c r="D117" s="508"/>
      <c r="E117" s="508"/>
      <c r="F117" s="508">
        <f>G117+H117+I117+J117</f>
        <v>8663.69</v>
      </c>
      <c r="G117" s="508">
        <v>0</v>
      </c>
      <c r="H117" s="508">
        <v>0</v>
      </c>
      <c r="I117" s="508">
        <v>0</v>
      </c>
      <c r="J117" s="508">
        <f>('Д 7_РП'!$G$54+'Д 7_РП'!$G$62)*'Д 5 Т на ТЕ з ЦТП'!$H$9/1000</f>
        <v>8663.69</v>
      </c>
      <c r="K117" s="3331">
        <f>'Покриття втрат в мережах'!C12</f>
        <v>1406.22</v>
      </c>
      <c r="L117" s="508">
        <f>'Покриття втрат в мережах'!C13</f>
        <v>7257.47</v>
      </c>
      <c r="P117" s="2109"/>
      <c r="Q117" s="2109"/>
      <c r="S117" s="2109"/>
    </row>
    <row r="118" spans="1:22" ht="18.75" x14ac:dyDescent="0.3">
      <c r="A118" s="3531"/>
      <c r="B118" s="3296" t="s">
        <v>1587</v>
      </c>
      <c r="C118" s="1516">
        <f>2897509.35/1000</f>
        <v>2897.51</v>
      </c>
      <c r="D118" s="1516">
        <f>2957097.04/1000</f>
        <v>2957.1</v>
      </c>
      <c r="E118" s="1516">
        <v>2376.1999999999998</v>
      </c>
      <c r="F118" s="1516">
        <f>(ФОП!H14+ФОП!H19)/1000</f>
        <v>3023.13</v>
      </c>
      <c r="G118" s="508">
        <f t="shared" si="19"/>
        <v>0</v>
      </c>
      <c r="H118" s="508">
        <f t="shared" si="20"/>
        <v>0</v>
      </c>
      <c r="I118" s="508">
        <f t="shared" si="21"/>
        <v>0</v>
      </c>
      <c r="J118" s="508">
        <f t="shared" si="22"/>
        <v>3023.13</v>
      </c>
      <c r="K118" s="3332">
        <f>ФОП!H19/1000+ФОП!H14/1000*$K$100</f>
        <v>593.91999999999996</v>
      </c>
      <c r="L118" s="1516">
        <f>ФОП!H14/1000*$L$100</f>
        <v>2429.21</v>
      </c>
      <c r="N118" s="3288"/>
      <c r="P118" s="2109"/>
      <c r="Q118" s="2109"/>
      <c r="S118" s="2109"/>
      <c r="U118" s="3333">
        <v>2782.8240000000001</v>
      </c>
      <c r="V118" s="3333">
        <v>6520.2950000000001</v>
      </c>
    </row>
    <row r="119" spans="1:22" ht="18.75" hidden="1" x14ac:dyDescent="0.3">
      <c r="A119" s="3531"/>
      <c r="B119" s="3290" t="s">
        <v>943</v>
      </c>
      <c r="C119" s="508"/>
      <c r="D119" s="508">
        <v>0</v>
      </c>
      <c r="E119" s="508">
        <v>0</v>
      </c>
      <c r="F119" s="508">
        <f>(ФОП!H15+ФОП!H20)/1000</f>
        <v>0</v>
      </c>
      <c r="G119" s="508">
        <f t="shared" si="19"/>
        <v>0</v>
      </c>
      <c r="H119" s="508">
        <f t="shared" si="20"/>
        <v>0</v>
      </c>
      <c r="I119" s="508">
        <f t="shared" si="21"/>
        <v>0</v>
      </c>
      <c r="J119" s="508">
        <f t="shared" si="22"/>
        <v>0</v>
      </c>
      <c r="K119" s="3334">
        <f>ФОП!H20/1000+ФОП!H15/1000*$K$100</f>
        <v>0</v>
      </c>
      <c r="L119" s="3335">
        <f>ФОП!H15/1000*$L$100</f>
        <v>0</v>
      </c>
      <c r="N119" s="3288"/>
      <c r="P119" s="2109"/>
      <c r="Q119" s="2109"/>
      <c r="S119" s="2109"/>
      <c r="U119" s="3333">
        <f>U118-K118</f>
        <v>2188.904</v>
      </c>
      <c r="V119" s="3333">
        <f>V118-L118</f>
        <v>4091.085</v>
      </c>
    </row>
    <row r="120" spans="1:22" ht="18.75" x14ac:dyDescent="0.3">
      <c r="A120" s="3531"/>
      <c r="B120" s="3296" t="s">
        <v>1588</v>
      </c>
      <c r="C120" s="1516">
        <f t="shared" ref="C120" si="25">SUM(C121:C164)</f>
        <v>2845.15</v>
      </c>
      <c r="D120" s="1516">
        <f t="shared" ref="D120:L120" si="26">SUM(D121:D164)</f>
        <v>3396.39</v>
      </c>
      <c r="E120" s="1516">
        <f t="shared" si="26"/>
        <v>928.4</v>
      </c>
      <c r="F120" s="1516">
        <f t="shared" si="26"/>
        <v>3627.03</v>
      </c>
      <c r="G120" s="1516">
        <f t="shared" si="26"/>
        <v>0</v>
      </c>
      <c r="H120" s="1516">
        <f t="shared" si="26"/>
        <v>0</v>
      </c>
      <c r="I120" s="1516">
        <f t="shared" si="26"/>
        <v>0</v>
      </c>
      <c r="J120" s="1516">
        <f t="shared" si="26"/>
        <v>3627.03</v>
      </c>
      <c r="K120" s="1516">
        <f t="shared" si="26"/>
        <v>545.85</v>
      </c>
      <c r="L120" s="1516">
        <f t="shared" si="26"/>
        <v>3081.18</v>
      </c>
      <c r="N120" s="3288"/>
      <c r="P120" s="2109"/>
      <c r="Q120" s="2109"/>
      <c r="S120" s="2109"/>
    </row>
    <row r="121" spans="1:22" ht="37.5" x14ac:dyDescent="0.3">
      <c r="A121" s="3531"/>
      <c r="B121" s="3287" t="s">
        <v>539</v>
      </c>
      <c r="C121" s="508">
        <f>610103.21/1000</f>
        <v>610.1</v>
      </c>
      <c r="D121" s="508">
        <f>641785.02/1000</f>
        <v>641.79</v>
      </c>
      <c r="E121" s="508">
        <v>522.70000000000005</v>
      </c>
      <c r="F121" s="508">
        <f>(F118-F119)*'Вхідні дані'!$D$44+'Вхідні дані'!$D$45*F119</f>
        <v>665.09</v>
      </c>
      <c r="G121" s="508">
        <f t="shared" si="19"/>
        <v>0</v>
      </c>
      <c r="H121" s="508">
        <f t="shared" si="20"/>
        <v>0</v>
      </c>
      <c r="I121" s="508">
        <f t="shared" si="21"/>
        <v>0</v>
      </c>
      <c r="J121" s="508">
        <f t="shared" si="22"/>
        <v>665.09</v>
      </c>
      <c r="K121" s="508">
        <f>(K118-K119)*'Вхідні дані'!$D$44+'Вхідні дані'!$D$45*K119</f>
        <v>130.66</v>
      </c>
      <c r="L121" s="508">
        <f>(L118-L119)*'Вхідні дані'!$D$44+'Вхідні дані'!$D$45*L119</f>
        <v>534.42999999999995</v>
      </c>
      <c r="N121" s="3288">
        <f>L120-L121-L122-L123</f>
        <v>2351.4299999999998</v>
      </c>
      <c r="O121" s="2109"/>
      <c r="P121" s="2109"/>
      <c r="Q121" s="2109"/>
      <c r="S121" s="2109"/>
    </row>
    <row r="122" spans="1:22" s="3298" customFormat="1" ht="37.5" x14ac:dyDescent="0.3">
      <c r="A122" s="3531"/>
      <c r="B122" s="3287" t="s">
        <v>1589</v>
      </c>
      <c r="C122" s="508">
        <f>286927.8/1000</f>
        <v>286.93</v>
      </c>
      <c r="D122" s="508">
        <f>286927.8/1000</f>
        <v>286.93</v>
      </c>
      <c r="E122" s="508">
        <v>405.7</v>
      </c>
      <c r="F122" s="508">
        <f>[47]TDSheet!$AC$10/1000</f>
        <v>227.88</v>
      </c>
      <c r="G122" s="508">
        <f t="shared" si="19"/>
        <v>0</v>
      </c>
      <c r="H122" s="508">
        <f t="shared" si="20"/>
        <v>0</v>
      </c>
      <c r="I122" s="508">
        <f t="shared" si="21"/>
        <v>0</v>
      </c>
      <c r="J122" s="508">
        <f t="shared" si="22"/>
        <v>227.88</v>
      </c>
      <c r="K122" s="3331">
        <f>[48]TDSheet!$Y$19+[48]TDSheet!$Y$46*K100</f>
        <v>32.56</v>
      </c>
      <c r="L122" s="508">
        <f>[48]TDSheet!$Y$46*L100</f>
        <v>195.32</v>
      </c>
      <c r="M122" s="3336"/>
      <c r="N122" s="3288"/>
      <c r="O122" s="3299"/>
      <c r="P122" s="2109"/>
      <c r="Q122" s="2109"/>
      <c r="S122" s="2109"/>
    </row>
    <row r="123" spans="1:22" s="3298" customFormat="1" ht="34.9" hidden="1" customHeight="1" x14ac:dyDescent="0.3">
      <c r="A123" s="3531"/>
      <c r="B123" s="3287" t="s">
        <v>2591</v>
      </c>
      <c r="C123" s="508">
        <v>0</v>
      </c>
      <c r="D123" s="508">
        <v>0</v>
      </c>
      <c r="E123" s="508">
        <v>0</v>
      </c>
      <c r="F123" s="508">
        <v>0</v>
      </c>
      <c r="G123" s="508">
        <f t="shared" si="19"/>
        <v>0</v>
      </c>
      <c r="H123" s="508">
        <f t="shared" si="20"/>
        <v>0</v>
      </c>
      <c r="I123" s="508">
        <f t="shared" si="21"/>
        <v>0</v>
      </c>
      <c r="J123" s="508">
        <f t="shared" si="22"/>
        <v>0</v>
      </c>
      <c r="K123" s="3331">
        <f>F123*$K$100</f>
        <v>0</v>
      </c>
      <c r="L123" s="508">
        <f>F123*$L$100</f>
        <v>0</v>
      </c>
      <c r="P123" s="2109"/>
      <c r="Q123" s="2109"/>
      <c r="S123" s="2109"/>
    </row>
    <row r="124" spans="1:22" ht="18" customHeight="1" x14ac:dyDescent="0.3">
      <c r="A124" s="3531"/>
      <c r="B124" s="3300" t="s">
        <v>1330</v>
      </c>
      <c r="C124" s="508">
        <f>290759.42/1000</f>
        <v>290.76</v>
      </c>
      <c r="D124" s="508">
        <f>372293.6/1000</f>
        <v>372.29</v>
      </c>
      <c r="E124" s="508">
        <v>0</v>
      </c>
      <c r="F124" s="508">
        <f>'[42]технічне обслуговування'!$E$16</f>
        <v>0</v>
      </c>
      <c r="G124" s="508">
        <f t="shared" si="19"/>
        <v>0</v>
      </c>
      <c r="H124" s="508">
        <f t="shared" si="20"/>
        <v>0</v>
      </c>
      <c r="I124" s="508">
        <f t="shared" si="21"/>
        <v>0</v>
      </c>
      <c r="J124" s="508">
        <f t="shared" si="22"/>
        <v>0</v>
      </c>
      <c r="K124" s="508">
        <f>F124*$K$100</f>
        <v>0</v>
      </c>
      <c r="L124" s="508">
        <f t="shared" ref="L124" si="27">F124*$L$100</f>
        <v>0</v>
      </c>
      <c r="M124" s="491" t="s">
        <v>2574</v>
      </c>
      <c r="N124" s="3288"/>
      <c r="P124" s="2109"/>
      <c r="Q124" s="2109"/>
      <c r="S124" s="2109"/>
    </row>
    <row r="125" spans="1:22" ht="18" hidden="1" customHeight="1" x14ac:dyDescent="0.3">
      <c r="A125" s="3531"/>
      <c r="B125" s="3300" t="s">
        <v>1479</v>
      </c>
      <c r="C125" s="508">
        <v>0</v>
      </c>
      <c r="D125" s="508">
        <v>0</v>
      </c>
      <c r="E125" s="508">
        <v>0</v>
      </c>
      <c r="F125" s="508">
        <v>0</v>
      </c>
      <c r="G125" s="508">
        <f t="shared" si="19"/>
        <v>0</v>
      </c>
      <c r="H125" s="508">
        <f t="shared" si="20"/>
        <v>0</v>
      </c>
      <c r="I125" s="508">
        <f t="shared" si="21"/>
        <v>0</v>
      </c>
      <c r="J125" s="508">
        <f t="shared" si="22"/>
        <v>0</v>
      </c>
      <c r="K125" s="3331">
        <f>F125*$K$100</f>
        <v>0</v>
      </c>
      <c r="L125" s="508">
        <f>F125*$L$100</f>
        <v>0</v>
      </c>
      <c r="P125" s="2109"/>
      <c r="Q125" s="2109"/>
      <c r="S125" s="2109"/>
    </row>
    <row r="126" spans="1:22" ht="37.5" x14ac:dyDescent="0.3">
      <c r="A126" s="3531"/>
      <c r="B126" s="3300" t="s">
        <v>1334</v>
      </c>
      <c r="C126" s="508">
        <v>0</v>
      </c>
      <c r="D126" s="508">
        <v>0</v>
      </c>
      <c r="E126" s="508">
        <v>0</v>
      </c>
      <c r="F126" s="508">
        <f>(([37]Лист1!$H$18*[37]Лист1!$H$22)+([37]Лист1!$I$18*[37]Лист1!$I$22))/1000</f>
        <v>0.84</v>
      </c>
      <c r="G126" s="508">
        <f t="shared" si="19"/>
        <v>0</v>
      </c>
      <c r="H126" s="508">
        <f t="shared" si="20"/>
        <v>0</v>
      </c>
      <c r="I126" s="508">
        <f t="shared" si="21"/>
        <v>0</v>
      </c>
      <c r="J126" s="508">
        <f t="shared" si="22"/>
        <v>0.84</v>
      </c>
      <c r="K126" s="3331">
        <f>F126*$K$100</f>
        <v>0.11</v>
      </c>
      <c r="L126" s="508">
        <f>F126*$L$100</f>
        <v>0.73</v>
      </c>
      <c r="M126" s="3336"/>
      <c r="O126" s="3299"/>
      <c r="P126" s="2109"/>
      <c r="Q126" s="3299"/>
      <c r="S126" s="2109"/>
    </row>
    <row r="127" spans="1:22" ht="18.75" hidden="1" x14ac:dyDescent="0.3">
      <c r="A127" s="3531"/>
      <c r="B127" s="3300" t="s">
        <v>946</v>
      </c>
      <c r="C127" s="508"/>
      <c r="D127" s="508"/>
      <c r="E127" s="508"/>
      <c r="F127" s="508"/>
      <c r="G127" s="508">
        <f t="shared" si="19"/>
        <v>0</v>
      </c>
      <c r="H127" s="508">
        <f t="shared" si="20"/>
        <v>0</v>
      </c>
      <c r="I127" s="508">
        <f t="shared" si="21"/>
        <v>0</v>
      </c>
      <c r="J127" s="508">
        <f t="shared" si="22"/>
        <v>0</v>
      </c>
      <c r="K127" s="3331">
        <f t="shared" ref="K127:K129" si="28">F127*$K$100</f>
        <v>0</v>
      </c>
      <c r="L127" s="508">
        <f t="shared" ref="L127:L129" si="29">F127*$L$100</f>
        <v>0</v>
      </c>
      <c r="P127" s="2109"/>
      <c r="S127" s="2109"/>
    </row>
    <row r="128" spans="1:22" ht="18.75" hidden="1" x14ac:dyDescent="0.3">
      <c r="A128" s="3531"/>
      <c r="B128" s="3300" t="s">
        <v>947</v>
      </c>
      <c r="C128" s="508"/>
      <c r="D128" s="508"/>
      <c r="E128" s="508"/>
      <c r="F128" s="508"/>
      <c r="G128" s="508">
        <f t="shared" si="19"/>
        <v>0</v>
      </c>
      <c r="H128" s="508">
        <f t="shared" si="20"/>
        <v>0</v>
      </c>
      <c r="I128" s="508">
        <f t="shared" si="21"/>
        <v>0</v>
      </c>
      <c r="J128" s="508">
        <f t="shared" si="22"/>
        <v>0</v>
      </c>
      <c r="K128" s="3331">
        <f t="shared" si="28"/>
        <v>0</v>
      </c>
      <c r="L128" s="508">
        <f t="shared" si="29"/>
        <v>0</v>
      </c>
      <c r="P128" s="2109"/>
      <c r="S128" s="2109"/>
    </row>
    <row r="129" spans="1:19" ht="18.75" hidden="1" x14ac:dyDescent="0.3">
      <c r="A129" s="3531"/>
      <c r="B129" s="3300" t="s">
        <v>1340</v>
      </c>
      <c r="C129" s="508"/>
      <c r="D129" s="508"/>
      <c r="E129" s="508"/>
      <c r="F129" s="508"/>
      <c r="G129" s="508">
        <f t="shared" si="19"/>
        <v>0</v>
      </c>
      <c r="H129" s="508">
        <f t="shared" si="20"/>
        <v>0</v>
      </c>
      <c r="I129" s="508">
        <f t="shared" si="21"/>
        <v>0</v>
      </c>
      <c r="J129" s="508">
        <f t="shared" si="22"/>
        <v>0</v>
      </c>
      <c r="K129" s="3331">
        <f t="shared" si="28"/>
        <v>0</v>
      </c>
      <c r="L129" s="508">
        <f t="shared" si="29"/>
        <v>0</v>
      </c>
      <c r="P129" s="2109"/>
      <c r="S129" s="2109"/>
    </row>
    <row r="130" spans="1:19" ht="18.75" x14ac:dyDescent="0.3">
      <c r="A130" s="3531"/>
      <c r="B130" s="3300" t="s">
        <v>3201</v>
      </c>
      <c r="C130" s="508">
        <f>13023.45/1000</f>
        <v>13.02</v>
      </c>
      <c r="D130" s="508">
        <v>0</v>
      </c>
      <c r="E130" s="508">
        <v>0</v>
      </c>
      <c r="F130" s="508">
        <v>0</v>
      </c>
      <c r="G130" s="508">
        <f t="shared" si="19"/>
        <v>0</v>
      </c>
      <c r="H130" s="508">
        <f t="shared" si="20"/>
        <v>0</v>
      </c>
      <c r="I130" s="508">
        <f t="shared" si="21"/>
        <v>0</v>
      </c>
      <c r="J130" s="508">
        <f t="shared" si="22"/>
        <v>0</v>
      </c>
      <c r="K130" s="3331">
        <f t="shared" ref="K130:K137" si="30">F130*$K$100</f>
        <v>0</v>
      </c>
      <c r="L130" s="508">
        <f t="shared" ref="L130:L137" si="31">F130*$L$100</f>
        <v>0</v>
      </c>
      <c r="P130" s="2109"/>
      <c r="Q130" s="2109"/>
      <c r="S130" s="2109"/>
    </row>
    <row r="131" spans="1:19" ht="18.75" x14ac:dyDescent="0.3">
      <c r="A131" s="3531"/>
      <c r="B131" s="3300" t="s">
        <v>1341</v>
      </c>
      <c r="C131" s="508">
        <f>108982.42/1000</f>
        <v>108.98</v>
      </c>
      <c r="D131" s="508">
        <f>2087.5/1000</f>
        <v>2.09</v>
      </c>
      <c r="E131" s="508"/>
      <c r="F131" s="508">
        <f>'[42]технічне обслуговування'!$E$18</f>
        <v>0</v>
      </c>
      <c r="G131" s="508">
        <f t="shared" si="19"/>
        <v>0</v>
      </c>
      <c r="H131" s="508">
        <f t="shared" si="20"/>
        <v>0</v>
      </c>
      <c r="I131" s="508">
        <f t="shared" si="21"/>
        <v>0</v>
      </c>
      <c r="J131" s="508">
        <f t="shared" si="22"/>
        <v>0</v>
      </c>
      <c r="K131" s="3331">
        <f t="shared" si="30"/>
        <v>0</v>
      </c>
      <c r="L131" s="508">
        <f t="shared" si="31"/>
        <v>0</v>
      </c>
      <c r="P131" s="2109"/>
      <c r="Q131" s="2109"/>
      <c r="S131" s="2109"/>
    </row>
    <row r="132" spans="1:19" ht="18.75" hidden="1" x14ac:dyDescent="0.3">
      <c r="A132" s="3531"/>
      <c r="B132" s="3300" t="s">
        <v>1342</v>
      </c>
      <c r="C132" s="508"/>
      <c r="D132" s="508"/>
      <c r="E132" s="508"/>
      <c r="F132" s="508"/>
      <c r="G132" s="508">
        <f t="shared" si="19"/>
        <v>0</v>
      </c>
      <c r="H132" s="508">
        <f t="shared" si="20"/>
        <v>0</v>
      </c>
      <c r="I132" s="508">
        <f t="shared" si="21"/>
        <v>0</v>
      </c>
      <c r="J132" s="508">
        <f t="shared" si="22"/>
        <v>0</v>
      </c>
      <c r="K132" s="3331">
        <f t="shared" si="30"/>
        <v>0</v>
      </c>
      <c r="L132" s="508">
        <f t="shared" si="31"/>
        <v>0</v>
      </c>
      <c r="M132" s="3337"/>
      <c r="P132" s="2109"/>
      <c r="Q132" s="2109"/>
      <c r="S132" s="2109"/>
    </row>
    <row r="133" spans="1:19" ht="18.75" hidden="1" x14ac:dyDescent="0.3">
      <c r="A133" s="3531"/>
      <c r="B133" s="3300" t="s">
        <v>1343</v>
      </c>
      <c r="C133" s="508"/>
      <c r="D133" s="508"/>
      <c r="E133" s="508"/>
      <c r="F133" s="508"/>
      <c r="G133" s="508">
        <f t="shared" si="19"/>
        <v>0</v>
      </c>
      <c r="H133" s="508">
        <f t="shared" si="20"/>
        <v>0</v>
      </c>
      <c r="I133" s="508">
        <f t="shared" si="21"/>
        <v>0</v>
      </c>
      <c r="J133" s="508">
        <f t="shared" si="22"/>
        <v>0</v>
      </c>
      <c r="K133" s="3331">
        <f t="shared" si="30"/>
        <v>0</v>
      </c>
      <c r="L133" s="508">
        <f t="shared" si="31"/>
        <v>0</v>
      </c>
      <c r="M133" s="3337"/>
      <c r="P133" s="2109"/>
      <c r="Q133" s="2109"/>
      <c r="S133" s="2109"/>
    </row>
    <row r="134" spans="1:19" ht="18.75" hidden="1" x14ac:dyDescent="0.3">
      <c r="A134" s="3531"/>
      <c r="B134" s="3300" t="s">
        <v>1344</v>
      </c>
      <c r="C134" s="508"/>
      <c r="D134" s="508"/>
      <c r="E134" s="508"/>
      <c r="F134" s="508"/>
      <c r="G134" s="508">
        <f t="shared" si="19"/>
        <v>0</v>
      </c>
      <c r="H134" s="508">
        <f t="shared" si="20"/>
        <v>0</v>
      </c>
      <c r="I134" s="508">
        <f t="shared" si="21"/>
        <v>0</v>
      </c>
      <c r="J134" s="508">
        <f t="shared" si="22"/>
        <v>0</v>
      </c>
      <c r="K134" s="3331">
        <f t="shared" si="30"/>
        <v>0</v>
      </c>
      <c r="L134" s="508">
        <f t="shared" si="31"/>
        <v>0</v>
      </c>
      <c r="M134" s="3337"/>
      <c r="P134" s="2109"/>
      <c r="Q134" s="2109"/>
      <c r="S134" s="2109"/>
    </row>
    <row r="135" spans="1:19" ht="18.75" hidden="1" x14ac:dyDescent="0.3">
      <c r="A135" s="3531"/>
      <c r="B135" s="3300" t="s">
        <v>1345</v>
      </c>
      <c r="C135" s="508"/>
      <c r="D135" s="508"/>
      <c r="E135" s="508"/>
      <c r="F135" s="508"/>
      <c r="G135" s="508">
        <f t="shared" si="19"/>
        <v>0</v>
      </c>
      <c r="H135" s="508">
        <f t="shared" si="20"/>
        <v>0</v>
      </c>
      <c r="I135" s="508">
        <f t="shared" si="21"/>
        <v>0</v>
      </c>
      <c r="J135" s="508">
        <f t="shared" si="22"/>
        <v>0</v>
      </c>
      <c r="K135" s="3331">
        <f t="shared" si="30"/>
        <v>0</v>
      </c>
      <c r="L135" s="508">
        <f t="shared" si="31"/>
        <v>0</v>
      </c>
      <c r="M135" s="3337"/>
      <c r="P135" s="2109"/>
      <c r="Q135" s="2109"/>
      <c r="S135" s="2109"/>
    </row>
    <row r="136" spans="1:19" ht="18.75" hidden="1" x14ac:dyDescent="0.3">
      <c r="A136" s="3531"/>
      <c r="B136" s="3300" t="s">
        <v>1608</v>
      </c>
      <c r="C136" s="508"/>
      <c r="D136" s="508"/>
      <c r="E136" s="508"/>
      <c r="F136" s="508"/>
      <c r="G136" s="508">
        <f t="shared" si="19"/>
        <v>0</v>
      </c>
      <c r="H136" s="508">
        <f t="shared" si="20"/>
        <v>0</v>
      </c>
      <c r="I136" s="508">
        <f t="shared" si="21"/>
        <v>0</v>
      </c>
      <c r="J136" s="508">
        <f t="shared" si="22"/>
        <v>0</v>
      </c>
      <c r="K136" s="3331">
        <f t="shared" si="30"/>
        <v>0</v>
      </c>
      <c r="L136" s="508">
        <f t="shared" si="31"/>
        <v>0</v>
      </c>
      <c r="M136" s="3337"/>
      <c r="P136" s="2109"/>
      <c r="Q136" s="2109"/>
      <c r="S136" s="2109"/>
    </row>
    <row r="137" spans="1:19" ht="18.75" x14ac:dyDescent="0.3">
      <c r="A137" s="3531"/>
      <c r="B137" s="3307" t="s">
        <v>1346</v>
      </c>
      <c r="C137" s="508">
        <f>2820.99/1000</f>
        <v>2.82</v>
      </c>
      <c r="D137" s="508">
        <f>2809.26/1000</f>
        <v>2.81</v>
      </c>
      <c r="E137" s="508"/>
      <c r="F137" s="508">
        <f>[40]Медогляд!$I$22/1000</f>
        <v>8.76</v>
      </c>
      <c r="G137" s="508">
        <f t="shared" si="19"/>
        <v>0</v>
      </c>
      <c r="H137" s="508">
        <f t="shared" si="20"/>
        <v>0</v>
      </c>
      <c r="I137" s="508">
        <f t="shared" si="21"/>
        <v>0</v>
      </c>
      <c r="J137" s="508">
        <f t="shared" si="22"/>
        <v>8.76</v>
      </c>
      <c r="K137" s="3331">
        <f t="shared" si="30"/>
        <v>1.1100000000000001</v>
      </c>
      <c r="L137" s="508">
        <f t="shared" si="31"/>
        <v>7.65</v>
      </c>
      <c r="M137" s="3337" t="s">
        <v>1347</v>
      </c>
      <c r="P137" s="2109"/>
      <c r="Q137" s="2109"/>
      <c r="S137" s="2109"/>
    </row>
    <row r="138" spans="1:19" ht="18.75" customHeight="1" x14ac:dyDescent="0.3">
      <c r="A138" s="3531"/>
      <c r="B138" s="3307" t="s">
        <v>3202</v>
      </c>
      <c r="C138" s="508"/>
      <c r="D138" s="508">
        <f>829.56/1000</f>
        <v>0.83</v>
      </c>
      <c r="E138" s="508"/>
      <c r="F138" s="508">
        <f>[40]Навчання!$E$8/1000</f>
        <v>0.85</v>
      </c>
      <c r="G138" s="508">
        <f t="shared" si="19"/>
        <v>0</v>
      </c>
      <c r="H138" s="508">
        <f t="shared" si="20"/>
        <v>0</v>
      </c>
      <c r="I138" s="508">
        <f t="shared" si="21"/>
        <v>0</v>
      </c>
      <c r="J138" s="508">
        <f t="shared" si="22"/>
        <v>0.85</v>
      </c>
      <c r="K138" s="3331">
        <f t="shared" ref="K138" si="32">F138*$K$100</f>
        <v>0.11</v>
      </c>
      <c r="L138" s="508">
        <f t="shared" ref="L138" si="33">F138*$L$100</f>
        <v>0.74</v>
      </c>
      <c r="M138" s="3337" t="s">
        <v>1347</v>
      </c>
      <c r="N138" s="2109"/>
      <c r="P138" s="2109"/>
      <c r="Q138" s="2109"/>
      <c r="S138" s="2109"/>
    </row>
    <row r="139" spans="1:19" ht="39.6" customHeight="1" x14ac:dyDescent="0.3">
      <c r="A139" s="3531"/>
      <c r="B139" s="3307" t="s">
        <v>3203</v>
      </c>
      <c r="C139" s="508">
        <f>(7644.59+17322.22)/1000</f>
        <v>24.97</v>
      </c>
      <c r="D139" s="508">
        <f>(4047.28+4063.5)/1000</f>
        <v>8.11</v>
      </c>
      <c r="E139" s="508"/>
      <c r="F139" s="508">
        <f>D139</f>
        <v>8.11</v>
      </c>
      <c r="G139" s="508">
        <f t="shared" si="19"/>
        <v>0</v>
      </c>
      <c r="H139" s="508">
        <f t="shared" si="20"/>
        <v>0</v>
      </c>
      <c r="I139" s="508">
        <f t="shared" si="21"/>
        <v>0</v>
      </c>
      <c r="J139" s="508">
        <f t="shared" si="22"/>
        <v>8.11</v>
      </c>
      <c r="K139" s="3331">
        <f>F139*$K$100</f>
        <v>1.03</v>
      </c>
      <c r="L139" s="508">
        <f>F139*$L$100</f>
        <v>7.08</v>
      </c>
      <c r="M139" s="3337"/>
      <c r="P139" s="2109"/>
      <c r="Q139" s="2109"/>
      <c r="S139" s="2109"/>
    </row>
    <row r="140" spans="1:19" ht="18.75" customHeight="1" x14ac:dyDescent="0.3">
      <c r="A140" s="3531"/>
      <c r="B140" s="3307" t="s">
        <v>3204</v>
      </c>
      <c r="C140" s="508">
        <f>75771.51/1000</f>
        <v>75.77</v>
      </c>
      <c r="D140" s="508">
        <f>103097.47/1000</f>
        <v>103.1</v>
      </c>
      <c r="E140" s="508"/>
      <c r="F140" s="508">
        <f>F118*3.5%</f>
        <v>105.81</v>
      </c>
      <c r="G140" s="508">
        <f t="shared" si="19"/>
        <v>0</v>
      </c>
      <c r="H140" s="508">
        <f t="shared" si="20"/>
        <v>0</v>
      </c>
      <c r="I140" s="508">
        <f t="shared" si="21"/>
        <v>0</v>
      </c>
      <c r="J140" s="508">
        <f t="shared" si="22"/>
        <v>105.81</v>
      </c>
      <c r="K140" s="3331">
        <f>K118*3.5%</f>
        <v>20.79</v>
      </c>
      <c r="L140" s="508">
        <f>L118*3.5%</f>
        <v>85.02</v>
      </c>
      <c r="M140" s="3337" t="s">
        <v>3205</v>
      </c>
      <c r="P140" s="2109"/>
      <c r="Q140" s="2109"/>
      <c r="S140" s="2109"/>
    </row>
    <row r="141" spans="1:19" ht="18.75" customHeight="1" x14ac:dyDescent="0.3">
      <c r="A141" s="3531"/>
      <c r="B141" s="3307" t="s">
        <v>3186</v>
      </c>
      <c r="C141" s="508">
        <f>(81131.94+2.4)/1000</f>
        <v>81.13</v>
      </c>
      <c r="D141" s="508">
        <f>89026.14/1000</f>
        <v>89.03</v>
      </c>
      <c r="E141" s="508"/>
      <c r="F141" s="508">
        <f>F118*3%</f>
        <v>90.69</v>
      </c>
      <c r="G141" s="508">
        <f t="shared" si="19"/>
        <v>0</v>
      </c>
      <c r="H141" s="508">
        <f t="shared" si="20"/>
        <v>0</v>
      </c>
      <c r="I141" s="508">
        <f t="shared" si="21"/>
        <v>0</v>
      </c>
      <c r="J141" s="508">
        <f>F141*$J$100</f>
        <v>90.69</v>
      </c>
      <c r="K141" s="3331">
        <f>K118*3%-0.01</f>
        <v>17.809999999999999</v>
      </c>
      <c r="L141" s="508">
        <f>L118*3%</f>
        <v>72.88</v>
      </c>
      <c r="M141" s="3337" t="s">
        <v>3206</v>
      </c>
      <c r="P141" s="2109"/>
      <c r="Q141" s="2109"/>
      <c r="S141" s="2109"/>
    </row>
    <row r="142" spans="1:19" ht="18.75" customHeight="1" x14ac:dyDescent="0.3">
      <c r="A142" s="3531"/>
      <c r="B142" s="3307" t="s">
        <v>3195</v>
      </c>
      <c r="C142" s="508">
        <f>208153.8/1000</f>
        <v>208.15</v>
      </c>
      <c r="D142" s="508">
        <f>231282/1000</f>
        <v>231.28</v>
      </c>
      <c r="E142" s="508"/>
      <c r="F142" s="508">
        <f>D142*'Вхідні дані'!D77</f>
        <v>245.62</v>
      </c>
      <c r="G142" s="508">
        <f t="shared" si="19"/>
        <v>0</v>
      </c>
      <c r="H142" s="508">
        <f t="shared" si="20"/>
        <v>0</v>
      </c>
      <c r="I142" s="508">
        <f t="shared" si="21"/>
        <v>0</v>
      </c>
      <c r="J142" s="508">
        <f t="shared" si="22"/>
        <v>245.62</v>
      </c>
      <c r="K142" s="3331">
        <f>F142*$K$100</f>
        <v>31.12</v>
      </c>
      <c r="L142" s="508">
        <f>F142*$L$100</f>
        <v>214.5</v>
      </c>
      <c r="M142" s="3337" t="s">
        <v>2586</v>
      </c>
      <c r="P142" s="2109"/>
      <c r="Q142" s="2109"/>
      <c r="S142" s="2109"/>
    </row>
    <row r="143" spans="1:19" ht="18.75" hidden="1" customHeight="1" x14ac:dyDescent="0.3">
      <c r="A143" s="3531"/>
      <c r="B143" s="3307" t="s">
        <v>1607</v>
      </c>
      <c r="C143" s="508"/>
      <c r="D143" s="508"/>
      <c r="E143" s="508"/>
      <c r="F143" s="508"/>
      <c r="G143" s="508">
        <f t="shared" si="19"/>
        <v>0</v>
      </c>
      <c r="H143" s="508">
        <f t="shared" si="20"/>
        <v>0</v>
      </c>
      <c r="I143" s="508">
        <f t="shared" si="21"/>
        <v>0</v>
      </c>
      <c r="J143" s="508">
        <f t="shared" si="22"/>
        <v>0</v>
      </c>
      <c r="K143" s="3331">
        <f>F143</f>
        <v>0</v>
      </c>
      <c r="L143" s="508"/>
      <c r="M143" s="3337"/>
      <c r="P143" s="2109"/>
      <c r="Q143" s="2109"/>
      <c r="S143" s="2109"/>
    </row>
    <row r="144" spans="1:19" ht="18.75" customHeight="1" x14ac:dyDescent="0.3">
      <c r="A144" s="3531"/>
      <c r="B144" s="3307" t="s">
        <v>3196</v>
      </c>
      <c r="C144" s="508">
        <f>(39824.04+526446.08)/1000</f>
        <v>566.27</v>
      </c>
      <c r="D144" s="508">
        <f>(55932+911167.2)/1000</f>
        <v>967.1</v>
      </c>
      <c r="E144" s="508"/>
      <c r="F144" s="508">
        <f>K144+L144</f>
        <v>1078.75</v>
      </c>
      <c r="G144" s="508">
        <f t="shared" si="19"/>
        <v>0</v>
      </c>
      <c r="H144" s="508">
        <f t="shared" si="20"/>
        <v>0</v>
      </c>
      <c r="I144" s="508">
        <f t="shared" si="21"/>
        <v>0</v>
      </c>
      <c r="J144" s="508">
        <f t="shared" si="22"/>
        <v>1078.75</v>
      </c>
      <c r="K144" s="3331">
        <f>'Д 9_ЕЕ'!D132/1000*1.67*'Вхідні дані'!D77</f>
        <v>159.16</v>
      </c>
      <c r="L144" s="508">
        <f>'Д 9_ЕЕ'!D133/1000*1.67*'Вхідні дані'!D77</f>
        <v>919.59</v>
      </c>
      <c r="M144" s="3337" t="s">
        <v>3207</v>
      </c>
      <c r="P144" s="2109"/>
      <c r="Q144" s="2109"/>
      <c r="S144" s="2109"/>
    </row>
    <row r="145" spans="1:19" ht="18.75" customHeight="1" x14ac:dyDescent="0.3">
      <c r="A145" s="3531"/>
      <c r="B145" s="3307" t="s">
        <v>3197</v>
      </c>
      <c r="C145" s="508">
        <f>(8267.5+19652.4+406487.1)/1000</f>
        <v>434.41</v>
      </c>
      <c r="D145" s="508">
        <f>(16832.97+11333.52+499945.9)/1000</f>
        <v>528.11</v>
      </c>
      <c r="E145" s="508"/>
      <c r="F145" s="508">
        <f>((([37]Лист1!$H$21*(36.73*'Вхідні дані'!D77))+(([37]Лист1!$I$21*(37.78*'Вхідні дані'!D77))))/1000)</f>
        <v>1026.3699999999999</v>
      </c>
      <c r="G145" s="508">
        <f t="shared" si="19"/>
        <v>0</v>
      </c>
      <c r="H145" s="508">
        <f t="shared" si="20"/>
        <v>0</v>
      </c>
      <c r="I145" s="508">
        <f t="shared" si="21"/>
        <v>0</v>
      </c>
      <c r="J145" s="508">
        <f t="shared" si="22"/>
        <v>1026.3699999999999</v>
      </c>
      <c r="K145" s="3331">
        <f>F145*$K$100</f>
        <v>130.06</v>
      </c>
      <c r="L145" s="508">
        <f>F145*$L$100</f>
        <v>896.31</v>
      </c>
      <c r="M145" s="3337" t="s">
        <v>3207</v>
      </c>
      <c r="P145" s="2109"/>
      <c r="Q145" s="2109"/>
      <c r="S145" s="2109"/>
    </row>
    <row r="146" spans="1:19" ht="18.75" customHeight="1" x14ac:dyDescent="0.3">
      <c r="A146" s="3531"/>
      <c r="B146" s="3307" t="s">
        <v>3198</v>
      </c>
      <c r="C146" s="508">
        <f>5525.08/1000</f>
        <v>5.53</v>
      </c>
      <c r="D146" s="508">
        <f>7122.88/1000</f>
        <v>7.12</v>
      </c>
      <c r="E146" s="508"/>
      <c r="F146" s="508">
        <f>'[42]послуги служби пожежної охорони'!$C$7</f>
        <v>2.34</v>
      </c>
      <c r="G146" s="508">
        <f t="shared" si="19"/>
        <v>0</v>
      </c>
      <c r="H146" s="508">
        <f t="shared" si="20"/>
        <v>0</v>
      </c>
      <c r="I146" s="508">
        <f t="shared" si="21"/>
        <v>0</v>
      </c>
      <c r="J146" s="508">
        <f t="shared" si="22"/>
        <v>2.34</v>
      </c>
      <c r="K146" s="3331">
        <f>F146*$K$100</f>
        <v>0.3</v>
      </c>
      <c r="L146" s="508">
        <f>F146*$L$100</f>
        <v>2.04</v>
      </c>
      <c r="M146" s="3337" t="s">
        <v>2586</v>
      </c>
      <c r="P146" s="2109"/>
      <c r="Q146" s="2109"/>
      <c r="S146" s="2109"/>
    </row>
    <row r="147" spans="1:19" ht="18.75" customHeight="1" x14ac:dyDescent="0.3">
      <c r="A147" s="3531"/>
      <c r="B147" s="3307" t="s">
        <v>3199</v>
      </c>
      <c r="C147" s="508">
        <f>136309.74/1000</f>
        <v>136.31</v>
      </c>
      <c r="D147" s="508">
        <f>155056.04/1000</f>
        <v>155.06</v>
      </c>
      <c r="E147" s="508"/>
      <c r="F147" s="508">
        <f>D147*'Вхідні дані'!D77</f>
        <v>164.67</v>
      </c>
      <c r="G147" s="508">
        <f t="shared" si="19"/>
        <v>0</v>
      </c>
      <c r="H147" s="508">
        <f t="shared" si="20"/>
        <v>0</v>
      </c>
      <c r="I147" s="508">
        <f t="shared" si="21"/>
        <v>0</v>
      </c>
      <c r="J147" s="508">
        <f t="shared" si="22"/>
        <v>164.67</v>
      </c>
      <c r="K147" s="3331">
        <f t="shared" ref="K147:K150" si="34">F147*$K$100</f>
        <v>20.87</v>
      </c>
      <c r="L147" s="508">
        <f t="shared" ref="L147:L150" si="35">F147*$L$100</f>
        <v>143.80000000000001</v>
      </c>
      <c r="M147" s="3337" t="s">
        <v>2586</v>
      </c>
      <c r="P147" s="2109"/>
      <c r="Q147" s="2109"/>
      <c r="S147" s="2109"/>
    </row>
    <row r="148" spans="1:19" ht="18.75" hidden="1" customHeight="1" x14ac:dyDescent="0.3">
      <c r="A148" s="3531"/>
      <c r="B148" s="3307" t="s">
        <v>1827</v>
      </c>
      <c r="C148" s="508"/>
      <c r="D148" s="508"/>
      <c r="E148" s="508"/>
      <c r="F148" s="508"/>
      <c r="G148" s="508">
        <f t="shared" si="19"/>
        <v>0</v>
      </c>
      <c r="H148" s="508">
        <f t="shared" si="20"/>
        <v>0</v>
      </c>
      <c r="I148" s="508">
        <f t="shared" si="21"/>
        <v>0</v>
      </c>
      <c r="J148" s="508">
        <f t="shared" si="22"/>
        <v>0</v>
      </c>
      <c r="K148" s="3331">
        <f t="shared" si="34"/>
        <v>0</v>
      </c>
      <c r="L148" s="508">
        <f t="shared" si="35"/>
        <v>0</v>
      </c>
      <c r="M148" s="3337"/>
      <c r="P148" s="2109"/>
      <c r="Q148" s="2109"/>
      <c r="S148" s="2109"/>
    </row>
    <row r="149" spans="1:19" ht="18.75" hidden="1" customHeight="1" x14ac:dyDescent="0.3">
      <c r="A149" s="3531"/>
      <c r="B149" s="3307" t="str">
        <f>Профпослуги2!B15</f>
        <v>ППЗ для захисту від вірусів</v>
      </c>
      <c r="C149" s="508"/>
      <c r="D149" s="508"/>
      <c r="E149" s="508"/>
      <c r="F149" s="508"/>
      <c r="G149" s="508">
        <f t="shared" si="19"/>
        <v>0</v>
      </c>
      <c r="H149" s="508">
        <f t="shared" si="20"/>
        <v>0</v>
      </c>
      <c r="I149" s="508">
        <f t="shared" si="21"/>
        <v>0</v>
      </c>
      <c r="J149" s="508">
        <f t="shared" si="22"/>
        <v>0</v>
      </c>
      <c r="K149" s="3331">
        <v>0</v>
      </c>
      <c r="L149" s="508">
        <v>0</v>
      </c>
      <c r="M149" s="3337"/>
      <c r="P149" s="2109"/>
      <c r="Q149" s="2109"/>
      <c r="S149" s="2109"/>
    </row>
    <row r="150" spans="1:19" ht="18.75" hidden="1" customHeight="1" x14ac:dyDescent="0.3">
      <c r="A150" s="3531"/>
      <c r="B150" s="3307" t="s">
        <v>1522</v>
      </c>
      <c r="C150" s="508"/>
      <c r="D150" s="508"/>
      <c r="E150" s="508"/>
      <c r="F150" s="508"/>
      <c r="G150" s="508">
        <f t="shared" si="19"/>
        <v>0</v>
      </c>
      <c r="H150" s="508">
        <f t="shared" si="20"/>
        <v>0</v>
      </c>
      <c r="I150" s="508">
        <f t="shared" si="21"/>
        <v>0</v>
      </c>
      <c r="J150" s="508">
        <f t="shared" si="22"/>
        <v>0</v>
      </c>
      <c r="K150" s="3331">
        <f t="shared" si="34"/>
        <v>0</v>
      </c>
      <c r="L150" s="508">
        <f t="shared" si="35"/>
        <v>0</v>
      </c>
      <c r="M150" s="3337"/>
      <c r="P150" s="2109"/>
      <c r="Q150" s="2109"/>
      <c r="S150" s="2109"/>
    </row>
    <row r="151" spans="1:19" ht="18.75" hidden="1" customHeight="1" x14ac:dyDescent="0.3">
      <c r="A151" s="3531"/>
      <c r="B151" s="3307" t="s">
        <v>1480</v>
      </c>
      <c r="C151" s="508"/>
      <c r="D151" s="508"/>
      <c r="E151" s="508"/>
      <c r="F151" s="508"/>
      <c r="G151" s="508">
        <f t="shared" si="19"/>
        <v>0</v>
      </c>
      <c r="H151" s="508">
        <f t="shared" si="20"/>
        <v>0</v>
      </c>
      <c r="I151" s="508">
        <f t="shared" si="21"/>
        <v>0</v>
      </c>
      <c r="J151" s="508">
        <f t="shared" si="22"/>
        <v>0</v>
      </c>
      <c r="K151" s="3331">
        <f>F151*$K$100</f>
        <v>0</v>
      </c>
      <c r="L151" s="508">
        <f>F151*$L$100</f>
        <v>0</v>
      </c>
      <c r="M151" s="3337"/>
      <c r="P151" s="2109"/>
      <c r="Q151" s="2109"/>
      <c r="S151" s="2109"/>
    </row>
    <row r="152" spans="1:19" ht="18.75" hidden="1" customHeight="1" x14ac:dyDescent="0.3">
      <c r="A152" s="3531"/>
      <c r="B152" s="3307" t="s">
        <v>1478</v>
      </c>
      <c r="C152" s="508"/>
      <c r="D152" s="508"/>
      <c r="E152" s="508"/>
      <c r="F152" s="508"/>
      <c r="G152" s="508">
        <f t="shared" si="19"/>
        <v>0</v>
      </c>
      <c r="H152" s="508">
        <f t="shared" si="20"/>
        <v>0</v>
      </c>
      <c r="I152" s="508">
        <f t="shared" si="21"/>
        <v>0</v>
      </c>
      <c r="J152" s="508">
        <f t="shared" si="22"/>
        <v>0</v>
      </c>
      <c r="K152" s="3331">
        <f>F152*$K$100</f>
        <v>0</v>
      </c>
      <c r="L152" s="508">
        <f>F152*$L$100</f>
        <v>0</v>
      </c>
      <c r="M152" s="3337"/>
      <c r="P152" s="2109"/>
      <c r="Q152" s="2109"/>
      <c r="S152" s="2109"/>
    </row>
    <row r="153" spans="1:19" ht="18.75" hidden="1" customHeight="1" x14ac:dyDescent="0.3">
      <c r="A153" s="3531"/>
      <c r="B153" s="3307" t="s">
        <v>1519</v>
      </c>
      <c r="C153" s="508"/>
      <c r="D153" s="508"/>
      <c r="E153" s="508"/>
      <c r="F153" s="508"/>
      <c r="G153" s="508">
        <f t="shared" si="19"/>
        <v>0</v>
      </c>
      <c r="H153" s="508">
        <f t="shared" si="20"/>
        <v>0</v>
      </c>
      <c r="I153" s="508">
        <f t="shared" si="21"/>
        <v>0</v>
      </c>
      <c r="J153" s="508">
        <f t="shared" si="22"/>
        <v>0</v>
      </c>
      <c r="K153" s="3331">
        <f t="shared" ref="K153:K155" si="36">F153*$K$100</f>
        <v>0</v>
      </c>
      <c r="L153" s="508">
        <f t="shared" ref="L153:L155" si="37">F153*$L$100</f>
        <v>0</v>
      </c>
      <c r="M153" s="3337"/>
      <c r="P153" s="2109"/>
      <c r="S153" s="2109"/>
    </row>
    <row r="154" spans="1:19" ht="18.75" hidden="1" x14ac:dyDescent="0.3">
      <c r="A154" s="3531"/>
      <c r="B154" s="3287" t="s">
        <v>1518</v>
      </c>
      <c r="C154" s="508"/>
      <c r="D154" s="508"/>
      <c r="E154" s="508"/>
      <c r="F154" s="508"/>
      <c r="G154" s="508">
        <f t="shared" si="19"/>
        <v>0</v>
      </c>
      <c r="H154" s="508">
        <f t="shared" si="20"/>
        <v>0</v>
      </c>
      <c r="I154" s="508">
        <f t="shared" si="21"/>
        <v>0</v>
      </c>
      <c r="J154" s="508">
        <f t="shared" si="22"/>
        <v>0</v>
      </c>
      <c r="K154" s="3331">
        <f t="shared" si="36"/>
        <v>0</v>
      </c>
      <c r="L154" s="508">
        <f t="shared" si="37"/>
        <v>0</v>
      </c>
      <c r="M154" s="3337"/>
      <c r="P154" s="2109"/>
      <c r="S154" s="2109"/>
    </row>
    <row r="155" spans="1:19" ht="18.75" hidden="1" x14ac:dyDescent="0.3">
      <c r="A155" s="3531"/>
      <c r="B155" s="3287" t="s">
        <v>1331</v>
      </c>
      <c r="C155" s="508"/>
      <c r="D155" s="508"/>
      <c r="E155" s="508"/>
      <c r="F155" s="508"/>
      <c r="G155" s="508">
        <f t="shared" si="19"/>
        <v>0</v>
      </c>
      <c r="H155" s="508">
        <f t="shared" si="20"/>
        <v>0</v>
      </c>
      <c r="I155" s="508">
        <f t="shared" si="21"/>
        <v>0</v>
      </c>
      <c r="J155" s="508">
        <f t="shared" si="22"/>
        <v>0</v>
      </c>
      <c r="K155" s="3331">
        <f t="shared" si="36"/>
        <v>0</v>
      </c>
      <c r="L155" s="508">
        <f t="shared" si="37"/>
        <v>0</v>
      </c>
      <c r="M155" s="3337"/>
      <c r="P155" s="2109"/>
      <c r="S155" s="2109"/>
    </row>
    <row r="156" spans="1:19" ht="19.5" thickBot="1" x14ac:dyDescent="0.35">
      <c r="A156" s="3531"/>
      <c r="B156" s="3378" t="s">
        <v>1332</v>
      </c>
      <c r="C156" s="605"/>
      <c r="D156" s="605">
        <f>738.1/1000</f>
        <v>0.74</v>
      </c>
      <c r="E156" s="605"/>
      <c r="F156" s="605">
        <f>[45]Лист1!$D$8/1000</f>
        <v>1.25</v>
      </c>
      <c r="G156" s="605">
        <f t="shared" si="19"/>
        <v>0</v>
      </c>
      <c r="H156" s="605">
        <f t="shared" si="20"/>
        <v>0</v>
      </c>
      <c r="I156" s="605">
        <f t="shared" si="21"/>
        <v>0</v>
      </c>
      <c r="J156" s="605">
        <f t="shared" si="22"/>
        <v>1.25</v>
      </c>
      <c r="K156" s="3340">
        <f>F156*$K$100</f>
        <v>0.16</v>
      </c>
      <c r="L156" s="605">
        <f>F156*$L$100</f>
        <v>1.0900000000000001</v>
      </c>
      <c r="M156" s="491" t="s">
        <v>2578</v>
      </c>
      <c r="P156" s="2109"/>
      <c r="Q156" s="2109"/>
      <c r="S156" s="2109"/>
    </row>
    <row r="157" spans="1:19" ht="18.75" hidden="1" x14ac:dyDescent="0.3">
      <c r="B157" s="3375" t="s">
        <v>1333</v>
      </c>
      <c r="C157" s="3376"/>
      <c r="D157" s="3376"/>
      <c r="E157" s="3376"/>
      <c r="F157" s="3376">
        <f>'[49]Зв''язок'!H58/1000</f>
        <v>0</v>
      </c>
      <c r="G157" s="3376">
        <f t="shared" si="19"/>
        <v>0</v>
      </c>
      <c r="H157" s="3376">
        <f t="shared" si="20"/>
        <v>0</v>
      </c>
      <c r="I157" s="3376">
        <f t="shared" si="21"/>
        <v>0</v>
      </c>
      <c r="J157" s="3376">
        <f t="shared" si="22"/>
        <v>0</v>
      </c>
      <c r="K157" s="3377">
        <f>F157*$K$100</f>
        <v>0</v>
      </c>
      <c r="L157" s="3376">
        <f>F157*$L$100</f>
        <v>0</v>
      </c>
      <c r="P157" s="2109"/>
      <c r="Q157" s="2109"/>
      <c r="S157" s="2109"/>
    </row>
    <row r="158" spans="1:19" ht="37.5" hidden="1" x14ac:dyDescent="0.3">
      <c r="B158" s="3309" t="s">
        <v>1517</v>
      </c>
      <c r="C158" s="508"/>
      <c r="D158" s="508"/>
      <c r="E158" s="508"/>
      <c r="F158" s="508"/>
      <c r="G158" s="508">
        <f t="shared" si="19"/>
        <v>0</v>
      </c>
      <c r="H158" s="508">
        <f t="shared" si="20"/>
        <v>0</v>
      </c>
      <c r="I158" s="508">
        <f t="shared" si="21"/>
        <v>0</v>
      </c>
      <c r="J158" s="508">
        <f t="shared" si="22"/>
        <v>0</v>
      </c>
      <c r="K158" s="3331">
        <f>F158*$K$100</f>
        <v>0</v>
      </c>
      <c r="L158" s="508">
        <f>F158*$L$100</f>
        <v>0</v>
      </c>
      <c r="P158" s="2109"/>
      <c r="Q158" s="2109"/>
      <c r="S158" s="2109"/>
    </row>
    <row r="159" spans="1:19" ht="18.75" hidden="1" x14ac:dyDescent="0.3">
      <c r="B159" s="3300" t="s">
        <v>1338</v>
      </c>
      <c r="C159" s="508"/>
      <c r="D159" s="508"/>
      <c r="E159" s="508"/>
      <c r="F159" s="508"/>
      <c r="G159" s="508">
        <f t="shared" si="19"/>
        <v>0</v>
      </c>
      <c r="H159" s="508">
        <f t="shared" si="20"/>
        <v>0</v>
      </c>
      <c r="I159" s="508">
        <f t="shared" si="21"/>
        <v>0</v>
      </c>
      <c r="J159" s="508">
        <f t="shared" si="22"/>
        <v>0</v>
      </c>
      <c r="K159" s="3331">
        <f>F159/4+F159/4*3*$K$100</f>
        <v>0</v>
      </c>
      <c r="L159" s="508">
        <f>F159/4*3*$L$100</f>
        <v>0</v>
      </c>
      <c r="N159" s="3288"/>
      <c r="P159" s="2109"/>
      <c r="Q159" s="2109"/>
      <c r="S159" s="2109"/>
    </row>
    <row r="160" spans="1:19" ht="18.75" hidden="1" x14ac:dyDescent="0.3">
      <c r="B160" s="3287" t="s">
        <v>1604</v>
      </c>
      <c r="C160" s="508"/>
      <c r="D160" s="508"/>
      <c r="E160" s="508"/>
      <c r="F160" s="508"/>
      <c r="G160" s="508">
        <f t="shared" si="19"/>
        <v>0</v>
      </c>
      <c r="H160" s="508">
        <f t="shared" si="20"/>
        <v>0</v>
      </c>
      <c r="I160" s="508">
        <f t="shared" si="21"/>
        <v>0</v>
      </c>
      <c r="J160" s="508">
        <f t="shared" si="22"/>
        <v>0</v>
      </c>
      <c r="K160" s="3331">
        <f>F160/4+F160/4*3*$K$100</f>
        <v>0</v>
      </c>
      <c r="L160" s="508">
        <f>F160/4*3*$L$100</f>
        <v>0</v>
      </c>
      <c r="N160" s="3288"/>
      <c r="P160" s="2109"/>
      <c r="Q160" s="2109"/>
      <c r="S160" s="2109"/>
    </row>
    <row r="161" spans="2:19" ht="18.75" hidden="1" x14ac:dyDescent="0.3">
      <c r="B161" s="3287" t="s">
        <v>950</v>
      </c>
      <c r="C161" s="508"/>
      <c r="D161" s="508"/>
      <c r="E161" s="508"/>
      <c r="F161" s="508"/>
      <c r="G161" s="508">
        <f t="shared" si="19"/>
        <v>0</v>
      </c>
      <c r="H161" s="508">
        <f t="shared" si="20"/>
        <v>0</v>
      </c>
      <c r="I161" s="508">
        <f t="shared" si="21"/>
        <v>0</v>
      </c>
      <c r="J161" s="508">
        <f t="shared" si="22"/>
        <v>0</v>
      </c>
      <c r="K161" s="3331">
        <f>F161*$K$100</f>
        <v>0</v>
      </c>
      <c r="L161" s="508">
        <f>F161*$L$100</f>
        <v>0</v>
      </c>
      <c r="M161" s="3261"/>
      <c r="P161" s="2109"/>
      <c r="Q161" s="2109"/>
      <c r="S161" s="2109"/>
    </row>
    <row r="162" spans="2:19" ht="36" hidden="1" customHeight="1" x14ac:dyDescent="0.3">
      <c r="B162" s="3287" t="s">
        <v>1606</v>
      </c>
      <c r="C162" s="508"/>
      <c r="D162" s="3338"/>
      <c r="E162" s="508"/>
      <c r="F162" s="508"/>
      <c r="G162" s="508">
        <f t="shared" si="19"/>
        <v>0</v>
      </c>
      <c r="H162" s="508">
        <f t="shared" si="20"/>
        <v>0</v>
      </c>
      <c r="I162" s="508">
        <f t="shared" si="21"/>
        <v>0</v>
      </c>
      <c r="J162" s="508">
        <f t="shared" si="22"/>
        <v>0</v>
      </c>
      <c r="K162" s="3331">
        <f>F162</f>
        <v>0</v>
      </c>
      <c r="L162" s="508"/>
      <c r="P162" s="2109"/>
      <c r="Q162" s="2109"/>
      <c r="S162" s="2109"/>
    </row>
    <row r="163" spans="2:19" ht="17.45" hidden="1" customHeight="1" thickBot="1" x14ac:dyDescent="0.35">
      <c r="B163" s="3315" t="s">
        <v>1633</v>
      </c>
      <c r="C163" s="3338"/>
      <c r="D163" s="3338"/>
      <c r="E163" s="3338"/>
      <c r="F163" s="3338"/>
      <c r="G163" s="3338"/>
      <c r="H163" s="3338"/>
      <c r="I163" s="3338"/>
      <c r="J163" s="3338"/>
      <c r="K163" s="3339"/>
      <c r="L163" s="3338"/>
      <c r="P163" s="2109"/>
      <c r="Q163" s="2109"/>
      <c r="S163" s="2109"/>
    </row>
    <row r="164" spans="2:19" ht="19.5" hidden="1" thickBot="1" x14ac:dyDescent="0.35">
      <c r="B164" s="3315" t="s">
        <v>58</v>
      </c>
      <c r="C164" s="605"/>
      <c r="D164" s="605"/>
      <c r="E164" s="605"/>
      <c r="F164" s="605"/>
      <c r="G164" s="605">
        <f t="shared" si="19"/>
        <v>0</v>
      </c>
      <c r="H164" s="605">
        <f t="shared" si="20"/>
        <v>0</v>
      </c>
      <c r="I164" s="605">
        <f t="shared" si="21"/>
        <v>0</v>
      </c>
      <c r="J164" s="605">
        <f t="shared" si="22"/>
        <v>0</v>
      </c>
      <c r="K164" s="3340">
        <f>F164*$K$100</f>
        <v>0</v>
      </c>
      <c r="L164" s="605">
        <f>F164*$L$100</f>
        <v>0</v>
      </c>
      <c r="P164" s="2109"/>
      <c r="Q164" s="2109"/>
      <c r="S164" s="2109"/>
    </row>
    <row r="165" spans="2:19" ht="24" customHeight="1" x14ac:dyDescent="0.25">
      <c r="D165" s="2109"/>
    </row>
    <row r="166" spans="2:19" ht="24" customHeight="1" x14ac:dyDescent="0.25"/>
    <row r="167" spans="2:19" ht="24" customHeight="1" x14ac:dyDescent="0.3">
      <c r="B167" s="3273" t="str">
        <f>'Вхідні дані'!$B$13</f>
        <v>Начальник Адміністрації морського порту Чорноморськ</v>
      </c>
      <c r="C167" s="3273"/>
      <c r="D167" s="3273"/>
      <c r="E167" s="3273"/>
      <c r="F167" s="3323" t="s">
        <v>1339</v>
      </c>
      <c r="H167" s="3969" t="str">
        <f>'Вхідні дані'!$F$13</f>
        <v>Максим ШИРОКОВ</v>
      </c>
      <c r="I167" s="3969"/>
      <c r="J167" s="3969"/>
    </row>
    <row r="168" spans="2:19" ht="24" customHeight="1" x14ac:dyDescent="0.3">
      <c r="B168" s="3273"/>
      <c r="C168" s="3273"/>
      <c r="D168" s="3273"/>
      <c r="E168" s="3273"/>
      <c r="F168" s="3323" t="s">
        <v>219</v>
      </c>
      <c r="H168" s="3971" t="s">
        <v>1926</v>
      </c>
      <c r="I168" s="3971"/>
      <c r="J168" s="3971"/>
    </row>
    <row r="169" spans="2:19" ht="24" customHeight="1" x14ac:dyDescent="0.3">
      <c r="B169" s="3273" t="str">
        <f>'Вхідні дані'!$B$15</f>
        <v>Заступник начальника з економіки та фінансів</v>
      </c>
      <c r="C169" s="3273"/>
      <c r="D169" s="3273"/>
      <c r="E169" s="3273"/>
      <c r="F169" s="3323" t="s">
        <v>1339</v>
      </c>
      <c r="H169" s="3969" t="str">
        <f>'Вхідні дані'!$F$15</f>
        <v>Наталія БАРТОШИК</v>
      </c>
      <c r="I169" s="3969"/>
      <c r="J169" s="3969"/>
    </row>
    <row r="170" spans="2:19" ht="24" customHeight="1" x14ac:dyDescent="0.3">
      <c r="B170" s="3324"/>
      <c r="C170" s="3324"/>
      <c r="D170" s="3324"/>
      <c r="E170" s="3324"/>
      <c r="F170" s="3323" t="s">
        <v>219</v>
      </c>
      <c r="H170" s="3971" t="s">
        <v>1926</v>
      </c>
      <c r="I170" s="3971"/>
      <c r="J170" s="3971"/>
      <c r="K170" s="3325"/>
      <c r="L170" s="3326"/>
    </row>
    <row r="171" spans="2:19" ht="24" customHeight="1" x14ac:dyDescent="0.25">
      <c r="B171" s="3324"/>
      <c r="C171" s="3324"/>
      <c r="D171" s="3324"/>
      <c r="E171" s="3324"/>
      <c r="F171" s="3324"/>
      <c r="G171" s="3324"/>
      <c r="H171" s="3324"/>
      <c r="I171" s="3324"/>
      <c r="J171" s="3324"/>
      <c r="K171" s="3325"/>
      <c r="L171" s="3326"/>
    </row>
    <row r="172" spans="2:19" ht="24" customHeight="1" x14ac:dyDescent="0.25">
      <c r="B172" s="3324"/>
      <c r="C172" s="3324"/>
      <c r="D172" s="3324"/>
      <c r="E172" s="3324"/>
      <c r="F172" s="3324"/>
      <c r="G172" s="3324"/>
      <c r="H172" s="3324"/>
      <c r="I172" s="3324"/>
      <c r="J172" s="3324"/>
      <c r="K172" s="3341"/>
      <c r="L172" s="3341"/>
    </row>
    <row r="173" spans="2:19" x14ac:dyDescent="0.25">
      <c r="K173" s="3288"/>
      <c r="L173" s="3288"/>
      <c r="M173" s="2109"/>
    </row>
    <row r="177" spans="2:8" x14ac:dyDescent="0.25">
      <c r="D177" s="2109"/>
      <c r="E177" s="2109"/>
      <c r="F177" s="2109"/>
    </row>
    <row r="179" spans="2:8" x14ac:dyDescent="0.25">
      <c r="B179" s="3962" t="s">
        <v>3208</v>
      </c>
      <c r="C179" s="3962"/>
      <c r="D179" s="3962"/>
      <c r="E179" s="3962"/>
      <c r="F179" s="3962"/>
      <c r="G179" s="3962"/>
      <c r="H179" s="3962"/>
    </row>
    <row r="180" spans="2:8" x14ac:dyDescent="0.25">
      <c r="B180" s="3342"/>
      <c r="C180" s="3342"/>
      <c r="D180" s="3342"/>
      <c r="E180" s="3961" t="s">
        <v>1704</v>
      </c>
      <c r="F180" s="3961"/>
      <c r="G180" s="3342"/>
      <c r="H180" s="3342"/>
    </row>
    <row r="181" spans="2:8" x14ac:dyDescent="0.25">
      <c r="B181" s="3343" t="s">
        <v>355</v>
      </c>
      <c r="C181" s="3963" t="s">
        <v>2184</v>
      </c>
      <c r="D181" s="3963"/>
      <c r="E181" s="3963" t="s">
        <v>2185</v>
      </c>
      <c r="F181" s="3963"/>
      <c r="G181" s="3343" t="s">
        <v>2187</v>
      </c>
      <c r="H181" s="3343" t="s">
        <v>2186</v>
      </c>
    </row>
    <row r="182" spans="2:8" x14ac:dyDescent="0.25">
      <c r="B182" s="3344" t="s">
        <v>2173</v>
      </c>
      <c r="C182" s="3345">
        <f>D182/D192</f>
        <v>7.4499999999999997E-2</v>
      </c>
      <c r="D182" s="3346">
        <f>F28</f>
        <v>5029.51</v>
      </c>
      <c r="E182" s="3345">
        <f>F182/F192</f>
        <v>0.1135</v>
      </c>
      <c r="F182" s="3346">
        <f>E28</f>
        <v>3975.1</v>
      </c>
      <c r="G182" s="3347">
        <f>C182-E182</f>
        <v>-3.9E-2</v>
      </c>
      <c r="H182" s="3346">
        <f>D182-F182</f>
        <v>1054.4100000000001</v>
      </c>
    </row>
    <row r="183" spans="2:8" x14ac:dyDescent="0.25">
      <c r="B183" s="3344" t="s">
        <v>2174</v>
      </c>
      <c r="C183" s="3345">
        <f>D183/D192</f>
        <v>1.6400000000000001E-2</v>
      </c>
      <c r="D183" s="3346">
        <f>F31</f>
        <v>1106.49</v>
      </c>
      <c r="E183" s="3345">
        <f>F183/F192</f>
        <v>2.5000000000000001E-2</v>
      </c>
      <c r="F183" s="3346">
        <f>E31</f>
        <v>874.5</v>
      </c>
      <c r="G183" s="3347">
        <f t="shared" ref="G183:H192" si="38">C183-E183</f>
        <v>-8.6E-3</v>
      </c>
      <c r="H183" s="3346">
        <f t="shared" si="38"/>
        <v>231.99</v>
      </c>
    </row>
    <row r="184" spans="2:8" x14ac:dyDescent="0.25">
      <c r="B184" s="3344" t="s">
        <v>2175</v>
      </c>
      <c r="C184" s="3345">
        <f>D184/D192</f>
        <v>0.80910000000000004</v>
      </c>
      <c r="D184" s="3346">
        <f>F11</f>
        <v>54631.040000000001</v>
      </c>
      <c r="E184" s="3345">
        <f>F184/F192</f>
        <v>0.77329999999999999</v>
      </c>
      <c r="F184" s="3346">
        <f>E11</f>
        <v>27076.400000000001</v>
      </c>
      <c r="G184" s="3347">
        <f t="shared" si="38"/>
        <v>3.5799999999999998E-2</v>
      </c>
      <c r="H184" s="3346">
        <f t="shared" si="38"/>
        <v>27554.639999999999</v>
      </c>
    </row>
    <row r="185" spans="2:8" x14ac:dyDescent="0.25">
      <c r="B185" s="3344" t="s">
        <v>43</v>
      </c>
      <c r="C185" s="3345">
        <f>D185/D192</f>
        <v>6.8999999999999999E-3</v>
      </c>
      <c r="D185" s="3346">
        <f>F15</f>
        <v>466.11</v>
      </c>
      <c r="E185" s="3345">
        <f>F185/F192</f>
        <v>1.1299999999999999E-2</v>
      </c>
      <c r="F185" s="3346">
        <f>E15</f>
        <v>396.4</v>
      </c>
      <c r="G185" s="3347">
        <f t="shared" si="38"/>
        <v>-4.4000000000000003E-3</v>
      </c>
      <c r="H185" s="3346">
        <f t="shared" si="38"/>
        <v>69.709999999999994</v>
      </c>
    </row>
    <row r="186" spans="2:8" x14ac:dyDescent="0.25">
      <c r="B186" s="3344" t="s">
        <v>2176</v>
      </c>
      <c r="C186" s="3345">
        <f>D186/D192</f>
        <v>5.9999999999999995E-4</v>
      </c>
      <c r="D186" s="3346">
        <f>F16</f>
        <v>38.79</v>
      </c>
      <c r="E186" s="3345">
        <f>F186/F192</f>
        <v>8.0000000000000004E-4</v>
      </c>
      <c r="F186" s="3346">
        <f>E16</f>
        <v>29.5</v>
      </c>
      <c r="G186" s="3347">
        <f t="shared" si="38"/>
        <v>-2.0000000000000001E-4</v>
      </c>
      <c r="H186" s="3346">
        <f t="shared" si="38"/>
        <v>9.2899999999999991</v>
      </c>
    </row>
    <row r="187" spans="2:8" x14ac:dyDescent="0.25">
      <c r="B187" s="3344" t="s">
        <v>459</v>
      </c>
      <c r="C187" s="3345">
        <f>D187/D192</f>
        <v>3.3399999999999999E-2</v>
      </c>
      <c r="D187" s="3346">
        <f>F32+F33</f>
        <v>2255</v>
      </c>
      <c r="E187" s="3345">
        <f>F187/F192</f>
        <v>5.3400000000000003E-2</v>
      </c>
      <c r="F187" s="3346">
        <f>E32+E33</f>
        <v>1870.7</v>
      </c>
      <c r="G187" s="3347">
        <f t="shared" si="38"/>
        <v>-0.02</v>
      </c>
      <c r="H187" s="3346">
        <f t="shared" si="38"/>
        <v>384.3</v>
      </c>
    </row>
    <row r="188" spans="2:8" x14ac:dyDescent="0.25">
      <c r="B188" s="3344" t="s">
        <v>2177</v>
      </c>
      <c r="C188" s="3345">
        <f>D188/D192</f>
        <v>4.7000000000000002E-3</v>
      </c>
      <c r="D188" s="3346">
        <f>F70</f>
        <v>319.43</v>
      </c>
      <c r="E188" s="3345">
        <f>F188/F192</f>
        <v>0</v>
      </c>
      <c r="F188" s="3346">
        <f>E70</f>
        <v>0</v>
      </c>
      <c r="G188" s="3347">
        <f t="shared" si="38"/>
        <v>4.7000000000000002E-3</v>
      </c>
      <c r="H188" s="3346">
        <f t="shared" si="38"/>
        <v>319.43</v>
      </c>
    </row>
    <row r="189" spans="2:8" x14ac:dyDescent="0.25">
      <c r="B189" s="3344" t="s">
        <v>2178</v>
      </c>
      <c r="C189" s="3345">
        <f>D189/D192</f>
        <v>1.0999999999999999E-2</v>
      </c>
      <c r="D189" s="3346">
        <f>F34</f>
        <v>740.1</v>
      </c>
      <c r="E189" s="3345">
        <f>F189/F192</f>
        <v>1.77E-2</v>
      </c>
      <c r="F189" s="3346">
        <f>E34</f>
        <v>618.29999999999995</v>
      </c>
      <c r="G189" s="3347">
        <f t="shared" si="38"/>
        <v>-6.7000000000000002E-3</v>
      </c>
      <c r="H189" s="3346">
        <f t="shared" si="38"/>
        <v>121.8</v>
      </c>
    </row>
    <row r="190" spans="2:8" x14ac:dyDescent="0.25">
      <c r="B190" s="3344" t="s">
        <v>2179</v>
      </c>
      <c r="C190" s="3345">
        <f>D190/D192</f>
        <v>4.3400000000000001E-2</v>
      </c>
      <c r="D190" s="3346">
        <f>D192-D182-D183-D184-D185-D186-D187-D188-D189</f>
        <v>2930.47</v>
      </c>
      <c r="E190" s="3345">
        <f>F190/F192</f>
        <v>4.8999999999999998E-3</v>
      </c>
      <c r="F190" s="3346">
        <f>F192-F182-F183-F184-F185-F186-F187-F188-F189</f>
        <v>172.8</v>
      </c>
      <c r="G190" s="3347">
        <f t="shared" si="38"/>
        <v>3.85E-2</v>
      </c>
      <c r="H190" s="3346">
        <f t="shared" si="38"/>
        <v>2757.67</v>
      </c>
    </row>
    <row r="191" spans="2:8" x14ac:dyDescent="0.25">
      <c r="B191" s="3344" t="s">
        <v>2183</v>
      </c>
      <c r="C191" s="3345">
        <f>D191/D192</f>
        <v>0</v>
      </c>
      <c r="D191" s="3346"/>
      <c r="E191" s="3345">
        <f>F191/F192</f>
        <v>0</v>
      </c>
      <c r="F191" s="3346"/>
      <c r="G191" s="3347">
        <f t="shared" si="38"/>
        <v>0</v>
      </c>
      <c r="H191" s="3346">
        <f t="shared" si="38"/>
        <v>0</v>
      </c>
    </row>
    <row r="192" spans="2:8" x14ac:dyDescent="0.25">
      <c r="B192" s="3348" t="s">
        <v>1872</v>
      </c>
      <c r="C192" s="3349">
        <f>SUM(C182:C191)</f>
        <v>1</v>
      </c>
      <c r="D192" s="3346">
        <f>F9</f>
        <v>67516.94</v>
      </c>
      <c r="E192" s="3349">
        <f>SUM(E182:E191)</f>
        <v>1</v>
      </c>
      <c r="F192" s="3346">
        <f>E9</f>
        <v>35013.699999999997</v>
      </c>
      <c r="G192" s="3347">
        <f t="shared" si="38"/>
        <v>0</v>
      </c>
      <c r="H192" s="3346">
        <f t="shared" si="38"/>
        <v>32503.24</v>
      </c>
    </row>
    <row r="195" spans="2:8" x14ac:dyDescent="0.25">
      <c r="B195" s="3962" t="s">
        <v>3209</v>
      </c>
      <c r="C195" s="3962"/>
      <c r="D195" s="3962"/>
      <c r="E195" s="3962"/>
      <c r="F195" s="3962"/>
      <c r="G195" s="3962"/>
      <c r="H195" s="3962"/>
    </row>
    <row r="196" spans="2:8" x14ac:dyDescent="0.25">
      <c r="B196" s="3342"/>
      <c r="C196" s="3342"/>
      <c r="D196" s="3342"/>
      <c r="E196" s="3961" t="s">
        <v>1704</v>
      </c>
      <c r="F196" s="3961"/>
      <c r="G196" s="3342"/>
      <c r="H196" s="3342"/>
    </row>
    <row r="197" spans="2:8" x14ac:dyDescent="0.25">
      <c r="B197" s="3343" t="s">
        <v>355</v>
      </c>
      <c r="C197" s="3350" t="s">
        <v>3139</v>
      </c>
      <c r="D197" s="3351" t="s">
        <v>2184</v>
      </c>
      <c r="E197" s="3350" t="s">
        <v>669</v>
      </c>
      <c r="F197" s="3351" t="s">
        <v>2185</v>
      </c>
      <c r="G197" s="3343" t="s">
        <v>2187</v>
      </c>
      <c r="H197" s="3343" t="s">
        <v>2186</v>
      </c>
    </row>
    <row r="198" spans="2:8" x14ac:dyDescent="0.25">
      <c r="B198" s="3344" t="s">
        <v>2173</v>
      </c>
      <c r="C198" s="3345">
        <f>D198/D208</f>
        <v>0.16889999999999999</v>
      </c>
      <c r="D198" s="3346">
        <f>F118</f>
        <v>3023.13</v>
      </c>
      <c r="E198" s="3345">
        <f>F198/F208</f>
        <v>0.45190000000000002</v>
      </c>
      <c r="F198" s="3346">
        <f>E118</f>
        <v>2376.1999999999998</v>
      </c>
      <c r="G198" s="3347">
        <f>C198-E198</f>
        <v>-0.28299999999999997</v>
      </c>
      <c r="H198" s="3346">
        <f>D198-F198</f>
        <v>646.92999999999995</v>
      </c>
    </row>
    <row r="199" spans="2:8" x14ac:dyDescent="0.25">
      <c r="B199" s="3344" t="s">
        <v>2174</v>
      </c>
      <c r="C199" s="3345">
        <f>D199/D208</f>
        <v>3.7199999999999997E-2</v>
      </c>
      <c r="D199" s="3346">
        <f>F121</f>
        <v>665.09</v>
      </c>
      <c r="E199" s="3345">
        <f>F199/F208</f>
        <v>9.9400000000000002E-2</v>
      </c>
      <c r="F199" s="3346">
        <f>E121</f>
        <v>522.70000000000005</v>
      </c>
      <c r="G199" s="3347">
        <f t="shared" ref="G199:H208" si="39">C199-E199</f>
        <v>-6.2199999999999998E-2</v>
      </c>
      <c r="H199" s="3346">
        <f t="shared" si="39"/>
        <v>142.38999999999999</v>
      </c>
    </row>
    <row r="200" spans="2:8" ht="17.45" customHeight="1" x14ac:dyDescent="0.25">
      <c r="B200" s="3352" t="s">
        <v>2261</v>
      </c>
      <c r="C200" s="3345">
        <f>D200/D208</f>
        <v>0.48399999999999999</v>
      </c>
      <c r="D200" s="3346">
        <f>F117</f>
        <v>8663.69</v>
      </c>
      <c r="E200" s="3345">
        <f>F200/F208</f>
        <v>0</v>
      </c>
      <c r="F200" s="3346">
        <f>E117</f>
        <v>0</v>
      </c>
      <c r="G200" s="3347">
        <f t="shared" si="39"/>
        <v>0.48399999999999999</v>
      </c>
      <c r="H200" s="3346">
        <f t="shared" si="39"/>
        <v>8663.69</v>
      </c>
    </row>
    <row r="201" spans="2:8" x14ac:dyDescent="0.25">
      <c r="B201" s="3344" t="s">
        <v>43</v>
      </c>
      <c r="C201" s="3345">
        <f>D201/D208</f>
        <v>0.10979999999999999</v>
      </c>
      <c r="D201" s="3346">
        <f>F105</f>
        <v>1966.15</v>
      </c>
      <c r="E201" s="3345">
        <f>F201/F208</f>
        <v>0.31159999999999999</v>
      </c>
      <c r="F201" s="3346">
        <f>E105</f>
        <v>1638.2</v>
      </c>
      <c r="G201" s="3347">
        <f t="shared" si="39"/>
        <v>-0.20180000000000001</v>
      </c>
      <c r="H201" s="3346">
        <f t="shared" si="39"/>
        <v>327.95</v>
      </c>
    </row>
    <row r="202" spans="2:8" x14ac:dyDescent="0.25">
      <c r="B202" s="3344" t="s">
        <v>2176</v>
      </c>
      <c r="C202" s="3345">
        <f>D202/D208</f>
        <v>2.6499999999999999E-2</v>
      </c>
      <c r="D202" s="3346">
        <f>F106</f>
        <v>473.91</v>
      </c>
      <c r="E202" s="3345">
        <f>F202/F208</f>
        <v>2.24E-2</v>
      </c>
      <c r="F202" s="3346">
        <f>E106</f>
        <v>118</v>
      </c>
      <c r="G202" s="3347">
        <f t="shared" si="39"/>
        <v>4.1000000000000003E-3</v>
      </c>
      <c r="H202" s="3346">
        <f t="shared" si="39"/>
        <v>355.91</v>
      </c>
    </row>
    <row r="203" spans="2:8" x14ac:dyDescent="0.25">
      <c r="B203" s="3344" t="s">
        <v>459</v>
      </c>
      <c r="C203" s="3345">
        <f>D203/D208</f>
        <v>1.2699999999999999E-2</v>
      </c>
      <c r="D203" s="3346">
        <f>F122+F123</f>
        <v>227.88</v>
      </c>
      <c r="E203" s="3345">
        <f>F203/F208</f>
        <v>7.7200000000000005E-2</v>
      </c>
      <c r="F203" s="3346">
        <f>E122+E123</f>
        <v>405.7</v>
      </c>
      <c r="G203" s="3347">
        <f t="shared" si="39"/>
        <v>-6.4500000000000002E-2</v>
      </c>
      <c r="H203" s="3346">
        <f t="shared" si="39"/>
        <v>-177.82</v>
      </c>
    </row>
    <row r="204" spans="2:8" x14ac:dyDescent="0.25">
      <c r="B204" s="3344" t="s">
        <v>2177</v>
      </c>
      <c r="C204" s="3345">
        <f>D204/D208</f>
        <v>0</v>
      </c>
      <c r="D204" s="3346">
        <f>F159</f>
        <v>0</v>
      </c>
      <c r="E204" s="3345">
        <f>F204/F208</f>
        <v>0</v>
      </c>
      <c r="F204" s="3346">
        <f>E159</f>
        <v>0</v>
      </c>
      <c r="G204" s="3347">
        <f t="shared" si="39"/>
        <v>0</v>
      </c>
      <c r="H204" s="3346">
        <f t="shared" si="39"/>
        <v>0</v>
      </c>
    </row>
    <row r="205" spans="2:8" x14ac:dyDescent="0.25">
      <c r="B205" s="3344" t="s">
        <v>2178</v>
      </c>
      <c r="C205" s="3345">
        <f>D205/D208</f>
        <v>0</v>
      </c>
      <c r="D205" s="3346">
        <f>F124+F125</f>
        <v>0</v>
      </c>
      <c r="E205" s="3345">
        <f>F205/F208</f>
        <v>0</v>
      </c>
      <c r="F205" s="3346">
        <f>E124+E125</f>
        <v>0</v>
      </c>
      <c r="G205" s="3347">
        <f t="shared" si="39"/>
        <v>0</v>
      </c>
      <c r="H205" s="3346">
        <f t="shared" si="39"/>
        <v>0</v>
      </c>
    </row>
    <row r="206" spans="2:8" x14ac:dyDescent="0.25">
      <c r="B206" s="3344" t="s">
        <v>2179</v>
      </c>
      <c r="C206" s="3345">
        <f>D206/D208</f>
        <v>0.16089999999999999</v>
      </c>
      <c r="D206" s="3346">
        <f>D208-D198-D199-D200-D201-D202-D203-D204-D205</f>
        <v>2880.6</v>
      </c>
      <c r="E206" s="3345">
        <f>F206/F208</f>
        <v>3.7499999999999999E-2</v>
      </c>
      <c r="F206" s="3346">
        <f>F208-F198-F199-F200-F201-F202-F203-F204-F205</f>
        <v>197.3</v>
      </c>
      <c r="G206" s="3347">
        <f t="shared" si="39"/>
        <v>0.1234</v>
      </c>
      <c r="H206" s="3346">
        <f t="shared" si="39"/>
        <v>2683.3</v>
      </c>
    </row>
    <row r="207" spans="2:8" x14ac:dyDescent="0.25">
      <c r="B207" s="3344" t="s">
        <v>2183</v>
      </c>
      <c r="C207" s="3345">
        <f>D207/D208</f>
        <v>0</v>
      </c>
      <c r="D207" s="3346"/>
      <c r="E207" s="3345">
        <f>F207/F208</f>
        <v>0</v>
      </c>
      <c r="F207" s="3346"/>
      <c r="G207" s="3347">
        <f t="shared" si="39"/>
        <v>0</v>
      </c>
      <c r="H207" s="3346">
        <f t="shared" si="39"/>
        <v>0</v>
      </c>
    </row>
    <row r="208" spans="2:8" x14ac:dyDescent="0.25">
      <c r="B208" s="3348" t="s">
        <v>1872</v>
      </c>
      <c r="C208" s="3349">
        <f>SUM(C198:C207)</f>
        <v>1</v>
      </c>
      <c r="D208" s="3346">
        <f>F103</f>
        <v>17900.45</v>
      </c>
      <c r="E208" s="3349">
        <f>SUM(E198:E207)</f>
        <v>1</v>
      </c>
      <c r="F208" s="3346">
        <f>E103</f>
        <v>5258.1</v>
      </c>
      <c r="G208" s="3347">
        <f t="shared" si="39"/>
        <v>0</v>
      </c>
      <c r="H208" s="3346">
        <f t="shared" si="39"/>
        <v>12642.35</v>
      </c>
    </row>
    <row r="212" spans="8:9" x14ac:dyDescent="0.25">
      <c r="H212" s="3350" t="s">
        <v>3210</v>
      </c>
      <c r="I212" s="3350" t="s">
        <v>2742</v>
      </c>
    </row>
  </sheetData>
  <mergeCells count="20">
    <mergeCell ref="H167:J167"/>
    <mergeCell ref="H168:J168"/>
    <mergeCell ref="H169:J169"/>
    <mergeCell ref="H170:J170"/>
    <mergeCell ref="K99:L99"/>
    <mergeCell ref="K101:L101"/>
    <mergeCell ref="B7:B8"/>
    <mergeCell ref="G7:J7"/>
    <mergeCell ref="B101:B102"/>
    <mergeCell ref="G101:J101"/>
    <mergeCell ref="G87:I87"/>
    <mergeCell ref="G88:I88"/>
    <mergeCell ref="G89:I89"/>
    <mergeCell ref="G90:I90"/>
    <mergeCell ref="E196:F196"/>
    <mergeCell ref="B179:H179"/>
    <mergeCell ref="E180:F180"/>
    <mergeCell ref="C181:D181"/>
    <mergeCell ref="E181:F181"/>
    <mergeCell ref="B195:H195"/>
  </mergeCells>
  <conditionalFormatting sqref="H170:L171 G171 B170:F171">
    <cfRule type="expression" dxfId="37" priority="22" stopIfTrue="1">
      <formula>ABS(#REF!-(#REF!+$D170+#REF!+#REF!))&gt;отклонение</formula>
    </cfRule>
  </conditionalFormatting>
  <conditionalFormatting sqref="B90:E90 G90:L90">
    <cfRule type="expression" dxfId="36" priority="21" stopIfTrue="1">
      <formula>ABS(#REF!-(#REF!+$D90+#REF!+#REF!))&gt;отклонение</formula>
    </cfRule>
  </conditionalFormatting>
  <conditionalFormatting sqref="B172:L172">
    <cfRule type="expression" dxfId="35" priority="20" stopIfTrue="1">
      <formula>ABS(#REF!-(#REF!+#REF!+#REF!+#REF!))&gt;отклонение</formula>
    </cfRule>
  </conditionalFormatting>
  <conditionalFormatting sqref="H170:I170 B170:F170">
    <cfRule type="expression" dxfId="34" priority="18" stopIfTrue="1">
      <formula>ABS(#REF!-(#REF!+$D170+#REF!+#REF!))&gt;отклонение</formula>
    </cfRule>
  </conditionalFormatting>
  <conditionalFormatting sqref="G90:I90">
    <cfRule type="expression" dxfId="33" priority="17" stopIfTrue="1">
      <formula>ABS(#REF!-(#REF!+$D90+#REF!+#REF!))&gt;отклонение</formula>
    </cfRule>
  </conditionalFormatting>
  <conditionalFormatting sqref="F90:I90 H170:J170 F170">
    <cfRule type="expression" dxfId="32" priority="16" stopIfTrue="1">
      <formula>ABS(#REF!-(#REF!+$D90+$M90+$P90))&gt;отклонение</formula>
    </cfRule>
  </conditionalFormatting>
  <conditionalFormatting sqref="G90:I90 H170:J170">
    <cfRule type="expression" dxfId="31" priority="15" stopIfTrue="1">
      <formula>ABS(#REF!-(#REF!+$D90+$M90+$P90))&gt;отклонение</formula>
    </cfRule>
  </conditionalFormatting>
  <conditionalFormatting sqref="G90:I90 H170:J170">
    <cfRule type="expression" dxfId="30" priority="14" stopIfTrue="1">
      <formula>ABS(#REF!-(#REF!+$E90+$L90+$O90))&gt;отклонение</formula>
    </cfRule>
  </conditionalFormatting>
  <conditionalFormatting sqref="H170:J170">
    <cfRule type="expression" dxfId="29" priority="13" stopIfTrue="1">
      <formula>ABS(#REF!-(#REF!+$D170+#REF!+#REF!))&gt;отклонение</formula>
    </cfRule>
  </conditionalFormatting>
  <conditionalFormatting sqref="H170:J170">
    <cfRule type="expression" dxfId="28" priority="9" stopIfTrue="1">
      <formula>ABS(#REF!-(#REF!+$D170+#REF!+#REF!))&gt;отклонение</formula>
    </cfRule>
  </conditionalFormatting>
  <conditionalFormatting sqref="H170:J170">
    <cfRule type="expression" dxfId="27" priority="8" stopIfTrue="1">
      <formula>ABS(#REF!-(#REF!+$D170+$M170+$P170))&gt;отклонение</formula>
    </cfRule>
  </conditionalFormatting>
  <conditionalFormatting sqref="H170:J170">
    <cfRule type="expression" dxfId="26" priority="7" stopIfTrue="1">
      <formula>ABS(#REF!-(#REF!+$D170+$M170+$P170))&gt;отклонение</formula>
    </cfRule>
  </conditionalFormatting>
  <conditionalFormatting sqref="H170:J170">
    <cfRule type="expression" dxfId="25" priority="6" stopIfTrue="1">
      <formula>ABS(#REF!-(#REF!+$E170+$L170+$O170))&gt;отклонение</formula>
    </cfRule>
  </conditionalFormatting>
  <conditionalFormatting sqref="H170:J170">
    <cfRule type="expression" dxfId="24" priority="5" stopIfTrue="1">
      <formula>ABS(#REF!-(#REF!+$D170+$M170+$P170))&gt;отклонение</formula>
    </cfRule>
  </conditionalFormatting>
  <conditionalFormatting sqref="H170:J170">
    <cfRule type="expression" dxfId="23" priority="4" stopIfTrue="1">
      <formula>ABS(#REF!-(#REF!+$D170+$M170+$P170))&gt;отклонение</formula>
    </cfRule>
  </conditionalFormatting>
  <conditionalFormatting sqref="H170:J170">
    <cfRule type="expression" dxfId="22" priority="3" stopIfTrue="1">
      <formula>ABS(#REF!-(#REF!+$E170+$L170+$O170))&gt;отклонение</formula>
    </cfRule>
  </conditionalFormatting>
  <conditionalFormatting sqref="H170:J170">
    <cfRule type="expression" dxfId="21" priority="2" stopIfTrue="1">
      <formula>ABS(#REF!-(#REF!+$D170+$M170+$P170))&gt;отклонение</formula>
    </cfRule>
  </conditionalFormatting>
  <conditionalFormatting sqref="H170:J170">
    <cfRule type="expression" dxfId="20" priority="1" stopIfTrue="1">
      <formula>ABS(#REF!-(#REF!+#REF!+$L170+$O170))&gt;отклонение</formula>
    </cfRule>
  </conditionalFormatting>
  <pageMargins left="0.39370078740157483" right="0.23622047244094491" top="0.47244094488188981" bottom="0.15748031496062992" header="0.59055118110236227" footer="0.31496062992125984"/>
  <pageSetup paperSize="9" scale="46" fitToHeight="3" orientation="portrait" r:id="rId1"/>
  <headerFooter alignWithMargins="0"/>
  <rowBreaks count="1" manualBreakCount="1">
    <brk id="94" min="1" max="11"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K68"/>
  <sheetViews>
    <sheetView workbookViewId="0">
      <selection activeCell="J6" sqref="J6:K7"/>
    </sheetView>
  </sheetViews>
  <sheetFormatPr defaultRowHeight="15" x14ac:dyDescent="0.25"/>
  <cols>
    <col min="2" max="2" width="34.7109375" style="1906" customWidth="1"/>
    <col min="3" max="3" width="13.28515625" customWidth="1"/>
    <col min="4" max="4" width="17.7109375" customWidth="1"/>
    <col min="5" max="5" width="32.7109375" style="1906" customWidth="1"/>
    <col min="6" max="7" width="13.140625" customWidth="1"/>
    <col min="8" max="9" width="8.85546875" style="1935"/>
  </cols>
  <sheetData>
    <row r="5" spans="2:11" x14ac:dyDescent="0.25">
      <c r="B5" s="1906" t="str">
        <f>Виробництво_Транспортування_1ст!B101</f>
        <v>Показники (транспортування ТЕ)</v>
      </c>
      <c r="C5" t="str">
        <f>Виробництво_Транспортування_1ст!K101</f>
        <v>в т.ч. з ЦТП/без ЦТП</v>
      </c>
      <c r="E5" s="1906" t="str">
        <f>Виробництво_Транспортування_1ст!B101</f>
        <v>Показники (транспортування ТЕ)</v>
      </c>
      <c r="F5" t="e">
        <f>#REF!</f>
        <v>#REF!</v>
      </c>
    </row>
    <row r="6" spans="2:11" ht="75.599999999999994" customHeight="1" x14ac:dyDescent="0.25">
      <c r="B6" s="1906">
        <f>Виробництво_Транспортування_1ст!B102</f>
        <v>0</v>
      </c>
      <c r="C6" s="1906" t="str">
        <f>Виробництво_Транспортування_1ст!K102</f>
        <v>з ЦТП (витрати на ЦТП + частина спільних витрат)</v>
      </c>
      <c r="D6" s="1906" t="str">
        <f>Виробництво_Транспортування_1ст!L102</f>
        <v>без ЦТП (частина спільних витрат)</v>
      </c>
      <c r="E6" s="1906">
        <f>Виробництво_Транспортування_1ст!B102</f>
        <v>0</v>
      </c>
      <c r="F6" s="1906" t="e">
        <f>#REF!</f>
        <v>#REF!</v>
      </c>
      <c r="G6" s="1906" t="e">
        <f>#REF!</f>
        <v>#REF!</v>
      </c>
      <c r="J6" s="1935">
        <v>8375.3315300413906</v>
      </c>
      <c r="K6" s="1935">
        <v>20961.693739996801</v>
      </c>
    </row>
    <row r="7" spans="2:11" ht="45" x14ac:dyDescent="0.25">
      <c r="B7" s="2106" t="str">
        <f>Виробництво_Транспортування_1ст!B103</f>
        <v>Прямі витрати на транспортування теплової енергії всього, у т.ч.:</v>
      </c>
      <c r="C7" s="2107">
        <f>Виробництво_Транспортування_1ст!K103</f>
        <v>2917.8</v>
      </c>
      <c r="D7" s="2106">
        <f>Виробництво_Транспортування_1ст!L103</f>
        <v>14982.64</v>
      </c>
      <c r="E7" s="2106" t="str">
        <f>Виробництво_Транспортування_1ст!B103</f>
        <v>Прямі витрати на транспортування теплової енергії всього, у т.ч.:</v>
      </c>
      <c r="F7" s="2106" t="e">
        <f>#REF!</f>
        <v>#REF!</v>
      </c>
      <c r="G7" s="2106" t="e">
        <f>#REF!</f>
        <v>#REF!</v>
      </c>
      <c r="H7" s="2108" t="e">
        <f>C7-F7</f>
        <v>#REF!</v>
      </c>
      <c r="I7" s="2108" t="e">
        <f>D7-G7</f>
        <v>#REF!</v>
      </c>
      <c r="J7" s="2091" t="e">
        <f>F7-F21</f>
        <v>#REF!</v>
      </c>
      <c r="K7" s="2091" t="e">
        <f>G7-G21</f>
        <v>#REF!</v>
      </c>
    </row>
    <row r="8" spans="2:11" ht="30" x14ac:dyDescent="0.25">
      <c r="B8" s="2106" t="str">
        <f>Виробництво_Транспортування_1ст!B104</f>
        <v>Прямі матеріальні витрати всього, у т.ч.:</v>
      </c>
      <c r="C8" s="2107">
        <f>Виробництво_Транспортування_1ст!K104</f>
        <v>1778.03</v>
      </c>
      <c r="D8" s="2106">
        <f>Виробництво_Транспортування_1ст!L104</f>
        <v>9472.25</v>
      </c>
      <c r="E8" s="2106" t="str">
        <f>Виробництво_Транспортування_1ст!B104</f>
        <v>Прямі матеріальні витрати всього, у т.ч.:</v>
      </c>
      <c r="F8" s="2106" t="e">
        <f>#REF!</f>
        <v>#REF!</v>
      </c>
      <c r="G8" s="2106" t="e">
        <f>#REF!</f>
        <v>#REF!</v>
      </c>
      <c r="H8" s="2108" t="e">
        <f t="shared" ref="H8:H68" si="0">C8-F8</f>
        <v>#REF!</v>
      </c>
      <c r="I8" s="2108" t="e">
        <f t="shared" ref="I8:I68" si="1">D8-G8</f>
        <v>#REF!</v>
      </c>
    </row>
    <row r="9" spans="2:11" ht="30" x14ac:dyDescent="0.25">
      <c r="B9" s="2106" t="str">
        <f>Виробництво_Транспортування_1ст!B105</f>
        <v>придбання електроенергії на технологічні потреби</v>
      </c>
      <c r="C9" s="2107">
        <f>Виробництво_Транспортування_1ст!K105</f>
        <v>290.05</v>
      </c>
      <c r="D9" s="2106">
        <f>Виробництво_Транспортування_1ст!L105</f>
        <v>1676.1</v>
      </c>
      <c r="E9" s="2106" t="str">
        <f>Виробництво_Транспортування_1ст!B105</f>
        <v>придбання електроенергії на технологічні потреби</v>
      </c>
      <c r="F9" s="2106" t="e">
        <f>#REF!</f>
        <v>#REF!</v>
      </c>
      <c r="G9" s="2106" t="e">
        <f>#REF!</f>
        <v>#REF!</v>
      </c>
      <c r="H9" s="2108" t="e">
        <f t="shared" si="0"/>
        <v>#REF!</v>
      </c>
      <c r="I9" s="2108" t="e">
        <f t="shared" si="1"/>
        <v>#REF!</v>
      </c>
    </row>
    <row r="10" spans="2:11" ht="30" x14ac:dyDescent="0.25">
      <c r="B10" s="2106" t="str">
        <f>Виробництво_Транспортування_1ст!B106</f>
        <v>холодна вода для технологічних потреб та водовідведення</v>
      </c>
      <c r="C10" s="2107">
        <f>Виробництво_Транспортування_1ст!K106</f>
        <v>60.05</v>
      </c>
      <c r="D10" s="2106">
        <f>Виробництво_Транспортування_1ст!L106</f>
        <v>413.86</v>
      </c>
      <c r="E10" s="2106" t="str">
        <f>Виробництво_Транспортування_1ст!B106</f>
        <v>холодна вода для технологічних потреб та водовідведення</v>
      </c>
      <c r="F10" s="2106" t="e">
        <f>#REF!</f>
        <v>#REF!</v>
      </c>
      <c r="G10" s="2106" t="e">
        <f>#REF!</f>
        <v>#REF!</v>
      </c>
      <c r="H10" s="2108" t="e">
        <f t="shared" si="0"/>
        <v>#REF!</v>
      </c>
      <c r="I10" s="2108" t="e">
        <f t="shared" si="1"/>
        <v>#REF!</v>
      </c>
    </row>
    <row r="11" spans="2:11" x14ac:dyDescent="0.25">
      <c r="B11" s="2106" t="str">
        <f>Виробництво_Транспортування_1ст!B107</f>
        <v>ПММ</v>
      </c>
      <c r="C11" s="2107">
        <f>Виробництво_Транспортування_1ст!K107</f>
        <v>0.28999999999999998</v>
      </c>
      <c r="D11" s="2106">
        <f>Виробництво_Транспортування_1ст!L107</f>
        <v>2.02</v>
      </c>
      <c r="E11" s="2106" t="str">
        <f>Виробництво_Транспортування_1ст!B107</f>
        <v>ПММ</v>
      </c>
      <c r="F11" s="2106" t="e">
        <f>#REF!</f>
        <v>#REF!</v>
      </c>
      <c r="G11" s="2106" t="e">
        <f>#REF!</f>
        <v>#REF!</v>
      </c>
      <c r="H11" s="2108" t="e">
        <f t="shared" si="0"/>
        <v>#REF!</v>
      </c>
      <c r="I11" s="2108" t="e">
        <f t="shared" si="1"/>
        <v>#REF!</v>
      </c>
    </row>
    <row r="12" spans="2:11" x14ac:dyDescent="0.25">
      <c r="B12" s="2106" t="str">
        <f>Виробництво_Транспортування_1ст!B108</f>
        <v>матеріали</v>
      </c>
      <c r="C12" s="2107">
        <f>Виробництво_Транспортування_1ст!K108</f>
        <v>14.83</v>
      </c>
      <c r="D12" s="2106">
        <f>Виробництво_Транспортування_1ст!L108</f>
        <v>102.22</v>
      </c>
      <c r="E12" s="2106" t="str">
        <f>Виробництво_Транспортування_1ст!B108</f>
        <v>матеріали</v>
      </c>
      <c r="F12" s="2106" t="e">
        <f>#REF!</f>
        <v>#REF!</v>
      </c>
      <c r="G12" s="2106" t="e">
        <f>#REF!</f>
        <v>#REF!</v>
      </c>
      <c r="H12" s="2108" t="e">
        <f t="shared" si="0"/>
        <v>#REF!</v>
      </c>
      <c r="I12" s="2108" t="e">
        <f t="shared" si="1"/>
        <v>#REF!</v>
      </c>
    </row>
    <row r="13" spans="2:11" x14ac:dyDescent="0.25">
      <c r="B13" s="2106" t="str">
        <f>Виробництво_Транспортування_1ст!B109</f>
        <v>матеріали на техніку безпеки</v>
      </c>
      <c r="C13" s="2107">
        <f>Виробництво_Транспортування_1ст!K109</f>
        <v>0.92</v>
      </c>
      <c r="D13" s="2106">
        <f>Виробництво_Транспортування_1ст!L109</f>
        <v>2.85</v>
      </c>
      <c r="E13" s="2106" t="str">
        <f>Виробництво_Транспортування_1ст!B109</f>
        <v>матеріали на техніку безпеки</v>
      </c>
      <c r="F13" s="2106" t="e">
        <f>#REF!</f>
        <v>#REF!</v>
      </c>
      <c r="G13" s="2106" t="e">
        <f>#REF!</f>
        <v>#REF!</v>
      </c>
      <c r="H13" s="2108" t="e">
        <f t="shared" si="0"/>
        <v>#REF!</v>
      </c>
      <c r="I13" s="2108" t="e">
        <f t="shared" si="1"/>
        <v>#REF!</v>
      </c>
    </row>
    <row r="14" spans="2:11" ht="30" x14ac:dyDescent="0.25">
      <c r="B14" s="2106" t="str">
        <f>Виробництво_Транспортування_1ст!B110</f>
        <v>матеріали на технічне обслуговування</v>
      </c>
      <c r="C14" s="2107">
        <f>Виробництво_Транспортування_1ст!K110</f>
        <v>0</v>
      </c>
      <c r="D14" s="2106">
        <f>Виробництво_Транспортування_1ст!L110</f>
        <v>0</v>
      </c>
      <c r="E14" s="2106" t="str">
        <f>Виробництво_Транспортування_1ст!B110</f>
        <v>матеріали на технічне обслуговування</v>
      </c>
      <c r="F14" s="2106" t="e">
        <f>#REF!</f>
        <v>#REF!</v>
      </c>
      <c r="G14" s="2106" t="e">
        <f>#REF!</f>
        <v>#REF!</v>
      </c>
      <c r="H14" s="2108" t="e">
        <f t="shared" si="0"/>
        <v>#REF!</v>
      </c>
      <c r="I14" s="2108" t="e">
        <f t="shared" si="1"/>
        <v>#REF!</v>
      </c>
    </row>
    <row r="15" spans="2:11" x14ac:dyDescent="0.25">
      <c r="B15" s="2106" t="str">
        <f>Виробництво_Транспортування_1ст!B111</f>
        <v>запчастини</v>
      </c>
      <c r="C15" s="2107">
        <f>Виробництво_Транспортування_1ст!K111</f>
        <v>7.0000000000000007E-2</v>
      </c>
      <c r="D15" s="2106">
        <f>Виробництво_Транспортування_1ст!L111</f>
        <v>0.51</v>
      </c>
      <c r="E15" s="2106" t="str">
        <f>Виробництво_Транспортування_1ст!B111</f>
        <v>запчастини</v>
      </c>
      <c r="F15" s="2106" t="e">
        <f>#REF!</f>
        <v>#REF!</v>
      </c>
      <c r="G15" s="2106" t="e">
        <f>#REF!</f>
        <v>#REF!</v>
      </c>
      <c r="H15" s="2108" t="e">
        <f t="shared" si="0"/>
        <v>#REF!</v>
      </c>
      <c r="I15" s="2108" t="e">
        <f t="shared" si="1"/>
        <v>#REF!</v>
      </c>
    </row>
    <row r="16" spans="2:11" x14ac:dyDescent="0.25">
      <c r="B16" s="2106" t="str">
        <f>Виробництво_Транспортування_1ст!B112</f>
        <v>МШП</v>
      </c>
      <c r="C16" s="2107">
        <f>Виробництво_Транспортування_1ст!K112</f>
        <v>0.4</v>
      </c>
      <c r="D16" s="2106">
        <f>Виробництво_Транспортування_1ст!L112</f>
        <v>2.78</v>
      </c>
      <c r="E16" s="2106" t="str">
        <f>Виробництво_Транспортування_1ст!B112</f>
        <v>МШП</v>
      </c>
      <c r="F16" s="2106" t="e">
        <f>#REF!</f>
        <v>#REF!</v>
      </c>
      <c r="G16" s="2106" t="e">
        <f>#REF!</f>
        <v>#REF!</v>
      </c>
      <c r="H16" s="2108" t="e">
        <f t="shared" si="0"/>
        <v>#REF!</v>
      </c>
      <c r="I16" s="2108" t="e">
        <f t="shared" si="1"/>
        <v>#REF!</v>
      </c>
    </row>
    <row r="17" spans="2:9" x14ac:dyDescent="0.25">
      <c r="B17" s="2106" t="str">
        <f>Виробництво_Транспортування_1ст!B113</f>
        <v>МШП техніка безпеки</v>
      </c>
      <c r="C17" s="2107">
        <f>Виробництво_Транспортування_1ст!K113</f>
        <v>0</v>
      </c>
      <c r="D17" s="2106">
        <f>Виробництво_Транспортування_1ст!L113</f>
        <v>0</v>
      </c>
      <c r="E17" s="2106" t="str">
        <f>Виробництво_Транспортування_1ст!B113</f>
        <v>МШП техніка безпеки</v>
      </c>
      <c r="F17" s="2106" t="e">
        <f>#REF!</f>
        <v>#REF!</v>
      </c>
      <c r="G17" s="2106" t="e">
        <f>#REF!</f>
        <v>#REF!</v>
      </c>
      <c r="H17" s="2108" t="e">
        <f t="shared" si="0"/>
        <v>#REF!</v>
      </c>
      <c r="I17" s="2108" t="e">
        <f t="shared" si="1"/>
        <v>#REF!</v>
      </c>
    </row>
    <row r="18" spans="2:9" x14ac:dyDescent="0.25">
      <c r="B18" s="2106" t="str">
        <f>Виробництво_Транспортування_1ст!B114</f>
        <v>канцтовари, бланки</v>
      </c>
      <c r="C18" s="2107">
        <f>Виробництво_Транспортування_1ст!K114</f>
        <v>0</v>
      </c>
      <c r="D18" s="2106">
        <f>Виробництво_Транспортування_1ст!L114</f>
        <v>0</v>
      </c>
      <c r="E18" s="2106" t="str">
        <f>Виробництво_Транспортування_1ст!B114</f>
        <v>канцтовари, бланки</v>
      </c>
      <c r="F18" s="2106" t="e">
        <f>#REF!</f>
        <v>#REF!</v>
      </c>
      <c r="G18" s="2106" t="e">
        <f>#REF!</f>
        <v>#REF!</v>
      </c>
      <c r="H18" s="2108" t="e">
        <f t="shared" si="0"/>
        <v>#REF!</v>
      </c>
      <c r="I18" s="2108" t="e">
        <f t="shared" si="1"/>
        <v>#REF!</v>
      </c>
    </row>
    <row r="19" spans="2:9" x14ac:dyDescent="0.25">
      <c r="B19" s="2106" t="str">
        <f>Виробництво_Транспортування_1ст!B115</f>
        <v>спецодяг та спецвзуття</v>
      </c>
      <c r="C19" s="2107">
        <f>Виробництво_Транспортування_1ст!K115</f>
        <v>5.2</v>
      </c>
      <c r="D19" s="2106">
        <f>Виробництво_Транспортування_1ст!L115</f>
        <v>14.44</v>
      </c>
      <c r="E19" s="2106" t="str">
        <f>Виробництво_Транспортування_1ст!B115</f>
        <v>спецодяг та спецвзуття</v>
      </c>
      <c r="F19" s="2106" t="e">
        <f>#REF!</f>
        <v>#REF!</v>
      </c>
      <c r="G19" s="2106" t="e">
        <f>#REF!</f>
        <v>#REF!</v>
      </c>
      <c r="H19" s="2108" t="e">
        <f t="shared" si="0"/>
        <v>#REF!</v>
      </c>
      <c r="I19" s="2108" t="e">
        <f t="shared" si="1"/>
        <v>#REF!</v>
      </c>
    </row>
    <row r="20" spans="2:9" x14ac:dyDescent="0.25">
      <c r="B20" s="2106" t="str">
        <f>Виробництво_Транспортування_1ст!B116</f>
        <v>спецхарчування</v>
      </c>
      <c r="C20" s="2107">
        <f>Виробництво_Транспортування_1ст!K116</f>
        <v>0</v>
      </c>
      <c r="D20" s="2106">
        <f>Виробництво_Транспортування_1ст!L116</f>
        <v>0</v>
      </c>
      <c r="E20" s="2106" t="str">
        <f>Виробництво_Транспортування_1ст!B116</f>
        <v>спецхарчування</v>
      </c>
      <c r="F20" s="2106" t="e">
        <f>#REF!</f>
        <v>#REF!</v>
      </c>
      <c r="G20" s="2106" t="e">
        <f>#REF!</f>
        <v>#REF!</v>
      </c>
      <c r="H20" s="2108" t="e">
        <f t="shared" si="0"/>
        <v>#REF!</v>
      </c>
      <c r="I20" s="2108" t="e">
        <f t="shared" si="1"/>
        <v>#REF!</v>
      </c>
    </row>
    <row r="21" spans="2:9" ht="45" x14ac:dyDescent="0.25">
      <c r="B21" s="2106" t="str">
        <f>Виробництво_Транспортування_1ст!B117</f>
        <v>витрати на покриття втрат теплової енергії в теплових мережах</v>
      </c>
      <c r="C21" s="2107">
        <f>Виробництво_Транспортування_1ст!K117</f>
        <v>1406.22</v>
      </c>
      <c r="D21" s="2106">
        <f>Виробництво_Транспортування_1ст!L117</f>
        <v>7257.47</v>
      </c>
      <c r="E21" s="2106" t="str">
        <f>Виробництво_Транспортування_1ст!B117</f>
        <v>витрати на покриття втрат теплової енергії в теплових мережах</v>
      </c>
      <c r="F21" s="2106" t="e">
        <f>#REF!</f>
        <v>#REF!</v>
      </c>
      <c r="G21" s="2106" t="e">
        <f>#REF!</f>
        <v>#REF!</v>
      </c>
      <c r="H21" s="2108" t="e">
        <f t="shared" si="0"/>
        <v>#REF!</v>
      </c>
      <c r="I21" s="2108" t="e">
        <f t="shared" si="1"/>
        <v>#REF!</v>
      </c>
    </row>
    <row r="22" spans="2:9" ht="30" x14ac:dyDescent="0.25">
      <c r="B22" s="2106" t="str">
        <f>Виробництво_Транспортування_1ст!B118</f>
        <v>Прямі витрати на оплату праці всього, у т.ч.:</v>
      </c>
      <c r="C22" s="2107">
        <f>Виробництво_Транспортування_1ст!K118</f>
        <v>593.91999999999996</v>
      </c>
      <c r="D22" s="2106">
        <f>Виробництво_Транспортування_1ст!L118</f>
        <v>2429.21</v>
      </c>
      <c r="E22" s="2106" t="str">
        <f>Виробництво_Транспортування_1ст!B118</f>
        <v>Прямі витрати на оплату праці всього, у т.ч.:</v>
      </c>
      <c r="F22" s="2106" t="e">
        <f>#REF!</f>
        <v>#REF!</v>
      </c>
      <c r="G22" s="2106" t="e">
        <f>#REF!</f>
        <v>#REF!</v>
      </c>
      <c r="H22" s="2108" t="e">
        <f t="shared" si="0"/>
        <v>#REF!</v>
      </c>
      <c r="I22" s="2108" t="e">
        <f t="shared" si="1"/>
        <v>#REF!</v>
      </c>
    </row>
    <row r="23" spans="2:9" x14ac:dyDescent="0.25">
      <c r="B23" s="2106" t="str">
        <f>Виробництво_Транспортування_1ст!B119</f>
        <v>працюючих інвалідів</v>
      </c>
      <c r="C23" s="2107">
        <f>Виробництво_Транспортування_1ст!K119</f>
        <v>0</v>
      </c>
      <c r="D23" s="2106">
        <f>Виробництво_Транспортування_1ст!L119</f>
        <v>0</v>
      </c>
      <c r="E23" s="2106" t="str">
        <f>Виробництво_Транспортування_1ст!B119</f>
        <v>працюючих інвалідів</v>
      </c>
      <c r="F23" s="2106" t="e">
        <f>#REF!</f>
        <v>#REF!</v>
      </c>
      <c r="G23" s="2106" t="e">
        <f>#REF!</f>
        <v>#REF!</v>
      </c>
      <c r="H23" s="2108" t="e">
        <f t="shared" si="0"/>
        <v>#REF!</v>
      </c>
      <c r="I23" s="2108" t="e">
        <f t="shared" si="1"/>
        <v>#REF!</v>
      </c>
    </row>
    <row r="24" spans="2:9" x14ac:dyDescent="0.25">
      <c r="B24" s="2106" t="str">
        <f>Виробництво_Транспортування_1ст!B120</f>
        <v>Інші прямі витрати:</v>
      </c>
      <c r="C24" s="2107">
        <f>Виробництво_Транспортування_1ст!K120</f>
        <v>545.85</v>
      </c>
      <c r="D24" s="2106">
        <f>Виробництво_Транспортування_1ст!L120</f>
        <v>3081.18</v>
      </c>
      <c r="E24" s="2106" t="str">
        <f>Виробництво_Транспортування_1ст!B120</f>
        <v>Інші прямі витрати:</v>
      </c>
      <c r="F24" s="2106" t="e">
        <f>#REF!</f>
        <v>#REF!</v>
      </c>
      <c r="G24" s="2106" t="e">
        <f>#REF!</f>
        <v>#REF!</v>
      </c>
      <c r="H24" s="2108" t="e">
        <f t="shared" si="0"/>
        <v>#REF!</v>
      </c>
      <c r="I24" s="2108" t="e">
        <f t="shared" si="1"/>
        <v>#REF!</v>
      </c>
    </row>
    <row r="25" spans="2:9" ht="45" x14ac:dyDescent="0.25">
      <c r="B25" s="2106" t="str">
        <f>Виробництво_Транспортування_1ст!B121</f>
        <v>єдиний внесок на загальнообов’язкове державне соціальне страхування</v>
      </c>
      <c r="C25" s="2107">
        <f>Виробництво_Транспортування_1ст!K121</f>
        <v>130.66</v>
      </c>
      <c r="D25" s="2106">
        <f>Виробництво_Транспортування_1ст!L121</f>
        <v>534.42999999999995</v>
      </c>
      <c r="E25" s="2106" t="str">
        <f>Виробництво_Транспортування_1ст!B121</f>
        <v>єдиний внесок на загальнообов’язкове державне соціальне страхування</v>
      </c>
      <c r="F25" s="2106" t="e">
        <f>#REF!</f>
        <v>#REF!</v>
      </c>
      <c r="G25" s="2106" t="e">
        <f>#REF!</f>
        <v>#REF!</v>
      </c>
      <c r="H25" s="2108" t="e">
        <f t="shared" si="0"/>
        <v>#REF!</v>
      </c>
      <c r="I25" s="2108" t="e">
        <f t="shared" si="1"/>
        <v>#REF!</v>
      </c>
    </row>
    <row r="26" spans="2:9" ht="45" x14ac:dyDescent="0.25">
      <c r="B26" s="2106" t="str">
        <f>Виробництво_Транспортування_1ст!B122</f>
        <v>амортизація  основних засобів загальногосподарського призначення</v>
      </c>
      <c r="C26" s="2107">
        <f>Виробництво_Транспортування_1ст!K122</f>
        <v>32.56</v>
      </c>
      <c r="D26" s="2106">
        <f>Виробництво_Транспортування_1ст!L122</f>
        <v>195.32</v>
      </c>
      <c r="E26" s="2106" t="str">
        <f>Виробництво_Транспортування_1ст!B122</f>
        <v>амортизація  основних засобів загальногосподарського призначення</v>
      </c>
      <c r="F26" s="2106" t="e">
        <f>#REF!</f>
        <v>#REF!</v>
      </c>
      <c r="G26" s="2106" t="e">
        <f>#REF!</f>
        <v>#REF!</v>
      </c>
      <c r="H26" s="2108" t="e">
        <f t="shared" si="0"/>
        <v>#REF!</v>
      </c>
      <c r="I26" s="2108" t="e">
        <f t="shared" si="1"/>
        <v>#REF!</v>
      </c>
    </row>
    <row r="27" spans="2:9" ht="60" x14ac:dyDescent="0.25">
      <c r="B27" s="2106" t="str">
        <f>Виробництво_Транспортування_1ст!B123</f>
        <v>амортизація інших необоротних матеріальних активів загальногосподарського призначення</v>
      </c>
      <c r="C27" s="2107">
        <f>Виробництво_Транспортування_1ст!K123</f>
        <v>0</v>
      </c>
      <c r="D27" s="2106">
        <f>Виробництво_Транспортування_1ст!L123</f>
        <v>0</v>
      </c>
      <c r="E27" s="2106" t="str">
        <f>Виробництво_Транспортування_1ст!B123</f>
        <v>амортизація інших необоротних матеріальних активів загальногосподарського призначення</v>
      </c>
      <c r="F27" s="2106" t="e">
        <f>#REF!</f>
        <v>#REF!</v>
      </c>
      <c r="G27" s="2106" t="e">
        <f>#REF!</f>
        <v>#REF!</v>
      </c>
      <c r="H27" s="2108" t="e">
        <f t="shared" si="0"/>
        <v>#REF!</v>
      </c>
      <c r="I27" s="2108" t="e">
        <f t="shared" si="1"/>
        <v>#REF!</v>
      </c>
    </row>
    <row r="28" spans="2:9" x14ac:dyDescent="0.25">
      <c r="B28" s="2106" t="str">
        <f>Виробництво_Транспортування_1ст!B124</f>
        <v>ремонт</v>
      </c>
      <c r="C28" s="2107">
        <f>Виробництво_Транспортування_1ст!K124</f>
        <v>0</v>
      </c>
      <c r="D28" s="2106">
        <f>Виробництво_Транспортування_1ст!L124</f>
        <v>0</v>
      </c>
      <c r="E28" s="2106" t="str">
        <f>Виробництво_Транспортування_1ст!B124</f>
        <v>ремонт</v>
      </c>
      <c r="F28" s="2106" t="e">
        <f>#REF!</f>
        <v>#REF!</v>
      </c>
      <c r="G28" s="2106" t="e">
        <f>#REF!</f>
        <v>#REF!</v>
      </c>
      <c r="H28" s="2108" t="e">
        <f t="shared" si="0"/>
        <v>#REF!</v>
      </c>
      <c r="I28" s="2108" t="e">
        <f t="shared" si="1"/>
        <v>#REF!</v>
      </c>
    </row>
    <row r="29" spans="2:9" x14ac:dyDescent="0.25">
      <c r="B29" s="2106" t="str">
        <f>Виробництво_Транспортування_1ст!B125</f>
        <v>ремонтні роботи (авто)</v>
      </c>
      <c r="C29" s="2107">
        <f>Виробництво_Транспортування_1ст!K125</f>
        <v>0</v>
      </c>
      <c r="D29" s="2106">
        <f>Виробництво_Транспортування_1ст!L125</f>
        <v>0</v>
      </c>
      <c r="E29" s="2106" t="str">
        <f>Виробництво_Транспортування_1ст!B125</f>
        <v>ремонтні роботи (авто)</v>
      </c>
      <c r="F29" s="2106" t="e">
        <f>#REF!</f>
        <v>#REF!</v>
      </c>
      <c r="G29" s="2106" t="e">
        <f>#REF!</f>
        <v>#REF!</v>
      </c>
      <c r="H29" s="2108" t="e">
        <f t="shared" si="0"/>
        <v>#REF!</v>
      </c>
      <c r="I29" s="2108" t="e">
        <f t="shared" si="1"/>
        <v>#REF!</v>
      </c>
    </row>
    <row r="30" spans="2:9" ht="30" x14ac:dyDescent="0.25">
      <c r="B30" s="2106" t="str">
        <f>Виробництво_Транспортування_1ст!B126</f>
        <v>централізоване водопостачання, централізоване водовідведення</v>
      </c>
      <c r="C30" s="2107">
        <f>Виробництво_Транспортування_1ст!K126</f>
        <v>0.11</v>
      </c>
      <c r="D30" s="2106">
        <f>Виробництво_Транспортування_1ст!L126</f>
        <v>0.73</v>
      </c>
      <c r="E30" s="2106" t="str">
        <f>Виробництво_Транспортування_1ст!B126</f>
        <v>централізоване водопостачання, централізоване водовідведення</v>
      </c>
      <c r="F30" s="2106" t="e">
        <f>#REF!</f>
        <v>#REF!</v>
      </c>
      <c r="G30" s="2106" t="e">
        <f>#REF!</f>
        <v>#REF!</v>
      </c>
      <c r="H30" s="2108" t="e">
        <f t="shared" si="0"/>
        <v>#REF!</v>
      </c>
      <c r="I30" s="2108" t="e">
        <f t="shared" si="1"/>
        <v>#REF!</v>
      </c>
    </row>
    <row r="31" spans="2:9" x14ac:dyDescent="0.25">
      <c r="B31" s="2106" t="str">
        <f>Виробництво_Транспортування_1ст!B127</f>
        <v>освітлення та робота оргтехніки</v>
      </c>
      <c r="C31" s="2107">
        <f>Виробництво_Транспортування_1ст!K127</f>
        <v>0</v>
      </c>
      <c r="D31" s="2106">
        <f>Виробництво_Транспортування_1ст!L127</f>
        <v>0</v>
      </c>
      <c r="E31" s="2106" t="str">
        <f>Виробництво_Транспортування_1ст!B127</f>
        <v>освітлення та робота оргтехніки</v>
      </c>
      <c r="F31" s="2106" t="e">
        <f>#REF!</f>
        <v>#REF!</v>
      </c>
      <c r="G31" s="2106" t="e">
        <f>#REF!</f>
        <v>#REF!</v>
      </c>
      <c r="H31" s="2108" t="e">
        <f t="shared" si="0"/>
        <v>#REF!</v>
      </c>
      <c r="I31" s="2108" t="e">
        <f t="shared" si="1"/>
        <v>#REF!</v>
      </c>
    </row>
    <row r="32" spans="2:9" x14ac:dyDescent="0.25">
      <c r="B32" s="2106" t="str">
        <f>Виробництво_Транспортування_1ст!B128</f>
        <v>опалення</v>
      </c>
      <c r="C32" s="2107">
        <f>Виробництво_Транспортування_1ст!K128</f>
        <v>0</v>
      </c>
      <c r="D32" s="2106">
        <f>Виробництво_Транспортування_1ст!L128</f>
        <v>0</v>
      </c>
      <c r="E32" s="2106" t="str">
        <f>Виробництво_Транспортування_1ст!B128</f>
        <v>опалення</v>
      </c>
      <c r="F32" s="2106" t="e">
        <f>#REF!</f>
        <v>#REF!</v>
      </c>
      <c r="G32" s="2106" t="e">
        <f>#REF!</f>
        <v>#REF!</v>
      </c>
      <c r="H32" s="2108" t="e">
        <f t="shared" si="0"/>
        <v>#REF!</v>
      </c>
      <c r="I32" s="2108" t="e">
        <f t="shared" si="1"/>
        <v>#REF!</v>
      </c>
    </row>
    <row r="33" spans="2:9" x14ac:dyDescent="0.25">
      <c r="B33" s="2106" t="str">
        <f>Виробництво_Транспортування_1ст!B129</f>
        <v>вивезення сміття</v>
      </c>
      <c r="C33" s="2107">
        <f>Виробництво_Транспортування_1ст!K129</f>
        <v>0</v>
      </c>
      <c r="D33" s="2106">
        <f>Виробництво_Транспортування_1ст!L129</f>
        <v>0</v>
      </c>
      <c r="E33" s="2106" t="str">
        <f>Виробництво_Транспортування_1ст!B129</f>
        <v>вивезення сміття</v>
      </c>
      <c r="F33" s="2106" t="e">
        <f>#REF!</f>
        <v>#REF!</v>
      </c>
      <c r="G33" s="2106" t="e">
        <f>#REF!</f>
        <v>#REF!</v>
      </c>
      <c r="H33" s="2108" t="e">
        <f t="shared" si="0"/>
        <v>#REF!</v>
      </c>
      <c r="I33" s="2108" t="e">
        <f t="shared" si="1"/>
        <v>#REF!</v>
      </c>
    </row>
    <row r="34" spans="2:9" x14ac:dyDescent="0.25">
      <c r="B34" s="2106" t="str">
        <f>Виробництво_Транспортування_1ст!B130</f>
        <v>метрологічні послуги</v>
      </c>
      <c r="C34" s="2107">
        <f>Виробництво_Транспортування_1ст!K130</f>
        <v>0</v>
      </c>
      <c r="D34" s="2106">
        <f>Виробництво_Транспортування_1ст!L130</f>
        <v>0</v>
      </c>
      <c r="E34" s="2106" t="str">
        <f>Виробництво_Транспортування_1ст!B130</f>
        <v>метрологічні послуги</v>
      </c>
      <c r="F34" s="2106" t="e">
        <f>#REF!</f>
        <v>#REF!</v>
      </c>
      <c r="G34" s="2106" t="e">
        <f>#REF!</f>
        <v>#REF!</v>
      </c>
      <c r="H34" s="2108" t="e">
        <f t="shared" si="0"/>
        <v>#REF!</v>
      </c>
      <c r="I34" s="2108" t="e">
        <f t="shared" si="1"/>
        <v>#REF!</v>
      </c>
    </row>
    <row r="35" spans="2:9" x14ac:dyDescent="0.25">
      <c r="B35" s="2106" t="str">
        <f>Виробництво_Транспортування_1ст!B131</f>
        <v>технічне обслуговування</v>
      </c>
      <c r="C35" s="2107">
        <f>Виробництво_Транспортування_1ст!K131</f>
        <v>0</v>
      </c>
      <c r="D35" s="2106">
        <f>Виробництво_Транспортування_1ст!L131</f>
        <v>0</v>
      </c>
      <c r="E35" s="2106" t="str">
        <f>Виробництво_Транспортування_1ст!B131</f>
        <v>технічне обслуговування</v>
      </c>
      <c r="F35" s="2106" t="e">
        <f>#REF!</f>
        <v>#REF!</v>
      </c>
      <c r="G35" s="2106" t="e">
        <f>#REF!</f>
        <v>#REF!</v>
      </c>
      <c r="H35" s="2108" t="e">
        <f t="shared" si="0"/>
        <v>#REF!</v>
      </c>
      <c r="I35" s="2108" t="e">
        <f t="shared" si="1"/>
        <v>#REF!</v>
      </c>
    </row>
    <row r="36" spans="2:9" ht="30" x14ac:dyDescent="0.25">
      <c r="B36" s="2106" t="str">
        <f>Виробництво_Транспортування_1ст!B132</f>
        <v>техобслуговування транспортних засобів</v>
      </c>
      <c r="C36" s="2107">
        <f>Виробництво_Транспортування_1ст!K132</f>
        <v>0</v>
      </c>
      <c r="D36" s="2106">
        <f>Виробництво_Транспортування_1ст!L132</f>
        <v>0</v>
      </c>
      <c r="E36" s="2106" t="str">
        <f>Виробництво_Транспортування_1ст!B132</f>
        <v>техобслуговування транспортних засобів</v>
      </c>
      <c r="F36" s="2106" t="e">
        <f>#REF!</f>
        <v>#REF!</v>
      </c>
      <c r="G36" s="2106" t="e">
        <f>#REF!</f>
        <v>#REF!</v>
      </c>
      <c r="H36" s="2108" t="e">
        <f t="shared" si="0"/>
        <v>#REF!</v>
      </c>
      <c r="I36" s="2108" t="e">
        <f t="shared" si="1"/>
        <v>#REF!</v>
      </c>
    </row>
    <row r="37" spans="2:9" ht="30" x14ac:dyDescent="0.25">
      <c r="B37" s="2106" t="str">
        <f>Виробництво_Транспортування_1ст!B133</f>
        <v>технічний контроль транспортних засобів</v>
      </c>
      <c r="C37" s="2107">
        <f>Виробництво_Транспортування_1ст!K133</f>
        <v>0</v>
      </c>
      <c r="D37" s="2106">
        <f>Виробництво_Транспортування_1ст!L133</f>
        <v>0</v>
      </c>
      <c r="E37" s="2106" t="str">
        <f>Виробництво_Транспортування_1ст!B133</f>
        <v>технічний контроль транспортних засобів</v>
      </c>
      <c r="F37" s="2106" t="e">
        <f>#REF!</f>
        <v>#REF!</v>
      </c>
      <c r="G37" s="2106" t="e">
        <f>#REF!</f>
        <v>#REF!</v>
      </c>
      <c r="H37" s="2108" t="e">
        <f t="shared" si="0"/>
        <v>#REF!</v>
      </c>
      <c r="I37" s="2108" t="e">
        <f t="shared" si="1"/>
        <v>#REF!</v>
      </c>
    </row>
    <row r="38" spans="2:9" x14ac:dyDescent="0.25">
      <c r="B38" s="2106" t="str">
        <f>Виробництво_Транспортування_1ст!B134</f>
        <v>страхування</v>
      </c>
      <c r="C38" s="2107">
        <f>Виробництво_Транспортування_1ст!K134</f>
        <v>0</v>
      </c>
      <c r="D38" s="2106">
        <f>Виробництво_Транспортування_1ст!L134</f>
        <v>0</v>
      </c>
      <c r="E38" s="2106" t="str">
        <f>Виробництво_Транспортування_1ст!B134</f>
        <v>страхування</v>
      </c>
      <c r="F38" s="2106" t="e">
        <f>#REF!</f>
        <v>#REF!</v>
      </c>
      <c r="G38" s="2106" t="e">
        <f>#REF!</f>
        <v>#REF!</v>
      </c>
      <c r="H38" s="2108" t="e">
        <f t="shared" si="0"/>
        <v>#REF!</v>
      </c>
      <c r="I38" s="2108" t="e">
        <f t="shared" si="1"/>
        <v>#REF!</v>
      </c>
    </row>
    <row r="39" spans="2:9" x14ac:dyDescent="0.25">
      <c r="B39" s="2106" t="str">
        <f>Виробництво_Транспортування_1ст!B135</f>
        <v>приймання відходів</v>
      </c>
      <c r="C39" s="2107">
        <f>Виробництво_Транспортування_1ст!K135</f>
        <v>0</v>
      </c>
      <c r="D39" s="2106">
        <f>Виробництво_Транспортування_1ст!L135</f>
        <v>0</v>
      </c>
      <c r="E39" s="2106" t="str">
        <f>Виробництво_Транспортування_1ст!B135</f>
        <v>приймання відходів</v>
      </c>
      <c r="F39" s="2106" t="e">
        <f>#REF!</f>
        <v>#REF!</v>
      </c>
      <c r="G39" s="2106" t="e">
        <f>#REF!</f>
        <v>#REF!</v>
      </c>
      <c r="H39" s="2108" t="e">
        <f t="shared" si="0"/>
        <v>#REF!</v>
      </c>
      <c r="I39" s="2108" t="e">
        <f t="shared" si="1"/>
        <v>#REF!</v>
      </c>
    </row>
    <row r="40" spans="2:9" x14ac:dyDescent="0.25">
      <c r="B40" s="2106" t="str">
        <f>Виробництво_Транспортування_1ст!B136</f>
        <v>обслуговування теплових камер</v>
      </c>
      <c r="C40" s="2107">
        <f>Виробництво_Транспортування_1ст!K136</f>
        <v>0</v>
      </c>
      <c r="D40" s="2106">
        <f>Виробництво_Транспортування_1ст!L136</f>
        <v>0</v>
      </c>
      <c r="E40" s="2106" t="str">
        <f>Виробництво_Транспортування_1ст!B136</f>
        <v>обслуговування теплових камер</v>
      </c>
      <c r="F40" s="2106" t="e">
        <f>#REF!</f>
        <v>#REF!</v>
      </c>
      <c r="G40" s="2106" t="e">
        <f>#REF!</f>
        <v>#REF!</v>
      </c>
      <c r="H40" s="2108" t="e">
        <f t="shared" si="0"/>
        <v>#REF!</v>
      </c>
      <c r="I40" s="2108" t="e">
        <f t="shared" si="1"/>
        <v>#REF!</v>
      </c>
    </row>
    <row r="41" spans="2:9" x14ac:dyDescent="0.25">
      <c r="B41" s="2106" t="str">
        <f>Виробництво_Транспортування_1ст!B137</f>
        <v>медогляд</v>
      </c>
      <c r="C41" s="2107">
        <f>Виробництво_Транспортування_1ст!K137</f>
        <v>1.1100000000000001</v>
      </c>
      <c r="D41" s="2106">
        <f>Виробництво_Транспортування_1ст!L137</f>
        <v>7.65</v>
      </c>
      <c r="E41" s="2106" t="str">
        <f>Виробництво_Транспортування_1ст!B137</f>
        <v>медогляд</v>
      </c>
      <c r="F41" s="2106" t="e">
        <f>#REF!</f>
        <v>#REF!</v>
      </c>
      <c r="G41" s="2106" t="e">
        <f>#REF!</f>
        <v>#REF!</v>
      </c>
      <c r="H41" s="2108" t="e">
        <f t="shared" si="0"/>
        <v>#REF!</v>
      </c>
      <c r="I41" s="2108" t="e">
        <f t="shared" si="1"/>
        <v>#REF!</v>
      </c>
    </row>
    <row r="42" spans="2:9" ht="30" x14ac:dyDescent="0.25">
      <c r="B42" s="2106" t="str">
        <f>Виробництво_Транспортування_1ст!B138</f>
        <v>підготовка та перепідготовка кадрів (навчання)</v>
      </c>
      <c r="C42" s="2107">
        <f>Виробництво_Транспортування_1ст!K138</f>
        <v>0.11</v>
      </c>
      <c r="D42" s="2106">
        <f>Виробництво_Транспортування_1ст!L138</f>
        <v>0.74</v>
      </c>
      <c r="E42" s="2106" t="str">
        <f>Виробництво_Транспортування_1ст!B138</f>
        <v>підготовка та перепідготовка кадрів (навчання)</v>
      </c>
      <c r="F42" s="2106" t="e">
        <f>#REF!</f>
        <v>#REF!</v>
      </c>
      <c r="G42" s="2106" t="e">
        <f>#REF!</f>
        <v>#REF!</v>
      </c>
      <c r="H42" s="2108" t="e">
        <f t="shared" si="0"/>
        <v>#REF!</v>
      </c>
      <c r="I42" s="2108" t="e">
        <f t="shared" si="1"/>
        <v>#REF!</v>
      </c>
    </row>
    <row r="43" spans="2:9" ht="30" x14ac:dyDescent="0.25">
      <c r="B43" s="2106" t="str">
        <f>Виробництво_Транспортування_1ст!B139</f>
        <v>культурно-масові міроприємства, утримання профспілок</v>
      </c>
      <c r="C43" s="2107">
        <f>Виробництво_Транспортування_1ст!K139</f>
        <v>1.03</v>
      </c>
      <c r="D43" s="2106">
        <f>Виробництво_Транспортування_1ст!L139</f>
        <v>7.08</v>
      </c>
      <c r="E43" s="2106" t="str">
        <f>Виробництво_Транспортування_1ст!B139</f>
        <v>культурно-масові міроприємства, утримання профспілок</v>
      </c>
      <c r="F43" s="2106" t="e">
        <f>#REF!</f>
        <v>#REF!</v>
      </c>
      <c r="G43" s="2106" t="e">
        <f>#REF!</f>
        <v>#REF!</v>
      </c>
      <c r="H43" s="2108" t="e">
        <f t="shared" si="0"/>
        <v>#REF!</v>
      </c>
      <c r="I43" s="2108" t="e">
        <f t="shared" si="1"/>
        <v>#REF!</v>
      </c>
    </row>
    <row r="44" spans="2:9" x14ac:dyDescent="0.25">
      <c r="B44" s="2106" t="str">
        <f>Виробництво_Транспортування_1ст!B140</f>
        <v>медичне страхування</v>
      </c>
      <c r="C44" s="2107">
        <f>Виробництво_Транспортування_1ст!K140</f>
        <v>20.79</v>
      </c>
      <c r="D44" s="2106">
        <f>Виробництво_Транспортування_1ст!L140</f>
        <v>85.02</v>
      </c>
      <c r="E44" s="2106" t="str">
        <f>Виробництво_Транспортування_1ст!B140</f>
        <v>медичне страхування</v>
      </c>
      <c r="F44" s="2106" t="e">
        <f>#REF!</f>
        <v>#REF!</v>
      </c>
      <c r="G44" s="2106" t="e">
        <f>#REF!</f>
        <v>#REF!</v>
      </c>
      <c r="H44" s="2108" t="e">
        <f t="shared" si="0"/>
        <v>#REF!</v>
      </c>
      <c r="I44" s="2108" t="e">
        <f t="shared" si="1"/>
        <v>#REF!</v>
      </c>
    </row>
    <row r="45" spans="2:9" ht="30" x14ac:dyDescent="0.25">
      <c r="B45" s="2106" t="str">
        <f>Виробництво_Транспортування_1ст!B141</f>
        <v>відрахування профспілкам 3% від фонду оплати праці</v>
      </c>
      <c r="C45" s="2107">
        <f>Виробництво_Транспортування_1ст!K141</f>
        <v>17.809999999999999</v>
      </c>
      <c r="D45" s="2106">
        <f>Виробництво_Транспортування_1ст!L141</f>
        <v>72.88</v>
      </c>
      <c r="E45" s="2106" t="str">
        <f>Виробництво_Транспортування_1ст!B141</f>
        <v>відрахування профспілкам 3% від фонду оплати праці</v>
      </c>
      <c r="F45" s="2106" t="e">
        <f>#REF!</f>
        <v>#REF!</v>
      </c>
      <c r="G45" s="2106" t="e">
        <f>#REF!</f>
        <v>#REF!</v>
      </c>
      <c r="H45" s="2108" t="e">
        <f t="shared" si="0"/>
        <v>#REF!</v>
      </c>
      <c r="I45" s="2108" t="e">
        <f t="shared" si="1"/>
        <v>#REF!</v>
      </c>
    </row>
    <row r="46" spans="2:9" x14ac:dyDescent="0.25">
      <c r="B46" s="2106" t="str">
        <f>Виробництво_Транспортування_1ст!B142</f>
        <v>послуги відділу охорони СМБ</v>
      </c>
      <c r="C46" s="2107">
        <f>Виробництво_Транспортування_1ст!K142</f>
        <v>31.12</v>
      </c>
      <c r="D46" s="2106">
        <f>Виробництво_Транспортування_1ст!L142</f>
        <v>214.5</v>
      </c>
      <c r="E46" s="2106" t="str">
        <f>Виробництво_Транспортування_1ст!B142</f>
        <v>послуги відділу охорони СМБ</v>
      </c>
      <c r="F46" s="2106" t="e">
        <f>#REF!</f>
        <v>#REF!</v>
      </c>
      <c r="G46" s="2106" t="e">
        <f>#REF!</f>
        <v>#REF!</v>
      </c>
      <c r="H46" s="2108" t="e">
        <f t="shared" si="0"/>
        <v>#REF!</v>
      </c>
      <c r="I46" s="2108" t="e">
        <f t="shared" si="1"/>
        <v>#REF!</v>
      </c>
    </row>
    <row r="47" spans="2:9" x14ac:dyDescent="0.25">
      <c r="B47" s="2106" t="str">
        <f>Виробництво_Транспортування_1ст!B143</f>
        <v>державна повірка та юстування</v>
      </c>
      <c r="C47" s="2107">
        <f>Виробництво_Транспортування_1ст!K143</f>
        <v>0</v>
      </c>
      <c r="D47" s="2106">
        <f>Виробництво_Транспортування_1ст!L143</f>
        <v>0</v>
      </c>
      <c r="E47" s="2106" t="str">
        <f>Виробництво_Транспортування_1ст!B143</f>
        <v>державна повірка та юстування</v>
      </c>
      <c r="F47" s="2106" t="e">
        <f>#REF!</f>
        <v>#REF!</v>
      </c>
      <c r="G47" s="2106" t="e">
        <f>#REF!</f>
        <v>#REF!</v>
      </c>
      <c r="H47" s="2108" t="e">
        <f t="shared" si="0"/>
        <v>#REF!</v>
      </c>
      <c r="I47" s="2108" t="e">
        <f t="shared" si="1"/>
        <v>#REF!</v>
      </c>
    </row>
    <row r="48" spans="2:9" x14ac:dyDescent="0.25">
      <c r="B48" s="2106" t="str">
        <f>Виробництво_Транспортування_1ст!B144</f>
        <v>послуги з передачі ел/енергії</v>
      </c>
      <c r="C48" s="2107">
        <f>Виробництво_Транспортування_1ст!K144</f>
        <v>159.16</v>
      </c>
      <c r="D48" s="2106">
        <f>Виробництво_Транспортування_1ст!L144</f>
        <v>919.59</v>
      </c>
      <c r="E48" s="2106" t="str">
        <f>Виробництво_Транспортування_1ст!B144</f>
        <v>послуги з передачі ел/енергії</v>
      </c>
      <c r="F48" s="2106" t="e">
        <f>#REF!</f>
        <v>#REF!</v>
      </c>
      <c r="G48" s="2106" t="e">
        <f>#REF!</f>
        <v>#REF!</v>
      </c>
      <c r="H48" s="2108" t="e">
        <f t="shared" si="0"/>
        <v>#REF!</v>
      </c>
      <c r="I48" s="2108" t="e">
        <f t="shared" si="1"/>
        <v>#REF!</v>
      </c>
    </row>
    <row r="49" spans="2:9" x14ac:dyDescent="0.25">
      <c r="B49" s="2106" t="str">
        <f>Виробництво_Транспортування_1ст!B145</f>
        <v>послуги з передачі води та стоків</v>
      </c>
      <c r="C49" s="2107">
        <f>Виробництво_Транспортування_1ст!K145</f>
        <v>130.06</v>
      </c>
      <c r="D49" s="2106">
        <f>Виробництво_Транспортування_1ст!L145</f>
        <v>896.31</v>
      </c>
      <c r="E49" s="2106" t="str">
        <f>Виробництво_Транспортування_1ст!B145</f>
        <v>послуги з передачі води та стоків</v>
      </c>
      <c r="F49" s="2106" t="e">
        <f>#REF!</f>
        <v>#REF!</v>
      </c>
      <c r="G49" s="2106" t="e">
        <f>#REF!</f>
        <v>#REF!</v>
      </c>
      <c r="H49" s="2108" t="e">
        <f t="shared" si="0"/>
        <v>#REF!</v>
      </c>
      <c r="I49" s="2108" t="e">
        <f t="shared" si="1"/>
        <v>#REF!</v>
      </c>
    </row>
    <row r="50" spans="2:9" ht="30" x14ac:dyDescent="0.25">
      <c r="B50" s="2106" t="str">
        <f>Виробництво_Транспортування_1ст!B146</f>
        <v>послуги служби пожежної охорони</v>
      </c>
      <c r="C50" s="2107">
        <f>Виробництво_Транспортування_1ст!K146</f>
        <v>0.3</v>
      </c>
      <c r="D50" s="2106">
        <f>Виробництво_Транспортування_1ст!L146</f>
        <v>2.04</v>
      </c>
      <c r="E50" s="2106" t="str">
        <f>Виробництво_Транспортування_1ст!B146</f>
        <v>послуги служби пожежної охорони</v>
      </c>
      <c r="F50" s="2106" t="e">
        <f>#REF!</f>
        <v>#REF!</v>
      </c>
      <c r="G50" s="2106" t="e">
        <f>#REF!</f>
        <v>#REF!</v>
      </c>
      <c r="H50" s="2108" t="e">
        <f t="shared" si="0"/>
        <v>#REF!</v>
      </c>
      <c r="I50" s="2108" t="e">
        <f t="shared" si="1"/>
        <v>#REF!</v>
      </c>
    </row>
    <row r="51" spans="2:9" x14ac:dyDescent="0.25">
      <c r="B51" s="2106" t="str">
        <f>Виробництво_Транспортування_1ст!B147</f>
        <v>послуги ТСГ з теплопостачання</v>
      </c>
      <c r="C51" s="2107">
        <f>Виробництво_Транспортування_1ст!K147</f>
        <v>20.87</v>
      </c>
      <c r="D51" s="2106">
        <f>Виробництво_Транспортування_1ст!L147</f>
        <v>143.80000000000001</v>
      </c>
      <c r="E51" s="2106" t="str">
        <f>Виробництво_Транспортування_1ст!B147</f>
        <v>послуги ТСГ з теплопостачання</v>
      </c>
      <c r="F51" s="2106" t="e">
        <f>#REF!</f>
        <v>#REF!</v>
      </c>
      <c r="G51" s="2106" t="e">
        <f>#REF!</f>
        <v>#REF!</v>
      </c>
      <c r="H51" s="2108" t="e">
        <f t="shared" si="0"/>
        <v>#REF!</v>
      </c>
      <c r="I51" s="2108" t="e">
        <f t="shared" si="1"/>
        <v>#REF!</v>
      </c>
    </row>
    <row r="52" spans="2:9" x14ac:dyDescent="0.25">
      <c r="B52" s="2106" t="str">
        <f>Виробництво_Транспортування_1ст!B148</f>
        <v>заправка картріджів</v>
      </c>
      <c r="C52" s="2107">
        <f>Виробництво_Транспортування_1ст!K148</f>
        <v>0</v>
      </c>
      <c r="D52" s="2106">
        <f>Виробництво_Транспортування_1ст!L148</f>
        <v>0</v>
      </c>
      <c r="E52" s="2106" t="str">
        <f>Виробництво_Транспортування_1ст!B148</f>
        <v>заправка картріджів</v>
      </c>
      <c r="F52" s="2106" t="e">
        <f>#REF!</f>
        <v>#REF!</v>
      </c>
      <c r="G52" s="2106" t="e">
        <f>#REF!</f>
        <v>#REF!</v>
      </c>
      <c r="H52" s="2108" t="e">
        <f t="shared" si="0"/>
        <v>#REF!</v>
      </c>
      <c r="I52" s="2108" t="e">
        <f t="shared" si="1"/>
        <v>#REF!</v>
      </c>
    </row>
    <row r="53" spans="2:9" x14ac:dyDescent="0.25">
      <c r="B53" s="2106" t="str">
        <f>Виробництво_Транспортування_1ст!B149</f>
        <v>ППЗ для захисту від вірусів</v>
      </c>
      <c r="C53" s="2107">
        <f>Виробництво_Транспортування_1ст!K149</f>
        <v>0</v>
      </c>
      <c r="D53" s="2106">
        <f>Виробництво_Транспортування_1ст!L149</f>
        <v>0</v>
      </c>
      <c r="E53" s="2106" t="str">
        <f>Виробництво_Транспортування_1ст!B149</f>
        <v>ППЗ для захисту від вірусів</v>
      </c>
      <c r="F53" s="2106" t="e">
        <f>#REF!</f>
        <v>#REF!</v>
      </c>
      <c r="G53" s="2106" t="e">
        <f>#REF!</f>
        <v>#REF!</v>
      </c>
      <c r="H53" s="2108" t="e">
        <f t="shared" si="0"/>
        <v>#REF!</v>
      </c>
      <c r="I53" s="2108" t="e">
        <f t="shared" si="1"/>
        <v>#REF!</v>
      </c>
    </row>
    <row r="54" spans="2:9" x14ac:dyDescent="0.25">
      <c r="B54" s="2106" t="str">
        <f>Виробництво_Транспортування_1ст!B150</f>
        <v>оцінка обсягів водокористування</v>
      </c>
      <c r="C54" s="2107">
        <f>Виробництво_Транспортування_1ст!K150</f>
        <v>0</v>
      </c>
      <c r="D54" s="2106">
        <f>Виробництво_Транспортування_1ст!L150</f>
        <v>0</v>
      </c>
      <c r="E54" s="2106" t="str">
        <f>Виробництво_Транспортування_1ст!B150</f>
        <v>оцінка обсягів водокористування</v>
      </c>
      <c r="F54" s="2106" t="e">
        <f>#REF!</f>
        <v>#REF!</v>
      </c>
      <c r="G54" s="2106" t="e">
        <f>#REF!</f>
        <v>#REF!</v>
      </c>
      <c r="H54" s="2108" t="e">
        <f t="shared" si="0"/>
        <v>#REF!</v>
      </c>
      <c r="I54" s="2108" t="e">
        <f t="shared" si="1"/>
        <v>#REF!</v>
      </c>
    </row>
    <row r="55" spans="2:9" x14ac:dyDescent="0.25">
      <c r="B55" s="2106" t="str">
        <f>Виробництво_Транспортування_1ст!B151</f>
        <v>транспортні послуги</v>
      </c>
      <c r="C55" s="2107">
        <f>Виробництво_Транспортування_1ст!K151</f>
        <v>0</v>
      </c>
      <c r="D55" s="2106">
        <f>Виробництво_Транспортування_1ст!L151</f>
        <v>0</v>
      </c>
      <c r="E55" s="2106" t="str">
        <f>Виробництво_Транспортування_1ст!B151</f>
        <v>транспортні послуги</v>
      </c>
      <c r="F55" s="2106" t="e">
        <f>#REF!</f>
        <v>#REF!</v>
      </c>
      <c r="G55" s="2106" t="e">
        <f>#REF!</f>
        <v>#REF!</v>
      </c>
      <c r="H55" s="2108" t="e">
        <f t="shared" si="0"/>
        <v>#REF!</v>
      </c>
      <c r="I55" s="2108" t="e">
        <f t="shared" si="1"/>
        <v>#REF!</v>
      </c>
    </row>
    <row r="56" spans="2:9" x14ac:dyDescent="0.25">
      <c r="B56" s="2106" t="str">
        <f>Виробництво_Транспортування_1ст!B152</f>
        <v>службові відрядження</v>
      </c>
      <c r="C56" s="2107">
        <f>Виробництво_Транспортування_1ст!K152</f>
        <v>0</v>
      </c>
      <c r="D56" s="2106">
        <f>Виробництво_Транспортування_1ст!L152</f>
        <v>0</v>
      </c>
      <c r="E56" s="2106" t="str">
        <f>Виробництво_Транспортування_1ст!B152</f>
        <v>службові відрядження</v>
      </c>
      <c r="F56" s="2106" t="e">
        <f>#REF!</f>
        <v>#REF!</v>
      </c>
      <c r="G56" s="2106" t="e">
        <f>#REF!</f>
        <v>#REF!</v>
      </c>
      <c r="H56" s="2108" t="e">
        <f t="shared" si="0"/>
        <v>#REF!</v>
      </c>
      <c r="I56" s="2108" t="e">
        <f t="shared" si="1"/>
        <v>#REF!</v>
      </c>
    </row>
    <row r="57" spans="2:9" x14ac:dyDescent="0.25">
      <c r="B57" s="2106" t="str">
        <f>Виробництво_Транспортування_1ст!B153</f>
        <v>вимірювання якості води</v>
      </c>
      <c r="C57" s="2107">
        <f>Виробництво_Транспортування_1ст!K153</f>
        <v>0</v>
      </c>
      <c r="D57" s="2106">
        <f>Виробництво_Транспортування_1ст!L153</f>
        <v>0</v>
      </c>
      <c r="E57" s="2106" t="str">
        <f>Виробництво_Транспортування_1ст!B153</f>
        <v>вимірювання якості води</v>
      </c>
      <c r="F57" s="2106" t="e">
        <f>#REF!</f>
        <v>#REF!</v>
      </c>
      <c r="G57" s="2106" t="e">
        <f>#REF!</f>
        <v>#REF!</v>
      </c>
      <c r="H57" s="2108" t="e">
        <f t="shared" si="0"/>
        <v>#REF!</v>
      </c>
      <c r="I57" s="2108" t="e">
        <f t="shared" si="1"/>
        <v>#REF!</v>
      </c>
    </row>
    <row r="58" spans="2:9" x14ac:dyDescent="0.25">
      <c r="B58" s="2106" t="str">
        <f>Виробництво_Транспортування_1ст!B154</f>
        <v>витрати на професійні послуги</v>
      </c>
      <c r="C58" s="2107">
        <f>Виробництво_Транспортування_1ст!K154</f>
        <v>0</v>
      </c>
      <c r="D58" s="2106">
        <f>Виробництво_Транспортування_1ст!L154</f>
        <v>0</v>
      </c>
      <c r="E58" s="2106" t="str">
        <f>Виробництво_Транспортування_1ст!B154</f>
        <v>витрати на професійні послуги</v>
      </c>
      <c r="F58" s="2106" t="e">
        <f>#REF!</f>
        <v>#REF!</v>
      </c>
      <c r="G58" s="2106" t="e">
        <f>#REF!</f>
        <v>#REF!</v>
      </c>
      <c r="H58" s="2108" t="e">
        <f t="shared" si="0"/>
        <v>#REF!</v>
      </c>
      <c r="I58" s="2108" t="e">
        <f t="shared" si="1"/>
        <v>#REF!</v>
      </c>
    </row>
    <row r="59" spans="2:9" ht="30" x14ac:dyDescent="0.25">
      <c r="B59" s="2106" t="str">
        <f>Виробництво_Транспортування_1ст!B155</f>
        <v>витрати на зв'язок та інтернет, у т.ч.:</v>
      </c>
      <c r="C59" s="2107">
        <f>Виробництво_Транспортування_1ст!K155</f>
        <v>0</v>
      </c>
      <c r="D59" s="2106">
        <f>Виробництво_Транспортування_1ст!L155</f>
        <v>0</v>
      </c>
      <c r="E59" s="2106" t="str">
        <f>Виробництво_Транспортування_1ст!B155</f>
        <v>витрати на зв'язок та інтернет, у т.ч.:</v>
      </c>
      <c r="F59" s="2106" t="e">
        <f>#REF!</f>
        <v>#REF!</v>
      </c>
      <c r="G59" s="2106" t="e">
        <f>#REF!</f>
        <v>#REF!</v>
      </c>
      <c r="H59" s="2108" t="e">
        <f t="shared" si="0"/>
        <v>#REF!</v>
      </c>
      <c r="I59" s="2108" t="e">
        <f t="shared" si="1"/>
        <v>#REF!</v>
      </c>
    </row>
    <row r="60" spans="2:9" x14ac:dyDescent="0.25">
      <c r="B60" s="2106" t="str">
        <f>Виробництво_Транспортування_1ст!B156</f>
        <v>зв'язок</v>
      </c>
      <c r="C60" s="2107">
        <f>Виробництво_Транспортування_1ст!K156</f>
        <v>0.16</v>
      </c>
      <c r="D60" s="2106">
        <f>Виробництво_Транспортування_1ст!L156</f>
        <v>1.0900000000000001</v>
      </c>
      <c r="E60" s="2106" t="str">
        <f>Виробництво_Транспортування_1ст!B156</f>
        <v>зв'язок</v>
      </c>
      <c r="F60" s="2106" t="e">
        <f>#REF!</f>
        <v>#REF!</v>
      </c>
      <c r="G60" s="2106" t="e">
        <f>#REF!</f>
        <v>#REF!</v>
      </c>
      <c r="H60" s="2108" t="e">
        <f t="shared" si="0"/>
        <v>#REF!</v>
      </c>
      <c r="I60" s="2108" t="e">
        <f t="shared" si="1"/>
        <v>#REF!</v>
      </c>
    </row>
    <row r="61" spans="2:9" x14ac:dyDescent="0.25">
      <c r="B61" s="2106" t="str">
        <f>Виробництво_Транспортування_1ст!B157</f>
        <v>інтернет</v>
      </c>
      <c r="C61" s="2107">
        <f>Виробництво_Транспортування_1ст!K157</f>
        <v>0</v>
      </c>
      <c r="D61" s="2106">
        <f>Виробництво_Транспортування_1ст!L157</f>
        <v>0</v>
      </c>
      <c r="E61" s="2106" t="str">
        <f>Виробництво_Транспортування_1ст!B157</f>
        <v>інтернет</v>
      </c>
      <c r="F61" s="2106" t="e">
        <f>#REF!</f>
        <v>#REF!</v>
      </c>
      <c r="G61" s="2106" t="e">
        <f>#REF!</f>
        <v>#REF!</v>
      </c>
      <c r="H61" s="2108" t="e">
        <f t="shared" si="0"/>
        <v>#REF!</v>
      </c>
      <c r="I61" s="2108" t="e">
        <f t="shared" si="1"/>
        <v>#REF!</v>
      </c>
    </row>
    <row r="62" spans="2:9" ht="45" x14ac:dyDescent="0.25">
      <c r="B62" s="2106" t="str">
        <f>Виробництво_Транспортування_1ст!B158</f>
        <v>розробка декларації, планів локалізації аварій та їх експертиза</v>
      </c>
      <c r="C62" s="2107">
        <f>Виробництво_Транспортування_1ст!K158</f>
        <v>0</v>
      </c>
      <c r="D62" s="2106">
        <f>Виробництво_Транспортування_1ст!L158</f>
        <v>0</v>
      </c>
      <c r="E62" s="2106" t="str">
        <f>Виробництво_Транспортування_1ст!B158</f>
        <v>розробка декларації, планів локалізації аварій та їх експертиза</v>
      </c>
      <c r="F62" s="2106" t="e">
        <f>#REF!</f>
        <v>#REF!</v>
      </c>
      <c r="G62" s="2106" t="e">
        <f>#REF!</f>
        <v>#REF!</v>
      </c>
      <c r="H62" s="2108" t="e">
        <f t="shared" si="0"/>
        <v>#REF!</v>
      </c>
      <c r="I62" s="2108" t="e">
        <f t="shared" si="1"/>
        <v>#REF!</v>
      </c>
    </row>
    <row r="63" spans="2:9" ht="30" x14ac:dyDescent="0.25">
      <c r="B63" s="2106" t="str">
        <f>Виробництво_Транспортування_1ст!B159</f>
        <v>податки, збори, обов'язкові платежі</v>
      </c>
      <c r="C63" s="2107">
        <f>Виробництво_Транспортування_1ст!K159</f>
        <v>0</v>
      </c>
      <c r="D63" s="2106">
        <f>Виробництво_Транспортування_1ст!L159</f>
        <v>0</v>
      </c>
      <c r="E63" s="2106" t="str">
        <f>Виробництво_Транспортування_1ст!B159</f>
        <v>податки, збори, обов'язкові платежі</v>
      </c>
      <c r="F63" s="2106" t="e">
        <f>#REF!</f>
        <v>#REF!</v>
      </c>
      <c r="G63" s="2106" t="e">
        <f>#REF!</f>
        <v>#REF!</v>
      </c>
      <c r="H63" s="2108" t="e">
        <f t="shared" si="0"/>
        <v>#REF!</v>
      </c>
      <c r="I63" s="2108" t="e">
        <f t="shared" si="1"/>
        <v>#REF!</v>
      </c>
    </row>
    <row r="64" spans="2:9" x14ac:dyDescent="0.25">
      <c r="B64" s="2106" t="str">
        <f>Виробництво_Транспортування_1ст!B160</f>
        <v>радіочастоти</v>
      </c>
      <c r="C64" s="2107">
        <f>Виробництво_Транспортування_1ст!K160</f>
        <v>0</v>
      </c>
      <c r="D64" s="2106">
        <f>Виробництво_Транспортування_1ст!L160</f>
        <v>0</v>
      </c>
      <c r="E64" s="2106" t="str">
        <f>Виробництво_Транспортування_1ст!B160</f>
        <v>радіочастоти</v>
      </c>
      <c r="F64" s="2106" t="e">
        <f>#REF!</f>
        <v>#REF!</v>
      </c>
      <c r="G64" s="2106" t="e">
        <f>#REF!</f>
        <v>#REF!</v>
      </c>
      <c r="H64" s="2108" t="e">
        <f t="shared" si="0"/>
        <v>#REF!</v>
      </c>
      <c r="I64" s="2108" t="e">
        <f t="shared" si="1"/>
        <v>#REF!</v>
      </c>
    </row>
    <row r="65" spans="2:9" x14ac:dyDescent="0.25">
      <c r="B65" s="2106" t="str">
        <f>Виробництво_Транспортування_1ст!B161</f>
        <v>витрати на періодичні видання</v>
      </c>
      <c r="C65" s="2107">
        <f>Виробництво_Транспортування_1ст!K161</f>
        <v>0</v>
      </c>
      <c r="D65" s="2106">
        <f>Виробництво_Транспортування_1ст!L161</f>
        <v>0</v>
      </c>
      <c r="E65" s="2106" t="str">
        <f>Виробництво_Транспортування_1ст!B161</f>
        <v>витрати на періодичні видання</v>
      </c>
      <c r="F65" s="2106" t="e">
        <f>#REF!</f>
        <v>#REF!</v>
      </c>
      <c r="G65" s="2106" t="e">
        <f>#REF!</f>
        <v>#REF!</v>
      </c>
      <c r="H65" s="2108" t="e">
        <f t="shared" si="0"/>
        <v>#REF!</v>
      </c>
      <c r="I65" s="2108" t="e">
        <f t="shared" si="1"/>
        <v>#REF!</v>
      </c>
    </row>
    <row r="66" spans="2:9" ht="30" x14ac:dyDescent="0.25">
      <c r="B66" s="2106" t="str">
        <f>Виробництво_Транспортування_1ст!B162</f>
        <v>параметрування та техперевірка 3-х фазних лічильників</v>
      </c>
      <c r="C66" s="2107">
        <f>Виробництво_Транспортування_1ст!K162</f>
        <v>0</v>
      </c>
      <c r="D66" s="2106">
        <f>Виробництво_Транспортування_1ст!L162</f>
        <v>0</v>
      </c>
      <c r="E66" s="2106" t="str">
        <f>Виробництво_Транспортування_1ст!B162</f>
        <v>параметрування та техперевірка 3-х фазних лічильників</v>
      </c>
      <c r="F66" s="2106" t="e">
        <f>#REF!</f>
        <v>#REF!</v>
      </c>
      <c r="G66" s="2106" t="e">
        <f>#REF!</f>
        <v>#REF!</v>
      </c>
      <c r="H66" s="2108" t="e">
        <f t="shared" si="0"/>
        <v>#REF!</v>
      </c>
      <c r="I66" s="2108" t="e">
        <f t="shared" si="1"/>
        <v>#REF!</v>
      </c>
    </row>
    <row r="67" spans="2:9" x14ac:dyDescent="0.25">
      <c r="B67" s="2106" t="str">
        <f>Виробництво_Транспортування_1ст!B163</f>
        <v>обслуговування кондиціонерів</v>
      </c>
      <c r="C67" s="2107">
        <f>Виробництво_Транспортування_1ст!K163</f>
        <v>0</v>
      </c>
      <c r="D67" s="2106">
        <f>Виробництво_Транспортування_1ст!L163</f>
        <v>0</v>
      </c>
      <c r="E67" s="2106" t="str">
        <f>Виробництво_Транспортування_1ст!B163</f>
        <v>обслуговування кондиціонерів</v>
      </c>
      <c r="F67" s="2106" t="e">
        <f>#REF!</f>
        <v>#REF!</v>
      </c>
      <c r="G67" s="2106" t="e">
        <f>#REF!</f>
        <v>#REF!</v>
      </c>
      <c r="H67" s="2108" t="e">
        <f t="shared" si="0"/>
        <v>#REF!</v>
      </c>
      <c r="I67" s="2108" t="e">
        <f t="shared" si="1"/>
        <v>#REF!</v>
      </c>
    </row>
    <row r="68" spans="2:9" x14ac:dyDescent="0.25">
      <c r="B68" s="2106" t="str">
        <f>Виробництво_Транспортування_1ст!B164</f>
        <v>інші витрати</v>
      </c>
      <c r="C68" s="2107">
        <f>Виробництво_Транспортування_1ст!K164</f>
        <v>0</v>
      </c>
      <c r="D68" s="2106">
        <f>Виробництво_Транспортування_1ст!L164</f>
        <v>0</v>
      </c>
      <c r="E68" s="2106" t="str">
        <f>Виробництво_Транспортування_1ст!B164</f>
        <v>інші витрати</v>
      </c>
      <c r="F68" s="2106" t="e">
        <f>#REF!</f>
        <v>#REF!</v>
      </c>
      <c r="G68" s="2106" t="e">
        <f>#REF!</f>
        <v>#REF!</v>
      </c>
      <c r="H68" s="2108" t="e">
        <f t="shared" si="0"/>
        <v>#REF!</v>
      </c>
      <c r="I68" s="2108" t="e">
        <f t="shared" si="1"/>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pageSetUpPr fitToPage="1"/>
  </sheetPr>
  <dimension ref="A1:P123"/>
  <sheetViews>
    <sheetView view="pageBreakPreview" zoomScale="60" zoomScaleNormal="75" workbookViewId="0">
      <selection activeCell="F47" sqref="F47"/>
    </sheetView>
  </sheetViews>
  <sheetFormatPr defaultColWidth="9.140625" defaultRowHeight="15.75" x14ac:dyDescent="0.25"/>
  <cols>
    <col min="1" max="1" width="4.7109375" style="492" customWidth="1"/>
    <col min="2" max="2" width="60.85546875" style="492" customWidth="1"/>
    <col min="3" max="6" width="13.5703125" style="491" customWidth="1"/>
    <col min="7" max="10" width="13.42578125" style="492" customWidth="1"/>
    <col min="11" max="11" width="15.28515625" style="490" customWidth="1"/>
    <col min="12" max="12" width="14" style="492" customWidth="1"/>
    <col min="13" max="13" width="21" style="492" customWidth="1"/>
    <col min="14" max="14" width="12" style="492" customWidth="1"/>
    <col min="15" max="16" width="10.7109375" style="492" bestFit="1" customWidth="1"/>
    <col min="17" max="16384" width="9.140625" style="492"/>
  </cols>
  <sheetData>
    <row r="1" spans="2:16" ht="19.5" customHeight="1" x14ac:dyDescent="0.3">
      <c r="C1" s="492"/>
      <c r="D1" s="492"/>
      <c r="E1" s="492"/>
      <c r="F1" s="493"/>
      <c r="H1" s="490" t="s">
        <v>830</v>
      </c>
      <c r="M1" s="2558"/>
      <c r="N1" s="2558"/>
      <c r="O1" s="2558"/>
      <c r="P1" s="2109"/>
    </row>
    <row r="2" spans="2:16" x14ac:dyDescent="0.25">
      <c r="B2" s="490"/>
      <c r="C2" s="490"/>
      <c r="D2" s="490"/>
      <c r="E2" s="490"/>
      <c r="F2" s="490"/>
      <c r="G2" s="490"/>
      <c r="M2" s="2109"/>
      <c r="N2" s="2109"/>
      <c r="O2" s="2109"/>
      <c r="P2" s="2109"/>
    </row>
    <row r="3" spans="2:16" ht="18" customHeight="1" x14ac:dyDescent="0.25">
      <c r="C3" s="492"/>
      <c r="D3" s="492"/>
      <c r="E3" s="492"/>
      <c r="F3" s="492"/>
    </row>
    <row r="4" spans="2:16" ht="18.75" x14ac:dyDescent="0.3">
      <c r="B4" s="495" t="s">
        <v>1592</v>
      </c>
      <c r="C4" s="3978" t="str">
        <f>'Вхідні дані'!$F$5</f>
        <v>ЧФ ДП "АМПУ"</v>
      </c>
      <c r="D4" s="3978"/>
      <c r="E4" s="3978"/>
      <c r="F4" s="496" t="s">
        <v>460</v>
      </c>
      <c r="G4" s="496" t="str">
        <f>'Вхідні дані'!$F$6</f>
        <v>2022-2023</v>
      </c>
      <c r="H4" s="496" t="s">
        <v>647</v>
      </c>
      <c r="J4" s="495"/>
      <c r="K4" s="612"/>
      <c r="L4" s="495">
        <f>ФОП!G24</f>
        <v>2</v>
      </c>
      <c r="M4" s="492" t="s">
        <v>1617</v>
      </c>
    </row>
    <row r="5" spans="2:16" ht="18.75" x14ac:dyDescent="0.3">
      <c r="B5" s="495"/>
      <c r="C5" s="492"/>
      <c r="D5" s="492"/>
      <c r="E5" s="492"/>
      <c r="F5" s="530"/>
      <c r="G5" s="530"/>
      <c r="H5" s="531"/>
      <c r="I5" s="496"/>
      <c r="J5" s="495"/>
      <c r="K5" s="612"/>
      <c r="L5" s="495"/>
    </row>
    <row r="6" spans="2:16" ht="19.5" thickBot="1" x14ac:dyDescent="0.35">
      <c r="B6" s="519" t="s">
        <v>2113</v>
      </c>
      <c r="C6" s="492"/>
      <c r="D6" s="492"/>
      <c r="E6" s="492"/>
      <c r="F6" s="600">
        <f>SUM(G6:J6)</f>
        <v>1</v>
      </c>
      <c r="G6" s="600">
        <f>'Д 7_РП'!$G$76</f>
        <v>0</v>
      </c>
      <c r="H6" s="600">
        <f>'Д 7_РП'!$G$84</f>
        <v>0</v>
      </c>
      <c r="I6" s="600">
        <f>'Д 7_РП'!$G$88</f>
        <v>0</v>
      </c>
      <c r="J6" s="600">
        <f>'Д 7_РП'!$G$92</f>
        <v>1</v>
      </c>
      <c r="K6" s="613"/>
      <c r="L6" s="600"/>
    </row>
    <row r="7" spans="2:16" ht="19.5" thickBot="1" x14ac:dyDescent="0.25">
      <c r="B7" s="3964" t="s">
        <v>8</v>
      </c>
      <c r="C7" s="3277" t="s">
        <v>958</v>
      </c>
      <c r="D7" s="3277" t="s">
        <v>958</v>
      </c>
      <c r="E7" s="3277" t="s">
        <v>968</v>
      </c>
      <c r="F7" s="3277" t="s">
        <v>959</v>
      </c>
      <c r="G7" s="3966" t="s">
        <v>933</v>
      </c>
      <c r="H7" s="3967"/>
      <c r="I7" s="3967"/>
      <c r="J7" s="3968"/>
      <c r="K7" s="614"/>
      <c r="L7" s="610"/>
    </row>
    <row r="8" spans="2:16" ht="215.25" thickBot="1" x14ac:dyDescent="0.25">
      <c r="B8" s="3965"/>
      <c r="C8" s="3277">
        <f>'Вхідні дані'!$F$8</f>
        <v>2020</v>
      </c>
      <c r="D8" s="3277">
        <f>'Вхідні дані'!$F$7</f>
        <v>2021</v>
      </c>
      <c r="E8" s="3280" t="str">
        <f>'Вхідні дані'!$F$9</f>
        <v xml:space="preserve">Рішення виконавчого комітету Чорноморської міської ради Одеського району Одеської області № 381 від 27.12.2018 </v>
      </c>
      <c r="F8" s="3277" t="str">
        <f>'Вхідні дані'!$F$6</f>
        <v>2022-2023</v>
      </c>
      <c r="G8" s="3281" t="str">
        <f>'Вхідні дані'!$C$11</f>
        <v>населення</v>
      </c>
      <c r="H8" s="3281" t="str">
        <f>'Вхідні дані'!$D$11</f>
        <v>релігія</v>
      </c>
      <c r="I8" s="3281" t="str">
        <f>'Вхідні дані'!$E$11</f>
        <v>бюджетні установи</v>
      </c>
      <c r="J8" s="3281" t="str">
        <f>'Вхідні дані'!$F$11</f>
        <v>інші споживачі</v>
      </c>
      <c r="K8" s="614"/>
      <c r="L8" s="611"/>
    </row>
    <row r="9" spans="2:16" ht="37.5" x14ac:dyDescent="0.3">
      <c r="B9" s="3283" t="s">
        <v>1586</v>
      </c>
      <c r="C9" s="502">
        <f t="shared" ref="C9" si="0">C10+C21+C23</f>
        <v>795.08</v>
      </c>
      <c r="D9" s="502">
        <f t="shared" ref="D9:I9" si="1">D10+D21+D23</f>
        <v>922.66</v>
      </c>
      <c r="E9" s="502">
        <f>E10+E21+E23</f>
        <v>362.6</v>
      </c>
      <c r="F9" s="3364">
        <f t="shared" si="1"/>
        <v>914.12</v>
      </c>
      <c r="G9" s="502">
        <f t="shared" si="1"/>
        <v>0</v>
      </c>
      <c r="H9" s="502">
        <f t="shared" si="1"/>
        <v>0</v>
      </c>
      <c r="I9" s="502">
        <f t="shared" si="1"/>
        <v>0</v>
      </c>
      <c r="J9" s="502">
        <f>J10+J21+J23</f>
        <v>914.12</v>
      </c>
      <c r="K9" s="615"/>
      <c r="L9" s="606"/>
      <c r="M9" s="499"/>
      <c r="O9" s="499">
        <f>F9-G9-H9-I9-J9</f>
        <v>0</v>
      </c>
    </row>
    <row r="10" spans="2:16" ht="18.75" x14ac:dyDescent="0.3">
      <c r="B10" s="3286" t="s">
        <v>1585</v>
      </c>
      <c r="C10" s="1516">
        <f t="shared" ref="C10" si="2">SUM(C11:C20)</f>
        <v>5.3</v>
      </c>
      <c r="D10" s="1516">
        <f t="shared" ref="D10:J10" si="3">SUM(D11:D20)</f>
        <v>9.15</v>
      </c>
      <c r="E10" s="1516">
        <f t="shared" si="3"/>
        <v>1.4</v>
      </c>
      <c r="F10" s="3365">
        <f>SUM(F11:F20)</f>
        <v>9.7100000000000009</v>
      </c>
      <c r="G10" s="1516">
        <f t="shared" si="3"/>
        <v>0</v>
      </c>
      <c r="H10" s="1516">
        <f t="shared" si="3"/>
        <v>0</v>
      </c>
      <c r="I10" s="1516">
        <f t="shared" si="3"/>
        <v>0</v>
      </c>
      <c r="J10" s="1516">
        <f t="shared" si="3"/>
        <v>9.7100000000000009</v>
      </c>
      <c r="K10" s="616"/>
      <c r="L10" s="607"/>
      <c r="O10" s="499">
        <f t="shared" ref="O10:O62" si="4">F10-G10-H10-I10-J10</f>
        <v>0</v>
      </c>
    </row>
    <row r="11" spans="2:16" ht="18.75" hidden="1" x14ac:dyDescent="0.3">
      <c r="B11" s="3287" t="s">
        <v>960</v>
      </c>
      <c r="C11" s="3293"/>
      <c r="D11" s="3293"/>
      <c r="E11" s="3293"/>
      <c r="F11" s="3366"/>
      <c r="G11" s="508">
        <f t="shared" ref="G11:G22" si="5">F11*$G$6</f>
        <v>0</v>
      </c>
      <c r="H11" s="508">
        <f t="shared" ref="H11:H22" si="6">F11*$H$6</f>
        <v>0</v>
      </c>
      <c r="I11" s="508">
        <f t="shared" ref="I11:I22" si="7">F11*$I$6</f>
        <v>0</v>
      </c>
      <c r="J11" s="508">
        <f t="shared" ref="J11:J22" si="8">F11*$J$6</f>
        <v>0</v>
      </c>
      <c r="K11" s="617"/>
      <c r="L11" s="608"/>
      <c r="O11" s="499">
        <f t="shared" si="4"/>
        <v>0</v>
      </c>
    </row>
    <row r="12" spans="2:16" ht="18.75" x14ac:dyDescent="0.3">
      <c r="B12" s="3287" t="s">
        <v>961</v>
      </c>
      <c r="C12" s="3293">
        <f>263.33/1000</f>
        <v>0.26</v>
      </c>
      <c r="D12" s="3293"/>
      <c r="E12" s="3293">
        <v>1.4</v>
      </c>
      <c r="F12" s="3366">
        <v>0</v>
      </c>
      <c r="G12" s="508">
        <f t="shared" si="5"/>
        <v>0</v>
      </c>
      <c r="H12" s="508">
        <f t="shared" si="6"/>
        <v>0</v>
      </c>
      <c r="I12" s="508">
        <f t="shared" si="7"/>
        <v>0</v>
      </c>
      <c r="J12" s="508">
        <f t="shared" si="8"/>
        <v>0</v>
      </c>
      <c r="K12" s="617"/>
      <c r="L12" s="608"/>
      <c r="O12" s="499">
        <f t="shared" si="4"/>
        <v>0</v>
      </c>
    </row>
    <row r="13" spans="2:16" ht="18.75" x14ac:dyDescent="0.3">
      <c r="B13" s="3287" t="s">
        <v>962</v>
      </c>
      <c r="C13" s="3295">
        <f>38.25/1000</f>
        <v>0.04</v>
      </c>
      <c r="D13" s="3295">
        <f>65.7/1000</f>
        <v>7.0000000000000007E-2</v>
      </c>
      <c r="E13" s="3295"/>
      <c r="F13" s="3366">
        <f>D13*'Вхідні дані'!D77</f>
        <v>7.0000000000000007E-2</v>
      </c>
      <c r="G13" s="508">
        <f t="shared" si="5"/>
        <v>0</v>
      </c>
      <c r="H13" s="508">
        <f t="shared" si="6"/>
        <v>0</v>
      </c>
      <c r="I13" s="508">
        <f t="shared" si="7"/>
        <v>0</v>
      </c>
      <c r="J13" s="508">
        <f t="shared" si="8"/>
        <v>7.0000000000000007E-2</v>
      </c>
      <c r="K13" s="492" t="s">
        <v>1601</v>
      </c>
      <c r="L13" s="608"/>
      <c r="M13" s="499"/>
      <c r="N13" s="499"/>
      <c r="O13" s="499">
        <f t="shared" si="4"/>
        <v>0</v>
      </c>
    </row>
    <row r="14" spans="2:16" ht="18" hidden="1" customHeight="1" x14ac:dyDescent="0.3">
      <c r="B14" s="3287" t="s">
        <v>1509</v>
      </c>
      <c r="C14" s="3295"/>
      <c r="D14" s="3295"/>
      <c r="E14" s="3293"/>
      <c r="F14" s="3366"/>
      <c r="G14" s="508">
        <f t="shared" si="5"/>
        <v>0</v>
      </c>
      <c r="H14" s="508">
        <f t="shared" si="6"/>
        <v>0</v>
      </c>
      <c r="I14" s="508">
        <f t="shared" si="7"/>
        <v>0</v>
      </c>
      <c r="J14" s="508">
        <f t="shared" si="8"/>
        <v>0</v>
      </c>
      <c r="K14" s="617"/>
      <c r="L14" s="608"/>
      <c r="M14" s="499"/>
      <c r="N14" s="499"/>
      <c r="O14" s="499">
        <f t="shared" si="4"/>
        <v>0</v>
      </c>
    </row>
    <row r="15" spans="2:16" ht="18.75" x14ac:dyDescent="0.3">
      <c r="B15" s="3287" t="s">
        <v>941</v>
      </c>
      <c r="C15" s="3293">
        <f>82.48/1000</f>
        <v>0.08</v>
      </c>
      <c r="D15" s="3293">
        <f>808.6322/1000</f>
        <v>0.81</v>
      </c>
      <c r="E15" s="3293"/>
      <c r="F15" s="3366">
        <f>D15*'Вхідні дані'!D77</f>
        <v>0.86</v>
      </c>
      <c r="G15" s="508">
        <f>F15*$G$6</f>
        <v>0</v>
      </c>
      <c r="H15" s="508">
        <f>F15*$H$6</f>
        <v>0</v>
      </c>
      <c r="I15" s="508">
        <f>F15*$I$6</f>
        <v>0</v>
      </c>
      <c r="J15" s="508">
        <f>F15*$J$6</f>
        <v>0.86</v>
      </c>
      <c r="K15" s="492" t="s">
        <v>1601</v>
      </c>
      <c r="L15" s="608"/>
      <c r="M15" s="499"/>
      <c r="N15" s="499"/>
      <c r="O15" s="499">
        <f>F15-G15-H15-I15-J15</f>
        <v>0</v>
      </c>
    </row>
    <row r="16" spans="2:16" ht="18.75" hidden="1" x14ac:dyDescent="0.3">
      <c r="B16" s="3287" t="s">
        <v>963</v>
      </c>
      <c r="C16" s="3295"/>
      <c r="D16" s="3367"/>
      <c r="E16" s="3293"/>
      <c r="F16" s="3366">
        <f>(D16)*'Вхідні дані'!D77</f>
        <v>0</v>
      </c>
      <c r="G16" s="508">
        <f>F16*$G$6</f>
        <v>0</v>
      </c>
      <c r="H16" s="508">
        <f>F16*$H$6</f>
        <v>0</v>
      </c>
      <c r="I16" s="508">
        <f>F16*$I$6</f>
        <v>0</v>
      </c>
      <c r="J16" s="508">
        <f>F16*$J$6</f>
        <v>0</v>
      </c>
      <c r="K16" s="492"/>
      <c r="M16" s="499"/>
      <c r="N16" s="499"/>
      <c r="O16" s="499">
        <f>F16-G16-H16-I16-J16</f>
        <v>0</v>
      </c>
    </row>
    <row r="17" spans="1:16" ht="18.75" hidden="1" x14ac:dyDescent="0.3">
      <c r="B17" s="3287" t="s">
        <v>964</v>
      </c>
      <c r="C17" s="3293"/>
      <c r="D17" s="3293"/>
      <c r="E17" s="3293"/>
      <c r="F17" s="3366"/>
      <c r="G17" s="508">
        <f t="shared" si="5"/>
        <v>0</v>
      </c>
      <c r="H17" s="508">
        <f t="shared" si="6"/>
        <v>0</v>
      </c>
      <c r="I17" s="508">
        <f t="shared" si="7"/>
        <v>0</v>
      </c>
      <c r="J17" s="508">
        <f t="shared" si="8"/>
        <v>0</v>
      </c>
      <c r="K17" s="617"/>
      <c r="L17" s="608"/>
      <c r="M17" s="499"/>
      <c r="N17" s="499"/>
      <c r="O17" s="499">
        <f t="shared" si="4"/>
        <v>0</v>
      </c>
    </row>
    <row r="18" spans="1:16" ht="18.75" x14ac:dyDescent="0.3">
      <c r="B18" s="3287" t="s">
        <v>965</v>
      </c>
      <c r="C18" s="3293">
        <f>4922.93/1000</f>
        <v>4.92</v>
      </c>
      <c r="D18" s="3368">
        <f>8265.7145/1000</f>
        <v>8.27</v>
      </c>
      <c r="E18" s="3293"/>
      <c r="F18" s="3366">
        <f>D18*'Вхідні дані'!D77</f>
        <v>8.7799999999999994</v>
      </c>
      <c r="G18" s="508">
        <f t="shared" si="5"/>
        <v>0</v>
      </c>
      <c r="H18" s="508">
        <f t="shared" si="6"/>
        <v>0</v>
      </c>
      <c r="I18" s="508">
        <f t="shared" si="7"/>
        <v>0</v>
      </c>
      <c r="J18" s="508">
        <f t="shared" si="8"/>
        <v>8.7799999999999994</v>
      </c>
      <c r="K18" s="492" t="s">
        <v>1601</v>
      </c>
      <c r="L18" s="608"/>
      <c r="M18" s="499"/>
      <c r="N18" s="499"/>
      <c r="O18" s="499">
        <f t="shared" si="4"/>
        <v>0</v>
      </c>
    </row>
    <row r="19" spans="1:16" ht="18.75" hidden="1" x14ac:dyDescent="0.3">
      <c r="B19" s="3287" t="s">
        <v>966</v>
      </c>
      <c r="C19" s="3293"/>
      <c r="D19" s="3293"/>
      <c r="E19" s="3293"/>
      <c r="F19" s="3366">
        <f>ОП!H124/1000</f>
        <v>0</v>
      </c>
      <c r="G19" s="508">
        <f t="shared" si="5"/>
        <v>0</v>
      </c>
      <c r="H19" s="508">
        <f t="shared" si="6"/>
        <v>0</v>
      </c>
      <c r="I19" s="508">
        <f t="shared" si="7"/>
        <v>0</v>
      </c>
      <c r="J19" s="508">
        <f t="shared" si="8"/>
        <v>0</v>
      </c>
      <c r="K19" s="492"/>
      <c r="L19" s="608"/>
      <c r="M19" s="499"/>
      <c r="N19" s="499"/>
      <c r="O19" s="499">
        <f t="shared" si="4"/>
        <v>0</v>
      </c>
    </row>
    <row r="20" spans="1:16" ht="18.75" hidden="1" x14ac:dyDescent="0.3">
      <c r="B20" s="3287" t="s">
        <v>967</v>
      </c>
      <c r="C20" s="3293"/>
      <c r="D20" s="3293"/>
      <c r="E20" s="3293"/>
      <c r="F20" s="3366"/>
      <c r="G20" s="508">
        <f t="shared" si="5"/>
        <v>0</v>
      </c>
      <c r="H20" s="508">
        <f t="shared" si="6"/>
        <v>0</v>
      </c>
      <c r="I20" s="508">
        <f t="shared" si="7"/>
        <v>0</v>
      </c>
      <c r="J20" s="508">
        <f t="shared" si="8"/>
        <v>0</v>
      </c>
      <c r="K20" s="492"/>
      <c r="L20" s="608"/>
      <c r="O20" s="499">
        <f t="shared" si="4"/>
        <v>0</v>
      </c>
    </row>
    <row r="21" spans="1:16" ht="18.75" x14ac:dyDescent="0.3">
      <c r="B21" s="3296" t="s">
        <v>1587</v>
      </c>
      <c r="C21" s="1516">
        <f>553535.52/1000</f>
        <v>553.54</v>
      </c>
      <c r="D21" s="1516">
        <f>630430.15/1000</f>
        <v>630.42999999999995</v>
      </c>
      <c r="E21" s="1516">
        <v>285.60000000000002</v>
      </c>
      <c r="F21" s="3365">
        <f>ФОП!H24/1000</f>
        <v>612.30999999999995</v>
      </c>
      <c r="G21" s="1516">
        <f t="shared" si="5"/>
        <v>0</v>
      </c>
      <c r="H21" s="1516">
        <f t="shared" si="6"/>
        <v>0</v>
      </c>
      <c r="I21" s="1516">
        <f t="shared" si="7"/>
        <v>0</v>
      </c>
      <c r="J21" s="1516">
        <f t="shared" si="8"/>
        <v>612.30999999999995</v>
      </c>
      <c r="K21" s="492" t="s">
        <v>1591</v>
      </c>
      <c r="L21" s="608"/>
      <c r="O21" s="499">
        <f t="shared" si="4"/>
        <v>0</v>
      </c>
    </row>
    <row r="22" spans="1:16" ht="18.75" hidden="1" x14ac:dyDescent="0.3">
      <c r="B22" s="3290" t="s">
        <v>943</v>
      </c>
      <c r="C22" s="3293"/>
      <c r="D22" s="3293"/>
      <c r="E22" s="3293">
        <v>0</v>
      </c>
      <c r="F22" s="3369">
        <f>ФОП!H25/1000</f>
        <v>0</v>
      </c>
      <c r="G22" s="508">
        <f t="shared" si="5"/>
        <v>0</v>
      </c>
      <c r="H22" s="508">
        <f t="shared" si="6"/>
        <v>0</v>
      </c>
      <c r="I22" s="508">
        <f t="shared" si="7"/>
        <v>0</v>
      </c>
      <c r="J22" s="508">
        <f t="shared" si="8"/>
        <v>0</v>
      </c>
      <c r="K22" s="617"/>
      <c r="L22" s="608"/>
      <c r="O22" s="499">
        <f t="shared" si="4"/>
        <v>0</v>
      </c>
    </row>
    <row r="23" spans="1:16" ht="18.75" x14ac:dyDescent="0.3">
      <c r="B23" s="3296" t="s">
        <v>1588</v>
      </c>
      <c r="C23" s="3297">
        <f t="shared" ref="C23:J23" si="9">SUM(C24:C62)</f>
        <v>236.24</v>
      </c>
      <c r="D23" s="3297">
        <f t="shared" si="9"/>
        <v>283.08</v>
      </c>
      <c r="E23" s="3297">
        <f t="shared" si="9"/>
        <v>75.599999999999994</v>
      </c>
      <c r="F23" s="3370">
        <f t="shared" si="9"/>
        <v>292.10000000000002</v>
      </c>
      <c r="G23" s="3297">
        <f t="shared" si="9"/>
        <v>0</v>
      </c>
      <c r="H23" s="3297">
        <f t="shared" si="9"/>
        <v>0</v>
      </c>
      <c r="I23" s="3297">
        <f t="shared" si="9"/>
        <v>0</v>
      </c>
      <c r="J23" s="3297">
        <f t="shared" si="9"/>
        <v>292.10000000000002</v>
      </c>
      <c r="K23" s="615"/>
      <c r="L23" s="606"/>
      <c r="O23" s="499">
        <f t="shared" si="4"/>
        <v>0</v>
      </c>
    </row>
    <row r="24" spans="1:16" ht="37.5" x14ac:dyDescent="0.3">
      <c r="B24" s="3287" t="s">
        <v>539</v>
      </c>
      <c r="C24" s="3293">
        <f>107939.42/1000</f>
        <v>107.94</v>
      </c>
      <c r="D24" s="3293">
        <f>125512.82/1000</f>
        <v>125.51</v>
      </c>
      <c r="E24" s="3293">
        <v>62.8</v>
      </c>
      <c r="F24" s="3371">
        <f>(F21-F22)*'Вхідні дані'!D44+'Вхідні дані'!D45*F22</f>
        <v>134.71</v>
      </c>
      <c r="G24" s="508">
        <f t="shared" ref="G24:G62" si="10">F24*$G$6</f>
        <v>0</v>
      </c>
      <c r="H24" s="508">
        <f>F24*$H$6</f>
        <v>0</v>
      </c>
      <c r="I24" s="508">
        <f>F24*$I$6</f>
        <v>0</v>
      </c>
      <c r="J24" s="508">
        <f>F24*$J$6</f>
        <v>134.71</v>
      </c>
      <c r="K24" s="492" t="s">
        <v>1591</v>
      </c>
      <c r="L24" s="608"/>
      <c r="N24" s="499"/>
      <c r="O24" s="499">
        <f t="shared" si="4"/>
        <v>0</v>
      </c>
    </row>
    <row r="25" spans="1:16" s="511" customFormat="1" ht="56.25" x14ac:dyDescent="0.3">
      <c r="A25" s="492"/>
      <c r="B25" s="3287" t="s">
        <v>1615</v>
      </c>
      <c r="C25" s="3293">
        <v>0</v>
      </c>
      <c r="D25" s="3293">
        <f>7509.85/1000</f>
        <v>7.51</v>
      </c>
      <c r="E25" s="3293">
        <v>12.8</v>
      </c>
      <c r="F25" s="3371"/>
      <c r="G25" s="508">
        <f t="shared" si="10"/>
        <v>0</v>
      </c>
      <c r="H25" s="508">
        <f t="shared" ref="H25:H31" si="11">F25*$H$6</f>
        <v>0</v>
      </c>
      <c r="I25" s="508">
        <f t="shared" ref="I25:I31" si="12">F25*$I$6</f>
        <v>0</v>
      </c>
      <c r="J25" s="508">
        <f t="shared" ref="J25:J31" si="13">F25*$J$6</f>
        <v>0</v>
      </c>
      <c r="K25" s="628"/>
      <c r="L25" s="608"/>
      <c r="N25" s="492"/>
      <c r="O25" s="499">
        <f t="shared" si="4"/>
        <v>0</v>
      </c>
      <c r="P25" s="538"/>
    </row>
    <row r="26" spans="1:16" s="511" customFormat="1" ht="55.5" hidden="1" customHeight="1" x14ac:dyDescent="0.3">
      <c r="A26" s="492"/>
      <c r="B26" s="3287" t="s">
        <v>1616</v>
      </c>
      <c r="C26" s="3293"/>
      <c r="D26" s="3293"/>
      <c r="E26" s="3293">
        <v>0</v>
      </c>
      <c r="F26" s="3371">
        <v>0</v>
      </c>
      <c r="G26" s="508">
        <f t="shared" si="10"/>
        <v>0</v>
      </c>
      <c r="H26" s="508">
        <f t="shared" si="11"/>
        <v>0</v>
      </c>
      <c r="I26" s="508">
        <f t="shared" si="12"/>
        <v>0</v>
      </c>
      <c r="J26" s="508">
        <f t="shared" si="13"/>
        <v>0</v>
      </c>
      <c r="K26" s="628"/>
      <c r="L26" s="608"/>
      <c r="N26" s="499"/>
      <c r="O26" s="499">
        <f t="shared" si="4"/>
        <v>0</v>
      </c>
    </row>
    <row r="27" spans="1:16" ht="18" hidden="1" customHeight="1" x14ac:dyDescent="0.3">
      <c r="B27" s="3300" t="s">
        <v>1330</v>
      </c>
      <c r="C27" s="3301"/>
      <c r="D27" s="3301"/>
      <c r="E27" s="3301"/>
      <c r="F27" s="3371"/>
      <c r="G27" s="508">
        <f t="shared" si="10"/>
        <v>0</v>
      </c>
      <c r="H27" s="508">
        <f t="shared" si="11"/>
        <v>0</v>
      </c>
      <c r="I27" s="508">
        <f t="shared" si="12"/>
        <v>0</v>
      </c>
      <c r="J27" s="508">
        <f t="shared" si="13"/>
        <v>0</v>
      </c>
      <c r="K27" s="617"/>
      <c r="L27" s="608"/>
      <c r="O27" s="499">
        <f t="shared" si="4"/>
        <v>0</v>
      </c>
    </row>
    <row r="28" spans="1:16" ht="18" hidden="1" customHeight="1" x14ac:dyDescent="0.3">
      <c r="B28" s="3300" t="s">
        <v>1479</v>
      </c>
      <c r="C28" s="3293"/>
      <c r="D28" s="3293"/>
      <c r="E28" s="3293"/>
      <c r="F28" s="3372"/>
      <c r="G28" s="508">
        <f t="shared" si="10"/>
        <v>0</v>
      </c>
      <c r="H28" s="508">
        <f t="shared" si="11"/>
        <v>0</v>
      </c>
      <c r="I28" s="508">
        <f t="shared" si="12"/>
        <v>0</v>
      </c>
      <c r="J28" s="508">
        <f t="shared" si="13"/>
        <v>0</v>
      </c>
      <c r="K28" s="617"/>
      <c r="L28" s="608"/>
      <c r="O28" s="499">
        <f t="shared" si="4"/>
        <v>0</v>
      </c>
    </row>
    <row r="29" spans="1:16" ht="37.5" x14ac:dyDescent="0.3">
      <c r="B29" s="3300" t="s">
        <v>1334</v>
      </c>
      <c r="C29" s="3293">
        <f>(58.803+114.546)/1000</f>
        <v>0.17</v>
      </c>
      <c r="D29" s="3293">
        <f>(50.388+138.04)/1000</f>
        <v>0.19</v>
      </c>
      <c r="E29" s="3293"/>
      <c r="F29" s="3371">
        <f>[37]Лист1!$J$23+[37]Лист1!$K$23</f>
        <v>0.28000000000000003</v>
      </c>
      <c r="G29" s="508">
        <f t="shared" si="10"/>
        <v>0</v>
      </c>
      <c r="H29" s="508">
        <f t="shared" si="11"/>
        <v>0</v>
      </c>
      <c r="I29" s="508">
        <f t="shared" si="12"/>
        <v>0</v>
      </c>
      <c r="J29" s="508">
        <f t="shared" si="13"/>
        <v>0.28000000000000003</v>
      </c>
      <c r="K29" s="628" t="s">
        <v>1801</v>
      </c>
      <c r="L29" s="608"/>
      <c r="O29" s="499">
        <f t="shared" si="4"/>
        <v>0</v>
      </c>
      <c r="P29" s="538"/>
    </row>
    <row r="30" spans="1:16" ht="18.75" x14ac:dyDescent="0.3">
      <c r="B30" s="3300" t="s">
        <v>946</v>
      </c>
      <c r="C30" s="508">
        <f>1159.18/1000</f>
        <v>1.1599999999999999</v>
      </c>
      <c r="D30" s="508">
        <f>1321.08/1000</f>
        <v>1.32</v>
      </c>
      <c r="E30" s="508"/>
      <c r="F30" s="3369">
        <f>'Д 9_ЕЕ'!D83</f>
        <v>1.94</v>
      </c>
      <c r="G30" s="508">
        <f t="shared" si="10"/>
        <v>0</v>
      </c>
      <c r="H30" s="508">
        <f t="shared" si="11"/>
        <v>0</v>
      </c>
      <c r="I30" s="508">
        <f t="shared" si="12"/>
        <v>0</v>
      </c>
      <c r="J30" s="508">
        <f t="shared" si="13"/>
        <v>1.94</v>
      </c>
      <c r="K30" s="492" t="s">
        <v>1623</v>
      </c>
      <c r="O30" s="499">
        <f t="shared" si="4"/>
        <v>0</v>
      </c>
    </row>
    <row r="31" spans="1:16" ht="18.75" hidden="1" x14ac:dyDescent="0.3">
      <c r="B31" s="3300" t="s">
        <v>947</v>
      </c>
      <c r="C31" s="508"/>
      <c r="D31" s="508"/>
      <c r="E31" s="508"/>
      <c r="F31" s="3369"/>
      <c r="G31" s="508">
        <f t="shared" si="10"/>
        <v>0</v>
      </c>
      <c r="H31" s="508">
        <f t="shared" si="11"/>
        <v>0</v>
      </c>
      <c r="I31" s="508">
        <f t="shared" si="12"/>
        <v>0</v>
      </c>
      <c r="J31" s="508">
        <f t="shared" si="13"/>
        <v>0</v>
      </c>
      <c r="K31" s="492"/>
      <c r="O31" s="499">
        <f t="shared" si="4"/>
        <v>0</v>
      </c>
    </row>
    <row r="32" spans="1:16" ht="18.75" hidden="1" x14ac:dyDescent="0.3">
      <c r="B32" s="3300" t="s">
        <v>1340</v>
      </c>
      <c r="C32" s="508"/>
      <c r="D32" s="508"/>
      <c r="E32" s="508"/>
      <c r="F32" s="3369"/>
      <c r="G32" s="508">
        <f t="shared" si="10"/>
        <v>0</v>
      </c>
      <c r="H32" s="508">
        <f>F32*$H$6</f>
        <v>0</v>
      </c>
      <c r="I32" s="508">
        <f>F32*$I$6</f>
        <v>0</v>
      </c>
      <c r="J32" s="508">
        <f>F32*$J$6</f>
        <v>0</v>
      </c>
      <c r="K32" s="492"/>
      <c r="O32" s="499">
        <f t="shared" si="4"/>
        <v>0</v>
      </c>
    </row>
    <row r="33" spans="2:15" ht="18.75" hidden="1" x14ac:dyDescent="0.3">
      <c r="B33" s="3300" t="s">
        <v>1341</v>
      </c>
      <c r="C33" s="508"/>
      <c r="D33" s="508"/>
      <c r="E33" s="3293"/>
      <c r="F33" s="3369"/>
      <c r="G33" s="508">
        <f t="shared" si="10"/>
        <v>0</v>
      </c>
      <c r="H33" s="508">
        <f t="shared" ref="H33:H41" si="14">F33*$H$6</f>
        <v>0</v>
      </c>
      <c r="I33" s="508">
        <f t="shared" ref="I33:I41" si="15">F33*$I$6</f>
        <v>0</v>
      </c>
      <c r="J33" s="508">
        <f t="shared" ref="J33:J41" si="16">F33*$J$6</f>
        <v>0</v>
      </c>
      <c r="K33" s="492"/>
      <c r="O33" s="499">
        <f t="shared" si="4"/>
        <v>0</v>
      </c>
    </row>
    <row r="34" spans="2:15" ht="18.75" hidden="1" x14ac:dyDescent="0.3">
      <c r="B34" s="3300" t="s">
        <v>1342</v>
      </c>
      <c r="C34" s="508"/>
      <c r="D34" s="508"/>
      <c r="F34" s="3369"/>
      <c r="G34" s="508">
        <f t="shared" si="10"/>
        <v>0</v>
      </c>
      <c r="H34" s="508">
        <f t="shared" si="14"/>
        <v>0</v>
      </c>
      <c r="I34" s="508">
        <f t="shared" si="15"/>
        <v>0</v>
      </c>
      <c r="J34" s="508">
        <f t="shared" si="16"/>
        <v>0</v>
      </c>
      <c r="K34" s="492"/>
      <c r="O34" s="499">
        <f t="shared" si="4"/>
        <v>0</v>
      </c>
    </row>
    <row r="35" spans="2:15" ht="18.75" hidden="1" x14ac:dyDescent="0.3">
      <c r="B35" s="3300" t="s">
        <v>1343</v>
      </c>
      <c r="C35" s="508"/>
      <c r="D35" s="508"/>
      <c r="E35" s="508"/>
      <c r="F35" s="3369"/>
      <c r="G35" s="508">
        <f t="shared" si="10"/>
        <v>0</v>
      </c>
      <c r="H35" s="508">
        <f t="shared" si="14"/>
        <v>0</v>
      </c>
      <c r="I35" s="508">
        <f t="shared" si="15"/>
        <v>0</v>
      </c>
      <c r="J35" s="508">
        <f t="shared" si="16"/>
        <v>0</v>
      </c>
      <c r="K35" s="492"/>
      <c r="O35" s="499">
        <f t="shared" si="4"/>
        <v>0</v>
      </c>
    </row>
    <row r="36" spans="2:15" ht="18.75" hidden="1" x14ac:dyDescent="0.3">
      <c r="B36" s="3300" t="s">
        <v>1344</v>
      </c>
      <c r="C36" s="508"/>
      <c r="D36" s="508"/>
      <c r="E36" s="508"/>
      <c r="F36" s="3369"/>
      <c r="G36" s="508">
        <f t="shared" si="10"/>
        <v>0</v>
      </c>
      <c r="H36" s="508">
        <f t="shared" si="14"/>
        <v>0</v>
      </c>
      <c r="I36" s="508">
        <f t="shared" si="15"/>
        <v>0</v>
      </c>
      <c r="J36" s="508">
        <f t="shared" si="16"/>
        <v>0</v>
      </c>
      <c r="K36" s="492"/>
      <c r="O36" s="499">
        <f t="shared" si="4"/>
        <v>0</v>
      </c>
    </row>
    <row r="37" spans="2:15" ht="18.75" hidden="1" x14ac:dyDescent="0.3">
      <c r="B37" s="3300" t="s">
        <v>1345</v>
      </c>
      <c r="C37" s="3293"/>
      <c r="D37" s="3293"/>
      <c r="E37" s="3293"/>
      <c r="F37" s="3371"/>
      <c r="G37" s="508">
        <f t="shared" si="10"/>
        <v>0</v>
      </c>
      <c r="H37" s="508">
        <f t="shared" si="14"/>
        <v>0</v>
      </c>
      <c r="I37" s="508">
        <f t="shared" si="15"/>
        <v>0</v>
      </c>
      <c r="J37" s="508">
        <f t="shared" si="16"/>
        <v>0</v>
      </c>
      <c r="K37" s="492"/>
      <c r="O37" s="499">
        <f t="shared" si="4"/>
        <v>0</v>
      </c>
    </row>
    <row r="38" spans="2:15" ht="18.75" x14ac:dyDescent="0.3">
      <c r="B38" s="3307" t="s">
        <v>3211</v>
      </c>
      <c r="C38" s="3293">
        <f>9703.2/1000</f>
        <v>9.6999999999999993</v>
      </c>
      <c r="D38" s="3293">
        <f>24788.16/1000</f>
        <v>24.79</v>
      </c>
      <c r="E38" s="3293"/>
      <c r="F38" s="3371">
        <f>F21*3.5%</f>
        <v>21.43</v>
      </c>
      <c r="G38" s="508">
        <f t="shared" si="10"/>
        <v>0</v>
      </c>
      <c r="H38" s="508">
        <f t="shared" si="14"/>
        <v>0</v>
      </c>
      <c r="I38" s="508">
        <f t="shared" si="15"/>
        <v>0</v>
      </c>
      <c r="J38" s="508">
        <f t="shared" si="16"/>
        <v>21.43</v>
      </c>
      <c r="K38" s="492" t="s">
        <v>1347</v>
      </c>
      <c r="O38" s="499">
        <f t="shared" si="4"/>
        <v>0</v>
      </c>
    </row>
    <row r="39" spans="2:15" ht="39" customHeight="1" x14ac:dyDescent="0.3">
      <c r="B39" s="3307" t="s">
        <v>3187</v>
      </c>
      <c r="C39" s="3293">
        <f>(863.413+2107.099)/1000</f>
        <v>2.97</v>
      </c>
      <c r="D39" s="3293">
        <f>(249.67+755.42)/1000</f>
        <v>1.01</v>
      </c>
      <c r="E39" s="3293"/>
      <c r="F39" s="3371">
        <f>D39</f>
        <v>1.01</v>
      </c>
      <c r="G39" s="508">
        <f t="shared" si="10"/>
        <v>0</v>
      </c>
      <c r="H39" s="508">
        <f t="shared" si="14"/>
        <v>0</v>
      </c>
      <c r="I39" s="508">
        <f t="shared" si="15"/>
        <v>0</v>
      </c>
      <c r="J39" s="508">
        <f t="shared" si="16"/>
        <v>1.01</v>
      </c>
      <c r="K39" s="492"/>
      <c r="O39" s="499">
        <f t="shared" si="4"/>
        <v>0</v>
      </c>
    </row>
    <row r="40" spans="2:15" ht="18.75" customHeight="1" x14ac:dyDescent="0.3">
      <c r="B40" s="3307" t="s">
        <v>3186</v>
      </c>
      <c r="C40" s="3293">
        <f>10099.28/1000</f>
        <v>10.1</v>
      </c>
      <c r="D40" s="3293">
        <f>15605.19/1000</f>
        <v>15.61</v>
      </c>
      <c r="E40" s="3293"/>
      <c r="F40" s="3371">
        <f>F21*3%</f>
        <v>18.37</v>
      </c>
      <c r="G40" s="508">
        <f t="shared" si="10"/>
        <v>0</v>
      </c>
      <c r="H40" s="508">
        <f t="shared" si="14"/>
        <v>0</v>
      </c>
      <c r="I40" s="508">
        <f t="shared" si="15"/>
        <v>0</v>
      </c>
      <c r="J40" s="508">
        <f t="shared" si="16"/>
        <v>18.37</v>
      </c>
      <c r="K40" s="492"/>
      <c r="O40" s="499">
        <f t="shared" si="4"/>
        <v>0</v>
      </c>
    </row>
    <row r="41" spans="2:15" ht="18.75" customHeight="1" x14ac:dyDescent="0.3">
      <c r="B41" s="3307" t="s">
        <v>3212</v>
      </c>
      <c r="C41" s="3293">
        <f>1642.9956/1000</f>
        <v>1.64</v>
      </c>
      <c r="D41" s="3293">
        <f>1516.886/1000</f>
        <v>1.52</v>
      </c>
      <c r="E41" s="3293"/>
      <c r="F41" s="3371"/>
      <c r="G41" s="508">
        <f t="shared" si="10"/>
        <v>0</v>
      </c>
      <c r="H41" s="508">
        <f t="shared" si="14"/>
        <v>0</v>
      </c>
      <c r="I41" s="508">
        <f t="shared" si="15"/>
        <v>0</v>
      </c>
      <c r="J41" s="508">
        <f t="shared" si="16"/>
        <v>0</v>
      </c>
      <c r="K41" s="492"/>
      <c r="O41" s="499">
        <f t="shared" si="4"/>
        <v>0</v>
      </c>
    </row>
    <row r="42" spans="2:15" ht="18.75" customHeight="1" x14ac:dyDescent="0.3">
      <c r="B42" s="3307" t="s">
        <v>3196</v>
      </c>
      <c r="C42" s="3293">
        <f>469.2/1000</f>
        <v>0.47</v>
      </c>
      <c r="D42" s="3293">
        <f>765/1000</f>
        <v>0.77</v>
      </c>
      <c r="E42" s="3293"/>
      <c r="F42" s="3371">
        <f>'Д 9_ЕЕ'!D70*1.67*'Вхідні дані'!D77</f>
        <v>1.06</v>
      </c>
      <c r="G42" s="508">
        <f t="shared" si="10"/>
        <v>0</v>
      </c>
      <c r="H42" s="508">
        <f>F42*$H$6</f>
        <v>0</v>
      </c>
      <c r="I42" s="508">
        <f>F42*$I$6</f>
        <v>0</v>
      </c>
      <c r="J42" s="508">
        <f>F42*$J$6</f>
        <v>1.06</v>
      </c>
      <c r="K42" s="492"/>
      <c r="O42" s="499">
        <f t="shared" si="4"/>
        <v>0</v>
      </c>
    </row>
    <row r="43" spans="2:15" ht="18.75" customHeight="1" x14ac:dyDescent="0.3">
      <c r="B43" s="3307" t="s">
        <v>3197</v>
      </c>
      <c r="C43" s="3293">
        <f>185.52/1000</f>
        <v>0.19</v>
      </c>
      <c r="D43" s="3293">
        <f>157.53/1000</f>
        <v>0.16</v>
      </c>
      <c r="E43" s="3293"/>
      <c r="F43" s="3371">
        <f>[37]Лист1!$K$21*37.78*'Вхідні дані'!D77/1000</f>
        <v>0.32</v>
      </c>
      <c r="G43" s="508">
        <f t="shared" si="10"/>
        <v>0</v>
      </c>
      <c r="H43" s="508">
        <f t="shared" ref="H43:H53" si="17">F43*$H$6</f>
        <v>0</v>
      </c>
      <c r="I43" s="508">
        <f t="shared" ref="I43:I53" si="18">F43*$I$6</f>
        <v>0</v>
      </c>
      <c r="J43" s="508">
        <f t="shared" ref="J43:J53" si="19">F43*$J$6</f>
        <v>0.32</v>
      </c>
      <c r="K43" s="492"/>
      <c r="O43" s="499">
        <f t="shared" si="4"/>
        <v>0</v>
      </c>
    </row>
    <row r="44" spans="2:15" ht="18.75" customHeight="1" x14ac:dyDescent="0.3">
      <c r="B44" s="3307" t="s">
        <v>3198</v>
      </c>
      <c r="C44" s="3293">
        <f>353.03/1000</f>
        <v>0.35</v>
      </c>
      <c r="D44" s="3293">
        <f>439.96/1000</f>
        <v>0.44</v>
      </c>
      <c r="E44" s="3293"/>
      <c r="F44" s="3371">
        <f>D44*'Вхідні дані'!D77</f>
        <v>0.47</v>
      </c>
      <c r="G44" s="508">
        <f t="shared" si="10"/>
        <v>0</v>
      </c>
      <c r="H44" s="508">
        <f t="shared" si="17"/>
        <v>0</v>
      </c>
      <c r="I44" s="508">
        <f t="shared" si="18"/>
        <v>0</v>
      </c>
      <c r="J44" s="508">
        <f t="shared" si="19"/>
        <v>0.47</v>
      </c>
      <c r="K44" s="492"/>
      <c r="O44" s="499">
        <f t="shared" si="4"/>
        <v>0</v>
      </c>
    </row>
    <row r="45" spans="2:15" ht="18.75" customHeight="1" x14ac:dyDescent="0.3">
      <c r="B45" s="3307" t="s">
        <v>3199</v>
      </c>
      <c r="C45" s="3293">
        <f>3839.38/1000</f>
        <v>3.84</v>
      </c>
      <c r="D45" s="3293">
        <f>4919.95/1000</f>
        <v>4.92</v>
      </c>
      <c r="E45" s="3293"/>
      <c r="F45" s="3371">
        <f>D45*'Вхідні дані'!D77</f>
        <v>5.23</v>
      </c>
      <c r="G45" s="508">
        <f t="shared" si="10"/>
        <v>0</v>
      </c>
      <c r="H45" s="508">
        <f t="shared" si="17"/>
        <v>0</v>
      </c>
      <c r="I45" s="508">
        <f t="shared" si="18"/>
        <v>0</v>
      </c>
      <c r="J45" s="508">
        <f t="shared" si="19"/>
        <v>5.23</v>
      </c>
      <c r="K45" s="492"/>
      <c r="O45" s="499">
        <f t="shared" si="4"/>
        <v>0</v>
      </c>
    </row>
    <row r="46" spans="2:15" ht="18.75" customHeight="1" x14ac:dyDescent="0.3">
      <c r="B46" s="3307" t="s">
        <v>3213</v>
      </c>
      <c r="C46" s="3293"/>
      <c r="D46" s="3293">
        <f>200.5966/1000</f>
        <v>0.2</v>
      </c>
      <c r="E46" s="3293"/>
      <c r="F46" s="3371"/>
      <c r="G46" s="508">
        <f t="shared" si="10"/>
        <v>0</v>
      </c>
      <c r="H46" s="508">
        <f t="shared" si="17"/>
        <v>0</v>
      </c>
      <c r="I46" s="508">
        <f t="shared" si="18"/>
        <v>0</v>
      </c>
      <c r="J46" s="508">
        <f t="shared" si="19"/>
        <v>0</v>
      </c>
      <c r="K46" s="492"/>
      <c r="O46" s="499">
        <f t="shared" si="4"/>
        <v>0</v>
      </c>
    </row>
    <row r="47" spans="2:15" ht="18.75" x14ac:dyDescent="0.3">
      <c r="B47" s="3307" t="s">
        <v>1827</v>
      </c>
      <c r="C47" s="3293"/>
      <c r="D47" s="3293">
        <f>79.05/1000</f>
        <v>0.08</v>
      </c>
      <c r="E47" s="3293"/>
      <c r="F47" s="3371">
        <f>2200/1000</f>
        <v>2.2000000000000002</v>
      </c>
      <c r="G47" s="508">
        <f t="shared" si="10"/>
        <v>0</v>
      </c>
      <c r="H47" s="508">
        <f t="shared" si="17"/>
        <v>0</v>
      </c>
      <c r="I47" s="508">
        <f t="shared" si="18"/>
        <v>0</v>
      </c>
      <c r="J47" s="508">
        <f t="shared" si="19"/>
        <v>2.2000000000000002</v>
      </c>
      <c r="K47" s="492" t="s">
        <v>1474</v>
      </c>
      <c r="O47" s="499">
        <f t="shared" si="4"/>
        <v>0</v>
      </c>
    </row>
    <row r="48" spans="2:15" ht="18.75" hidden="1" customHeight="1" x14ac:dyDescent="0.3">
      <c r="B48" s="3307" t="s">
        <v>1523</v>
      </c>
      <c r="C48" s="3293"/>
      <c r="D48" s="3293"/>
      <c r="E48" s="3293"/>
      <c r="F48" s="3371"/>
      <c r="G48" s="508">
        <f t="shared" si="10"/>
        <v>0</v>
      </c>
      <c r="H48" s="508">
        <f t="shared" si="17"/>
        <v>0</v>
      </c>
      <c r="I48" s="508">
        <f t="shared" si="18"/>
        <v>0</v>
      </c>
      <c r="J48" s="508">
        <f t="shared" si="19"/>
        <v>0</v>
      </c>
      <c r="K48" s="492"/>
      <c r="O48" s="499">
        <f t="shared" si="4"/>
        <v>0</v>
      </c>
    </row>
    <row r="49" spans="2:15" ht="18.75" hidden="1" customHeight="1" x14ac:dyDescent="0.3">
      <c r="B49" s="3307" t="s">
        <v>1522</v>
      </c>
      <c r="C49" s="3293"/>
      <c r="D49" s="3293"/>
      <c r="E49" s="3293"/>
      <c r="F49" s="3371"/>
      <c r="G49" s="508">
        <f t="shared" si="10"/>
        <v>0</v>
      </c>
      <c r="H49" s="508">
        <f t="shared" si="17"/>
        <v>0</v>
      </c>
      <c r="I49" s="508">
        <f t="shared" si="18"/>
        <v>0</v>
      </c>
      <c r="J49" s="508">
        <f t="shared" si="19"/>
        <v>0</v>
      </c>
      <c r="K49" s="492"/>
      <c r="O49" s="499">
        <f t="shared" si="4"/>
        <v>0</v>
      </c>
    </row>
    <row r="50" spans="2:15" ht="18.75" customHeight="1" x14ac:dyDescent="0.3">
      <c r="B50" s="3307" t="s">
        <v>1480</v>
      </c>
      <c r="C50" s="3293">
        <f>88986.35/1000</f>
        <v>88.99</v>
      </c>
      <c r="D50" s="3293">
        <f>91321.33/1000</f>
        <v>91.32</v>
      </c>
      <c r="E50" s="3293"/>
      <c r="F50" s="3371">
        <f>D50*'Вхідні дані'!D77</f>
        <v>96.98</v>
      </c>
      <c r="G50" s="508">
        <f t="shared" si="10"/>
        <v>0</v>
      </c>
      <c r="H50" s="508">
        <f t="shared" si="17"/>
        <v>0</v>
      </c>
      <c r="I50" s="508">
        <f t="shared" si="18"/>
        <v>0</v>
      </c>
      <c r="J50" s="508">
        <f t="shared" si="19"/>
        <v>96.98</v>
      </c>
      <c r="K50" s="492"/>
      <c r="O50" s="499">
        <f t="shared" si="4"/>
        <v>0</v>
      </c>
    </row>
    <row r="51" spans="2:15" ht="18.75" hidden="1" customHeight="1" x14ac:dyDescent="0.3">
      <c r="B51" s="3307" t="s">
        <v>1478</v>
      </c>
      <c r="C51" s="3293"/>
      <c r="D51" s="3293"/>
      <c r="E51" s="3293"/>
      <c r="F51" s="3371"/>
      <c r="G51" s="508">
        <f t="shared" si="10"/>
        <v>0</v>
      </c>
      <c r="H51" s="508">
        <f t="shared" si="17"/>
        <v>0</v>
      </c>
      <c r="I51" s="508">
        <f t="shared" si="18"/>
        <v>0</v>
      </c>
      <c r="J51" s="508">
        <f t="shared" si="19"/>
        <v>0</v>
      </c>
      <c r="K51" s="492"/>
      <c r="O51" s="499">
        <f t="shared" si="4"/>
        <v>0</v>
      </c>
    </row>
    <row r="52" spans="2:15" ht="18.75" hidden="1" customHeight="1" x14ac:dyDescent="0.3">
      <c r="B52" s="3307" t="s">
        <v>1519</v>
      </c>
      <c r="C52" s="3293"/>
      <c r="D52" s="3293"/>
      <c r="E52" s="3293"/>
      <c r="F52" s="3371"/>
      <c r="G52" s="508">
        <f t="shared" si="10"/>
        <v>0</v>
      </c>
      <c r="H52" s="508">
        <f t="shared" si="17"/>
        <v>0</v>
      </c>
      <c r="I52" s="508">
        <f t="shared" si="18"/>
        <v>0</v>
      </c>
      <c r="J52" s="508">
        <f t="shared" si="19"/>
        <v>0</v>
      </c>
      <c r="K52" s="492"/>
      <c r="O52" s="499">
        <f t="shared" si="4"/>
        <v>0</v>
      </c>
    </row>
    <row r="53" spans="2:15" ht="18.75" x14ac:dyDescent="0.3">
      <c r="B53" s="3287" t="s">
        <v>1518</v>
      </c>
      <c r="C53" s="3293">
        <f>447.8072/1000</f>
        <v>0.45</v>
      </c>
      <c r="D53" s="3293">
        <f>406.13/1000</f>
        <v>0.41</v>
      </c>
      <c r="E53" s="3293"/>
      <c r="F53" s="3371">
        <f>D53*'Вхідні дані'!D77</f>
        <v>0.44</v>
      </c>
      <c r="G53" s="508">
        <f t="shared" si="10"/>
        <v>0</v>
      </c>
      <c r="H53" s="508">
        <f t="shared" si="17"/>
        <v>0</v>
      </c>
      <c r="I53" s="508">
        <f t="shared" si="18"/>
        <v>0</v>
      </c>
      <c r="J53" s="508">
        <f t="shared" si="19"/>
        <v>0.44</v>
      </c>
      <c r="K53" s="492"/>
      <c r="O53" s="499">
        <f t="shared" si="4"/>
        <v>0</v>
      </c>
    </row>
    <row r="54" spans="2:15" ht="18.75" x14ac:dyDescent="0.3">
      <c r="B54" s="3287" t="s">
        <v>1331</v>
      </c>
      <c r="C54" s="3301"/>
      <c r="D54" s="3301"/>
      <c r="E54" s="3301"/>
      <c r="F54" s="3372"/>
      <c r="G54" s="508"/>
      <c r="H54" s="508"/>
      <c r="I54" s="508"/>
      <c r="J54" s="508"/>
      <c r="K54" s="492"/>
      <c r="O54" s="499">
        <f t="shared" si="4"/>
        <v>0</v>
      </c>
    </row>
    <row r="55" spans="2:15" ht="18.75" x14ac:dyDescent="0.3">
      <c r="B55" s="3290" t="s">
        <v>1332</v>
      </c>
      <c r="C55" s="3301">
        <f>1642.608/1000</f>
        <v>1.64</v>
      </c>
      <c r="D55" s="3301">
        <f>1562.76/1000</f>
        <v>1.56</v>
      </c>
      <c r="E55" s="3301"/>
      <c r="F55" s="3372">
        <f>[45]Лист1!$D$9/1000</f>
        <v>2.14</v>
      </c>
      <c r="G55" s="508">
        <f t="shared" si="10"/>
        <v>0</v>
      </c>
      <c r="H55" s="508">
        <f>F55*$H$6</f>
        <v>0</v>
      </c>
      <c r="I55" s="508">
        <f>F55*$I$6</f>
        <v>0</v>
      </c>
      <c r="J55" s="508">
        <f>F55*$J$6</f>
        <v>2.14</v>
      </c>
      <c r="K55" s="492" t="s">
        <v>1512</v>
      </c>
      <c r="O55" s="499">
        <f>F55-G55-H55-I55-J55</f>
        <v>0</v>
      </c>
    </row>
    <row r="56" spans="2:15" ht="18.75" x14ac:dyDescent="0.3">
      <c r="B56" s="3290" t="s">
        <v>1333</v>
      </c>
      <c r="C56" s="3301">
        <f>721.582/1000</f>
        <v>0.72</v>
      </c>
      <c r="D56" s="3301">
        <f>558.95/1000</f>
        <v>0.56000000000000005</v>
      </c>
      <c r="E56" s="3301"/>
      <c r="F56" s="3372">
        <v>0</v>
      </c>
      <c r="G56" s="508">
        <f t="shared" si="10"/>
        <v>0</v>
      </c>
      <c r="H56" s="508">
        <f t="shared" ref="H56:H62" si="20">F56*$H$6</f>
        <v>0</v>
      </c>
      <c r="I56" s="508">
        <f t="shared" ref="I56:I62" si="21">F56*$I$6</f>
        <v>0</v>
      </c>
      <c r="J56" s="508">
        <f t="shared" ref="J56:J62" si="22">F56*$J$6</f>
        <v>0</v>
      </c>
      <c r="K56" s="617"/>
      <c r="L56" s="608"/>
      <c r="O56" s="499">
        <f t="shared" si="4"/>
        <v>0</v>
      </c>
    </row>
    <row r="57" spans="2:15" ht="37.5" hidden="1" x14ac:dyDescent="0.3">
      <c r="B57" s="3309" t="s">
        <v>1517</v>
      </c>
      <c r="C57" s="3293"/>
      <c r="D57" s="3293"/>
      <c r="E57" s="3293"/>
      <c r="F57" s="3371"/>
      <c r="G57" s="508">
        <f t="shared" si="10"/>
        <v>0</v>
      </c>
      <c r="H57" s="508">
        <f t="shared" si="20"/>
        <v>0</v>
      </c>
      <c r="I57" s="508">
        <f t="shared" si="21"/>
        <v>0</v>
      </c>
      <c r="J57" s="508">
        <f t="shared" si="22"/>
        <v>0</v>
      </c>
      <c r="K57" s="617"/>
      <c r="L57" s="608"/>
      <c r="O57" s="499">
        <f t="shared" si="4"/>
        <v>0</v>
      </c>
    </row>
    <row r="58" spans="2:15" ht="18.75" x14ac:dyDescent="0.3">
      <c r="B58" s="3300" t="s">
        <v>1338</v>
      </c>
      <c r="C58" s="3293">
        <f>1869.86/1000</f>
        <v>1.87</v>
      </c>
      <c r="D58" s="3293">
        <f>1869.864/1000</f>
        <v>1.87</v>
      </c>
      <c r="E58" s="3310"/>
      <c r="F58" s="3371">
        <f>D58*'Вхідні дані'!D77</f>
        <v>1.99</v>
      </c>
      <c r="G58" s="508">
        <f t="shared" si="10"/>
        <v>0</v>
      </c>
      <c r="H58" s="508">
        <f t="shared" si="20"/>
        <v>0</v>
      </c>
      <c r="I58" s="508">
        <f t="shared" si="21"/>
        <v>0</v>
      </c>
      <c r="J58" s="508">
        <f t="shared" si="22"/>
        <v>1.99</v>
      </c>
      <c r="K58" s="617"/>
      <c r="L58" s="608"/>
      <c r="O58" s="499">
        <f t="shared" si="4"/>
        <v>0</v>
      </c>
    </row>
    <row r="59" spans="2:15" ht="18.75" hidden="1" x14ac:dyDescent="0.3">
      <c r="B59" s="3287" t="s">
        <v>2441</v>
      </c>
      <c r="C59" s="3301">
        <v>0</v>
      </c>
      <c r="D59" s="3301"/>
      <c r="E59" s="3301"/>
      <c r="F59" s="3371"/>
      <c r="G59" s="508">
        <f t="shared" si="10"/>
        <v>0</v>
      </c>
      <c r="H59" s="508">
        <f t="shared" si="20"/>
        <v>0</v>
      </c>
      <c r="I59" s="508">
        <f t="shared" si="21"/>
        <v>0</v>
      </c>
      <c r="J59" s="508">
        <f t="shared" si="22"/>
        <v>0</v>
      </c>
      <c r="K59" s="617"/>
      <c r="L59" s="608"/>
      <c r="O59" s="499">
        <f t="shared" si="4"/>
        <v>0</v>
      </c>
    </row>
    <row r="60" spans="2:15" ht="18.75" x14ac:dyDescent="0.3">
      <c r="B60" s="3287" t="s">
        <v>950</v>
      </c>
      <c r="C60" s="3313">
        <f>3782.67/1000</f>
        <v>3.78</v>
      </c>
      <c r="D60" s="3313">
        <f>3043.01/1000</f>
        <v>3.04</v>
      </c>
      <c r="E60" s="3313"/>
      <c r="F60" s="3373">
        <f>D60*'Вхідні дані'!D77</f>
        <v>3.23</v>
      </c>
      <c r="G60" s="508">
        <f t="shared" si="10"/>
        <v>0</v>
      </c>
      <c r="H60" s="508">
        <f t="shared" si="20"/>
        <v>0</v>
      </c>
      <c r="I60" s="508">
        <f t="shared" si="21"/>
        <v>0</v>
      </c>
      <c r="J60" s="508">
        <f t="shared" si="22"/>
        <v>3.23</v>
      </c>
      <c r="K60" s="1912"/>
      <c r="L60" s="608"/>
      <c r="O60" s="499">
        <f t="shared" si="4"/>
        <v>0</v>
      </c>
    </row>
    <row r="61" spans="2:15" ht="18.75" x14ac:dyDescent="0.3">
      <c r="B61" s="3374" t="s">
        <v>1633</v>
      </c>
      <c r="C61" s="3313">
        <f>153/1000</f>
        <v>0.15</v>
      </c>
      <c r="D61" s="3313">
        <f>178.5/1000</f>
        <v>0.18</v>
      </c>
      <c r="E61" s="3313"/>
      <c r="F61" s="3373">
        <f>D61*'Вхідні дані'!D77</f>
        <v>0.19</v>
      </c>
      <c r="G61" s="508">
        <f t="shared" si="10"/>
        <v>0</v>
      </c>
      <c r="H61" s="508">
        <f t="shared" si="20"/>
        <v>0</v>
      </c>
      <c r="I61" s="508">
        <f t="shared" si="21"/>
        <v>0</v>
      </c>
      <c r="J61" s="508">
        <f t="shared" si="22"/>
        <v>0.19</v>
      </c>
      <c r="K61" s="1912"/>
      <c r="L61" s="608"/>
      <c r="O61" s="499"/>
    </row>
    <row r="62" spans="2:15" ht="19.5" thickBot="1" x14ac:dyDescent="0.35">
      <c r="B62" s="3315" t="s">
        <v>58</v>
      </c>
      <c r="C62" s="3316">
        <v>0.11</v>
      </c>
      <c r="D62" s="3316">
        <f>113.016/1000</f>
        <v>0.11</v>
      </c>
      <c r="E62" s="3316"/>
      <c r="F62" s="3316">
        <f>113.016/1000</f>
        <v>0.11</v>
      </c>
      <c r="G62" s="605">
        <f t="shared" si="10"/>
        <v>0</v>
      </c>
      <c r="H62" s="605">
        <f t="shared" si="20"/>
        <v>0</v>
      </c>
      <c r="I62" s="605">
        <f t="shared" si="21"/>
        <v>0</v>
      </c>
      <c r="J62" s="605">
        <f t="shared" si="22"/>
        <v>0.11</v>
      </c>
      <c r="K62" s="617"/>
      <c r="L62" s="608"/>
      <c r="O62" s="499">
        <f t="shared" si="4"/>
        <v>0</v>
      </c>
    </row>
    <row r="63" spans="2:15" ht="24" customHeight="1" x14ac:dyDescent="0.25">
      <c r="C63" s="492"/>
      <c r="D63" s="490"/>
      <c r="E63" s="492"/>
      <c r="F63" s="492"/>
    </row>
    <row r="64" spans="2:15" ht="24" customHeight="1" x14ac:dyDescent="0.25">
      <c r="B64" s="491"/>
      <c r="G64" s="491"/>
      <c r="H64" s="491"/>
      <c r="I64" s="491"/>
      <c r="J64" s="491"/>
    </row>
    <row r="65" spans="2:12" ht="24" customHeight="1" x14ac:dyDescent="0.3">
      <c r="B65" s="3273" t="str">
        <f>'Вхідні дані'!$B$13</f>
        <v>Начальник Адміністрації морського порту Чорноморськ</v>
      </c>
      <c r="C65" s="3273"/>
      <c r="D65" s="3273"/>
      <c r="E65" s="3323" t="s">
        <v>1339</v>
      </c>
      <c r="G65" s="3969" t="str">
        <f>'Вхідні дані'!$F$13</f>
        <v>Максим ШИРОКОВ</v>
      </c>
      <c r="H65" s="3969"/>
      <c r="I65" s="3969"/>
      <c r="J65" s="491"/>
    </row>
    <row r="66" spans="2:12" ht="24" customHeight="1" x14ac:dyDescent="0.3">
      <c r="B66" s="3273"/>
      <c r="C66" s="3273"/>
      <c r="D66" s="3273"/>
      <c r="E66" s="3323" t="s">
        <v>219</v>
      </c>
      <c r="G66" s="3971" t="s">
        <v>1926</v>
      </c>
      <c r="H66" s="3971"/>
      <c r="I66" s="3971"/>
      <c r="J66" s="491"/>
    </row>
    <row r="67" spans="2:12" ht="24" customHeight="1" x14ac:dyDescent="0.3">
      <c r="B67" s="3273" t="str">
        <f>'Вхідні дані'!$B$15</f>
        <v>Заступник начальника з економіки та фінансів</v>
      </c>
      <c r="C67" s="3273"/>
      <c r="D67" s="3273"/>
      <c r="E67" s="3323" t="s">
        <v>1339</v>
      </c>
      <c r="G67" s="3969" t="str">
        <f>'Вхідні дані'!$F$15</f>
        <v>Наталія БАРТОШИК</v>
      </c>
      <c r="H67" s="3969"/>
      <c r="I67" s="3969"/>
      <c r="J67" s="491"/>
    </row>
    <row r="68" spans="2:12" ht="24" customHeight="1" x14ac:dyDescent="0.3">
      <c r="B68" s="3324"/>
      <c r="C68" s="3324"/>
      <c r="D68" s="3324"/>
      <c r="E68" s="3323" t="s">
        <v>219</v>
      </c>
      <c r="G68" s="3971" t="s">
        <v>1926</v>
      </c>
      <c r="H68" s="3971"/>
      <c r="I68" s="3971"/>
      <c r="J68" s="3324"/>
      <c r="K68" s="618"/>
      <c r="L68" s="518"/>
    </row>
    <row r="69" spans="2:12" x14ac:dyDescent="0.25">
      <c r="B69" s="491"/>
      <c r="G69" s="491"/>
      <c r="H69" s="491"/>
      <c r="I69" s="491"/>
      <c r="J69" s="491"/>
    </row>
    <row r="70" spans="2:12" ht="32.450000000000003" customHeight="1" x14ac:dyDescent="0.25">
      <c r="B70" s="3976" t="s">
        <v>3214</v>
      </c>
      <c r="C70" s="3976"/>
      <c r="D70" s="3976"/>
      <c r="E70" s="3976"/>
      <c r="F70" s="3976"/>
      <c r="G70" s="3976"/>
      <c r="H70" s="3976"/>
    </row>
    <row r="71" spans="2:12" x14ac:dyDescent="0.25">
      <c r="B71" s="1254"/>
      <c r="C71" s="1254"/>
      <c r="D71" s="1254"/>
      <c r="E71" s="3977" t="s">
        <v>1704</v>
      </c>
      <c r="F71" s="3977"/>
      <c r="G71" s="1254"/>
      <c r="H71" s="1254"/>
    </row>
    <row r="72" spans="2:12" x14ac:dyDescent="0.25">
      <c r="B72" s="1313" t="s">
        <v>355</v>
      </c>
      <c r="C72" s="3975" t="s">
        <v>2184</v>
      </c>
      <c r="D72" s="3975"/>
      <c r="E72" s="3975" t="s">
        <v>2185</v>
      </c>
      <c r="F72" s="3975"/>
      <c r="G72" s="1313" t="s">
        <v>2187</v>
      </c>
      <c r="H72" s="1313" t="s">
        <v>2186</v>
      </c>
    </row>
    <row r="73" spans="2:12" x14ac:dyDescent="0.25">
      <c r="B73" s="921" t="s">
        <v>2173</v>
      </c>
      <c r="C73" s="1288">
        <f>D73/D83</f>
        <v>0.66979999999999995</v>
      </c>
      <c r="D73" s="1278">
        <f>F21</f>
        <v>612.30999999999995</v>
      </c>
      <c r="E73" s="1288">
        <f>F73/F83</f>
        <v>0.78759999999999997</v>
      </c>
      <c r="F73" s="1278">
        <f>E21</f>
        <v>285.60000000000002</v>
      </c>
      <c r="G73" s="1315">
        <f>C73-E73</f>
        <v>-0.1178</v>
      </c>
      <c r="H73" s="1278">
        <f>D73-F73</f>
        <v>326.70999999999998</v>
      </c>
    </row>
    <row r="74" spans="2:12" x14ac:dyDescent="0.25">
      <c r="B74" s="921" t="s">
        <v>2174</v>
      </c>
      <c r="C74" s="1288">
        <f>D74/D83</f>
        <v>0.1474</v>
      </c>
      <c r="D74" s="1278">
        <f>F24</f>
        <v>134.71</v>
      </c>
      <c r="E74" s="1288">
        <f>F74/F83</f>
        <v>0.17319999999999999</v>
      </c>
      <c r="F74" s="1278">
        <f>E24</f>
        <v>62.8</v>
      </c>
      <c r="G74" s="1315">
        <f t="shared" ref="G74:H83" si="23">C74-E74</f>
        <v>-2.58E-2</v>
      </c>
      <c r="H74" s="1278">
        <f t="shared" si="23"/>
        <v>71.91</v>
      </c>
    </row>
    <row r="75" spans="2:12" x14ac:dyDescent="0.25">
      <c r="B75" s="921" t="s">
        <v>2175</v>
      </c>
      <c r="C75" s="1288">
        <f>D75/D83</f>
        <v>0</v>
      </c>
      <c r="D75" s="1278"/>
      <c r="E75" s="1288">
        <f>F75/F83</f>
        <v>0</v>
      </c>
      <c r="F75" s="1278"/>
      <c r="G75" s="1315">
        <f t="shared" si="23"/>
        <v>0</v>
      </c>
      <c r="H75" s="1278">
        <f t="shared" si="23"/>
        <v>0</v>
      </c>
    </row>
    <row r="76" spans="2:12" x14ac:dyDescent="0.25">
      <c r="B76" s="921" t="s">
        <v>43</v>
      </c>
      <c r="C76" s="1288">
        <f>D76/D83</f>
        <v>0</v>
      </c>
      <c r="D76" s="1278"/>
      <c r="E76" s="1288">
        <f>F76/F83</f>
        <v>0</v>
      </c>
      <c r="F76" s="1278"/>
      <c r="G76" s="1315">
        <f t="shared" si="23"/>
        <v>0</v>
      </c>
      <c r="H76" s="1278">
        <f t="shared" si="23"/>
        <v>0</v>
      </c>
    </row>
    <row r="77" spans="2:12" x14ac:dyDescent="0.25">
      <c r="B77" s="921" t="s">
        <v>2176</v>
      </c>
      <c r="C77" s="1288">
        <f>D77/D83</f>
        <v>0</v>
      </c>
      <c r="D77" s="1278"/>
      <c r="E77" s="1288">
        <f>F77/F83</f>
        <v>0</v>
      </c>
      <c r="F77" s="1278"/>
      <c r="G77" s="1315">
        <f t="shared" si="23"/>
        <v>0</v>
      </c>
      <c r="H77" s="1278">
        <f t="shared" si="23"/>
        <v>0</v>
      </c>
    </row>
    <row r="78" spans="2:12" x14ac:dyDescent="0.25">
      <c r="B78" s="921" t="s">
        <v>459</v>
      </c>
      <c r="C78" s="1288">
        <f>D78/D83</f>
        <v>0</v>
      </c>
      <c r="D78" s="1278">
        <f>F25+F26</f>
        <v>0</v>
      </c>
      <c r="E78" s="1288">
        <f>F78/F83</f>
        <v>3.5299999999999998E-2</v>
      </c>
      <c r="F78" s="1278">
        <f>E25+E26</f>
        <v>12.8</v>
      </c>
      <c r="G78" s="1315">
        <f t="shared" si="23"/>
        <v>-3.5299999999999998E-2</v>
      </c>
      <c r="H78" s="1278">
        <f t="shared" si="23"/>
        <v>-12.8</v>
      </c>
    </row>
    <row r="79" spans="2:12" x14ac:dyDescent="0.25">
      <c r="B79" s="921" t="s">
        <v>2177</v>
      </c>
      <c r="C79" s="1288">
        <f>D79/D83</f>
        <v>0</v>
      </c>
      <c r="D79" s="1278"/>
      <c r="E79" s="1288">
        <f>F79/F83</f>
        <v>0</v>
      </c>
      <c r="F79" s="1278"/>
      <c r="G79" s="1315">
        <f t="shared" si="23"/>
        <v>0</v>
      </c>
      <c r="H79" s="1278">
        <f t="shared" si="23"/>
        <v>0</v>
      </c>
    </row>
    <row r="80" spans="2:12" x14ac:dyDescent="0.25">
      <c r="B80" s="921" t="s">
        <v>2178</v>
      </c>
      <c r="C80" s="1288">
        <f>D80/D83</f>
        <v>0</v>
      </c>
      <c r="D80" s="1278">
        <f>F27+F28</f>
        <v>0</v>
      </c>
      <c r="E80" s="1288">
        <f>F80/F83</f>
        <v>0</v>
      </c>
      <c r="F80" s="1278">
        <f>E27+E28</f>
        <v>0</v>
      </c>
      <c r="G80" s="1315">
        <f t="shared" si="23"/>
        <v>0</v>
      </c>
      <c r="H80" s="1278">
        <f t="shared" si="23"/>
        <v>0</v>
      </c>
    </row>
    <row r="81" spans="2:8" x14ac:dyDescent="0.25">
      <c r="B81" s="921" t="s">
        <v>2179</v>
      </c>
      <c r="C81" s="1288">
        <f>D81/D83</f>
        <v>0.18279999999999999</v>
      </c>
      <c r="D81" s="1278">
        <f>D83-D73-D74-D75-D76-D77-D78-D79</f>
        <v>167.1</v>
      </c>
      <c r="E81" s="1288">
        <f>F81/F83</f>
        <v>3.8999999999999998E-3</v>
      </c>
      <c r="F81" s="1278">
        <f>F83-F73-F74-F75-F76-F77-F78-F79</f>
        <v>1.4</v>
      </c>
      <c r="G81" s="1315">
        <f t="shared" si="23"/>
        <v>0.1789</v>
      </c>
      <c r="H81" s="1278">
        <f t="shared" si="23"/>
        <v>165.7</v>
      </c>
    </row>
    <row r="82" spans="2:8" x14ac:dyDescent="0.25">
      <c r="B82" s="921" t="s">
        <v>2183</v>
      </c>
      <c r="C82" s="1288">
        <f>D82/D83</f>
        <v>0</v>
      </c>
      <c r="D82" s="1278"/>
      <c r="E82" s="1288">
        <f>F82/F83</f>
        <v>0</v>
      </c>
      <c r="F82" s="1278"/>
      <c r="G82" s="1315">
        <f t="shared" si="23"/>
        <v>0</v>
      </c>
      <c r="H82" s="1278">
        <f t="shared" si="23"/>
        <v>0</v>
      </c>
    </row>
    <row r="83" spans="2:8" x14ac:dyDescent="0.25">
      <c r="B83" s="1290" t="s">
        <v>1872</v>
      </c>
      <c r="C83" s="1291">
        <f>SUM(C73:C82)</f>
        <v>1</v>
      </c>
      <c r="D83" s="1278">
        <f>F9</f>
        <v>914.12</v>
      </c>
      <c r="E83" s="1291">
        <f>SUM(E73:E82)</f>
        <v>1</v>
      </c>
      <c r="F83" s="1278">
        <f>E9</f>
        <v>362.6</v>
      </c>
      <c r="G83" s="1315">
        <f t="shared" si="23"/>
        <v>0</v>
      </c>
      <c r="H83" s="1278">
        <f t="shared" si="23"/>
        <v>551.52</v>
      </c>
    </row>
    <row r="84" spans="2:8" x14ac:dyDescent="0.25">
      <c r="C84" s="492"/>
      <c r="D84" s="492"/>
      <c r="E84" s="492"/>
      <c r="F84" s="492"/>
    </row>
    <row r="85" spans="2:8" x14ac:dyDescent="0.25">
      <c r="C85" s="492"/>
      <c r="D85" s="492"/>
      <c r="E85" s="492"/>
      <c r="F85" s="492"/>
    </row>
    <row r="86" spans="2:8" x14ac:dyDescent="0.25">
      <c r="C86" s="492"/>
      <c r="D86" s="492"/>
      <c r="E86" s="492"/>
      <c r="F86" s="492"/>
    </row>
    <row r="87" spans="2:8" x14ac:dyDescent="0.25">
      <c r="C87" s="492"/>
      <c r="D87" s="492"/>
      <c r="E87" s="492"/>
      <c r="F87" s="492"/>
    </row>
    <row r="88" spans="2:8" x14ac:dyDescent="0.25">
      <c r="C88" s="492"/>
      <c r="D88" s="492"/>
      <c r="E88" s="492"/>
      <c r="F88" s="492"/>
    </row>
    <row r="89" spans="2:8" x14ac:dyDescent="0.25">
      <c r="C89" s="492"/>
      <c r="D89" s="492"/>
      <c r="E89" s="492"/>
      <c r="F89" s="492"/>
    </row>
    <row r="90" spans="2:8" x14ac:dyDescent="0.25">
      <c r="C90" s="492"/>
      <c r="D90" s="492"/>
      <c r="E90" s="492"/>
      <c r="F90" s="492"/>
    </row>
    <row r="91" spans="2:8" x14ac:dyDescent="0.25">
      <c r="C91" s="492"/>
      <c r="D91" s="492"/>
      <c r="E91" s="492"/>
      <c r="F91" s="492"/>
    </row>
    <row r="92" spans="2:8" x14ac:dyDescent="0.25">
      <c r="C92" s="492"/>
      <c r="D92" s="492"/>
      <c r="E92" s="492"/>
      <c r="F92" s="492"/>
    </row>
    <row r="93" spans="2:8" x14ac:dyDescent="0.25">
      <c r="C93" s="492"/>
      <c r="D93" s="492"/>
      <c r="E93" s="492"/>
      <c r="F93" s="492"/>
    </row>
    <row r="94" spans="2:8" x14ac:dyDescent="0.25">
      <c r="C94" s="492"/>
      <c r="D94" s="492"/>
      <c r="E94" s="492"/>
      <c r="F94" s="492"/>
    </row>
    <row r="95" spans="2:8" x14ac:dyDescent="0.25">
      <c r="C95" s="492"/>
      <c r="D95" s="492"/>
      <c r="E95" s="492"/>
      <c r="F95" s="492"/>
    </row>
    <row r="96" spans="2:8" x14ac:dyDescent="0.25">
      <c r="C96" s="492"/>
      <c r="D96" s="492"/>
      <c r="E96" s="492"/>
      <c r="F96" s="492"/>
    </row>
    <row r="97" spans="3:6" x14ac:dyDescent="0.25">
      <c r="C97" s="492"/>
      <c r="D97" s="492"/>
      <c r="E97" s="492"/>
      <c r="F97" s="492"/>
    </row>
    <row r="98" spans="3:6" x14ac:dyDescent="0.25">
      <c r="C98" s="492"/>
      <c r="D98" s="492"/>
      <c r="E98" s="492"/>
      <c r="F98" s="492"/>
    </row>
    <row r="99" spans="3:6" x14ac:dyDescent="0.25">
      <c r="C99" s="492"/>
      <c r="D99" s="492"/>
      <c r="E99" s="492"/>
      <c r="F99" s="492"/>
    </row>
    <row r="100" spans="3:6" x14ac:dyDescent="0.25">
      <c r="C100" s="492"/>
      <c r="D100" s="492"/>
      <c r="E100" s="492"/>
      <c r="F100" s="492"/>
    </row>
    <row r="101" spans="3:6" x14ac:dyDescent="0.25">
      <c r="C101" s="492"/>
      <c r="D101" s="492"/>
      <c r="E101" s="492"/>
      <c r="F101" s="492"/>
    </row>
    <row r="102" spans="3:6" x14ac:dyDescent="0.25">
      <c r="C102" s="492"/>
      <c r="D102" s="492"/>
      <c r="E102" s="492"/>
      <c r="F102" s="492"/>
    </row>
    <row r="103" spans="3:6" x14ac:dyDescent="0.25">
      <c r="C103" s="492"/>
      <c r="D103" s="492"/>
      <c r="E103" s="492"/>
      <c r="F103" s="492"/>
    </row>
    <row r="104" spans="3:6" x14ac:dyDescent="0.25">
      <c r="C104" s="492"/>
      <c r="D104" s="492"/>
      <c r="E104" s="492"/>
      <c r="F104" s="492"/>
    </row>
    <row r="105" spans="3:6" x14ac:dyDescent="0.25">
      <c r="C105" s="492"/>
      <c r="D105" s="492"/>
      <c r="E105" s="492"/>
      <c r="F105" s="492"/>
    </row>
    <row r="106" spans="3:6" x14ac:dyDescent="0.25">
      <c r="C106" s="492"/>
      <c r="D106" s="492"/>
      <c r="E106" s="492"/>
      <c r="F106" s="492"/>
    </row>
    <row r="107" spans="3:6" x14ac:dyDescent="0.25">
      <c r="C107" s="492"/>
      <c r="D107" s="492"/>
      <c r="E107" s="492"/>
      <c r="F107" s="492"/>
    </row>
    <row r="108" spans="3:6" x14ac:dyDescent="0.25">
      <c r="C108" s="492"/>
      <c r="D108" s="492"/>
      <c r="E108" s="492"/>
      <c r="F108" s="492"/>
    </row>
    <row r="109" spans="3:6" x14ac:dyDescent="0.25">
      <c r="C109" s="492"/>
      <c r="D109" s="492"/>
      <c r="E109" s="492"/>
      <c r="F109" s="492"/>
    </row>
    <row r="110" spans="3:6" x14ac:dyDescent="0.25">
      <c r="C110" s="492"/>
      <c r="D110" s="492"/>
      <c r="E110" s="492"/>
      <c r="F110" s="492"/>
    </row>
    <row r="111" spans="3:6" x14ac:dyDescent="0.25">
      <c r="C111" s="492"/>
      <c r="D111" s="492"/>
      <c r="E111" s="492"/>
      <c r="F111" s="492"/>
    </row>
    <row r="112" spans="3:6" x14ac:dyDescent="0.25">
      <c r="C112" s="492"/>
      <c r="D112" s="492"/>
      <c r="E112" s="492"/>
      <c r="F112" s="492"/>
    </row>
    <row r="113" spans="3:6" x14ac:dyDescent="0.25">
      <c r="C113" s="492"/>
      <c r="D113" s="492"/>
      <c r="E113" s="492"/>
      <c r="F113" s="492"/>
    </row>
    <row r="114" spans="3:6" x14ac:dyDescent="0.25">
      <c r="C114" s="492"/>
      <c r="D114" s="492"/>
      <c r="E114" s="492"/>
      <c r="F114" s="492"/>
    </row>
    <row r="115" spans="3:6" x14ac:dyDescent="0.25">
      <c r="C115" s="492"/>
      <c r="D115" s="492"/>
      <c r="E115" s="492"/>
      <c r="F115" s="492"/>
    </row>
    <row r="116" spans="3:6" x14ac:dyDescent="0.25">
      <c r="C116" s="492"/>
      <c r="D116" s="492"/>
      <c r="E116" s="492"/>
      <c r="F116" s="492"/>
    </row>
    <row r="117" spans="3:6" x14ac:dyDescent="0.25">
      <c r="C117" s="492"/>
      <c r="D117" s="492"/>
      <c r="E117" s="492"/>
      <c r="F117" s="492"/>
    </row>
    <row r="118" spans="3:6" x14ac:dyDescent="0.25">
      <c r="C118" s="492"/>
      <c r="D118" s="492"/>
      <c r="E118" s="492"/>
      <c r="F118" s="492"/>
    </row>
    <row r="119" spans="3:6" x14ac:dyDescent="0.25">
      <c r="C119" s="492"/>
      <c r="D119" s="492"/>
      <c r="E119" s="492"/>
      <c r="F119" s="492"/>
    </row>
    <row r="120" spans="3:6" x14ac:dyDescent="0.25">
      <c r="C120" s="492"/>
      <c r="D120" s="492"/>
      <c r="E120" s="492"/>
      <c r="F120" s="492"/>
    </row>
    <row r="121" spans="3:6" x14ac:dyDescent="0.25">
      <c r="C121" s="492"/>
      <c r="D121" s="492"/>
      <c r="E121" s="492"/>
      <c r="F121" s="492"/>
    </row>
    <row r="122" spans="3:6" x14ac:dyDescent="0.25">
      <c r="C122" s="492"/>
      <c r="D122" s="492"/>
      <c r="E122" s="492"/>
      <c r="F122" s="492"/>
    </row>
    <row r="123" spans="3:6" x14ac:dyDescent="0.25">
      <c r="C123" s="492"/>
      <c r="D123" s="492"/>
      <c r="E123" s="492"/>
      <c r="F123" s="492"/>
    </row>
  </sheetData>
  <mergeCells count="11">
    <mergeCell ref="C4:E4"/>
    <mergeCell ref="B7:B8"/>
    <mergeCell ref="G7:J7"/>
    <mergeCell ref="G65:I65"/>
    <mergeCell ref="G66:I66"/>
    <mergeCell ref="G67:I67"/>
    <mergeCell ref="C72:D72"/>
    <mergeCell ref="E72:F72"/>
    <mergeCell ref="B70:H70"/>
    <mergeCell ref="E71:F71"/>
    <mergeCell ref="G68:I68"/>
  </mergeCells>
  <conditionalFormatting sqref="B68:E68 G68:L68">
    <cfRule type="expression" dxfId="19" priority="13" stopIfTrue="1">
      <formula>ABS(#REF!-(#REF!+$D68+#REF!+#REF!))&gt;отклонение</formula>
    </cfRule>
  </conditionalFormatting>
  <conditionalFormatting sqref="F68:I68">
    <cfRule type="expression" dxfId="18" priority="8" stopIfTrue="1">
      <formula>ABS(#REF!-(#REF!+$D68+$M68+$O68))&gt;отклонение</formula>
    </cfRule>
  </conditionalFormatting>
  <conditionalFormatting sqref="G68:I68">
    <cfRule type="expression" dxfId="17" priority="7" stopIfTrue="1">
      <formula>ABS(#REF!-(#REF!+$D68+$M68+$O68))&gt;отклонение</formula>
    </cfRule>
  </conditionalFormatting>
  <conditionalFormatting sqref="G68:I68">
    <cfRule type="expression" dxfId="16" priority="6" stopIfTrue="1">
      <formula>ABS(#REF!-(#REF!+$E68+$L68+$N68))&gt;отклонение</formula>
    </cfRule>
  </conditionalFormatting>
  <conditionalFormatting sqref="B68:I68">
    <cfRule type="expression" dxfId="15" priority="5" stopIfTrue="1">
      <formula>ABS(#REF!-(#REF!+$D68+$M68+$O68))&gt;отклонение</formula>
    </cfRule>
  </conditionalFormatting>
  <conditionalFormatting sqref="G68:I68">
    <cfRule type="expression" dxfId="14" priority="4" stopIfTrue="1">
      <formula>ABS(#REF!-(#REF!+$D68+$M68+$O68))&gt;отклонение</formula>
    </cfRule>
  </conditionalFormatting>
  <conditionalFormatting sqref="G68:I68">
    <cfRule type="expression" dxfId="13" priority="3" stopIfTrue="1">
      <formula>ABS(#REF!-(#REF!+$E68+$L68+$N68))&gt;отклонение</formula>
    </cfRule>
  </conditionalFormatting>
  <conditionalFormatting sqref="G68:I68 B68:D68">
    <cfRule type="expression" dxfId="12" priority="2" stopIfTrue="1">
      <formula>ABS(#REF!-(#REF!+$D68+$M68+$O68))&gt;отклонение</formula>
    </cfRule>
  </conditionalFormatting>
  <conditionalFormatting sqref="G68:I68">
    <cfRule type="expression" dxfId="11" priority="1" stopIfTrue="1">
      <formula>ABS(#REF!-(#REF!+#REF!+$L68+$N68))&gt;отклонение</formula>
    </cfRule>
  </conditionalFormatting>
  <pageMargins left="0.23622047244094491" right="0.23622047244094491" top="0.8" bottom="0.15748031496062992" header="0.62" footer="0.31496062992125984"/>
  <pageSetup paperSize="9" scale="58"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pageSetUpPr fitToPage="1"/>
  </sheetPr>
  <dimension ref="A1:X129"/>
  <sheetViews>
    <sheetView zoomScale="70" zoomScaleNormal="70" workbookViewId="0">
      <pane xSplit="1" ySplit="8" topLeftCell="B54" activePane="bottomRight" state="frozen"/>
      <selection pane="topRight" activeCell="B1" sqref="B1"/>
      <selection pane="bottomLeft" activeCell="A9" sqref="A9"/>
      <selection pane="bottomRight" activeCell="O65" sqref="O65:P68"/>
    </sheetView>
  </sheetViews>
  <sheetFormatPr defaultColWidth="9.140625" defaultRowHeight="15" x14ac:dyDescent="0.25"/>
  <cols>
    <col min="1" max="1" width="4.7109375" style="492" customWidth="1"/>
    <col min="2" max="2" width="75.42578125" style="492" customWidth="1"/>
    <col min="3" max="3" width="10.85546875" style="491" customWidth="1"/>
    <col min="4" max="4" width="10.7109375" style="491" customWidth="1"/>
    <col min="5" max="5" width="13.85546875" style="491" customWidth="1"/>
    <col min="6" max="6" width="13.5703125" style="491" customWidth="1"/>
    <col min="7" max="7" width="16.5703125" style="492" customWidth="1"/>
    <col min="8" max="8" width="16.140625" style="492" customWidth="1"/>
    <col min="9" max="9" width="12" style="492" customWidth="1"/>
    <col min="10" max="10" width="14" style="492" customWidth="1"/>
    <col min="11" max="11" width="15.7109375" style="492" customWidth="1"/>
    <col min="12" max="12" width="20.28515625" style="492" customWidth="1"/>
    <col min="13" max="13" width="9.42578125" style="492" customWidth="1"/>
    <col min="14" max="14" width="14.42578125" style="492" customWidth="1"/>
    <col min="15" max="15" width="30.7109375" style="858" customWidth="1"/>
    <col min="16" max="16" width="12.42578125" style="499" customWidth="1"/>
    <col min="17" max="17" width="11.7109375" style="499" customWidth="1"/>
    <col min="18" max="18" width="11.28515625" style="492" customWidth="1"/>
    <col min="19" max="21" width="10.42578125" style="492" bestFit="1" customWidth="1"/>
    <col min="22" max="22" width="10.7109375" style="492" bestFit="1" customWidth="1"/>
    <col min="23" max="16384" width="9.140625" style="492"/>
  </cols>
  <sheetData>
    <row r="1" spans="2:22" ht="18.75" x14ac:dyDescent="0.3">
      <c r="B1" s="490"/>
      <c r="C1" s="492"/>
      <c r="D1" s="492"/>
      <c r="E1" s="492"/>
      <c r="F1" s="492"/>
      <c r="M1" s="493" t="s">
        <v>830</v>
      </c>
      <c r="O1" s="1132"/>
      <c r="P1" s="1129"/>
      <c r="Q1" s="1129"/>
      <c r="R1" s="1130"/>
    </row>
    <row r="2" spans="2:22" ht="18" customHeight="1" x14ac:dyDescent="0.25">
      <c r="C2" s="492"/>
      <c r="D2" s="492"/>
      <c r="E2" s="492"/>
      <c r="F2" s="492"/>
      <c r="O2" s="1133"/>
      <c r="P2" s="1131"/>
      <c r="Q2" s="1131"/>
      <c r="R2" s="1131"/>
    </row>
    <row r="3" spans="2:22" ht="18.75" x14ac:dyDescent="0.3">
      <c r="B3" s="495" t="s">
        <v>1506</v>
      </c>
      <c r="C3" s="3568" t="str">
        <f>'Вхідні дані'!F5</f>
        <v>ЧФ ДП "АМПУ"</v>
      </c>
      <c r="D3" s="3327"/>
      <c r="E3" s="3327"/>
      <c r="F3" s="3294"/>
      <c r="G3" s="3327" t="s">
        <v>460</v>
      </c>
      <c r="H3" s="3327" t="str">
        <f>'Вхідні дані'!F6</f>
        <v>2022-2023</v>
      </c>
      <c r="I3" s="3327" t="s">
        <v>647</v>
      </c>
      <c r="J3" s="496"/>
      <c r="L3" s="495"/>
      <c r="O3" s="858">
        <f>ФОП!G44</f>
        <v>19</v>
      </c>
      <c r="P3" s="499" t="s">
        <v>150</v>
      </c>
    </row>
    <row r="4" spans="2:22" ht="18.75" x14ac:dyDescent="0.3">
      <c r="B4" s="495"/>
      <c r="C4" s="492"/>
      <c r="D4" s="492"/>
      <c r="E4" s="492"/>
      <c r="F4" s="492"/>
      <c r="G4" s="530"/>
      <c r="H4" s="531"/>
      <c r="I4" s="531"/>
      <c r="J4" s="531"/>
      <c r="K4" s="496"/>
      <c r="L4" s="495"/>
      <c r="Q4" s="492"/>
    </row>
    <row r="5" spans="2:22" ht="19.5" thickBot="1" x14ac:dyDescent="0.35">
      <c r="B5" s="519" t="s">
        <v>1811</v>
      </c>
      <c r="C5" s="492"/>
      <c r="D5" s="492"/>
      <c r="E5" s="492"/>
      <c r="F5" s="600">
        <f>G5+H5+K5+L5+M5+N5</f>
        <v>1</v>
      </c>
      <c r="G5" s="600">
        <f>'БАЗИ РОЗПОДІЛУ'!$F$15</f>
        <v>0.86929999999999996</v>
      </c>
      <c r="H5" s="600">
        <f>'БАЗИ РОЗПОДІЛУ'!$G$15</f>
        <v>0.11890000000000001</v>
      </c>
      <c r="I5" s="600">
        <f>'БАЗИ РОЗПОДІЛУ'!$H$15</f>
        <v>1.95E-2</v>
      </c>
      <c r="J5" s="600">
        <f>'БАЗИ РОЗПОДІЛУ'!$I$15</f>
        <v>9.9500000000000005E-2</v>
      </c>
      <c r="K5" s="600">
        <f>'БАЗИ РОЗПОДІЛУ'!$J$15</f>
        <v>1.18E-2</v>
      </c>
      <c r="L5" s="600">
        <f>'БАЗИ РОЗПОДІЛУ'!$K$15</f>
        <v>0</v>
      </c>
      <c r="M5" s="600">
        <f>'БАЗИ РОЗПОДІЛУ'!$L$15</f>
        <v>0</v>
      </c>
      <c r="N5" s="600">
        <f>'БАЗИ РОЗПОДІЛУ'!M15</f>
        <v>0</v>
      </c>
      <c r="O5" s="1183"/>
      <c r="P5" s="1183"/>
      <c r="Q5" s="492"/>
      <c r="R5" s="1183"/>
      <c r="S5" s="1183"/>
      <c r="T5" s="1183"/>
      <c r="U5" s="1183"/>
      <c r="V5" s="1183"/>
    </row>
    <row r="6" spans="2:22" ht="18.75" customHeight="1" thickBot="1" x14ac:dyDescent="0.3">
      <c r="B6" s="3979" t="s">
        <v>8</v>
      </c>
      <c r="C6" s="622" t="s">
        <v>958</v>
      </c>
      <c r="D6" s="622" t="s">
        <v>958</v>
      </c>
      <c r="E6" s="622" t="s">
        <v>968</v>
      </c>
      <c r="F6" s="622" t="s">
        <v>959</v>
      </c>
      <c r="G6" s="3981" t="s">
        <v>933</v>
      </c>
      <c r="H6" s="3982"/>
      <c r="I6" s="3982"/>
      <c r="J6" s="3982"/>
      <c r="K6" s="3982"/>
      <c r="L6" s="3982"/>
      <c r="M6" s="3983"/>
      <c r="N6" s="626"/>
    </row>
    <row r="7" spans="2:22" ht="215.25" thickBot="1" x14ac:dyDescent="0.3">
      <c r="B7" s="3980"/>
      <c r="C7" s="623">
        <f>'Вхідні дані'!F8</f>
        <v>2020</v>
      </c>
      <c r="D7" s="623">
        <f>'Вхідні дані'!F7</f>
        <v>2021</v>
      </c>
      <c r="E7" s="624" t="str">
        <f>'Вхідні дані'!F9</f>
        <v xml:space="preserve">Рішення виконавчого комітету Чорноморської міської ради Одеського району Одеської області № 381 від 27.12.2018 </v>
      </c>
      <c r="F7" s="623" t="str">
        <f>'Вхідні дані'!F6</f>
        <v>2022-2023</v>
      </c>
      <c r="G7" s="622" t="s">
        <v>934</v>
      </c>
      <c r="H7" s="622" t="s">
        <v>935</v>
      </c>
      <c r="I7" s="622" t="s">
        <v>1891</v>
      </c>
      <c r="J7" s="622" t="s">
        <v>1902</v>
      </c>
      <c r="K7" s="622" t="s">
        <v>936</v>
      </c>
      <c r="L7" s="622" t="s">
        <v>937</v>
      </c>
      <c r="M7" s="625" t="s">
        <v>956</v>
      </c>
      <c r="N7" s="822" t="s">
        <v>957</v>
      </c>
    </row>
    <row r="8" spans="2:22" ht="18.75" x14ac:dyDescent="0.3">
      <c r="B8" s="500" t="s">
        <v>1507</v>
      </c>
      <c r="C8" s="501">
        <f t="shared" ref="C8:N8" si="0">C9+C20+C39+C24+C37+C38</f>
        <v>5011.51</v>
      </c>
      <c r="D8" s="501">
        <f t="shared" si="0"/>
        <v>5040.05</v>
      </c>
      <c r="E8" s="501">
        <f t="shared" si="0"/>
        <v>4797.8</v>
      </c>
      <c r="F8" s="501">
        <f>F9+F20+F39+F24+F37+F38</f>
        <v>3933.66</v>
      </c>
      <c r="G8" s="502">
        <f>G9+G20+G39+G24+G37+G38</f>
        <v>3419.56</v>
      </c>
      <c r="H8" s="502">
        <f>H9+H20+H39+H24+H37+H38</f>
        <v>467.75</v>
      </c>
      <c r="I8" s="502">
        <f t="shared" si="0"/>
        <v>76.7</v>
      </c>
      <c r="J8" s="502">
        <f t="shared" si="0"/>
        <v>391.37</v>
      </c>
      <c r="K8" s="502">
        <f t="shared" si="0"/>
        <v>46.41</v>
      </c>
      <c r="L8" s="502">
        <f t="shared" si="0"/>
        <v>0</v>
      </c>
      <c r="M8" s="502">
        <f t="shared" si="0"/>
        <v>0</v>
      </c>
      <c r="N8" s="502">
        <f t="shared" si="0"/>
        <v>0</v>
      </c>
      <c r="O8" s="534"/>
      <c r="U8" s="499">
        <f>F8-G8-H8-K8-L8-M8-N8</f>
        <v>-0.06</v>
      </c>
      <c r="V8" s="499">
        <f>H8-I8-J8</f>
        <v>-0.32</v>
      </c>
    </row>
    <row r="9" spans="2:22" ht="18.75" x14ac:dyDescent="0.3">
      <c r="B9" s="504" t="s">
        <v>939</v>
      </c>
      <c r="C9" s="505">
        <f t="shared" ref="C9:N9" si="1">SUM(C10:C19)</f>
        <v>73.540000000000006</v>
      </c>
      <c r="D9" s="505">
        <f t="shared" si="1"/>
        <v>90.91</v>
      </c>
      <c r="E9" s="505">
        <f t="shared" si="1"/>
        <v>77.400000000000006</v>
      </c>
      <c r="F9" s="505">
        <f>SUM(F10:F19)</f>
        <v>79.459999999999994</v>
      </c>
      <c r="G9" s="505">
        <f t="shared" si="1"/>
        <v>69.069999999999993</v>
      </c>
      <c r="H9" s="505">
        <f t="shared" si="1"/>
        <v>9.48</v>
      </c>
      <c r="I9" s="505">
        <f t="shared" si="1"/>
        <v>1.54</v>
      </c>
      <c r="J9" s="505">
        <f t="shared" si="1"/>
        <v>7.9</v>
      </c>
      <c r="K9" s="505">
        <f t="shared" si="1"/>
        <v>0.93</v>
      </c>
      <c r="L9" s="505">
        <f t="shared" si="1"/>
        <v>0</v>
      </c>
      <c r="M9" s="505">
        <f t="shared" si="1"/>
        <v>0</v>
      </c>
      <c r="N9" s="505">
        <f t="shared" si="1"/>
        <v>0</v>
      </c>
      <c r="O9" s="534"/>
      <c r="U9" s="499">
        <f t="shared" ref="U9:U20" si="2">F9-G9-H9-K9-L9-M9-N9</f>
        <v>-0.02</v>
      </c>
      <c r="V9" s="499">
        <f t="shared" ref="V9:V21" si="3">H9-I9-J9</f>
        <v>0.04</v>
      </c>
    </row>
    <row r="10" spans="2:22" ht="18.75" x14ac:dyDescent="0.3">
      <c r="B10" s="506" t="s">
        <v>960</v>
      </c>
      <c r="C10" s="507">
        <v>0.32</v>
      </c>
      <c r="D10" s="507">
        <f>0.22+0.01</f>
        <v>0.23</v>
      </c>
      <c r="E10" s="507"/>
      <c r="F10" s="571">
        <f>0.14*'Вхідні дані'!$D$77</f>
        <v>0.15</v>
      </c>
      <c r="G10" s="508">
        <f>F10*$G$5</f>
        <v>0.13</v>
      </c>
      <c r="H10" s="509">
        <f>F10*$H$5</f>
        <v>0.02</v>
      </c>
      <c r="I10" s="508">
        <f>F10*$I$5</f>
        <v>0</v>
      </c>
      <c r="J10" s="509">
        <f>F10*$J$5</f>
        <v>0.01</v>
      </c>
      <c r="K10" s="509">
        <f>F10*$K$5</f>
        <v>0</v>
      </c>
      <c r="L10" s="509">
        <f>F10*$L$5</f>
        <v>0</v>
      </c>
      <c r="M10" s="509">
        <f>F10*$M$5</f>
        <v>0</v>
      </c>
      <c r="N10" s="509">
        <f>F10*$N$5</f>
        <v>0</v>
      </c>
      <c r="O10" s="534" t="s">
        <v>940</v>
      </c>
      <c r="P10" s="619" t="s">
        <v>1508</v>
      </c>
      <c r="Q10" s="619"/>
      <c r="U10" s="499">
        <f t="shared" si="2"/>
        <v>0</v>
      </c>
      <c r="V10" s="499">
        <f t="shared" si="3"/>
        <v>0.01</v>
      </c>
    </row>
    <row r="11" spans="2:22" ht="18.75" x14ac:dyDescent="0.3">
      <c r="B11" s="506" t="s">
        <v>961</v>
      </c>
      <c r="C11" s="507">
        <f>8.62+0.53+1.82</f>
        <v>10.97</v>
      </c>
      <c r="D11" s="507">
        <f>4.71+0.93+0.15+0.04+4.33+0.11+0.01</f>
        <v>10.28</v>
      </c>
      <c r="E11" s="507"/>
      <c r="F11" s="571">
        <f>(8.15)*'Вхідні дані'!$D$77</f>
        <v>8.66</v>
      </c>
      <c r="G11" s="508">
        <f t="shared" ref="G11:G19" si="4">F11*$G$5</f>
        <v>7.53</v>
      </c>
      <c r="H11" s="509">
        <f t="shared" ref="H11:H19" si="5">F11*$H$5</f>
        <v>1.03</v>
      </c>
      <c r="I11" s="508">
        <f>F11*$I$5</f>
        <v>0.17</v>
      </c>
      <c r="J11" s="509">
        <f>F11*$J$5</f>
        <v>0.86</v>
      </c>
      <c r="K11" s="509">
        <f t="shared" ref="K11:K19" si="6">F11*$K$5</f>
        <v>0.1</v>
      </c>
      <c r="L11" s="509">
        <f t="shared" ref="L11:L19" si="7">F11*$L$5</f>
        <v>0</v>
      </c>
      <c r="M11" s="509">
        <f t="shared" ref="M11:M19" si="8">F11*$M$5</f>
        <v>0</v>
      </c>
      <c r="N11" s="509">
        <f t="shared" ref="N11:N19" si="9">F11*$N$5</f>
        <v>0</v>
      </c>
      <c r="O11" s="534" t="s">
        <v>991</v>
      </c>
      <c r="U11" s="499">
        <f t="shared" si="2"/>
        <v>0</v>
      </c>
      <c r="V11" s="499">
        <f>H11-I11-J11</f>
        <v>0</v>
      </c>
    </row>
    <row r="12" spans="2:22" ht="18.75" x14ac:dyDescent="0.3">
      <c r="B12" s="506" t="s">
        <v>962</v>
      </c>
      <c r="C12" s="571">
        <f>0.8+3.11+0.09+0.5+0.14</f>
        <v>4.6399999999999997</v>
      </c>
      <c r="D12" s="571">
        <f>0.97+0.48+0.11+5.03+3.1</f>
        <v>9.69</v>
      </c>
      <c r="E12" s="571">
        <f>7.2</f>
        <v>7.2</v>
      </c>
      <c r="F12" s="571">
        <f>(9.09)*'Вхідні дані'!$D$77</f>
        <v>9.65</v>
      </c>
      <c r="G12" s="508">
        <f t="shared" si="4"/>
        <v>8.39</v>
      </c>
      <c r="H12" s="509">
        <f t="shared" si="5"/>
        <v>1.1499999999999999</v>
      </c>
      <c r="I12" s="508">
        <f>F12*$I$5</f>
        <v>0.19</v>
      </c>
      <c r="J12" s="509">
        <f t="shared" ref="J12:J19" si="10">F12*$J$5</f>
        <v>0.96</v>
      </c>
      <c r="K12" s="509">
        <f t="shared" si="6"/>
        <v>0.11</v>
      </c>
      <c r="L12" s="509">
        <f t="shared" si="7"/>
        <v>0</v>
      </c>
      <c r="M12" s="509">
        <f t="shared" si="8"/>
        <v>0</v>
      </c>
      <c r="N12" s="509">
        <f t="shared" si="9"/>
        <v>0</v>
      </c>
      <c r="O12" s="583" t="s">
        <v>1514</v>
      </c>
      <c r="U12" s="499">
        <f t="shared" si="2"/>
        <v>0</v>
      </c>
      <c r="V12" s="499">
        <f t="shared" si="3"/>
        <v>0</v>
      </c>
    </row>
    <row r="13" spans="2:22" ht="18" customHeight="1" x14ac:dyDescent="0.3">
      <c r="B13" s="506" t="s">
        <v>1509</v>
      </c>
      <c r="C13" s="571"/>
      <c r="D13" s="571"/>
      <c r="E13" s="507"/>
      <c r="F13" s="571">
        <f>(D13)*'Вхідні дані'!$D$77</f>
        <v>0</v>
      </c>
      <c r="G13" s="508">
        <f t="shared" si="4"/>
        <v>0</v>
      </c>
      <c r="H13" s="509">
        <f t="shared" si="5"/>
        <v>0</v>
      </c>
      <c r="I13" s="508">
        <f t="shared" ref="I13:I19" si="11">F13*$I$5</f>
        <v>0</v>
      </c>
      <c r="J13" s="509">
        <f t="shared" si="10"/>
        <v>0</v>
      </c>
      <c r="K13" s="509">
        <f t="shared" si="6"/>
        <v>0</v>
      </c>
      <c r="L13" s="509">
        <f t="shared" si="7"/>
        <v>0</v>
      </c>
      <c r="M13" s="509">
        <f t="shared" si="8"/>
        <v>0</v>
      </c>
      <c r="N13" s="509">
        <f t="shared" si="9"/>
        <v>0</v>
      </c>
      <c r="O13" s="534" t="s">
        <v>991</v>
      </c>
      <c r="U13" s="499">
        <f t="shared" si="2"/>
        <v>0</v>
      </c>
      <c r="V13" s="499">
        <f t="shared" si="3"/>
        <v>0</v>
      </c>
    </row>
    <row r="14" spans="2:22" ht="18.75" x14ac:dyDescent="0.3">
      <c r="B14" s="506" t="s">
        <v>941</v>
      </c>
      <c r="C14" s="507">
        <f>3.47+0.17</f>
        <v>3.64</v>
      </c>
      <c r="D14" s="507">
        <f>5.43+1.64+5.26</f>
        <v>12.33</v>
      </c>
      <c r="E14" s="507"/>
      <c r="F14" s="571">
        <f>(10.19)*'Вхідні дані'!$D$77</f>
        <v>10.82</v>
      </c>
      <c r="G14" s="508">
        <f>F14*$G$5-0.01</f>
        <v>9.4</v>
      </c>
      <c r="H14" s="509">
        <f>F14*$H$5+0.01</f>
        <v>1.3</v>
      </c>
      <c r="I14" s="508">
        <f t="shared" si="11"/>
        <v>0.21</v>
      </c>
      <c r="J14" s="509">
        <f t="shared" si="10"/>
        <v>1.08</v>
      </c>
      <c r="K14" s="509">
        <f>F14*$K$5</f>
        <v>0.13</v>
      </c>
      <c r="L14" s="509">
        <f t="shared" si="7"/>
        <v>0</v>
      </c>
      <c r="M14" s="509">
        <f t="shared" si="8"/>
        <v>0</v>
      </c>
      <c r="N14" s="509">
        <f t="shared" si="9"/>
        <v>0</v>
      </c>
      <c r="O14" s="534" t="s">
        <v>1515</v>
      </c>
      <c r="P14" s="499" t="s">
        <v>1605</v>
      </c>
      <c r="U14" s="499">
        <f t="shared" si="2"/>
        <v>-0.01</v>
      </c>
      <c r="V14" s="499">
        <f t="shared" si="3"/>
        <v>0.01</v>
      </c>
    </row>
    <row r="15" spans="2:22" ht="18.75" x14ac:dyDescent="0.3">
      <c r="B15" s="506" t="s">
        <v>963</v>
      </c>
      <c r="C15" s="507">
        <f>33.96+0.02+2.51</f>
        <v>36.49</v>
      </c>
      <c r="D15" s="507">
        <f>25.03+5.04</f>
        <v>30.07</v>
      </c>
      <c r="E15" s="507"/>
      <c r="F15" s="571">
        <f>(19.79)*'Вхідні дані'!$D$77</f>
        <v>21.02</v>
      </c>
      <c r="G15" s="508">
        <f t="shared" si="4"/>
        <v>18.27</v>
      </c>
      <c r="H15" s="509">
        <f t="shared" si="5"/>
        <v>2.5</v>
      </c>
      <c r="I15" s="508">
        <f t="shared" si="11"/>
        <v>0.41</v>
      </c>
      <c r="J15" s="509">
        <f t="shared" si="10"/>
        <v>2.09</v>
      </c>
      <c r="K15" s="509">
        <f t="shared" si="6"/>
        <v>0.25</v>
      </c>
      <c r="L15" s="509">
        <f t="shared" si="7"/>
        <v>0</v>
      </c>
      <c r="M15" s="509">
        <f t="shared" si="8"/>
        <v>0</v>
      </c>
      <c r="N15" s="509">
        <f t="shared" si="9"/>
        <v>0</v>
      </c>
      <c r="O15" s="534" t="s">
        <v>991</v>
      </c>
      <c r="U15" s="499">
        <f t="shared" si="2"/>
        <v>0</v>
      </c>
      <c r="V15" s="499">
        <f t="shared" si="3"/>
        <v>0</v>
      </c>
    </row>
    <row r="16" spans="2:22" ht="18.75" x14ac:dyDescent="0.3">
      <c r="B16" s="506" t="s">
        <v>964</v>
      </c>
      <c r="C16" s="507"/>
      <c r="D16" s="507"/>
      <c r="E16" s="507"/>
      <c r="F16" s="571">
        <f>(D16)*'Вхідні дані'!$D$77</f>
        <v>0</v>
      </c>
      <c r="G16" s="508">
        <f t="shared" si="4"/>
        <v>0</v>
      </c>
      <c r="H16" s="509">
        <f t="shared" si="5"/>
        <v>0</v>
      </c>
      <c r="I16" s="508">
        <f t="shared" si="11"/>
        <v>0</v>
      </c>
      <c r="J16" s="509">
        <f t="shared" si="10"/>
        <v>0</v>
      </c>
      <c r="K16" s="509">
        <f t="shared" si="6"/>
        <v>0</v>
      </c>
      <c r="L16" s="509">
        <f t="shared" si="7"/>
        <v>0</v>
      </c>
      <c r="M16" s="509">
        <f t="shared" si="8"/>
        <v>0</v>
      </c>
      <c r="N16" s="509">
        <f t="shared" si="9"/>
        <v>0</v>
      </c>
      <c r="O16" s="534" t="s">
        <v>991</v>
      </c>
      <c r="U16" s="499">
        <f t="shared" si="2"/>
        <v>0</v>
      </c>
      <c r="V16" s="499">
        <f t="shared" si="3"/>
        <v>0</v>
      </c>
    </row>
    <row r="17" spans="2:22" ht="18.75" x14ac:dyDescent="0.3">
      <c r="B17" s="506" t="s">
        <v>965</v>
      </c>
      <c r="C17" s="507">
        <f>1.25+9.47+5.47</f>
        <v>16.190000000000001</v>
      </c>
      <c r="D17" s="507">
        <f>1.44+15.85+9.57</f>
        <v>26.86</v>
      </c>
      <c r="E17" s="507">
        <f>2.4+4.1</f>
        <v>6.5</v>
      </c>
      <c r="F17" s="571">
        <f>(26.27)*'Вхідні дані'!$D$77</f>
        <v>27.9</v>
      </c>
      <c r="G17" s="508">
        <f>F17*$G$5</f>
        <v>24.25</v>
      </c>
      <c r="H17" s="509">
        <f>F17*$H$5</f>
        <v>3.32</v>
      </c>
      <c r="I17" s="508">
        <f>F17*$I$5</f>
        <v>0.54</v>
      </c>
      <c r="J17" s="509">
        <f>F17*$J$5-0.01</f>
        <v>2.77</v>
      </c>
      <c r="K17" s="509">
        <f>F17*$K$5</f>
        <v>0.33</v>
      </c>
      <c r="L17" s="509">
        <f t="shared" si="7"/>
        <v>0</v>
      </c>
      <c r="M17" s="509">
        <f t="shared" si="8"/>
        <v>0</v>
      </c>
      <c r="N17" s="509">
        <f t="shared" si="9"/>
        <v>0</v>
      </c>
      <c r="O17" s="583" t="s">
        <v>2671</v>
      </c>
      <c r="U17" s="499">
        <f t="shared" si="2"/>
        <v>0</v>
      </c>
      <c r="V17" s="499">
        <f t="shared" si="3"/>
        <v>0.01</v>
      </c>
    </row>
    <row r="18" spans="2:22" ht="18.75" x14ac:dyDescent="0.3">
      <c r="B18" s="506" t="s">
        <v>966</v>
      </c>
      <c r="C18" s="507">
        <f>0.89+0.4</f>
        <v>1.29</v>
      </c>
      <c r="D18" s="507">
        <f>0.71+0.74</f>
        <v>1.45</v>
      </c>
      <c r="E18" s="507">
        <v>63.7</v>
      </c>
      <c r="F18" s="571">
        <f>(1.19)*'Вхідні дані'!$D$77</f>
        <v>1.26</v>
      </c>
      <c r="G18" s="508">
        <f t="shared" si="4"/>
        <v>1.1000000000000001</v>
      </c>
      <c r="H18" s="509">
        <f>F18*$H$5+0.01</f>
        <v>0.16</v>
      </c>
      <c r="I18" s="508">
        <f>F18*$I$5</f>
        <v>0.02</v>
      </c>
      <c r="J18" s="509">
        <f t="shared" si="10"/>
        <v>0.13</v>
      </c>
      <c r="K18" s="509">
        <f t="shared" si="6"/>
        <v>0.01</v>
      </c>
      <c r="L18" s="509">
        <f t="shared" si="7"/>
        <v>0</v>
      </c>
      <c r="M18" s="509">
        <f t="shared" si="8"/>
        <v>0</v>
      </c>
      <c r="N18" s="509">
        <f t="shared" si="9"/>
        <v>0</v>
      </c>
      <c r="O18" s="534" t="s">
        <v>1329</v>
      </c>
      <c r="U18" s="499">
        <f t="shared" si="2"/>
        <v>-0.01</v>
      </c>
      <c r="V18" s="499">
        <f t="shared" si="3"/>
        <v>0.01</v>
      </c>
    </row>
    <row r="19" spans="2:22" ht="18.75" x14ac:dyDescent="0.3">
      <c r="B19" s="506" t="s">
        <v>967</v>
      </c>
      <c r="C19" s="507"/>
      <c r="D19" s="507"/>
      <c r="E19" s="507"/>
      <c r="F19" s="571">
        <f>(D19)*'Вхідні дані'!$D$77</f>
        <v>0</v>
      </c>
      <c r="G19" s="508">
        <f t="shared" si="4"/>
        <v>0</v>
      </c>
      <c r="H19" s="509">
        <f t="shared" si="5"/>
        <v>0</v>
      </c>
      <c r="I19" s="508">
        <f t="shared" si="11"/>
        <v>0</v>
      </c>
      <c r="J19" s="509">
        <f t="shared" si="10"/>
        <v>0</v>
      </c>
      <c r="K19" s="509">
        <f t="shared" si="6"/>
        <v>0</v>
      </c>
      <c r="L19" s="509">
        <f t="shared" si="7"/>
        <v>0</v>
      </c>
      <c r="M19" s="509">
        <f t="shared" si="8"/>
        <v>0</v>
      </c>
      <c r="N19" s="509">
        <f t="shared" si="9"/>
        <v>0</v>
      </c>
      <c r="O19" s="534" t="s">
        <v>1883</v>
      </c>
      <c r="U19" s="499">
        <f t="shared" si="2"/>
        <v>0</v>
      </c>
      <c r="V19" s="499">
        <f t="shared" si="3"/>
        <v>0</v>
      </c>
    </row>
    <row r="20" spans="2:22" ht="20.45" customHeight="1" x14ac:dyDescent="0.3">
      <c r="B20" s="510" t="s">
        <v>942</v>
      </c>
      <c r="C20" s="505">
        <f t="shared" ref="C20" si="12">C21+C23</f>
        <v>4337.66</v>
      </c>
      <c r="D20" s="505">
        <f t="shared" ref="D20:N20" si="13">D21+D23</f>
        <v>4163.41</v>
      </c>
      <c r="E20" s="505">
        <f>E21+E23</f>
        <v>2913.3</v>
      </c>
      <c r="F20" s="505">
        <f t="shared" si="13"/>
        <v>3196.11</v>
      </c>
      <c r="G20" s="505">
        <f>G21+G23</f>
        <v>2778.38</v>
      </c>
      <c r="H20" s="505">
        <f t="shared" si="13"/>
        <v>380.02</v>
      </c>
      <c r="I20" s="505">
        <f t="shared" si="13"/>
        <v>62.33</v>
      </c>
      <c r="J20" s="505">
        <f t="shared" si="13"/>
        <v>318.02</v>
      </c>
      <c r="K20" s="505">
        <f t="shared" si="13"/>
        <v>37.71</v>
      </c>
      <c r="L20" s="505">
        <f t="shared" si="13"/>
        <v>0</v>
      </c>
      <c r="M20" s="505">
        <f t="shared" si="13"/>
        <v>0</v>
      </c>
      <c r="N20" s="505">
        <f t="shared" si="13"/>
        <v>0</v>
      </c>
      <c r="O20" s="534"/>
      <c r="P20" s="535"/>
      <c r="U20" s="499">
        <f t="shared" si="2"/>
        <v>0</v>
      </c>
      <c r="V20" s="499">
        <f t="shared" si="3"/>
        <v>-0.33</v>
      </c>
    </row>
    <row r="21" spans="2:22" ht="39" customHeight="1" x14ac:dyDescent="0.3">
      <c r="B21" s="506" t="s">
        <v>1624</v>
      </c>
      <c r="C21" s="507">
        <f>768.77+1159.38+1663.6</f>
        <v>3591.75</v>
      </c>
      <c r="D21" s="507">
        <f>1178.15+1501.31+751.16</f>
        <v>3430.62</v>
      </c>
      <c r="E21" s="507">
        <f>220.3+325.8+772+1111.1</f>
        <v>2429.1999999999998</v>
      </c>
      <c r="F21" s="507">
        <f>ФОП!H44/1000</f>
        <v>2619.7600000000002</v>
      </c>
      <c r="G21" s="508">
        <f>F21*$G$5</f>
        <v>2277.36</v>
      </c>
      <c r="H21" s="509">
        <f>F21*$H$5</f>
        <v>311.49</v>
      </c>
      <c r="I21" s="508">
        <f t="shared" ref="I21:I38" si="14">F21*$I$5</f>
        <v>51.09</v>
      </c>
      <c r="J21" s="509">
        <f t="shared" ref="J21:J38" si="15">F21*$J$5</f>
        <v>260.67</v>
      </c>
      <c r="K21" s="509">
        <f t="shared" ref="K21:K38" si="16">F21*$K$5</f>
        <v>30.91</v>
      </c>
      <c r="L21" s="509">
        <f t="shared" ref="L21:L38" si="17">F21*$L$5</f>
        <v>0</v>
      </c>
      <c r="M21" s="509">
        <f t="shared" ref="M21:M38" si="18">F21*$M$5</f>
        <v>0</v>
      </c>
      <c r="N21" s="509">
        <f t="shared" ref="N21:N38" si="19">F21*$N$5</f>
        <v>0</v>
      </c>
      <c r="O21" s="536" t="s">
        <v>1075</v>
      </c>
      <c r="P21" s="535"/>
      <c r="U21" s="499">
        <f>F21-G21-H21-K21-L21-M21-N21</f>
        <v>0</v>
      </c>
      <c r="V21" s="499">
        <f t="shared" si="3"/>
        <v>-0.27</v>
      </c>
    </row>
    <row r="22" spans="2:22" ht="18.75" hidden="1" x14ac:dyDescent="0.3">
      <c r="B22" s="572" t="s">
        <v>1618</v>
      </c>
      <c r="C22" s="507"/>
      <c r="D22" s="507"/>
      <c r="E22" s="492"/>
      <c r="F22" s="507">
        <f>ФОП!H45/1000</f>
        <v>0</v>
      </c>
      <c r="G22" s="508">
        <f t="shared" ref="G22:G38" si="20">F22*$G$5</f>
        <v>0</v>
      </c>
      <c r="H22" s="509">
        <f t="shared" ref="H22:H38" si="21">F22*$H$5</f>
        <v>0</v>
      </c>
      <c r="I22" s="508">
        <f t="shared" si="14"/>
        <v>0</v>
      </c>
      <c r="J22" s="509">
        <f t="shared" si="15"/>
        <v>0</v>
      </c>
      <c r="K22" s="509">
        <f t="shared" si="16"/>
        <v>0</v>
      </c>
      <c r="L22" s="509">
        <f t="shared" si="17"/>
        <v>0</v>
      </c>
      <c r="M22" s="509">
        <f t="shared" si="18"/>
        <v>0</v>
      </c>
      <c r="N22" s="509">
        <f t="shared" si="19"/>
        <v>0</v>
      </c>
      <c r="O22" s="536" t="s">
        <v>1075</v>
      </c>
      <c r="P22" s="535"/>
      <c r="U22" s="499">
        <f>F22-G22-H22-K22-L22-M22-N22</f>
        <v>0</v>
      </c>
      <c r="V22" s="499">
        <f>H22-I22-J22</f>
        <v>0</v>
      </c>
    </row>
    <row r="23" spans="2:22" ht="39" customHeight="1" x14ac:dyDescent="0.3">
      <c r="B23" s="506" t="s">
        <v>1625</v>
      </c>
      <c r="C23" s="507">
        <f>155.1+233.81+357</f>
        <v>745.91</v>
      </c>
      <c r="D23" s="507">
        <f>158.31+251.53+322.95</f>
        <v>732.79</v>
      </c>
      <c r="E23" s="507">
        <f>108.3+375.8</f>
        <v>484.1</v>
      </c>
      <c r="F23" s="507">
        <f>(F21-F22)*'Вхідні дані'!D44+F22*'Вхідні дані'!D45</f>
        <v>576.35</v>
      </c>
      <c r="G23" s="508">
        <f t="shared" si="20"/>
        <v>501.02</v>
      </c>
      <c r="H23" s="509">
        <f t="shared" si="21"/>
        <v>68.53</v>
      </c>
      <c r="I23" s="508">
        <f t="shared" si="14"/>
        <v>11.24</v>
      </c>
      <c r="J23" s="509">
        <f t="shared" si="15"/>
        <v>57.35</v>
      </c>
      <c r="K23" s="509">
        <f t="shared" si="16"/>
        <v>6.8</v>
      </c>
      <c r="L23" s="509">
        <f t="shared" si="17"/>
        <v>0</v>
      </c>
      <c r="M23" s="509">
        <f t="shared" si="18"/>
        <v>0</v>
      </c>
      <c r="N23" s="509">
        <f t="shared" si="19"/>
        <v>0</v>
      </c>
      <c r="O23" s="536" t="s">
        <v>1075</v>
      </c>
      <c r="P23" s="535" t="s">
        <v>944</v>
      </c>
      <c r="S23" s="492">
        <f>ФОП!H51/1000</f>
        <v>214.85525999999999</v>
      </c>
      <c r="U23" s="499">
        <f t="shared" ref="U23:U33" si="22">F23-G23-H23-K23-L23-M23-N23</f>
        <v>0</v>
      </c>
      <c r="V23" s="499">
        <f t="shared" ref="V23:V33" si="23">H23-I23-J23</f>
        <v>-0.06</v>
      </c>
    </row>
    <row r="24" spans="2:22" s="511" customFormat="1" ht="54" customHeight="1" x14ac:dyDescent="0.3">
      <c r="B24" s="510" t="s">
        <v>1626</v>
      </c>
      <c r="C24" s="505">
        <f t="shared" ref="C24" si="24">SUM(C25:C36)</f>
        <v>29.39</v>
      </c>
      <c r="D24" s="505">
        <f t="shared" ref="D24:N24" si="25">SUM(D25:D36)</f>
        <v>58.82</v>
      </c>
      <c r="E24" s="505">
        <f t="shared" si="25"/>
        <v>132.1</v>
      </c>
      <c r="F24" s="505">
        <f t="shared" si="25"/>
        <v>49.54</v>
      </c>
      <c r="G24" s="505">
        <f t="shared" si="25"/>
        <v>43.06</v>
      </c>
      <c r="H24" s="505">
        <f t="shared" si="25"/>
        <v>5.9</v>
      </c>
      <c r="I24" s="505">
        <f t="shared" si="25"/>
        <v>0.96</v>
      </c>
      <c r="J24" s="505">
        <f t="shared" si="25"/>
        <v>4.9400000000000004</v>
      </c>
      <c r="K24" s="505">
        <f t="shared" si="25"/>
        <v>0.57999999999999996</v>
      </c>
      <c r="L24" s="505">
        <f t="shared" si="25"/>
        <v>0</v>
      </c>
      <c r="M24" s="505">
        <f t="shared" si="25"/>
        <v>0</v>
      </c>
      <c r="N24" s="505">
        <f t="shared" si="25"/>
        <v>0</v>
      </c>
      <c r="O24" s="534"/>
      <c r="P24" s="537"/>
      <c r="Q24" s="522"/>
      <c r="S24" s="492"/>
      <c r="T24" s="492"/>
      <c r="U24" s="499">
        <f t="shared" si="22"/>
        <v>0</v>
      </c>
      <c r="V24" s="499">
        <f>H24-I24-J24</f>
        <v>0</v>
      </c>
    </row>
    <row r="25" spans="2:22" ht="18" customHeight="1" x14ac:dyDescent="0.3">
      <c r="B25" s="512" t="s">
        <v>1330</v>
      </c>
      <c r="C25" s="570">
        <f>3.27+0.05</f>
        <v>3.32</v>
      </c>
      <c r="D25" s="570">
        <f>0.17+0.02+33.39</f>
        <v>33.58</v>
      </c>
      <c r="E25" s="570"/>
      <c r="F25" s="507">
        <f>20.26</f>
        <v>20.260000000000002</v>
      </c>
      <c r="G25" s="508">
        <f t="shared" ref="G25:G37" si="26">F25*$G$5</f>
        <v>17.61</v>
      </c>
      <c r="H25" s="509">
        <f t="shared" ref="H25:H37" si="27">F25*$H$5</f>
        <v>2.41</v>
      </c>
      <c r="I25" s="508">
        <f t="shared" ref="I25:I37" si="28">F25*$I$5</f>
        <v>0.4</v>
      </c>
      <c r="J25" s="509">
        <f t="shared" ref="J25:J37" si="29">F25*$J$5</f>
        <v>2.02</v>
      </c>
      <c r="K25" s="509">
        <f t="shared" ref="K25:K37" si="30">F25*$K$5</f>
        <v>0.24</v>
      </c>
      <c r="L25" s="509">
        <f t="shared" ref="L25:L37" si="31">F25*$L$5</f>
        <v>0</v>
      </c>
      <c r="M25" s="509">
        <f t="shared" ref="M25:M37" si="32">F25*$M$5</f>
        <v>0</v>
      </c>
      <c r="N25" s="509">
        <f t="shared" ref="N25:N37" si="33">F25*$N$5</f>
        <v>0</v>
      </c>
      <c r="O25" s="534" t="s">
        <v>1623</v>
      </c>
      <c r="P25" s="492"/>
      <c r="Q25" s="492"/>
      <c r="U25" s="499">
        <f t="shared" si="22"/>
        <v>0</v>
      </c>
      <c r="V25" s="499">
        <f t="shared" si="23"/>
        <v>-0.01</v>
      </c>
    </row>
    <row r="26" spans="2:22" ht="18" customHeight="1" x14ac:dyDescent="0.3">
      <c r="B26" s="512" t="s">
        <v>1479</v>
      </c>
      <c r="C26" s="570"/>
      <c r="D26" s="570"/>
      <c r="E26" s="570"/>
      <c r="F26" s="570">
        <v>0</v>
      </c>
      <c r="G26" s="508">
        <f t="shared" si="26"/>
        <v>0</v>
      </c>
      <c r="H26" s="509">
        <f t="shared" si="27"/>
        <v>0</v>
      </c>
      <c r="I26" s="508">
        <f t="shared" si="28"/>
        <v>0</v>
      </c>
      <c r="J26" s="509">
        <f t="shared" si="29"/>
        <v>0</v>
      </c>
      <c r="K26" s="509">
        <f t="shared" si="30"/>
        <v>0</v>
      </c>
      <c r="L26" s="509">
        <f t="shared" si="31"/>
        <v>0</v>
      </c>
      <c r="M26" s="509">
        <f t="shared" si="32"/>
        <v>0</v>
      </c>
      <c r="N26" s="509">
        <f t="shared" si="33"/>
        <v>0</v>
      </c>
      <c r="O26" s="534" t="s">
        <v>2735</v>
      </c>
      <c r="P26" s="535"/>
      <c r="U26" s="499">
        <f t="shared" si="22"/>
        <v>0</v>
      </c>
      <c r="V26" s="499">
        <f t="shared" si="23"/>
        <v>0</v>
      </c>
    </row>
    <row r="27" spans="2:22" ht="22.15" customHeight="1" x14ac:dyDescent="0.3">
      <c r="B27" s="512" t="s">
        <v>1334</v>
      </c>
      <c r="C27" s="507">
        <f>0.09+0.19+0.11+0.22</f>
        <v>0.61</v>
      </c>
      <c r="D27" s="507">
        <f>0.1+0.22+0.1+0.27</f>
        <v>0.69</v>
      </c>
      <c r="E27" s="507">
        <f>0.5+0.5+5+4.6</f>
        <v>10.6</v>
      </c>
      <c r="F27" s="507">
        <f>0.16+0.4</f>
        <v>0.56000000000000005</v>
      </c>
      <c r="G27" s="508">
        <f t="shared" si="26"/>
        <v>0.49</v>
      </c>
      <c r="H27" s="509">
        <f t="shared" si="27"/>
        <v>7.0000000000000007E-2</v>
      </c>
      <c r="I27" s="508">
        <f t="shared" si="28"/>
        <v>0.01</v>
      </c>
      <c r="J27" s="509">
        <f t="shared" si="29"/>
        <v>0.06</v>
      </c>
      <c r="K27" s="509">
        <f t="shared" si="30"/>
        <v>0.01</v>
      </c>
      <c r="L27" s="509">
        <f t="shared" si="31"/>
        <v>0</v>
      </c>
      <c r="M27" s="509">
        <f t="shared" si="32"/>
        <v>0</v>
      </c>
      <c r="N27" s="509">
        <f t="shared" si="33"/>
        <v>0</v>
      </c>
      <c r="O27" s="583"/>
      <c r="P27" s="538"/>
      <c r="U27" s="499">
        <f t="shared" si="22"/>
        <v>-0.01</v>
      </c>
      <c r="V27" s="499">
        <f t="shared" si="23"/>
        <v>0</v>
      </c>
    </row>
    <row r="28" spans="2:22" ht="18.75" x14ac:dyDescent="0.3">
      <c r="B28" s="512" t="s">
        <v>946</v>
      </c>
      <c r="C28" s="509">
        <f>2.24+16.9</f>
        <v>19.14</v>
      </c>
      <c r="D28" s="509">
        <f>2.64+16.07</f>
        <v>18.71</v>
      </c>
      <c r="E28" s="509">
        <f>1.7+8.5</f>
        <v>10.199999999999999</v>
      </c>
      <c r="F28" s="509">
        <f>'Д 9_ЕЕ'!D167</f>
        <v>23.09</v>
      </c>
      <c r="G28" s="508">
        <f t="shared" si="26"/>
        <v>20.07</v>
      </c>
      <c r="H28" s="509">
        <f t="shared" si="27"/>
        <v>2.75</v>
      </c>
      <c r="I28" s="508">
        <f>F28*$I$5</f>
        <v>0.45</v>
      </c>
      <c r="J28" s="509">
        <f t="shared" si="29"/>
        <v>2.2999999999999998</v>
      </c>
      <c r="K28" s="509">
        <f t="shared" si="30"/>
        <v>0.27</v>
      </c>
      <c r="L28" s="509">
        <f t="shared" si="31"/>
        <v>0</v>
      </c>
      <c r="M28" s="509">
        <f t="shared" si="32"/>
        <v>0</v>
      </c>
      <c r="N28" s="509">
        <f t="shared" si="33"/>
        <v>0</v>
      </c>
      <c r="O28" s="534" t="s">
        <v>1623</v>
      </c>
      <c r="P28" s="492"/>
      <c r="Q28" s="492"/>
      <c r="U28" s="499">
        <f t="shared" si="22"/>
        <v>0</v>
      </c>
      <c r="V28" s="499">
        <f t="shared" si="23"/>
        <v>0</v>
      </c>
    </row>
    <row r="29" spans="2:22" ht="18.75" x14ac:dyDescent="0.3">
      <c r="B29" s="512" t="s">
        <v>947</v>
      </c>
      <c r="C29" s="509"/>
      <c r="D29" s="509"/>
      <c r="E29" s="509"/>
      <c r="F29" s="509"/>
      <c r="G29" s="508">
        <f t="shared" si="26"/>
        <v>0</v>
      </c>
      <c r="H29" s="509">
        <f t="shared" si="27"/>
        <v>0</v>
      </c>
      <c r="I29" s="508">
        <f>F29*$I$5</f>
        <v>0</v>
      </c>
      <c r="J29" s="509">
        <f t="shared" si="29"/>
        <v>0</v>
      </c>
      <c r="K29" s="509">
        <f t="shared" si="30"/>
        <v>0</v>
      </c>
      <c r="L29" s="509">
        <f t="shared" si="31"/>
        <v>0</v>
      </c>
      <c r="M29" s="509">
        <f t="shared" si="32"/>
        <v>0</v>
      </c>
      <c r="N29" s="509">
        <f t="shared" si="33"/>
        <v>0</v>
      </c>
      <c r="O29" s="534"/>
      <c r="U29" s="499">
        <f t="shared" si="22"/>
        <v>0</v>
      </c>
      <c r="V29" s="499">
        <f t="shared" si="23"/>
        <v>0</v>
      </c>
    </row>
    <row r="30" spans="2:22" ht="18.75" x14ac:dyDescent="0.3">
      <c r="B30" s="512" t="s">
        <v>1340</v>
      </c>
      <c r="C30" s="509"/>
      <c r="D30" s="509">
        <v>1.82</v>
      </c>
      <c r="E30" s="509">
        <f>5.8</f>
        <v>5.8</v>
      </c>
      <c r="F30" s="509">
        <f>[43]Лист1!$G$18</f>
        <v>1.27</v>
      </c>
      <c r="G30" s="508">
        <f t="shared" si="26"/>
        <v>1.1000000000000001</v>
      </c>
      <c r="H30" s="509">
        <f>F30*$H$5</f>
        <v>0.15</v>
      </c>
      <c r="I30" s="508">
        <f>F30*$I$5</f>
        <v>0.02</v>
      </c>
      <c r="J30" s="509">
        <f t="shared" si="29"/>
        <v>0.13</v>
      </c>
      <c r="K30" s="509">
        <f t="shared" si="30"/>
        <v>0.01</v>
      </c>
      <c r="L30" s="509">
        <f t="shared" si="31"/>
        <v>0</v>
      </c>
      <c r="M30" s="509">
        <f t="shared" si="32"/>
        <v>0</v>
      </c>
      <c r="N30" s="509">
        <f t="shared" si="33"/>
        <v>0</v>
      </c>
      <c r="O30" s="534"/>
      <c r="U30" s="499">
        <f t="shared" si="22"/>
        <v>0.01</v>
      </c>
      <c r="V30" s="499">
        <f t="shared" si="23"/>
        <v>0</v>
      </c>
    </row>
    <row r="31" spans="2:22" ht="18.75" customHeight="1" x14ac:dyDescent="0.3">
      <c r="B31" s="796" t="s">
        <v>1523</v>
      </c>
      <c r="C31" s="507">
        <v>0.35</v>
      </c>
      <c r="D31" s="507"/>
      <c r="E31" s="507">
        <v>3.4</v>
      </c>
      <c r="F31" s="507">
        <f>[43]Лист1!$G$14</f>
        <v>0.09</v>
      </c>
      <c r="G31" s="508">
        <f t="shared" si="26"/>
        <v>0.08</v>
      </c>
      <c r="H31" s="509">
        <f t="shared" si="27"/>
        <v>0.01</v>
      </c>
      <c r="I31" s="508">
        <f t="shared" si="28"/>
        <v>0</v>
      </c>
      <c r="J31" s="509">
        <f t="shared" si="29"/>
        <v>0.01</v>
      </c>
      <c r="K31" s="509">
        <f t="shared" si="30"/>
        <v>0</v>
      </c>
      <c r="L31" s="509">
        <f t="shared" si="31"/>
        <v>0</v>
      </c>
      <c r="M31" s="509">
        <f t="shared" si="32"/>
        <v>0</v>
      </c>
      <c r="N31" s="509">
        <f t="shared" si="33"/>
        <v>0</v>
      </c>
      <c r="O31" s="536"/>
      <c r="U31" s="499">
        <f t="shared" si="22"/>
        <v>0</v>
      </c>
      <c r="V31" s="499">
        <f t="shared" si="23"/>
        <v>0</v>
      </c>
    </row>
    <row r="32" spans="2:22" ht="18.75" x14ac:dyDescent="0.3">
      <c r="B32" s="512" t="s">
        <v>1341</v>
      </c>
      <c r="C32" s="509">
        <f>0.26+0.56+5.11</f>
        <v>5.93</v>
      </c>
      <c r="D32" s="509">
        <f>3.51+0.33+0.18</f>
        <v>4.0199999999999996</v>
      </c>
      <c r="E32" s="509">
        <v>102.1</v>
      </c>
      <c r="F32" s="509">
        <f>D32*'Вхідні дані'!$D$77</f>
        <v>4.2699999999999996</v>
      </c>
      <c r="G32" s="508">
        <f t="shared" si="26"/>
        <v>3.71</v>
      </c>
      <c r="H32" s="509">
        <f t="shared" si="27"/>
        <v>0.51</v>
      </c>
      <c r="I32" s="508">
        <f t="shared" si="28"/>
        <v>0.08</v>
      </c>
      <c r="J32" s="509">
        <f t="shared" si="29"/>
        <v>0.42</v>
      </c>
      <c r="K32" s="509">
        <f t="shared" si="30"/>
        <v>0.05</v>
      </c>
      <c r="L32" s="509">
        <f t="shared" si="31"/>
        <v>0</v>
      </c>
      <c r="M32" s="509">
        <f t="shared" si="32"/>
        <v>0</v>
      </c>
      <c r="N32" s="509">
        <f t="shared" si="33"/>
        <v>0</v>
      </c>
      <c r="O32" s="534"/>
      <c r="U32" s="499">
        <f t="shared" si="22"/>
        <v>0</v>
      </c>
      <c r="V32" s="499">
        <f t="shared" si="23"/>
        <v>0.01</v>
      </c>
    </row>
    <row r="33" spans="1:24" ht="18.75" x14ac:dyDescent="0.3">
      <c r="B33" s="512" t="s">
        <v>1342</v>
      </c>
      <c r="C33" s="509"/>
      <c r="D33" s="509"/>
      <c r="E33" s="509"/>
      <c r="F33" s="509"/>
      <c r="G33" s="508">
        <f t="shared" si="26"/>
        <v>0</v>
      </c>
      <c r="H33" s="509">
        <f t="shared" si="27"/>
        <v>0</v>
      </c>
      <c r="I33" s="508">
        <f t="shared" si="28"/>
        <v>0</v>
      </c>
      <c r="J33" s="509">
        <f t="shared" si="29"/>
        <v>0</v>
      </c>
      <c r="K33" s="509">
        <f t="shared" si="30"/>
        <v>0</v>
      </c>
      <c r="L33" s="509">
        <f t="shared" si="31"/>
        <v>0</v>
      </c>
      <c r="M33" s="509">
        <f t="shared" si="32"/>
        <v>0</v>
      </c>
      <c r="N33" s="509">
        <f t="shared" si="33"/>
        <v>0</v>
      </c>
      <c r="O33" s="534"/>
      <c r="U33" s="499">
        <f t="shared" si="22"/>
        <v>0</v>
      </c>
      <c r="V33" s="499">
        <f t="shared" si="23"/>
        <v>0</v>
      </c>
    </row>
    <row r="34" spans="1:24" ht="18.75" x14ac:dyDescent="0.3">
      <c r="B34" s="512" t="s">
        <v>1343</v>
      </c>
      <c r="C34" s="509"/>
      <c r="D34" s="509"/>
      <c r="E34" s="509"/>
      <c r="F34" s="509"/>
      <c r="G34" s="508">
        <f t="shared" si="26"/>
        <v>0</v>
      </c>
      <c r="H34" s="509">
        <f t="shared" si="27"/>
        <v>0</v>
      </c>
      <c r="I34" s="508">
        <f t="shared" si="28"/>
        <v>0</v>
      </c>
      <c r="J34" s="509">
        <f t="shared" si="29"/>
        <v>0</v>
      </c>
      <c r="K34" s="509">
        <f t="shared" si="30"/>
        <v>0</v>
      </c>
      <c r="L34" s="509">
        <f t="shared" si="31"/>
        <v>0</v>
      </c>
      <c r="M34" s="509">
        <f t="shared" si="32"/>
        <v>0</v>
      </c>
      <c r="N34" s="509">
        <f t="shared" si="33"/>
        <v>0</v>
      </c>
      <c r="O34" s="534"/>
      <c r="U34" s="499">
        <f>F34-G34-H34-K34-L34-M34-N34</f>
        <v>0</v>
      </c>
      <c r="V34" s="499">
        <f>H34-I34-J34</f>
        <v>0</v>
      </c>
    </row>
    <row r="35" spans="1:24" ht="18.75" x14ac:dyDescent="0.3">
      <c r="B35" s="512" t="s">
        <v>1344</v>
      </c>
      <c r="C35" s="509">
        <f>0.04</f>
        <v>0.04</v>
      </c>
      <c r="D35" s="509"/>
      <c r="E35" s="509"/>
      <c r="F35" s="509"/>
      <c r="G35" s="508">
        <f t="shared" si="26"/>
        <v>0</v>
      </c>
      <c r="H35" s="509">
        <f t="shared" si="27"/>
        <v>0</v>
      </c>
      <c r="I35" s="508">
        <f t="shared" si="28"/>
        <v>0</v>
      </c>
      <c r="J35" s="509">
        <f t="shared" si="29"/>
        <v>0</v>
      </c>
      <c r="K35" s="509">
        <f t="shared" si="30"/>
        <v>0</v>
      </c>
      <c r="L35" s="509">
        <f t="shared" si="31"/>
        <v>0</v>
      </c>
      <c r="M35" s="509">
        <f t="shared" si="32"/>
        <v>0</v>
      </c>
      <c r="N35" s="509">
        <f t="shared" si="33"/>
        <v>0</v>
      </c>
      <c r="O35" s="534"/>
      <c r="U35" s="499">
        <f t="shared" ref="U35:U47" si="34">F35-G35-H35-K35-L35-M35-N35</f>
        <v>0</v>
      </c>
      <c r="V35" s="499">
        <f t="shared" ref="V35:V47" si="35">H35-I35-J35</f>
        <v>0</v>
      </c>
    </row>
    <row r="36" spans="1:24" ht="18.75" x14ac:dyDescent="0.3">
      <c r="B36" s="512" t="s">
        <v>1345</v>
      </c>
      <c r="C36" s="507"/>
      <c r="D36" s="507"/>
      <c r="E36" s="507"/>
      <c r="F36" s="507">
        <f>Адміністративні_1ст!D35*'Вхідні дані'!D77</f>
        <v>0</v>
      </c>
      <c r="G36" s="508">
        <f t="shared" si="26"/>
        <v>0</v>
      </c>
      <c r="H36" s="509">
        <f t="shared" si="27"/>
        <v>0</v>
      </c>
      <c r="I36" s="508">
        <f t="shared" si="28"/>
        <v>0</v>
      </c>
      <c r="J36" s="509">
        <f t="shared" si="29"/>
        <v>0</v>
      </c>
      <c r="K36" s="509">
        <f t="shared" si="30"/>
        <v>0</v>
      </c>
      <c r="L36" s="509">
        <f t="shared" si="31"/>
        <v>0</v>
      </c>
      <c r="M36" s="509">
        <f t="shared" si="32"/>
        <v>0</v>
      </c>
      <c r="N36" s="509">
        <f t="shared" si="33"/>
        <v>0</v>
      </c>
      <c r="O36" s="536"/>
      <c r="P36" s="627"/>
      <c r="Q36" s="620"/>
      <c r="U36" s="499">
        <f t="shared" si="34"/>
        <v>0</v>
      </c>
      <c r="V36" s="499">
        <f t="shared" si="35"/>
        <v>0</v>
      </c>
    </row>
    <row r="37" spans="1:24" s="511" customFormat="1" ht="37.5" x14ac:dyDescent="0.3">
      <c r="A37" s="492"/>
      <c r="B37" s="510" t="s">
        <v>1627</v>
      </c>
      <c r="C37" s="513">
        <f>72.33</f>
        <v>72.33</v>
      </c>
      <c r="D37" s="513">
        <v>59.46</v>
      </c>
      <c r="E37" s="513">
        <f>89.3+18.5</f>
        <v>107.8</v>
      </c>
      <c r="F37" s="513">
        <f>35.74</f>
        <v>35.74</v>
      </c>
      <c r="G37" s="1516">
        <f t="shared" si="26"/>
        <v>31.07</v>
      </c>
      <c r="H37" s="505">
        <f t="shared" si="27"/>
        <v>4.25</v>
      </c>
      <c r="I37" s="1516">
        <f t="shared" si="28"/>
        <v>0.7</v>
      </c>
      <c r="J37" s="505">
        <f t="shared" si="29"/>
        <v>3.56</v>
      </c>
      <c r="K37" s="505">
        <f t="shared" si="30"/>
        <v>0.42</v>
      </c>
      <c r="L37" s="505">
        <f t="shared" si="31"/>
        <v>0</v>
      </c>
      <c r="M37" s="505">
        <f t="shared" si="32"/>
        <v>0</v>
      </c>
      <c r="N37" s="505">
        <f t="shared" si="33"/>
        <v>0</v>
      </c>
      <c r="O37" s="583"/>
      <c r="P37" s="538"/>
      <c r="Q37" s="538"/>
      <c r="R37" s="492"/>
      <c r="U37" s="499">
        <f t="shared" si="34"/>
        <v>0</v>
      </c>
      <c r="V37" s="499">
        <f t="shared" si="35"/>
        <v>-0.01</v>
      </c>
    </row>
    <row r="38" spans="1:24" s="511" customFormat="1" ht="39" hidden="1" customHeight="1" x14ac:dyDescent="0.3">
      <c r="A38" s="492"/>
      <c r="B38" s="510" t="s">
        <v>1628</v>
      </c>
      <c r="C38" s="513">
        <v>0</v>
      </c>
      <c r="D38" s="513">
        <v>0</v>
      </c>
      <c r="E38" s="513">
        <v>0</v>
      </c>
      <c r="F38" s="513">
        <v>0</v>
      </c>
      <c r="G38" s="508">
        <f t="shared" si="20"/>
        <v>0</v>
      </c>
      <c r="H38" s="509">
        <f t="shared" si="21"/>
        <v>0</v>
      </c>
      <c r="I38" s="508">
        <f t="shared" si="14"/>
        <v>0</v>
      </c>
      <c r="J38" s="509">
        <f t="shared" si="15"/>
        <v>0</v>
      </c>
      <c r="K38" s="509">
        <f t="shared" si="16"/>
        <v>0</v>
      </c>
      <c r="L38" s="509">
        <f t="shared" si="17"/>
        <v>0</v>
      </c>
      <c r="M38" s="509">
        <f t="shared" si="18"/>
        <v>0</v>
      </c>
      <c r="N38" s="509">
        <f t="shared" si="19"/>
        <v>0</v>
      </c>
      <c r="O38" s="534"/>
      <c r="P38" s="3984"/>
      <c r="Q38" s="3984"/>
      <c r="R38" s="3984"/>
      <c r="U38" s="499">
        <f t="shared" si="34"/>
        <v>0</v>
      </c>
      <c r="V38" s="499">
        <f t="shared" si="35"/>
        <v>0</v>
      </c>
    </row>
    <row r="39" spans="1:24" ht="18.75" x14ac:dyDescent="0.3">
      <c r="B39" s="510" t="s">
        <v>948</v>
      </c>
      <c r="C39" s="513">
        <f t="shared" ref="C39:N39" si="36">SUM(C40:C68)</f>
        <v>498.59</v>
      </c>
      <c r="D39" s="513">
        <f t="shared" si="36"/>
        <v>667.45</v>
      </c>
      <c r="E39" s="513">
        <f t="shared" si="36"/>
        <v>1567.2</v>
      </c>
      <c r="F39" s="513">
        <f t="shared" si="36"/>
        <v>572.80999999999995</v>
      </c>
      <c r="G39" s="513">
        <f t="shared" si="36"/>
        <v>497.98</v>
      </c>
      <c r="H39" s="513">
        <f t="shared" si="36"/>
        <v>68.099999999999994</v>
      </c>
      <c r="I39" s="513">
        <f t="shared" si="36"/>
        <v>11.17</v>
      </c>
      <c r="J39" s="513">
        <f t="shared" si="36"/>
        <v>56.95</v>
      </c>
      <c r="K39" s="513">
        <f t="shared" si="36"/>
        <v>6.77</v>
      </c>
      <c r="L39" s="513">
        <f t="shared" si="36"/>
        <v>0</v>
      </c>
      <c r="M39" s="513">
        <f t="shared" si="36"/>
        <v>0</v>
      </c>
      <c r="N39" s="513">
        <f t="shared" si="36"/>
        <v>0</v>
      </c>
      <c r="O39" s="534"/>
      <c r="P39" s="522"/>
      <c r="Q39" s="522"/>
      <c r="R39" s="514"/>
      <c r="S39" s="514"/>
      <c r="T39" s="514"/>
      <c r="U39" s="499">
        <f>F39-G39-H39-K39-L39-M39-N39</f>
        <v>-0.04</v>
      </c>
      <c r="V39" s="499">
        <f>H39-I39-J39</f>
        <v>-0.02</v>
      </c>
      <c r="W39" s="514"/>
      <c r="X39" s="514"/>
    </row>
    <row r="40" spans="1:24" ht="18.75" x14ac:dyDescent="0.3">
      <c r="B40" s="515" t="s">
        <v>1346</v>
      </c>
      <c r="C40" s="507">
        <v>0.04</v>
      </c>
      <c r="D40" s="507">
        <f>0.13+0.05</f>
        <v>0.18</v>
      </c>
      <c r="E40" s="507">
        <f>18.4</f>
        <v>18.399999999999999</v>
      </c>
      <c r="F40" s="507">
        <f>D40*'Вхідні дані'!$D$77</f>
        <v>0.19</v>
      </c>
      <c r="G40" s="508">
        <f>F40*$G$5+0.01</f>
        <v>0.18</v>
      </c>
      <c r="H40" s="509">
        <f t="shared" ref="H40:H68" si="37">F40*$H$5</f>
        <v>0.02</v>
      </c>
      <c r="I40" s="508">
        <f t="shared" ref="I40:I68" si="38">F40*$I$5</f>
        <v>0</v>
      </c>
      <c r="J40" s="509">
        <f t="shared" ref="J40:J68" si="39">F40*$J$5</f>
        <v>0.02</v>
      </c>
      <c r="K40" s="509">
        <f t="shared" ref="K40:K68" si="40">F40*$K$5</f>
        <v>0</v>
      </c>
      <c r="L40" s="509">
        <f t="shared" ref="L40:L68" si="41">F40*$L$5</f>
        <v>0</v>
      </c>
      <c r="M40" s="509">
        <f t="shared" ref="M40:M68" si="42">F40*$M$5</f>
        <v>0</v>
      </c>
      <c r="N40" s="509">
        <f t="shared" ref="N40:N68" si="43">F40*$N$5</f>
        <v>0</v>
      </c>
      <c r="O40" s="534"/>
      <c r="P40" s="522"/>
      <c r="Q40" s="522"/>
      <c r="R40" s="514"/>
      <c r="S40" s="514"/>
      <c r="T40" s="514"/>
      <c r="U40" s="499">
        <f t="shared" si="34"/>
        <v>-0.01</v>
      </c>
      <c r="V40" s="499">
        <f t="shared" si="35"/>
        <v>0</v>
      </c>
      <c r="W40" s="514"/>
      <c r="X40" s="514"/>
    </row>
    <row r="41" spans="1:24" ht="18.75" customHeight="1" x14ac:dyDescent="0.3">
      <c r="B41" s="515" t="s">
        <v>1348</v>
      </c>
      <c r="C41" s="507">
        <f>0.29+0.92</f>
        <v>1.21</v>
      </c>
      <c r="D41" s="507">
        <f>1.34+0.74+0.15+0.39</f>
        <v>2.62</v>
      </c>
      <c r="E41" s="507">
        <f>0.3+1.3</f>
        <v>1.6</v>
      </c>
      <c r="F41" s="507">
        <f>D41*'Вхідні дані'!$D$77</f>
        <v>2.78</v>
      </c>
      <c r="G41" s="508">
        <f>F41*$G$5</f>
        <v>2.42</v>
      </c>
      <c r="H41" s="509">
        <f t="shared" si="37"/>
        <v>0.33</v>
      </c>
      <c r="I41" s="508">
        <f>F41*$I$5</f>
        <v>0.05</v>
      </c>
      <c r="J41" s="509">
        <f t="shared" si="39"/>
        <v>0.28000000000000003</v>
      </c>
      <c r="K41" s="509">
        <f t="shared" si="40"/>
        <v>0.03</v>
      </c>
      <c r="L41" s="509">
        <f t="shared" si="41"/>
        <v>0</v>
      </c>
      <c r="M41" s="509">
        <f t="shared" si="42"/>
        <v>0</v>
      </c>
      <c r="N41" s="509">
        <f t="shared" si="43"/>
        <v>0</v>
      </c>
      <c r="O41" s="534"/>
      <c r="U41" s="499">
        <f t="shared" si="34"/>
        <v>0</v>
      </c>
      <c r="V41" s="499">
        <f t="shared" si="35"/>
        <v>0</v>
      </c>
    </row>
    <row r="42" spans="1:24" ht="18.75" customHeight="1" x14ac:dyDescent="0.3">
      <c r="B42" s="515" t="s">
        <v>1526</v>
      </c>
      <c r="C42" s="507"/>
      <c r="D42" s="507"/>
      <c r="E42" s="507">
        <v>13.5</v>
      </c>
      <c r="F42" s="507">
        <f>ОП!N155/1000</f>
        <v>0</v>
      </c>
      <c r="G42" s="508">
        <f t="shared" ref="G42:G68" si="44">F42*$G$5</f>
        <v>0</v>
      </c>
      <c r="H42" s="509">
        <f t="shared" si="37"/>
        <v>0</v>
      </c>
      <c r="I42" s="508">
        <f t="shared" si="38"/>
        <v>0</v>
      </c>
      <c r="J42" s="509">
        <f t="shared" si="39"/>
        <v>0</v>
      </c>
      <c r="K42" s="509">
        <f t="shared" si="40"/>
        <v>0</v>
      </c>
      <c r="L42" s="509">
        <f t="shared" si="41"/>
        <v>0</v>
      </c>
      <c r="M42" s="509">
        <f t="shared" si="42"/>
        <v>0</v>
      </c>
      <c r="N42" s="509">
        <f t="shared" si="43"/>
        <v>0</v>
      </c>
      <c r="O42" s="534"/>
      <c r="U42" s="499">
        <f t="shared" si="34"/>
        <v>0</v>
      </c>
      <c r="V42" s="499">
        <f t="shared" si="35"/>
        <v>0</v>
      </c>
    </row>
    <row r="43" spans="1:24" ht="18.75" customHeight="1" x14ac:dyDescent="0.3">
      <c r="B43" s="515" t="s">
        <v>3229</v>
      </c>
      <c r="C43" s="507">
        <v>3.77</v>
      </c>
      <c r="D43" s="507">
        <f>2.91+0.28</f>
        <v>3.19</v>
      </c>
      <c r="E43" s="507"/>
      <c r="F43" s="507">
        <f>3.18*'Вхідні дані'!$D$77</f>
        <v>3.38</v>
      </c>
      <c r="G43" s="508">
        <f t="shared" si="44"/>
        <v>2.94</v>
      </c>
      <c r="H43" s="509">
        <f t="shared" si="37"/>
        <v>0.4</v>
      </c>
      <c r="I43" s="508">
        <f t="shared" si="38"/>
        <v>7.0000000000000007E-2</v>
      </c>
      <c r="J43" s="509">
        <f>F43*$J$5-0.01</f>
        <v>0.33</v>
      </c>
      <c r="K43" s="509">
        <f t="shared" si="40"/>
        <v>0.04</v>
      </c>
      <c r="L43" s="509">
        <f t="shared" si="41"/>
        <v>0</v>
      </c>
      <c r="M43" s="509">
        <f t="shared" si="42"/>
        <v>0</v>
      </c>
      <c r="N43" s="509">
        <f t="shared" si="43"/>
        <v>0</v>
      </c>
      <c r="O43" s="534"/>
      <c r="U43" s="499">
        <f t="shared" si="34"/>
        <v>0</v>
      </c>
      <c r="V43" s="499">
        <f t="shared" si="35"/>
        <v>0</v>
      </c>
    </row>
    <row r="44" spans="1:24" ht="18.75" customHeight="1" x14ac:dyDescent="0.3">
      <c r="B44" s="515" t="s">
        <v>1349</v>
      </c>
      <c r="C44" s="507"/>
      <c r="D44" s="507">
        <v>1.24</v>
      </c>
      <c r="E44" s="507">
        <f>0.9</f>
        <v>0.9</v>
      </c>
      <c r="F44" s="507">
        <f>D44*'Вхідні дані'!D77</f>
        <v>1.32</v>
      </c>
      <c r="G44" s="508">
        <f t="shared" si="44"/>
        <v>1.1499999999999999</v>
      </c>
      <c r="H44" s="509">
        <f t="shared" si="37"/>
        <v>0.16</v>
      </c>
      <c r="I44" s="508">
        <f>F44*$I$5</f>
        <v>0.03</v>
      </c>
      <c r="J44" s="509">
        <f>F44*$J$5-0.01</f>
        <v>0.12</v>
      </c>
      <c r="K44" s="509">
        <f t="shared" si="40"/>
        <v>0.02</v>
      </c>
      <c r="L44" s="509">
        <f t="shared" si="41"/>
        <v>0</v>
      </c>
      <c r="M44" s="509">
        <f t="shared" si="42"/>
        <v>0</v>
      </c>
      <c r="N44" s="509">
        <f t="shared" si="43"/>
        <v>0</v>
      </c>
      <c r="O44" s="534"/>
      <c r="P44" s="492"/>
      <c r="U44" s="499">
        <f t="shared" si="34"/>
        <v>-0.01</v>
      </c>
      <c r="V44" s="499">
        <f t="shared" si="35"/>
        <v>0.01</v>
      </c>
    </row>
    <row r="45" spans="1:24" ht="18.75" customHeight="1" thickBot="1" x14ac:dyDescent="0.35">
      <c r="B45" s="3541" t="s">
        <v>1525</v>
      </c>
      <c r="C45" s="575">
        <v>1.83</v>
      </c>
      <c r="D45" s="575">
        <f>0.63+1.3</f>
        <v>1.93</v>
      </c>
      <c r="E45" s="575">
        <f>1.3</f>
        <v>1.3</v>
      </c>
      <c r="F45" s="575">
        <f>D45*'Вхідні дані'!$D$77</f>
        <v>2.0499999999999998</v>
      </c>
      <c r="G45" s="605">
        <f t="shared" si="44"/>
        <v>1.78</v>
      </c>
      <c r="H45" s="517">
        <f t="shared" si="37"/>
        <v>0.24</v>
      </c>
      <c r="I45" s="605">
        <f t="shared" si="38"/>
        <v>0.04</v>
      </c>
      <c r="J45" s="517">
        <f t="shared" si="39"/>
        <v>0.2</v>
      </c>
      <c r="K45" s="517">
        <f t="shared" si="40"/>
        <v>0.02</v>
      </c>
      <c r="L45" s="517">
        <f t="shared" si="41"/>
        <v>0</v>
      </c>
      <c r="M45" s="517">
        <f t="shared" si="42"/>
        <v>0</v>
      </c>
      <c r="N45" s="517">
        <f t="shared" si="43"/>
        <v>0</v>
      </c>
      <c r="O45" s="859"/>
      <c r="P45" s="503"/>
      <c r="U45" s="499">
        <f t="shared" si="34"/>
        <v>0.01</v>
      </c>
      <c r="V45" s="499">
        <f t="shared" si="35"/>
        <v>0</v>
      </c>
    </row>
    <row r="46" spans="1:24" ht="18.75" customHeight="1" x14ac:dyDescent="0.3">
      <c r="B46" s="3538" t="s">
        <v>3177</v>
      </c>
      <c r="C46" s="3539">
        <f>0.19+0.96</f>
        <v>1.1499999999999999</v>
      </c>
      <c r="D46" s="3539">
        <f>0.93+0.11</f>
        <v>1.04</v>
      </c>
      <c r="E46" s="3539">
        <f>2.3</f>
        <v>2.2999999999999998</v>
      </c>
      <c r="F46" s="3539">
        <f>D46*'Вхідні дані'!$D$77</f>
        <v>1.1000000000000001</v>
      </c>
      <c r="G46" s="3376">
        <f>F46*$G$5+0.01</f>
        <v>0.97</v>
      </c>
      <c r="H46" s="3540">
        <f t="shared" si="37"/>
        <v>0.13</v>
      </c>
      <c r="I46" s="3376">
        <f t="shared" si="38"/>
        <v>0.02</v>
      </c>
      <c r="J46" s="3540">
        <f t="shared" si="39"/>
        <v>0.11</v>
      </c>
      <c r="K46" s="3540">
        <f t="shared" si="40"/>
        <v>0.01</v>
      </c>
      <c r="L46" s="3540">
        <f t="shared" si="41"/>
        <v>0</v>
      </c>
      <c r="M46" s="3540">
        <f t="shared" si="42"/>
        <v>0</v>
      </c>
      <c r="N46" s="3540">
        <f t="shared" si="43"/>
        <v>0</v>
      </c>
      <c r="O46" s="536"/>
      <c r="P46" s="503"/>
      <c r="U46" s="499">
        <f t="shared" si="34"/>
        <v>-0.01</v>
      </c>
      <c r="V46" s="499">
        <f t="shared" si="35"/>
        <v>0</v>
      </c>
    </row>
    <row r="47" spans="1:24" ht="18.75" customHeight="1" x14ac:dyDescent="0.3">
      <c r="B47" s="515" t="s">
        <v>3188</v>
      </c>
      <c r="C47" s="507">
        <v>0.19</v>
      </c>
      <c r="D47" s="507">
        <f>0.14+4.88</f>
        <v>5.0199999999999996</v>
      </c>
      <c r="E47" s="507"/>
      <c r="F47" s="507">
        <f>D47*'Вхідні дані'!$D$77</f>
        <v>5.33</v>
      </c>
      <c r="G47" s="508">
        <f t="shared" si="44"/>
        <v>4.63</v>
      </c>
      <c r="H47" s="509">
        <f t="shared" si="37"/>
        <v>0.63</v>
      </c>
      <c r="I47" s="508">
        <f t="shared" si="38"/>
        <v>0.1</v>
      </c>
      <c r="J47" s="509">
        <f>F47*$J$5-0.01</f>
        <v>0.52</v>
      </c>
      <c r="K47" s="509">
        <f t="shared" si="40"/>
        <v>0.06</v>
      </c>
      <c r="L47" s="509">
        <f t="shared" si="41"/>
        <v>0</v>
      </c>
      <c r="M47" s="509">
        <f t="shared" si="42"/>
        <v>0</v>
      </c>
      <c r="N47" s="509">
        <f t="shared" si="43"/>
        <v>0</v>
      </c>
      <c r="O47" s="859"/>
      <c r="P47" s="503"/>
      <c r="U47" s="499">
        <f t="shared" si="34"/>
        <v>0.01</v>
      </c>
      <c r="V47" s="499">
        <f t="shared" si="35"/>
        <v>0.01</v>
      </c>
    </row>
    <row r="48" spans="1:24" ht="22.15" customHeight="1" x14ac:dyDescent="0.3">
      <c r="B48" s="515" t="s">
        <v>3231</v>
      </c>
      <c r="C48" s="507">
        <f>0.22+0.14</f>
        <v>0.36</v>
      </c>
      <c r="D48" s="507">
        <f>0.22+0.09</f>
        <v>0.31</v>
      </c>
      <c r="E48" s="507">
        <f>0.1</f>
        <v>0.1</v>
      </c>
      <c r="F48" s="508">
        <f>0.25*'Вхідні дані'!$D$77</f>
        <v>0.27</v>
      </c>
      <c r="G48" s="508">
        <f t="shared" si="44"/>
        <v>0.23</v>
      </c>
      <c r="H48" s="509">
        <f>F48*$H$5+0.01</f>
        <v>0.04</v>
      </c>
      <c r="I48" s="508">
        <f t="shared" ref="I48" si="45">F48*$I$5</f>
        <v>0.01</v>
      </c>
      <c r="J48" s="509">
        <f t="shared" ref="J48" si="46">F48*$J$5</f>
        <v>0.03</v>
      </c>
      <c r="K48" s="509">
        <f t="shared" ref="K48" si="47">F48*$K$5</f>
        <v>0</v>
      </c>
      <c r="L48" s="509">
        <f t="shared" ref="L48" si="48">F48*$L$5</f>
        <v>0</v>
      </c>
      <c r="M48" s="509">
        <f t="shared" ref="M48" si="49">F48*$M$5</f>
        <v>0</v>
      </c>
      <c r="N48" s="509">
        <f t="shared" ref="N48" si="50">F48*$N$5</f>
        <v>0</v>
      </c>
      <c r="O48" s="536"/>
      <c r="P48" s="492"/>
      <c r="Q48" s="492"/>
      <c r="U48" s="499">
        <f>F48-G48-H48-K48-L48-M48-N48</f>
        <v>0</v>
      </c>
      <c r="V48" s="499">
        <f>H48-I48-J48</f>
        <v>0</v>
      </c>
    </row>
    <row r="49" spans="2:22" ht="18.75" customHeight="1" x14ac:dyDescent="0.3">
      <c r="B49" s="515" t="s">
        <v>3201</v>
      </c>
      <c r="C49" s="507"/>
      <c r="D49" s="507">
        <v>0.04</v>
      </c>
      <c r="E49" s="507"/>
      <c r="F49" s="507">
        <v>0</v>
      </c>
      <c r="G49" s="508">
        <f t="shared" si="44"/>
        <v>0</v>
      </c>
      <c r="H49" s="509">
        <f t="shared" si="37"/>
        <v>0</v>
      </c>
      <c r="I49" s="508">
        <f t="shared" si="38"/>
        <v>0</v>
      </c>
      <c r="J49" s="509">
        <f t="shared" si="39"/>
        <v>0</v>
      </c>
      <c r="K49" s="509">
        <f t="shared" si="40"/>
        <v>0</v>
      </c>
      <c r="L49" s="509">
        <f t="shared" si="41"/>
        <v>0</v>
      </c>
      <c r="M49" s="509">
        <f t="shared" si="42"/>
        <v>0</v>
      </c>
      <c r="N49" s="509">
        <f t="shared" si="43"/>
        <v>0</v>
      </c>
      <c r="O49" s="534"/>
      <c r="P49" s="503"/>
      <c r="U49" s="499">
        <f t="shared" ref="U49:U60" si="51">F49-G49-H49-K49-L49-M49-N49</f>
        <v>0</v>
      </c>
      <c r="V49" s="499">
        <f t="shared" ref="V49:V60" si="52">H49-I49-J49</f>
        <v>0</v>
      </c>
    </row>
    <row r="50" spans="2:22" ht="18.75" customHeight="1" x14ac:dyDescent="0.3">
      <c r="B50" s="515" t="s">
        <v>1827</v>
      </c>
      <c r="C50" s="507">
        <f>0.3+2.88</f>
        <v>3.18</v>
      </c>
      <c r="D50" s="507">
        <f>1.85+0.17+2.01</f>
        <v>4.03</v>
      </c>
      <c r="E50" s="507"/>
      <c r="F50" s="3293">
        <f>3.25*'Вхідні дані'!$D$77</f>
        <v>3.45</v>
      </c>
      <c r="G50" s="508">
        <f>F50*$G$5</f>
        <v>3</v>
      </c>
      <c r="H50" s="509">
        <f>F50*$H$5</f>
        <v>0.41</v>
      </c>
      <c r="I50" s="508">
        <f t="shared" si="38"/>
        <v>7.0000000000000007E-2</v>
      </c>
      <c r="J50" s="509">
        <f t="shared" si="39"/>
        <v>0.34</v>
      </c>
      <c r="K50" s="509">
        <f>F50*$K$5</f>
        <v>0.04</v>
      </c>
      <c r="L50" s="509">
        <f t="shared" si="41"/>
        <v>0</v>
      </c>
      <c r="M50" s="509">
        <f t="shared" si="42"/>
        <v>0</v>
      </c>
      <c r="N50" s="509">
        <f t="shared" si="43"/>
        <v>0</v>
      </c>
      <c r="O50" s="534"/>
      <c r="P50" s="492"/>
      <c r="U50" s="499">
        <f>F50-G50-H50-K50-L50-M50-N50</f>
        <v>0</v>
      </c>
      <c r="V50" s="499">
        <f t="shared" si="52"/>
        <v>0</v>
      </c>
    </row>
    <row r="51" spans="2:22" ht="18.75" customHeight="1" x14ac:dyDescent="0.3">
      <c r="B51" s="515" t="s">
        <v>3213</v>
      </c>
      <c r="C51" s="507">
        <f>0.91+0.19</f>
        <v>1.1000000000000001</v>
      </c>
      <c r="D51" s="507">
        <f>0.41+0.59+0.2</f>
        <v>1.2</v>
      </c>
      <c r="E51" s="507"/>
      <c r="F51" s="3293">
        <f>1.08*'Вхідні дані'!$D$77</f>
        <v>1.1499999999999999</v>
      </c>
      <c r="G51" s="508">
        <f t="shared" si="44"/>
        <v>1</v>
      </c>
      <c r="H51" s="509">
        <f t="shared" si="37"/>
        <v>0.14000000000000001</v>
      </c>
      <c r="I51" s="508">
        <f t="shared" si="38"/>
        <v>0.02</v>
      </c>
      <c r="J51" s="509">
        <f t="shared" si="39"/>
        <v>0.11</v>
      </c>
      <c r="K51" s="509">
        <f t="shared" si="40"/>
        <v>0.01</v>
      </c>
      <c r="L51" s="509">
        <f t="shared" si="41"/>
        <v>0</v>
      </c>
      <c r="M51" s="509">
        <f t="shared" si="42"/>
        <v>0</v>
      </c>
      <c r="N51" s="509">
        <f t="shared" si="43"/>
        <v>0</v>
      </c>
      <c r="O51" s="536"/>
      <c r="P51" s="503"/>
      <c r="U51" s="499">
        <f t="shared" si="51"/>
        <v>0</v>
      </c>
      <c r="V51" s="499">
        <f t="shared" si="52"/>
        <v>0.01</v>
      </c>
    </row>
    <row r="52" spans="2:22" ht="18.75" customHeight="1" x14ac:dyDescent="0.3">
      <c r="B52" s="515" t="s">
        <v>1480</v>
      </c>
      <c r="C52" s="507"/>
      <c r="D52" s="507"/>
      <c r="E52" s="507">
        <v>17.3</v>
      </c>
      <c r="F52" s="507">
        <f>D52</f>
        <v>0</v>
      </c>
      <c r="G52" s="508">
        <f t="shared" si="44"/>
        <v>0</v>
      </c>
      <c r="H52" s="509">
        <f t="shared" si="37"/>
        <v>0</v>
      </c>
      <c r="I52" s="508">
        <f t="shared" si="38"/>
        <v>0</v>
      </c>
      <c r="J52" s="509">
        <f t="shared" si="39"/>
        <v>0</v>
      </c>
      <c r="K52" s="509">
        <f t="shared" si="40"/>
        <v>0</v>
      </c>
      <c r="L52" s="509">
        <f t="shared" si="41"/>
        <v>0</v>
      </c>
      <c r="M52" s="509">
        <f t="shared" si="42"/>
        <v>0</v>
      </c>
      <c r="N52" s="509">
        <f t="shared" si="43"/>
        <v>0</v>
      </c>
      <c r="O52" s="536"/>
      <c r="P52" s="538"/>
      <c r="Q52" s="538"/>
      <c r="U52" s="499">
        <f t="shared" si="51"/>
        <v>0</v>
      </c>
      <c r="V52" s="499">
        <f t="shared" si="52"/>
        <v>0</v>
      </c>
    </row>
    <row r="53" spans="2:22" ht="18.75" customHeight="1" x14ac:dyDescent="0.3">
      <c r="B53" s="573" t="s">
        <v>3222</v>
      </c>
      <c r="C53" s="507">
        <f>11.54+4.29+2+6.04</f>
        <v>23.87</v>
      </c>
      <c r="D53" s="507">
        <f>1.95+2.39+0.97+1.06</f>
        <v>6.37</v>
      </c>
      <c r="E53" s="507"/>
      <c r="F53" s="507">
        <f>4.96</f>
        <v>4.96</v>
      </c>
      <c r="G53" s="508">
        <f t="shared" si="44"/>
        <v>4.3099999999999996</v>
      </c>
      <c r="H53" s="509">
        <f t="shared" si="37"/>
        <v>0.59</v>
      </c>
      <c r="I53" s="508">
        <f t="shared" si="38"/>
        <v>0.1</v>
      </c>
      <c r="J53" s="509">
        <f>F53*$J$5</f>
        <v>0.49</v>
      </c>
      <c r="K53" s="509">
        <f t="shared" si="40"/>
        <v>0.06</v>
      </c>
      <c r="L53" s="509">
        <f t="shared" si="41"/>
        <v>0</v>
      </c>
      <c r="M53" s="509">
        <f t="shared" si="42"/>
        <v>0</v>
      </c>
      <c r="N53" s="509">
        <f t="shared" si="43"/>
        <v>0</v>
      </c>
      <c r="O53" s="536"/>
      <c r="P53" s="538"/>
      <c r="Q53" s="538"/>
      <c r="U53" s="499">
        <f t="shared" ref="U53:U55" si="53">F53-G53-H53-K53-L53-M53-N53</f>
        <v>0</v>
      </c>
      <c r="V53" s="499">
        <f t="shared" ref="V53:V55" si="54">H53-I53-J53</f>
        <v>0</v>
      </c>
    </row>
    <row r="54" spans="2:22" ht="18.75" customHeight="1" x14ac:dyDescent="0.3">
      <c r="B54" s="515" t="s">
        <v>3218</v>
      </c>
      <c r="C54" s="507">
        <f>19.67+33.23+21.92</f>
        <v>74.819999999999993</v>
      </c>
      <c r="D54" s="507">
        <f>30.06+37.15+22.05</f>
        <v>89.26</v>
      </c>
      <c r="E54" s="507"/>
      <c r="F54" s="507">
        <f>F21*3%</f>
        <v>78.59</v>
      </c>
      <c r="G54" s="508">
        <f t="shared" si="44"/>
        <v>68.319999999999993</v>
      </c>
      <c r="H54" s="509">
        <f t="shared" si="37"/>
        <v>9.34</v>
      </c>
      <c r="I54" s="508">
        <f t="shared" si="38"/>
        <v>1.53</v>
      </c>
      <c r="J54" s="509">
        <f t="shared" si="39"/>
        <v>7.82</v>
      </c>
      <c r="K54" s="509">
        <f t="shared" si="40"/>
        <v>0.93</v>
      </c>
      <c r="L54" s="509">
        <f t="shared" si="41"/>
        <v>0</v>
      </c>
      <c r="M54" s="509">
        <f t="shared" si="42"/>
        <v>0</v>
      </c>
      <c r="N54" s="509">
        <f t="shared" si="43"/>
        <v>0</v>
      </c>
      <c r="O54" s="536"/>
      <c r="P54" s="538"/>
      <c r="Q54" s="538"/>
      <c r="U54" s="499">
        <f t="shared" si="53"/>
        <v>0</v>
      </c>
      <c r="V54" s="499">
        <f t="shared" si="54"/>
        <v>-0.01</v>
      </c>
    </row>
    <row r="55" spans="2:22" ht="18.75" customHeight="1" x14ac:dyDescent="0.3">
      <c r="B55" s="515" t="s">
        <v>3228</v>
      </c>
      <c r="C55" s="507">
        <f>20.13+18.36+33.7</f>
        <v>72.19</v>
      </c>
      <c r="D55" s="507">
        <f>46.57+49.93+24.32</f>
        <v>120.82</v>
      </c>
      <c r="E55" s="507"/>
      <c r="F55" s="507">
        <f>F21*3.5%</f>
        <v>91.69</v>
      </c>
      <c r="G55" s="508">
        <f t="shared" si="44"/>
        <v>79.709999999999994</v>
      </c>
      <c r="H55" s="509">
        <f t="shared" si="37"/>
        <v>10.9</v>
      </c>
      <c r="I55" s="508">
        <f t="shared" si="38"/>
        <v>1.79</v>
      </c>
      <c r="J55" s="509">
        <f t="shared" si="39"/>
        <v>9.1199999999999992</v>
      </c>
      <c r="K55" s="509">
        <f>F55*$K$5+0.01</f>
        <v>1.0900000000000001</v>
      </c>
      <c r="L55" s="509">
        <f t="shared" si="41"/>
        <v>0</v>
      </c>
      <c r="M55" s="509">
        <f t="shared" si="42"/>
        <v>0</v>
      </c>
      <c r="N55" s="509">
        <f t="shared" si="43"/>
        <v>0</v>
      </c>
      <c r="O55" s="536"/>
      <c r="P55" s="538"/>
      <c r="Q55" s="538"/>
      <c r="U55" s="499">
        <f t="shared" si="53"/>
        <v>-0.01</v>
      </c>
      <c r="V55" s="499">
        <f t="shared" si="54"/>
        <v>-0.01</v>
      </c>
    </row>
    <row r="56" spans="2:22" ht="18.75" customHeight="1" x14ac:dyDescent="0.3">
      <c r="B56" s="515" t="s">
        <v>1478</v>
      </c>
      <c r="C56" s="507">
        <f>0.11</f>
        <v>0.11</v>
      </c>
      <c r="D56" s="507">
        <v>0.06</v>
      </c>
      <c r="E56" s="507">
        <f>0.2</f>
        <v>0.2</v>
      </c>
      <c r="F56" s="507">
        <f>0.06*'Вхідні дані'!$D$77</f>
        <v>0.06</v>
      </c>
      <c r="G56" s="508">
        <f t="shared" si="44"/>
        <v>0.05</v>
      </c>
      <c r="H56" s="509">
        <f t="shared" si="37"/>
        <v>0.01</v>
      </c>
      <c r="I56" s="508">
        <f t="shared" si="38"/>
        <v>0</v>
      </c>
      <c r="J56" s="509">
        <f t="shared" si="39"/>
        <v>0.01</v>
      </c>
      <c r="K56" s="509">
        <f t="shared" si="40"/>
        <v>0</v>
      </c>
      <c r="L56" s="509">
        <f t="shared" si="41"/>
        <v>0</v>
      </c>
      <c r="M56" s="509">
        <f t="shared" si="42"/>
        <v>0</v>
      </c>
      <c r="N56" s="509">
        <f t="shared" si="43"/>
        <v>0</v>
      </c>
      <c r="O56" s="536"/>
      <c r="P56" s="503"/>
      <c r="U56" s="499">
        <f t="shared" si="51"/>
        <v>0</v>
      </c>
      <c r="V56" s="499">
        <f t="shared" si="52"/>
        <v>0</v>
      </c>
    </row>
    <row r="57" spans="2:22" ht="18.75" customHeight="1" x14ac:dyDescent="0.3">
      <c r="B57" s="515" t="s">
        <v>1519</v>
      </c>
      <c r="C57" s="507">
        <v>0.48</v>
      </c>
      <c r="D57" s="507">
        <v>0.33</v>
      </c>
      <c r="E57" s="507">
        <v>0.2</v>
      </c>
      <c r="F57" s="507">
        <f>0.19*'Вхідні дані'!$D$77</f>
        <v>0.2</v>
      </c>
      <c r="G57" s="508">
        <f t="shared" si="44"/>
        <v>0.17</v>
      </c>
      <c r="H57" s="509">
        <f t="shared" si="37"/>
        <v>0.02</v>
      </c>
      <c r="I57" s="508">
        <f t="shared" si="38"/>
        <v>0</v>
      </c>
      <c r="J57" s="509">
        <f t="shared" si="39"/>
        <v>0.02</v>
      </c>
      <c r="K57" s="509">
        <f>F57*$K$5+0.01</f>
        <v>0.01</v>
      </c>
      <c r="L57" s="509">
        <f t="shared" si="41"/>
        <v>0</v>
      </c>
      <c r="M57" s="509">
        <f t="shared" si="42"/>
        <v>0</v>
      </c>
      <c r="N57" s="509">
        <f t="shared" si="43"/>
        <v>0</v>
      </c>
      <c r="O57" s="859"/>
      <c r="P57" s="503"/>
      <c r="U57" s="499">
        <f t="shared" si="51"/>
        <v>0</v>
      </c>
      <c r="V57" s="499">
        <f t="shared" si="52"/>
        <v>0</v>
      </c>
    </row>
    <row r="58" spans="2:22" ht="18.75" hidden="1" x14ac:dyDescent="0.3">
      <c r="B58" s="506" t="s">
        <v>1518</v>
      </c>
      <c r="C58" s="507"/>
      <c r="D58" s="507"/>
      <c r="E58" s="507"/>
      <c r="F58" s="507">
        <v>0</v>
      </c>
      <c r="G58" s="508">
        <f t="shared" si="44"/>
        <v>0</v>
      </c>
      <c r="H58" s="509">
        <f t="shared" si="37"/>
        <v>0</v>
      </c>
      <c r="I58" s="508">
        <f t="shared" si="38"/>
        <v>0</v>
      </c>
      <c r="J58" s="509">
        <f t="shared" si="39"/>
        <v>0</v>
      </c>
      <c r="K58" s="509">
        <f t="shared" si="40"/>
        <v>0</v>
      </c>
      <c r="L58" s="509">
        <f t="shared" si="41"/>
        <v>0</v>
      </c>
      <c r="M58" s="509">
        <f t="shared" si="42"/>
        <v>0</v>
      </c>
      <c r="N58" s="509">
        <f t="shared" si="43"/>
        <v>0</v>
      </c>
      <c r="O58" s="621"/>
      <c r="P58" s="620"/>
      <c r="Q58" s="620"/>
      <c r="U58" s="499">
        <f t="shared" si="51"/>
        <v>0</v>
      </c>
      <c r="V58" s="499">
        <f t="shared" si="52"/>
        <v>0</v>
      </c>
    </row>
    <row r="59" spans="2:22" ht="18.75" x14ac:dyDescent="0.3">
      <c r="B59" s="506" t="s">
        <v>1331</v>
      </c>
      <c r="C59" s="507"/>
      <c r="D59" s="507"/>
      <c r="E59" s="507"/>
      <c r="F59" s="570"/>
      <c r="G59" s="508">
        <f t="shared" si="44"/>
        <v>0</v>
      </c>
      <c r="H59" s="509">
        <f t="shared" si="37"/>
        <v>0</v>
      </c>
      <c r="I59" s="508">
        <f t="shared" si="38"/>
        <v>0</v>
      </c>
      <c r="J59" s="509">
        <f t="shared" si="39"/>
        <v>0</v>
      </c>
      <c r="K59" s="509">
        <f t="shared" si="40"/>
        <v>0</v>
      </c>
      <c r="L59" s="509">
        <f t="shared" si="41"/>
        <v>0</v>
      </c>
      <c r="M59" s="509">
        <f t="shared" si="42"/>
        <v>0</v>
      </c>
      <c r="N59" s="509">
        <f t="shared" si="43"/>
        <v>0</v>
      </c>
      <c r="O59" s="534"/>
      <c r="U59" s="499">
        <f t="shared" si="51"/>
        <v>0</v>
      </c>
      <c r="V59" s="499">
        <f t="shared" si="52"/>
        <v>0</v>
      </c>
    </row>
    <row r="60" spans="2:22" ht="18.75" x14ac:dyDescent="0.3">
      <c r="B60" s="572" t="s">
        <v>1332</v>
      </c>
      <c r="C60" s="570">
        <f>0.46+3.18+3.99+0.79+2.41+1.02+1.39</f>
        <v>13.24</v>
      </c>
      <c r="D60" s="570">
        <f>0.1+2.34+0.03+0.87+1.42+3.02+1.08+3.36+1.03+0.03</f>
        <v>13.28</v>
      </c>
      <c r="E60" s="570">
        <f>10.2+2.9</f>
        <v>13.1</v>
      </c>
      <c r="F60" s="570">
        <f>[45]Лист1!$F$12</f>
        <v>10.050000000000001</v>
      </c>
      <c r="G60" s="508">
        <f t="shared" si="44"/>
        <v>8.74</v>
      </c>
      <c r="H60" s="509">
        <f t="shared" si="37"/>
        <v>1.19</v>
      </c>
      <c r="I60" s="508">
        <f>F60*$I$5</f>
        <v>0.2</v>
      </c>
      <c r="J60" s="509">
        <f t="shared" si="39"/>
        <v>1</v>
      </c>
      <c r="K60" s="509">
        <f t="shared" si="40"/>
        <v>0.12</v>
      </c>
      <c r="L60" s="509">
        <f t="shared" si="41"/>
        <v>0</v>
      </c>
      <c r="M60" s="509">
        <f t="shared" si="42"/>
        <v>0</v>
      </c>
      <c r="N60" s="509">
        <f t="shared" si="43"/>
        <v>0</v>
      </c>
      <c r="O60" s="534"/>
      <c r="U60" s="499">
        <f t="shared" si="51"/>
        <v>0</v>
      </c>
      <c r="V60" s="499">
        <f t="shared" si="52"/>
        <v>-0.01</v>
      </c>
    </row>
    <row r="61" spans="2:22" ht="18.75" x14ac:dyDescent="0.3">
      <c r="B61" s="572" t="s">
        <v>1333</v>
      </c>
      <c r="C61" s="570">
        <v>0.99</v>
      </c>
      <c r="D61" s="570">
        <v>0.79</v>
      </c>
      <c r="E61" s="570"/>
      <c r="F61" s="570">
        <f>[45]Лист1!$F$16*'Вхідні дані'!D77</f>
        <v>0.12</v>
      </c>
      <c r="G61" s="508">
        <f t="shared" si="44"/>
        <v>0.1</v>
      </c>
      <c r="H61" s="509">
        <f t="shared" si="37"/>
        <v>0.01</v>
      </c>
      <c r="I61" s="508">
        <f t="shared" si="38"/>
        <v>0</v>
      </c>
      <c r="J61" s="509">
        <f t="shared" si="39"/>
        <v>0.01</v>
      </c>
      <c r="K61" s="509">
        <f>F61*$K$5+0.01</f>
        <v>0.01</v>
      </c>
      <c r="L61" s="509">
        <f t="shared" si="41"/>
        <v>0</v>
      </c>
      <c r="M61" s="509">
        <f t="shared" si="42"/>
        <v>0</v>
      </c>
      <c r="N61" s="509">
        <f t="shared" si="43"/>
        <v>0</v>
      </c>
      <c r="O61" s="534"/>
      <c r="U61" s="499">
        <f>F61-G61-H61-K61-L61-M61-N61</f>
        <v>0</v>
      </c>
      <c r="V61" s="499">
        <f t="shared" ref="V61:V68" si="55">H61-I61-J61</f>
        <v>0</v>
      </c>
    </row>
    <row r="62" spans="2:22" ht="19.149999999999999" customHeight="1" x14ac:dyDescent="0.3">
      <c r="B62" s="516" t="s">
        <v>1517</v>
      </c>
      <c r="C62" s="507"/>
      <c r="D62" s="507">
        <f>0.53</f>
        <v>0.53</v>
      </c>
      <c r="E62" s="507"/>
      <c r="F62" s="507">
        <v>0</v>
      </c>
      <c r="G62" s="508">
        <f t="shared" si="44"/>
        <v>0</v>
      </c>
      <c r="H62" s="509">
        <f t="shared" si="37"/>
        <v>0</v>
      </c>
      <c r="I62" s="508">
        <f t="shared" si="38"/>
        <v>0</v>
      </c>
      <c r="J62" s="509">
        <f t="shared" si="39"/>
        <v>0</v>
      </c>
      <c r="K62" s="509">
        <f t="shared" si="40"/>
        <v>0</v>
      </c>
      <c r="L62" s="509">
        <f t="shared" si="41"/>
        <v>0</v>
      </c>
      <c r="M62" s="509">
        <f t="shared" si="42"/>
        <v>0</v>
      </c>
      <c r="N62" s="509">
        <f t="shared" si="43"/>
        <v>0</v>
      </c>
      <c r="O62" s="534"/>
      <c r="U62" s="499">
        <f t="shared" ref="U62:U68" si="56">F62-G62-H62-K62-L62-M62-N62</f>
        <v>0</v>
      </c>
      <c r="V62" s="499">
        <f t="shared" si="55"/>
        <v>0</v>
      </c>
    </row>
    <row r="63" spans="2:22" ht="19.149999999999999" customHeight="1" x14ac:dyDescent="0.3">
      <c r="B63" s="516" t="s">
        <v>3230</v>
      </c>
      <c r="C63" s="507">
        <f>37.72+3.14+5.82+0.1+0.28+4.18+5.37+29.89+5.32+176.74+7.65+0.91+0.36+0.71-0.61</f>
        <v>277.58</v>
      </c>
      <c r="D63" s="507">
        <f>76.12+2.05+8.38+0.25+0.31+17.67+4.46+28.28+173.86+9.43+1.48+0.3+0.89+61.18+10.72-0.06</f>
        <v>395.32</v>
      </c>
      <c r="E63" s="507">
        <f>18.9+1.3+11+263.5+108.3+880+9.7</f>
        <v>1292.7</v>
      </c>
      <c r="F63" s="507">
        <f>(218.64+1.2+0.15+0.47+10.4+14.24+87.25+0.23)*'Вхідні дані'!$D$77</f>
        <v>353.2</v>
      </c>
      <c r="G63" s="508">
        <f t="shared" si="44"/>
        <v>307.04000000000002</v>
      </c>
      <c r="H63" s="509">
        <f t="shared" si="37"/>
        <v>42</v>
      </c>
      <c r="I63" s="508">
        <f t="shared" si="38"/>
        <v>6.89</v>
      </c>
      <c r="J63" s="509">
        <f>F63*$J$5</f>
        <v>35.14</v>
      </c>
      <c r="K63" s="509">
        <f t="shared" si="40"/>
        <v>4.17</v>
      </c>
      <c r="L63" s="509">
        <f t="shared" si="41"/>
        <v>0</v>
      </c>
      <c r="M63" s="509">
        <f t="shared" si="42"/>
        <v>0</v>
      </c>
      <c r="N63" s="509">
        <f t="shared" si="43"/>
        <v>0</v>
      </c>
      <c r="O63" s="534"/>
      <c r="U63" s="499">
        <f t="shared" ref="U63:U64" si="57">F63-G63-H63-K63-L63-M63-N63</f>
        <v>-0.01</v>
      </c>
      <c r="V63" s="499">
        <f>H63-I63-J63</f>
        <v>-0.03</v>
      </c>
    </row>
    <row r="64" spans="2:22" ht="19.149999999999999" customHeight="1" x14ac:dyDescent="0.3">
      <c r="B64" s="516" t="s">
        <v>3227</v>
      </c>
      <c r="C64" s="507">
        <v>7.61</v>
      </c>
      <c r="D64" s="507">
        <v>4.63</v>
      </c>
      <c r="E64" s="507"/>
      <c r="F64" s="507"/>
      <c r="G64" s="508">
        <f t="shared" si="44"/>
        <v>0</v>
      </c>
      <c r="H64" s="509">
        <f t="shared" si="37"/>
        <v>0</v>
      </c>
      <c r="I64" s="508">
        <f t="shared" si="38"/>
        <v>0</v>
      </c>
      <c r="J64" s="509">
        <f t="shared" si="39"/>
        <v>0</v>
      </c>
      <c r="K64" s="509">
        <f t="shared" si="40"/>
        <v>0</v>
      </c>
      <c r="L64" s="509">
        <f t="shared" si="41"/>
        <v>0</v>
      </c>
      <c r="M64" s="509">
        <f t="shared" si="42"/>
        <v>0</v>
      </c>
      <c r="N64" s="509">
        <f t="shared" si="43"/>
        <v>0</v>
      </c>
      <c r="O64" s="534"/>
      <c r="U64" s="499">
        <f t="shared" si="57"/>
        <v>0</v>
      </c>
      <c r="V64" s="499">
        <f t="shared" ref="V64" si="58">H64-I64-J64</f>
        <v>0</v>
      </c>
    </row>
    <row r="65" spans="2:22" ht="20.25" customHeight="1" x14ac:dyDescent="0.3">
      <c r="B65" s="573" t="s">
        <v>1338</v>
      </c>
      <c r="C65" s="507">
        <f>0.31+3.62</f>
        <v>3.93</v>
      </c>
      <c r="D65" s="507">
        <f>0.17+2.54+3.62</f>
        <v>6.33</v>
      </c>
      <c r="E65" s="602">
        <f>1.9+15.5</f>
        <v>17.399999999999999</v>
      </c>
      <c r="F65" s="507">
        <f>(1.5+3.72)*'Вхідні дані'!$D$77</f>
        <v>5.54</v>
      </c>
      <c r="G65" s="508">
        <f t="shared" si="44"/>
        <v>4.82</v>
      </c>
      <c r="H65" s="509">
        <f>F65*$H$5</f>
        <v>0.66</v>
      </c>
      <c r="I65" s="508">
        <f t="shared" si="38"/>
        <v>0.11</v>
      </c>
      <c r="J65" s="509">
        <f t="shared" si="39"/>
        <v>0.55000000000000004</v>
      </c>
      <c r="K65" s="509">
        <f t="shared" si="40"/>
        <v>7.0000000000000007E-2</v>
      </c>
      <c r="L65" s="509">
        <f t="shared" si="41"/>
        <v>0</v>
      </c>
      <c r="M65" s="509">
        <f t="shared" si="42"/>
        <v>0</v>
      </c>
      <c r="N65" s="509">
        <f t="shared" si="43"/>
        <v>0</v>
      </c>
      <c r="O65" s="534"/>
      <c r="U65" s="499">
        <f t="shared" si="56"/>
        <v>-0.01</v>
      </c>
      <c r="V65" s="499">
        <f t="shared" si="55"/>
        <v>0</v>
      </c>
    </row>
    <row r="66" spans="2:22" ht="18" customHeight="1" x14ac:dyDescent="0.3">
      <c r="B66" s="506" t="s">
        <v>1516</v>
      </c>
      <c r="C66" s="570"/>
      <c r="D66" s="570">
        <v>1.29</v>
      </c>
      <c r="E66" s="570"/>
      <c r="F66" s="507">
        <v>0</v>
      </c>
      <c r="G66" s="508">
        <f t="shared" si="44"/>
        <v>0</v>
      </c>
      <c r="H66" s="509">
        <f t="shared" si="37"/>
        <v>0</v>
      </c>
      <c r="I66" s="508">
        <f t="shared" si="38"/>
        <v>0</v>
      </c>
      <c r="J66" s="509">
        <f t="shared" si="39"/>
        <v>0</v>
      </c>
      <c r="K66" s="509">
        <f t="shared" si="40"/>
        <v>0</v>
      </c>
      <c r="L66" s="509">
        <f t="shared" si="41"/>
        <v>0</v>
      </c>
      <c r="M66" s="509">
        <f t="shared" si="42"/>
        <v>0</v>
      </c>
      <c r="N66" s="509">
        <f t="shared" si="43"/>
        <v>0</v>
      </c>
      <c r="O66" s="534"/>
      <c r="U66" s="499">
        <f t="shared" si="56"/>
        <v>0</v>
      </c>
      <c r="V66" s="499">
        <f t="shared" si="55"/>
        <v>0</v>
      </c>
    </row>
    <row r="67" spans="2:22" ht="18.75" x14ac:dyDescent="0.3">
      <c r="B67" s="506" t="s">
        <v>950</v>
      </c>
      <c r="C67" s="507">
        <f>7.29+0.11+0.42</f>
        <v>7.82</v>
      </c>
      <c r="D67" s="604">
        <f>5.89+0.07</f>
        <v>5.96</v>
      </c>
      <c r="E67" s="604"/>
      <c r="F67" s="603">
        <f>5.98*'Вхідні дані'!$D$77</f>
        <v>6.35</v>
      </c>
      <c r="G67" s="508">
        <f t="shared" si="44"/>
        <v>5.52</v>
      </c>
      <c r="H67" s="509">
        <f t="shared" si="37"/>
        <v>0.76</v>
      </c>
      <c r="I67" s="508">
        <f t="shared" si="38"/>
        <v>0.12</v>
      </c>
      <c r="J67" s="509">
        <f t="shared" si="39"/>
        <v>0.63</v>
      </c>
      <c r="K67" s="509">
        <f>F67*$K$5</f>
        <v>7.0000000000000007E-2</v>
      </c>
      <c r="L67" s="509">
        <f t="shared" si="41"/>
        <v>0</v>
      </c>
      <c r="M67" s="509">
        <f t="shared" si="42"/>
        <v>0</v>
      </c>
      <c r="N67" s="509">
        <f t="shared" si="43"/>
        <v>0</v>
      </c>
      <c r="O67" s="1912"/>
      <c r="U67" s="499">
        <f>F67-G67-H67-K67-L67-M67-N67</f>
        <v>0</v>
      </c>
      <c r="V67" s="499">
        <f t="shared" si="55"/>
        <v>0.01</v>
      </c>
    </row>
    <row r="68" spans="2:22" ht="19.5" thickBot="1" x14ac:dyDescent="0.35">
      <c r="B68" s="574" t="s">
        <v>1935</v>
      </c>
      <c r="C68" s="575">
        <f>0.1+1.02+2</f>
        <v>3.12</v>
      </c>
      <c r="D68" s="575">
        <f>1.22+0.41+0.01+0.04</f>
        <v>1.68</v>
      </c>
      <c r="E68" s="575">
        <f>188.2</f>
        <v>188.2</v>
      </c>
      <c r="F68" s="575">
        <f>(0.24+0.73)*'Вхідні дані'!$D$77</f>
        <v>1.03</v>
      </c>
      <c r="G68" s="605">
        <f t="shared" si="44"/>
        <v>0.9</v>
      </c>
      <c r="H68" s="517">
        <f t="shared" si="37"/>
        <v>0.12</v>
      </c>
      <c r="I68" s="605">
        <f t="shared" si="38"/>
        <v>0.02</v>
      </c>
      <c r="J68" s="517">
        <f t="shared" si="39"/>
        <v>0.1</v>
      </c>
      <c r="K68" s="517">
        <f t="shared" si="40"/>
        <v>0.01</v>
      </c>
      <c r="L68" s="517">
        <f t="shared" si="41"/>
        <v>0</v>
      </c>
      <c r="M68" s="517">
        <f t="shared" si="42"/>
        <v>0</v>
      </c>
      <c r="N68" s="517">
        <f t="shared" si="43"/>
        <v>0</v>
      </c>
      <c r="O68" s="536"/>
      <c r="P68" s="503"/>
      <c r="U68" s="499">
        <f t="shared" si="56"/>
        <v>0</v>
      </c>
      <c r="V68" s="499">
        <f t="shared" si="55"/>
        <v>0</v>
      </c>
    </row>
    <row r="69" spans="2:22" ht="24" customHeight="1" x14ac:dyDescent="0.25">
      <c r="C69" s="492"/>
      <c r="D69" s="492"/>
      <c r="E69" s="492"/>
      <c r="F69" s="492"/>
      <c r="M69" s="518"/>
      <c r="N69" s="518"/>
    </row>
    <row r="70" spans="2:22" ht="24" customHeight="1" x14ac:dyDescent="0.25">
      <c r="B70" s="491"/>
      <c r="G70" s="491"/>
      <c r="H70" s="491"/>
      <c r="I70" s="491"/>
      <c r="J70" s="491"/>
      <c r="M70" s="518"/>
      <c r="N70" s="518"/>
    </row>
    <row r="71" spans="2:22" ht="24" customHeight="1" x14ac:dyDescent="0.3">
      <c r="B71" s="3273" t="str">
        <f>'Вхідні дані'!$B$13</f>
        <v>Начальник Адміністрації морського порту Чорноморськ</v>
      </c>
      <c r="C71" s="3273"/>
      <c r="D71" s="3273"/>
      <c r="E71" s="3323" t="s">
        <v>1339</v>
      </c>
      <c r="G71" s="3969" t="str">
        <f>'Вхідні дані'!$F$13</f>
        <v>Максим ШИРОКОВ</v>
      </c>
      <c r="H71" s="3969"/>
      <c r="I71" s="3969"/>
      <c r="J71" s="491"/>
      <c r="M71" s="518"/>
      <c r="N71" s="518"/>
    </row>
    <row r="72" spans="2:22" ht="24" customHeight="1" x14ac:dyDescent="0.3">
      <c r="B72" s="3273"/>
      <c r="C72" s="3273"/>
      <c r="D72" s="3273"/>
      <c r="E72" s="3323" t="s">
        <v>219</v>
      </c>
      <c r="G72" s="3971" t="s">
        <v>3408</v>
      </c>
      <c r="H72" s="3971"/>
      <c r="I72" s="3971"/>
      <c r="J72" s="491"/>
      <c r="M72" s="518"/>
      <c r="N72" s="518"/>
    </row>
    <row r="73" spans="2:22" ht="24" customHeight="1" x14ac:dyDescent="0.3">
      <c r="B73" s="3273" t="str">
        <f>'Вхідні дані'!$B$15</f>
        <v>Заступник начальника з економіки та фінансів</v>
      </c>
      <c r="C73" s="3273"/>
      <c r="D73" s="3273"/>
      <c r="E73" s="3323" t="s">
        <v>1339</v>
      </c>
      <c r="G73" s="3969" t="str">
        <f>'Вхідні дані'!$F$15</f>
        <v>Наталія БАРТОШИК</v>
      </c>
      <c r="H73" s="3969"/>
      <c r="I73" s="3969"/>
      <c r="J73" s="491"/>
      <c r="M73" s="518"/>
      <c r="N73" s="518"/>
    </row>
    <row r="74" spans="2:22" ht="24" customHeight="1" x14ac:dyDescent="0.3">
      <c r="B74" s="3324"/>
      <c r="C74" s="3324"/>
      <c r="D74" s="3324"/>
      <c r="E74" s="3323" t="s">
        <v>219</v>
      </c>
      <c r="G74" s="3971" t="s">
        <v>3408</v>
      </c>
      <c r="H74" s="3971"/>
      <c r="I74" s="3971"/>
      <c r="J74" s="491"/>
      <c r="K74" s="518"/>
      <c r="L74" s="518"/>
      <c r="M74" s="518"/>
      <c r="N74" s="518"/>
    </row>
    <row r="75" spans="2:22" x14ac:dyDescent="0.25">
      <c r="C75" s="492"/>
      <c r="D75" s="492"/>
      <c r="E75" s="492"/>
      <c r="F75" s="492"/>
    </row>
    <row r="76" spans="2:22" ht="15.75" customHeight="1" x14ac:dyDescent="0.25">
      <c r="B76" s="3976" t="s">
        <v>2740</v>
      </c>
      <c r="C76" s="3976"/>
      <c r="D76" s="3976"/>
      <c r="E76" s="3976"/>
      <c r="F76" s="3976"/>
      <c r="G76" s="3976"/>
      <c r="H76" s="3976"/>
      <c r="I76" s="3976"/>
    </row>
    <row r="77" spans="2:22" ht="15.75" x14ac:dyDescent="0.25">
      <c r="B77" s="1254"/>
      <c r="C77" s="1254"/>
      <c r="D77" s="1254"/>
      <c r="E77" s="3977" t="s">
        <v>1704</v>
      </c>
      <c r="F77" s="3977"/>
      <c r="G77" s="1254"/>
      <c r="H77" s="1254"/>
    </row>
    <row r="78" spans="2:22" ht="15.75" x14ac:dyDescent="0.25">
      <c r="B78" s="1313" t="s">
        <v>355</v>
      </c>
      <c r="C78" s="3975" t="s">
        <v>2184</v>
      </c>
      <c r="D78" s="3975"/>
      <c r="E78" s="3975" t="s">
        <v>2185</v>
      </c>
      <c r="F78" s="3975"/>
      <c r="G78" s="1313" t="s">
        <v>2187</v>
      </c>
      <c r="H78" s="1313" t="s">
        <v>2186</v>
      </c>
    </row>
    <row r="79" spans="2:22" ht="15.75" x14ac:dyDescent="0.25">
      <c r="B79" s="921" t="s">
        <v>2173</v>
      </c>
      <c r="C79" s="1288">
        <f>D79/D$89</f>
        <v>0.66600000000000004</v>
      </c>
      <c r="D79" s="1278">
        <f>F21-L21</f>
        <v>2619.7600000000002</v>
      </c>
      <c r="E79" s="1288">
        <f>F79/F89</f>
        <v>0.50629999999999997</v>
      </c>
      <c r="F79" s="1278">
        <f>E21</f>
        <v>2429.1999999999998</v>
      </c>
      <c r="G79" s="1315">
        <f>C79-E79</f>
        <v>0.15970000000000001</v>
      </c>
      <c r="H79" s="1278">
        <f>D79-F79</f>
        <v>190.56</v>
      </c>
    </row>
    <row r="80" spans="2:22" ht="15.75" x14ac:dyDescent="0.25">
      <c r="B80" s="921" t="s">
        <v>2174</v>
      </c>
      <c r="C80" s="1288">
        <f t="shared" ref="C80:C88" si="59">D80/D$89</f>
        <v>0.14649999999999999</v>
      </c>
      <c r="D80" s="1278">
        <f>F23-L23</f>
        <v>576.35</v>
      </c>
      <c r="E80" s="1288">
        <f>F80/F89</f>
        <v>0.1009</v>
      </c>
      <c r="F80" s="1278">
        <f>E23</f>
        <v>484.1</v>
      </c>
      <c r="G80" s="1315">
        <f t="shared" ref="G80:H89" si="60">C80-E80</f>
        <v>4.5600000000000002E-2</v>
      </c>
      <c r="H80" s="1278">
        <f t="shared" si="60"/>
        <v>92.25</v>
      </c>
    </row>
    <row r="81" spans="2:8" ht="15.75" x14ac:dyDescent="0.25">
      <c r="B81" s="921" t="s">
        <v>2175</v>
      </c>
      <c r="C81" s="1288">
        <f t="shared" si="59"/>
        <v>0</v>
      </c>
      <c r="D81" s="1278"/>
      <c r="E81" s="1288">
        <f>F81/F89</f>
        <v>0</v>
      </c>
      <c r="F81" s="1278"/>
      <c r="G81" s="1315">
        <f t="shared" si="60"/>
        <v>0</v>
      </c>
      <c r="H81" s="1278">
        <f t="shared" si="60"/>
        <v>0</v>
      </c>
    </row>
    <row r="82" spans="2:8" ht="15.75" x14ac:dyDescent="0.25">
      <c r="B82" s="921" t="s">
        <v>43</v>
      </c>
      <c r="C82" s="1288">
        <f t="shared" si="59"/>
        <v>0</v>
      </c>
      <c r="D82" s="1278"/>
      <c r="E82" s="1288">
        <f>F82/F89</f>
        <v>0</v>
      </c>
      <c r="F82" s="1278"/>
      <c r="G82" s="1315">
        <f t="shared" si="60"/>
        <v>0</v>
      </c>
      <c r="H82" s="1278">
        <f t="shared" si="60"/>
        <v>0</v>
      </c>
    </row>
    <row r="83" spans="2:8" ht="15.75" x14ac:dyDescent="0.25">
      <c r="B83" s="921" t="s">
        <v>2176</v>
      </c>
      <c r="C83" s="1288">
        <f t="shared" si="59"/>
        <v>0</v>
      </c>
      <c r="D83" s="1278"/>
      <c r="E83" s="1288">
        <f>F83/F89</f>
        <v>0</v>
      </c>
      <c r="F83" s="1278"/>
      <c r="G83" s="1315">
        <f t="shared" si="60"/>
        <v>0</v>
      </c>
      <c r="H83" s="1278">
        <f t="shared" si="60"/>
        <v>0</v>
      </c>
    </row>
    <row r="84" spans="2:8" ht="15.75" x14ac:dyDescent="0.25">
      <c r="B84" s="921" t="s">
        <v>459</v>
      </c>
      <c r="C84" s="1288">
        <f t="shared" si="59"/>
        <v>9.1000000000000004E-3</v>
      </c>
      <c r="D84" s="1278">
        <f>F37+F38-L37-L38</f>
        <v>35.74</v>
      </c>
      <c r="E84" s="1288">
        <f>F84/F89</f>
        <v>2.2000000000000001E-3</v>
      </c>
      <c r="F84" s="1278">
        <f>E27</f>
        <v>10.6</v>
      </c>
      <c r="G84" s="1315">
        <f t="shared" si="60"/>
        <v>6.8999999999999999E-3</v>
      </c>
      <c r="H84" s="1278">
        <f t="shared" si="60"/>
        <v>25.14</v>
      </c>
    </row>
    <row r="85" spans="2:8" ht="15.75" x14ac:dyDescent="0.25">
      <c r="B85" s="921" t="s">
        <v>2177</v>
      </c>
      <c r="C85" s="1288">
        <f t="shared" si="59"/>
        <v>0</v>
      </c>
      <c r="D85" s="1278"/>
      <c r="E85" s="1288">
        <f>F85/F89</f>
        <v>0</v>
      </c>
      <c r="F85" s="1278"/>
      <c r="G85" s="1315">
        <f t="shared" si="60"/>
        <v>0</v>
      </c>
      <c r="H85" s="1278">
        <f t="shared" si="60"/>
        <v>0</v>
      </c>
    </row>
    <row r="86" spans="2:8" ht="15.75" x14ac:dyDescent="0.25">
      <c r="B86" s="921" t="s">
        <v>2178</v>
      </c>
      <c r="C86" s="1288">
        <f t="shared" si="59"/>
        <v>5.1999999999999998E-3</v>
      </c>
      <c r="D86" s="1278">
        <f>F25+F26-L25-L26</f>
        <v>20.260000000000002</v>
      </c>
      <c r="E86" s="1288">
        <f>F86/F89</f>
        <v>0</v>
      </c>
      <c r="F86" s="1278"/>
      <c r="G86" s="1315">
        <f t="shared" si="60"/>
        <v>5.1999999999999998E-3</v>
      </c>
      <c r="H86" s="1278">
        <f t="shared" si="60"/>
        <v>20.260000000000002</v>
      </c>
    </row>
    <row r="87" spans="2:8" ht="15.75" x14ac:dyDescent="0.25">
      <c r="B87" s="921" t="s">
        <v>2179</v>
      </c>
      <c r="C87" s="1288">
        <f t="shared" si="59"/>
        <v>0.17330000000000001</v>
      </c>
      <c r="D87" s="1278">
        <f>D89-D79-D80-D81-D82-D83-D84-D85-D86</f>
        <v>681.55</v>
      </c>
      <c r="E87" s="1288">
        <f>F87/F89</f>
        <v>0.3906</v>
      </c>
      <c r="F87" s="1278">
        <f>F89-F84-F80-F79</f>
        <v>1873.9</v>
      </c>
      <c r="G87" s="1315">
        <f t="shared" si="60"/>
        <v>-0.21729999999999999</v>
      </c>
      <c r="H87" s="1278">
        <f t="shared" si="60"/>
        <v>-1192.3499999999999</v>
      </c>
    </row>
    <row r="88" spans="2:8" ht="15.75" x14ac:dyDescent="0.25">
      <c r="B88" s="921" t="s">
        <v>2183</v>
      </c>
      <c r="C88" s="1288">
        <f t="shared" si="59"/>
        <v>0</v>
      </c>
      <c r="D88" s="1278"/>
      <c r="E88" s="1288">
        <f>F88/F89</f>
        <v>0</v>
      </c>
      <c r="F88" s="1278"/>
      <c r="G88" s="1315">
        <f t="shared" si="60"/>
        <v>0</v>
      </c>
      <c r="H88" s="1278">
        <f t="shared" si="60"/>
        <v>0</v>
      </c>
    </row>
    <row r="89" spans="2:8" ht="15.75" x14ac:dyDescent="0.25">
      <c r="B89" s="1290" t="s">
        <v>1872</v>
      </c>
      <c r="C89" s="1291">
        <f>SUM(C79:C88)</f>
        <v>1</v>
      </c>
      <c r="D89" s="1278">
        <f>F8-L8</f>
        <v>3933.66</v>
      </c>
      <c r="E89" s="1291">
        <f>SUM(E79:E88)</f>
        <v>1</v>
      </c>
      <c r="F89" s="1278">
        <f>E8</f>
        <v>4797.8</v>
      </c>
      <c r="G89" s="1315">
        <f t="shared" si="60"/>
        <v>0</v>
      </c>
      <c r="H89" s="1278">
        <f t="shared" si="60"/>
        <v>-864.14</v>
      </c>
    </row>
    <row r="90" spans="2:8" x14ac:dyDescent="0.25">
      <c r="C90" s="492"/>
      <c r="D90" s="492"/>
      <c r="E90" s="492"/>
      <c r="F90" s="492"/>
    </row>
    <row r="91" spans="2:8" x14ac:dyDescent="0.25">
      <c r="C91" s="492"/>
      <c r="D91" s="492"/>
      <c r="E91" s="492"/>
      <c r="F91" s="492"/>
    </row>
    <row r="92" spans="2:8" x14ac:dyDescent="0.25">
      <c r="C92" s="492"/>
      <c r="D92" s="492"/>
      <c r="E92" s="492"/>
      <c r="F92" s="492"/>
    </row>
    <row r="93" spans="2:8" x14ac:dyDescent="0.25">
      <c r="C93" s="492"/>
      <c r="D93" s="492"/>
      <c r="E93" s="492"/>
      <c r="F93" s="492"/>
    </row>
    <row r="94" spans="2:8" x14ac:dyDescent="0.25">
      <c r="C94" s="492"/>
      <c r="D94" s="492"/>
      <c r="E94" s="492"/>
      <c r="F94" s="492"/>
    </row>
    <row r="95" spans="2:8" x14ac:dyDescent="0.25">
      <c r="C95" s="492"/>
      <c r="D95" s="492"/>
      <c r="E95" s="492"/>
      <c r="F95" s="492"/>
    </row>
    <row r="96" spans="2:8" x14ac:dyDescent="0.25">
      <c r="C96" s="492"/>
      <c r="D96" s="492"/>
      <c r="E96" s="492"/>
      <c r="F96" s="492"/>
    </row>
    <row r="97" spans="3:6" x14ac:dyDescent="0.25">
      <c r="C97" s="492"/>
      <c r="D97" s="492"/>
      <c r="E97" s="492"/>
      <c r="F97" s="492"/>
    </row>
    <row r="98" spans="3:6" x14ac:dyDescent="0.25">
      <c r="C98" s="492"/>
      <c r="D98" s="492"/>
      <c r="E98" s="492"/>
      <c r="F98" s="492"/>
    </row>
    <row r="99" spans="3:6" x14ac:dyDescent="0.25">
      <c r="C99" s="492"/>
      <c r="D99" s="492"/>
      <c r="E99" s="492"/>
      <c r="F99" s="492"/>
    </row>
    <row r="100" spans="3:6" x14ac:dyDescent="0.25">
      <c r="C100" s="492"/>
      <c r="D100" s="492"/>
      <c r="E100" s="492"/>
      <c r="F100" s="492"/>
    </row>
    <row r="101" spans="3:6" x14ac:dyDescent="0.25">
      <c r="C101" s="492"/>
      <c r="D101" s="492"/>
      <c r="E101" s="492"/>
      <c r="F101" s="492"/>
    </row>
    <row r="102" spans="3:6" x14ac:dyDescent="0.25">
      <c r="C102" s="492"/>
      <c r="D102" s="492"/>
      <c r="E102" s="492"/>
      <c r="F102" s="492"/>
    </row>
    <row r="103" spans="3:6" x14ac:dyDescent="0.25">
      <c r="C103" s="492"/>
      <c r="D103" s="492"/>
      <c r="E103" s="492"/>
      <c r="F103" s="492"/>
    </row>
    <row r="104" spans="3:6" x14ac:dyDescent="0.25">
      <c r="C104" s="492"/>
      <c r="D104" s="492"/>
      <c r="E104" s="492"/>
      <c r="F104" s="492"/>
    </row>
    <row r="105" spans="3:6" x14ac:dyDescent="0.25">
      <c r="C105" s="492"/>
      <c r="D105" s="492"/>
      <c r="E105" s="492"/>
      <c r="F105" s="492"/>
    </row>
    <row r="106" spans="3:6" x14ac:dyDescent="0.25">
      <c r="C106" s="492"/>
      <c r="D106" s="492"/>
      <c r="E106" s="492"/>
      <c r="F106" s="492"/>
    </row>
    <row r="107" spans="3:6" x14ac:dyDescent="0.25">
      <c r="C107" s="492"/>
      <c r="D107" s="492"/>
      <c r="E107" s="492"/>
      <c r="F107" s="492"/>
    </row>
    <row r="108" spans="3:6" x14ac:dyDescent="0.25">
      <c r="C108" s="492"/>
      <c r="D108" s="492"/>
      <c r="E108" s="492"/>
      <c r="F108" s="492"/>
    </row>
    <row r="109" spans="3:6" x14ac:dyDescent="0.25">
      <c r="C109" s="492"/>
      <c r="D109" s="492"/>
      <c r="E109" s="492"/>
      <c r="F109" s="492"/>
    </row>
    <row r="110" spans="3:6" x14ac:dyDescent="0.25">
      <c r="C110" s="492"/>
      <c r="D110" s="492"/>
      <c r="E110" s="492"/>
      <c r="F110" s="492"/>
    </row>
    <row r="111" spans="3:6" x14ac:dyDescent="0.25">
      <c r="C111" s="492"/>
      <c r="D111" s="492"/>
      <c r="E111" s="492"/>
      <c r="F111" s="492"/>
    </row>
    <row r="112" spans="3:6" x14ac:dyDescent="0.25">
      <c r="C112" s="492"/>
      <c r="D112" s="492"/>
      <c r="E112" s="492"/>
      <c r="F112" s="492"/>
    </row>
    <row r="113" spans="3:6" x14ac:dyDescent="0.25">
      <c r="C113" s="492"/>
      <c r="D113" s="492"/>
      <c r="E113" s="492"/>
      <c r="F113" s="492"/>
    </row>
    <row r="114" spans="3:6" x14ac:dyDescent="0.25">
      <c r="C114" s="492"/>
      <c r="D114" s="492"/>
      <c r="E114" s="492"/>
      <c r="F114" s="492"/>
    </row>
    <row r="115" spans="3:6" x14ac:dyDescent="0.25">
      <c r="C115" s="492"/>
      <c r="D115" s="492"/>
      <c r="E115" s="492"/>
      <c r="F115" s="492"/>
    </row>
    <row r="116" spans="3:6" x14ac:dyDescent="0.25">
      <c r="C116" s="492"/>
      <c r="D116" s="492"/>
      <c r="E116" s="492"/>
      <c r="F116" s="492"/>
    </row>
    <row r="117" spans="3:6" x14ac:dyDescent="0.25">
      <c r="C117" s="492"/>
      <c r="D117" s="492"/>
      <c r="E117" s="492"/>
      <c r="F117" s="492"/>
    </row>
    <row r="118" spans="3:6" x14ac:dyDescent="0.25">
      <c r="C118" s="492"/>
      <c r="D118" s="492"/>
      <c r="E118" s="492"/>
      <c r="F118" s="492"/>
    </row>
    <row r="119" spans="3:6" x14ac:dyDescent="0.25">
      <c r="C119" s="492"/>
      <c r="D119" s="492"/>
      <c r="E119" s="492"/>
      <c r="F119" s="492"/>
    </row>
    <row r="120" spans="3:6" x14ac:dyDescent="0.25">
      <c r="C120" s="492"/>
      <c r="D120" s="492"/>
      <c r="E120" s="492"/>
      <c r="F120" s="492"/>
    </row>
    <row r="121" spans="3:6" x14ac:dyDescent="0.25">
      <c r="C121" s="492"/>
      <c r="D121" s="492"/>
      <c r="E121" s="492"/>
      <c r="F121" s="492"/>
    </row>
    <row r="122" spans="3:6" x14ac:dyDescent="0.25">
      <c r="C122" s="492"/>
      <c r="D122" s="492"/>
      <c r="E122" s="492"/>
      <c r="F122" s="492"/>
    </row>
    <row r="123" spans="3:6" x14ac:dyDescent="0.25">
      <c r="C123" s="492"/>
      <c r="D123" s="492"/>
      <c r="E123" s="492"/>
      <c r="F123" s="492"/>
    </row>
    <row r="124" spans="3:6" x14ac:dyDescent="0.25">
      <c r="C124" s="492"/>
      <c r="D124" s="492"/>
      <c r="E124" s="492"/>
      <c r="F124" s="492"/>
    </row>
    <row r="125" spans="3:6" x14ac:dyDescent="0.25">
      <c r="C125" s="492"/>
      <c r="D125" s="492"/>
      <c r="E125" s="492"/>
      <c r="F125" s="492"/>
    </row>
    <row r="126" spans="3:6" x14ac:dyDescent="0.25">
      <c r="C126" s="492"/>
      <c r="D126" s="492"/>
      <c r="E126" s="492"/>
      <c r="F126" s="492"/>
    </row>
    <row r="127" spans="3:6" x14ac:dyDescent="0.25">
      <c r="C127" s="492"/>
      <c r="D127" s="492"/>
      <c r="E127" s="492"/>
      <c r="F127" s="492"/>
    </row>
    <row r="128" spans="3:6" x14ac:dyDescent="0.25">
      <c r="C128" s="492"/>
      <c r="D128" s="492"/>
      <c r="E128" s="492"/>
      <c r="F128" s="492"/>
    </row>
    <row r="129" spans="3:6" x14ac:dyDescent="0.25">
      <c r="C129" s="492"/>
      <c r="D129" s="492"/>
      <c r="E129" s="492"/>
      <c r="F129" s="492"/>
    </row>
  </sheetData>
  <mergeCells count="11">
    <mergeCell ref="B6:B7"/>
    <mergeCell ref="G6:M6"/>
    <mergeCell ref="P38:R38"/>
    <mergeCell ref="G71:I71"/>
    <mergeCell ref="G72:I72"/>
    <mergeCell ref="E77:F77"/>
    <mergeCell ref="C78:D78"/>
    <mergeCell ref="E78:F78"/>
    <mergeCell ref="G73:I73"/>
    <mergeCell ref="G74:I74"/>
    <mergeCell ref="B76:I76"/>
  </mergeCells>
  <conditionalFormatting sqref="M69:N74 B74:I74 K74:L74">
    <cfRule type="expression" dxfId="10" priority="6" stopIfTrue="1">
      <formula>ABS(#REF!-(#REF!+$D69+$M69+$O69))&gt;отклонение</formula>
    </cfRule>
  </conditionalFormatting>
  <conditionalFormatting sqref="G74:I74">
    <cfRule type="expression" dxfId="9" priority="4" stopIfTrue="1">
      <formula>ABS(#REF!-(#REF!+$D74+$M74+$O74))&gt;отклонение</formula>
    </cfRule>
  </conditionalFormatting>
  <conditionalFormatting sqref="G74:I74">
    <cfRule type="expression" dxfId="8" priority="3" stopIfTrue="1">
      <formula>ABS(#REF!-(#REF!+$E74+$L74+$N74))&gt;отклонение</formula>
    </cfRule>
  </conditionalFormatting>
  <conditionalFormatting sqref="G74:I74 B74:D74">
    <cfRule type="expression" dxfId="7" priority="2" stopIfTrue="1">
      <formula>ABS(#REF!-(#REF!+$D74+$M74+$O74))&gt;отклонение</formula>
    </cfRule>
  </conditionalFormatting>
  <conditionalFormatting sqref="G74:I74">
    <cfRule type="expression" dxfId="6" priority="1" stopIfTrue="1">
      <formula>ABS(#REF!-(#REF!+#REF!+$L74+$N74))&gt;отклонение</formula>
    </cfRule>
  </conditionalFormatting>
  <pageMargins left="0.75" right="0.23622047244094491" top="0.61" bottom="0.15748031496062992" header="0.31496062992125984" footer="0.31496062992125984"/>
  <pageSetup paperSize="9" scale="51" fitToHeight="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pageSetUpPr fitToPage="1"/>
  </sheetPr>
  <dimension ref="A1:Z125"/>
  <sheetViews>
    <sheetView view="pageBreakPreview" zoomScale="60" zoomScaleNormal="75" workbookViewId="0">
      <pane xSplit="2" ySplit="8" topLeftCell="C47" activePane="bottomRight" state="frozen"/>
      <selection pane="topRight" activeCell="C1" sqref="C1"/>
      <selection pane="bottomLeft" activeCell="A9" sqref="A9"/>
      <selection pane="bottomRight" activeCell="H73" sqref="H73"/>
    </sheetView>
  </sheetViews>
  <sheetFormatPr defaultColWidth="9.140625" defaultRowHeight="15" x14ac:dyDescent="0.25"/>
  <cols>
    <col min="1" max="1" width="4.7109375" style="492" customWidth="1"/>
    <col min="2" max="2" width="59.28515625" style="492" customWidth="1"/>
    <col min="3" max="3" width="14.42578125" style="491" customWidth="1"/>
    <col min="4" max="5" width="13.85546875" style="491" customWidth="1"/>
    <col min="6" max="6" width="17.140625" style="916" customWidth="1"/>
    <col min="7" max="7" width="16.7109375" style="492" customWidth="1"/>
    <col min="8" max="8" width="16" style="492" customWidth="1"/>
    <col min="9" max="9" width="10.5703125" style="492" customWidth="1"/>
    <col min="10" max="10" width="11.85546875" style="492" customWidth="1"/>
    <col min="11" max="11" width="15.5703125" style="492" customWidth="1"/>
    <col min="12" max="12" width="16.42578125" style="492" customWidth="1"/>
    <col min="13" max="13" width="10.85546875" style="492" customWidth="1"/>
    <col min="14" max="14" width="17" style="492" customWidth="1"/>
    <col min="15" max="15" width="29.5703125" style="494" customWidth="1"/>
    <col min="16" max="16" width="16.5703125" style="499" customWidth="1"/>
    <col min="17" max="17" width="11" style="499" customWidth="1"/>
    <col min="18" max="18" width="11.28515625" style="492" customWidth="1"/>
    <col min="19" max="19" width="9.140625" style="492" customWidth="1"/>
    <col min="20" max="20" width="10" style="492" customWidth="1"/>
    <col min="21" max="21" width="9.140625" style="492" customWidth="1"/>
    <col min="22" max="22" width="10.42578125" style="492" customWidth="1"/>
    <col min="23" max="16384" width="9.140625" style="492"/>
  </cols>
  <sheetData>
    <row r="1" spans="2:26" ht="18.75" x14ac:dyDescent="0.3">
      <c r="B1" s="490"/>
      <c r="C1" s="492"/>
      <c r="D1" s="492"/>
      <c r="E1" s="492"/>
      <c r="F1" s="492"/>
      <c r="L1" s="493" t="s">
        <v>830</v>
      </c>
      <c r="O1" s="492"/>
      <c r="P1" s="1129"/>
      <c r="Q1" s="1129"/>
      <c r="R1" s="1129"/>
      <c r="S1" s="1130"/>
    </row>
    <row r="2" spans="2:26" ht="18" customHeight="1" x14ac:dyDescent="0.25">
      <c r="F2" s="491"/>
      <c r="G2" s="491"/>
      <c r="H2" s="491"/>
      <c r="I2" s="491"/>
      <c r="O2" s="492"/>
      <c r="P2" s="1131"/>
      <c r="Q2" s="1129"/>
      <c r="R2" s="1129"/>
      <c r="S2" s="1129"/>
    </row>
    <row r="3" spans="2:26" ht="18.75" x14ac:dyDescent="0.3">
      <c r="B3" s="495" t="s">
        <v>955</v>
      </c>
      <c r="C3" s="3568" t="str">
        <f>'Вхідні дані'!F5</f>
        <v>ЧФ ДП "АМПУ"</v>
      </c>
      <c r="D3" s="3327"/>
      <c r="E3" s="3327"/>
      <c r="G3" s="3327" t="s">
        <v>460</v>
      </c>
      <c r="H3" s="3327" t="str">
        <f>'Вхідні дані'!F6</f>
        <v>2022-2023</v>
      </c>
      <c r="I3" s="3327" t="s">
        <v>647</v>
      </c>
      <c r="J3" s="496"/>
      <c r="L3" s="495"/>
      <c r="Q3" s="492"/>
    </row>
    <row r="4" spans="2:26" ht="18.75" x14ac:dyDescent="0.3">
      <c r="B4" s="495"/>
      <c r="C4" s="492"/>
      <c r="D4" s="492"/>
      <c r="E4" s="492"/>
      <c r="F4" s="913"/>
      <c r="G4" s="530"/>
      <c r="H4" s="531"/>
      <c r="I4" s="531"/>
      <c r="J4" s="531"/>
      <c r="K4" s="496"/>
      <c r="L4" s="495"/>
      <c r="O4" s="494">
        <f>ФОП!G49</f>
        <v>0</v>
      </c>
      <c r="P4" s="499" t="s">
        <v>150</v>
      </c>
      <c r="Q4" s="492"/>
    </row>
    <row r="5" spans="2:26" ht="19.5" thickBot="1" x14ac:dyDescent="0.35">
      <c r="B5" s="519" t="s">
        <v>932</v>
      </c>
      <c r="C5" s="492"/>
      <c r="D5" s="499"/>
      <c r="E5" s="492"/>
      <c r="F5" s="914">
        <f>G5+H5+K5+L5+M5+N5</f>
        <v>1</v>
      </c>
      <c r="G5" s="600">
        <f>'БАЗИ РОЗПОДІЛУ'!$F$15</f>
        <v>0.86929999999999996</v>
      </c>
      <c r="H5" s="600">
        <f>'БАЗИ РОЗПОДІЛУ'!$G$15</f>
        <v>0.11890000000000001</v>
      </c>
      <c r="I5" s="600">
        <f>'БАЗИ РОЗПОДІЛУ'!$H$15</f>
        <v>1.95E-2</v>
      </c>
      <c r="J5" s="600">
        <f>'БАЗИ РОЗПОДІЛУ'!$I$15</f>
        <v>9.9500000000000005E-2</v>
      </c>
      <c r="K5" s="600">
        <f>'БАЗИ РОЗПОДІЛУ'!$J$15</f>
        <v>1.18E-2</v>
      </c>
      <c r="L5" s="882">
        <f>'БАЗИ РОЗПОДІЛУ'!$K$15</f>
        <v>0</v>
      </c>
      <c r="M5" s="882">
        <f>'БАЗИ РОЗПОДІЛУ'!$L$15</f>
        <v>0</v>
      </c>
      <c r="N5" s="882">
        <v>0</v>
      </c>
      <c r="O5" s="2087">
        <f>(21.9*7+15*5)/12</f>
        <v>19</v>
      </c>
      <c r="Q5" s="492"/>
    </row>
    <row r="6" spans="2:26" ht="19.5" thickBot="1" x14ac:dyDescent="0.3">
      <c r="B6" s="3979" t="s">
        <v>8</v>
      </c>
      <c r="C6" s="622" t="s">
        <v>958</v>
      </c>
      <c r="D6" s="622" t="s">
        <v>958</v>
      </c>
      <c r="E6" s="622" t="s">
        <v>968</v>
      </c>
      <c r="F6" s="915" t="s">
        <v>959</v>
      </c>
      <c r="G6" s="3981" t="s">
        <v>933</v>
      </c>
      <c r="H6" s="3982"/>
      <c r="I6" s="3982"/>
      <c r="J6" s="3982"/>
      <c r="K6" s="3982"/>
      <c r="L6" s="3982"/>
      <c r="M6" s="3983"/>
      <c r="N6" s="497"/>
    </row>
    <row r="7" spans="2:26" ht="67.900000000000006" customHeight="1" thickBot="1" x14ac:dyDescent="0.3">
      <c r="B7" s="3980"/>
      <c r="C7" s="622">
        <f>'Вхідні дані'!F8</f>
        <v>2020</v>
      </c>
      <c r="D7" s="622">
        <f>'Вхідні дані'!F7</f>
        <v>2021</v>
      </c>
      <c r="E7" s="632" t="str">
        <f>'Вхідні дані'!F9</f>
        <v xml:space="preserve">Рішення виконавчого комітету Чорноморської міської ради Одеського району Одеської області № 381 від 27.12.2018 </v>
      </c>
      <c r="F7" s="915" t="str">
        <f>'Вхідні дані'!F6</f>
        <v>2022-2023</v>
      </c>
      <c r="G7" s="622" t="s">
        <v>934</v>
      </c>
      <c r="H7" s="622" t="s">
        <v>935</v>
      </c>
      <c r="I7" s="622" t="s">
        <v>1891</v>
      </c>
      <c r="J7" s="622" t="s">
        <v>1902</v>
      </c>
      <c r="K7" s="622" t="s">
        <v>936</v>
      </c>
      <c r="L7" s="622" t="s">
        <v>937</v>
      </c>
      <c r="M7" s="625" t="s">
        <v>956</v>
      </c>
      <c r="N7" s="498" t="s">
        <v>957</v>
      </c>
      <c r="P7" s="2086">
        <f>F8/D8-1</f>
        <v>0.16</v>
      </c>
    </row>
    <row r="8" spans="2:26" ht="18.75" x14ac:dyDescent="0.3">
      <c r="B8" s="500" t="s">
        <v>938</v>
      </c>
      <c r="C8" s="501">
        <f>C9+C20+C38+C24+C36+C37</f>
        <v>1261.71</v>
      </c>
      <c r="D8" s="501">
        <f>D9+D20+D38+D24+D36+D37</f>
        <v>1348.19</v>
      </c>
      <c r="E8" s="501">
        <f>E9+E20+E38+E24+E36+E37</f>
        <v>983.26</v>
      </c>
      <c r="F8" s="501">
        <f>F9+F20+F38+F24+F36+F37</f>
        <v>1568.36</v>
      </c>
      <c r="G8" s="501">
        <f t="shared" ref="G8:N8" si="0">G9+G20+G38+G24+G36+G37</f>
        <v>1363.33</v>
      </c>
      <c r="H8" s="501">
        <f t="shared" si="0"/>
        <v>186.47</v>
      </c>
      <c r="I8" s="501">
        <f>I9+I20+I38+I24+I36+I37</f>
        <v>30.58</v>
      </c>
      <c r="J8" s="501">
        <f t="shared" si="0"/>
        <v>156.06</v>
      </c>
      <c r="K8" s="501">
        <f t="shared" si="0"/>
        <v>18.510000000000002</v>
      </c>
      <c r="L8" s="501">
        <f t="shared" si="0"/>
        <v>0</v>
      </c>
      <c r="M8" s="501">
        <f t="shared" si="0"/>
        <v>0</v>
      </c>
      <c r="N8" s="501">
        <f t="shared" si="0"/>
        <v>0</v>
      </c>
      <c r="O8" s="503"/>
      <c r="S8" s="499">
        <f>F8-G8-H8-K8-L8-M8-N8</f>
        <v>0.05</v>
      </c>
      <c r="T8" s="499">
        <f>H8-I8-J8</f>
        <v>-0.17</v>
      </c>
      <c r="Z8" s="492">
        <v>2019</v>
      </c>
    </row>
    <row r="9" spans="2:26" ht="18.75" x14ac:dyDescent="0.3">
      <c r="B9" s="504" t="s">
        <v>939</v>
      </c>
      <c r="C9" s="505">
        <f>SUM(C10:C19)</f>
        <v>31.97</v>
      </c>
      <c r="D9" s="505">
        <f>SUM(D10:D19)</f>
        <v>32.67</v>
      </c>
      <c r="E9" s="505">
        <f>SUM(E10:E19)</f>
        <v>11.2</v>
      </c>
      <c r="F9" s="505">
        <f>SUM(F10:F19)</f>
        <v>38.659999999999997</v>
      </c>
      <c r="G9" s="505">
        <f t="shared" ref="G9:N9" si="1">SUM(G10:G19)</f>
        <v>33.590000000000003</v>
      </c>
      <c r="H9" s="505">
        <f t="shared" si="1"/>
        <v>4.62</v>
      </c>
      <c r="I9" s="505">
        <f t="shared" si="1"/>
        <v>0.77</v>
      </c>
      <c r="J9" s="505">
        <f t="shared" si="1"/>
        <v>3.84</v>
      </c>
      <c r="K9" s="505">
        <f t="shared" si="1"/>
        <v>0.46</v>
      </c>
      <c r="L9" s="505">
        <f t="shared" si="1"/>
        <v>0</v>
      </c>
      <c r="M9" s="505">
        <f t="shared" si="1"/>
        <v>0</v>
      </c>
      <c r="N9" s="505">
        <f t="shared" si="1"/>
        <v>0</v>
      </c>
      <c r="O9" s="503"/>
      <c r="S9" s="499">
        <f t="shared" ref="S9:S20" si="2">F9-G9-H9-K9-L9-M9-N9</f>
        <v>-0.01</v>
      </c>
      <c r="T9" s="499">
        <f t="shared" ref="T9:T20" si="3">H9-I9-J9</f>
        <v>0.01</v>
      </c>
    </row>
    <row r="10" spans="2:26" ht="18.75" x14ac:dyDescent="0.3">
      <c r="B10" s="506" t="s">
        <v>960</v>
      </c>
      <c r="C10" s="507">
        <f>0.02+7.84</f>
        <v>7.86</v>
      </c>
      <c r="D10" s="507">
        <f>7.86</f>
        <v>7.86</v>
      </c>
      <c r="E10" s="507"/>
      <c r="F10" s="571">
        <f>8.95*'Вхідні дані'!$D$77</f>
        <v>9.5</v>
      </c>
      <c r="G10" s="508">
        <f t="shared" ref="G10:G19" si="4">F10*$G$5</f>
        <v>8.26</v>
      </c>
      <c r="H10" s="509">
        <f t="shared" ref="H10:H19" si="5">F10*$H$5</f>
        <v>1.1299999999999999</v>
      </c>
      <c r="I10" s="509">
        <f>F10*$I$5</f>
        <v>0.19</v>
      </c>
      <c r="J10" s="509">
        <f>F10*$J$5</f>
        <v>0.95</v>
      </c>
      <c r="K10" s="509">
        <f t="shared" ref="K10:K19" si="6">F10*$K$5</f>
        <v>0.11</v>
      </c>
      <c r="L10" s="509">
        <f t="shared" ref="L10:L19" si="7">F10*$L$5</f>
        <v>0</v>
      </c>
      <c r="M10" s="509">
        <f t="shared" ref="M10:M19" si="8">F10*$M$5</f>
        <v>0</v>
      </c>
      <c r="N10" s="509">
        <f t="shared" ref="N10:N19" si="9">F10*$N$5</f>
        <v>0</v>
      </c>
      <c r="O10" s="534" t="s">
        <v>991</v>
      </c>
      <c r="P10" s="620" t="s">
        <v>1328</v>
      </c>
      <c r="Q10" s="620"/>
      <c r="S10" s="499">
        <f t="shared" si="2"/>
        <v>0</v>
      </c>
      <c r="T10" s="499">
        <f t="shared" si="3"/>
        <v>-0.01</v>
      </c>
      <c r="Z10" s="519">
        <v>114.88186</v>
      </c>
    </row>
    <row r="11" spans="2:26" ht="18.75" x14ac:dyDescent="0.3">
      <c r="B11" s="506" t="s">
        <v>961</v>
      </c>
      <c r="C11" s="507">
        <f>2.81+1.75</f>
        <v>4.5599999999999996</v>
      </c>
      <c r="D11" s="507">
        <f>1.33+0.27+0.94+1.8+0.05+0.4+0.28+1.13</f>
        <v>6.2</v>
      </c>
      <c r="E11" s="507">
        <v>11.2</v>
      </c>
      <c r="F11" s="571">
        <f>7.04</f>
        <v>7.04</v>
      </c>
      <c r="G11" s="508">
        <f t="shared" si="4"/>
        <v>6.12</v>
      </c>
      <c r="H11" s="509">
        <f t="shared" si="5"/>
        <v>0.84</v>
      </c>
      <c r="I11" s="509">
        <f t="shared" ref="I11:I19" si="10">F11*$I$5</f>
        <v>0.14000000000000001</v>
      </c>
      <c r="J11" s="509">
        <f t="shared" ref="J11:J19" si="11">F11*$J$5</f>
        <v>0.7</v>
      </c>
      <c r="K11" s="509">
        <f t="shared" si="6"/>
        <v>0.08</v>
      </c>
      <c r="L11" s="509">
        <f t="shared" si="7"/>
        <v>0</v>
      </c>
      <c r="M11" s="509">
        <f t="shared" si="8"/>
        <v>0</v>
      </c>
      <c r="N11" s="509">
        <f t="shared" si="9"/>
        <v>0</v>
      </c>
      <c r="O11" s="534" t="s">
        <v>991</v>
      </c>
      <c r="S11" s="499">
        <f t="shared" si="2"/>
        <v>0</v>
      </c>
      <c r="T11" s="499">
        <f t="shared" si="3"/>
        <v>0</v>
      </c>
      <c r="Z11" s="519">
        <v>4.9000000000000002E-2</v>
      </c>
    </row>
    <row r="12" spans="2:26" ht="18.75" x14ac:dyDescent="0.3">
      <c r="B12" s="506" t="s">
        <v>962</v>
      </c>
      <c r="C12" s="571">
        <f>2.4+0.38</f>
        <v>2.78</v>
      </c>
      <c r="D12" s="507">
        <f>0.48+2.74</f>
        <v>3.22</v>
      </c>
      <c r="E12" s="571"/>
      <c r="F12" s="571">
        <f>3.67*'Вхідні дані'!$D$77</f>
        <v>3.9</v>
      </c>
      <c r="G12" s="508">
        <f>F12*$G$5-0.01</f>
        <v>3.38</v>
      </c>
      <c r="H12" s="509">
        <f t="shared" si="5"/>
        <v>0.46</v>
      </c>
      <c r="I12" s="509">
        <f t="shared" si="10"/>
        <v>0.08</v>
      </c>
      <c r="J12" s="509">
        <f t="shared" si="11"/>
        <v>0.39</v>
      </c>
      <c r="K12" s="509">
        <f t="shared" si="6"/>
        <v>0.05</v>
      </c>
      <c r="L12" s="509">
        <f t="shared" si="7"/>
        <v>0</v>
      </c>
      <c r="M12" s="509">
        <f t="shared" si="8"/>
        <v>0</v>
      </c>
      <c r="N12" s="509">
        <f t="shared" si="9"/>
        <v>0</v>
      </c>
      <c r="O12" s="583" t="s">
        <v>3224</v>
      </c>
      <c r="P12" s="534"/>
      <c r="Q12" s="534"/>
      <c r="R12" s="536"/>
      <c r="S12" s="499">
        <f t="shared" si="2"/>
        <v>0.01</v>
      </c>
      <c r="T12" s="499">
        <f t="shared" si="3"/>
        <v>-0.01</v>
      </c>
      <c r="Z12" s="519">
        <v>36.686070000000001</v>
      </c>
    </row>
    <row r="13" spans="2:26" ht="18" customHeight="1" x14ac:dyDescent="0.3">
      <c r="B13" s="506" t="s">
        <v>2699</v>
      </c>
      <c r="C13" s="507">
        <v>0.32</v>
      </c>
      <c r="D13" s="507">
        <v>0.38</v>
      </c>
      <c r="E13" s="507"/>
      <c r="F13" s="571">
        <f>0.42*'Вхідні дані'!D77</f>
        <v>0.45</v>
      </c>
      <c r="G13" s="508">
        <f>F13*$G$5-0.01</f>
        <v>0.38</v>
      </c>
      <c r="H13" s="509">
        <f t="shared" si="5"/>
        <v>0.05</v>
      </c>
      <c r="I13" s="509">
        <f t="shared" si="10"/>
        <v>0.01</v>
      </c>
      <c r="J13" s="509">
        <f t="shared" si="11"/>
        <v>0.04</v>
      </c>
      <c r="K13" s="509">
        <f t="shared" si="6"/>
        <v>0.01</v>
      </c>
      <c r="L13" s="509">
        <f t="shared" si="7"/>
        <v>0</v>
      </c>
      <c r="M13" s="509">
        <f t="shared" si="8"/>
        <v>0</v>
      </c>
      <c r="N13" s="509">
        <f t="shared" si="9"/>
        <v>0</v>
      </c>
      <c r="O13" s="534" t="s">
        <v>991</v>
      </c>
      <c r="S13" s="499">
        <f t="shared" si="2"/>
        <v>0.01</v>
      </c>
      <c r="T13" s="499">
        <f t="shared" si="3"/>
        <v>0</v>
      </c>
      <c r="Z13" s="519">
        <v>0.73777999999999999</v>
      </c>
    </row>
    <row r="14" spans="2:26" ht="18.75" x14ac:dyDescent="0.3">
      <c r="B14" s="506" t="s">
        <v>941</v>
      </c>
      <c r="C14" s="507">
        <v>0.28000000000000003</v>
      </c>
      <c r="D14" s="507">
        <v>0.66</v>
      </c>
      <c r="E14" s="507"/>
      <c r="F14" s="571">
        <f>0.75*'Вхідні дані'!D77</f>
        <v>0.8</v>
      </c>
      <c r="G14" s="508">
        <f t="shared" si="4"/>
        <v>0.7</v>
      </c>
      <c r="H14" s="509">
        <f t="shared" si="5"/>
        <v>0.1</v>
      </c>
      <c r="I14" s="509">
        <f t="shared" si="10"/>
        <v>0.02</v>
      </c>
      <c r="J14" s="509">
        <f t="shared" si="11"/>
        <v>0.08</v>
      </c>
      <c r="K14" s="509">
        <f t="shared" si="6"/>
        <v>0.01</v>
      </c>
      <c r="L14" s="509">
        <f t="shared" si="7"/>
        <v>0</v>
      </c>
      <c r="M14" s="509">
        <f t="shared" si="8"/>
        <v>0</v>
      </c>
      <c r="N14" s="509">
        <f t="shared" si="9"/>
        <v>0</v>
      </c>
      <c r="O14" s="534" t="s">
        <v>991</v>
      </c>
      <c r="S14" s="499">
        <f t="shared" si="2"/>
        <v>-0.01</v>
      </c>
      <c r="T14" s="499">
        <f t="shared" si="3"/>
        <v>0</v>
      </c>
      <c r="Z14" s="519">
        <v>63.283700000000003</v>
      </c>
    </row>
    <row r="15" spans="2:26" ht="18.75" x14ac:dyDescent="0.3">
      <c r="B15" s="506" t="s">
        <v>963</v>
      </c>
      <c r="C15" s="507">
        <v>7.57</v>
      </c>
      <c r="D15" s="507">
        <v>5.76</v>
      </c>
      <c r="E15" s="507"/>
      <c r="F15" s="571">
        <f>6.54</f>
        <v>6.54</v>
      </c>
      <c r="G15" s="508">
        <f t="shared" si="4"/>
        <v>5.69</v>
      </c>
      <c r="H15" s="509">
        <f t="shared" si="5"/>
        <v>0.78</v>
      </c>
      <c r="I15" s="509">
        <f t="shared" si="10"/>
        <v>0.13</v>
      </c>
      <c r="J15" s="509">
        <f t="shared" si="11"/>
        <v>0.65</v>
      </c>
      <c r="K15" s="509">
        <f t="shared" si="6"/>
        <v>0.08</v>
      </c>
      <c r="L15" s="509">
        <f t="shared" si="7"/>
        <v>0</v>
      </c>
      <c r="M15" s="509">
        <f t="shared" si="8"/>
        <v>0</v>
      </c>
      <c r="N15" s="509">
        <f t="shared" si="9"/>
        <v>0</v>
      </c>
      <c r="O15" s="534" t="s">
        <v>991</v>
      </c>
      <c r="S15" s="499">
        <f t="shared" si="2"/>
        <v>-0.01</v>
      </c>
      <c r="T15" s="499">
        <f t="shared" si="3"/>
        <v>0</v>
      </c>
      <c r="Z15" s="519">
        <v>15.47383</v>
      </c>
    </row>
    <row r="16" spans="2:26" ht="18.75" x14ac:dyDescent="0.3">
      <c r="B16" s="506" t="s">
        <v>964</v>
      </c>
      <c r="C16" s="507"/>
      <c r="D16" s="507"/>
      <c r="E16" s="507"/>
      <c r="F16" s="571">
        <f>D16*'Вхідні дані'!$D$77</f>
        <v>0</v>
      </c>
      <c r="G16" s="508">
        <f t="shared" si="4"/>
        <v>0</v>
      </c>
      <c r="H16" s="509">
        <f t="shared" si="5"/>
        <v>0</v>
      </c>
      <c r="I16" s="509">
        <f t="shared" si="10"/>
        <v>0</v>
      </c>
      <c r="J16" s="509">
        <f t="shared" si="11"/>
        <v>0</v>
      </c>
      <c r="K16" s="509">
        <f t="shared" si="6"/>
        <v>0</v>
      </c>
      <c r="L16" s="509">
        <f t="shared" si="7"/>
        <v>0</v>
      </c>
      <c r="M16" s="509">
        <f t="shared" si="8"/>
        <v>0</v>
      </c>
      <c r="N16" s="509">
        <f t="shared" si="9"/>
        <v>0</v>
      </c>
      <c r="O16" s="534" t="s">
        <v>991</v>
      </c>
      <c r="S16" s="499">
        <f t="shared" si="2"/>
        <v>0</v>
      </c>
      <c r="T16" s="499">
        <f t="shared" si="3"/>
        <v>0</v>
      </c>
      <c r="Z16" s="519">
        <v>3.7607300000000001</v>
      </c>
    </row>
    <row r="17" spans="2:26" ht="18.75" x14ac:dyDescent="0.3">
      <c r="B17" s="506" t="s">
        <v>965</v>
      </c>
      <c r="C17" s="507">
        <v>6.92</v>
      </c>
      <c r="D17" s="507">
        <v>6.89</v>
      </c>
      <c r="E17" s="507"/>
      <c r="F17" s="571">
        <f>7.88*'Вхідні дані'!D77</f>
        <v>8.3699999999999992</v>
      </c>
      <c r="G17" s="508">
        <f>F17*$G$5-0.01</f>
        <v>7.27</v>
      </c>
      <c r="H17" s="509">
        <f>F17*$H$5+0.01</f>
        <v>1.01</v>
      </c>
      <c r="I17" s="509">
        <f t="shared" si="10"/>
        <v>0.16</v>
      </c>
      <c r="J17" s="509">
        <f t="shared" si="11"/>
        <v>0.83</v>
      </c>
      <c r="K17" s="509">
        <f t="shared" si="6"/>
        <v>0.1</v>
      </c>
      <c r="L17" s="509">
        <f t="shared" si="7"/>
        <v>0</v>
      </c>
      <c r="M17" s="509">
        <f t="shared" si="8"/>
        <v>0</v>
      </c>
      <c r="N17" s="509">
        <f t="shared" si="9"/>
        <v>0</v>
      </c>
      <c r="O17" s="534" t="s">
        <v>991</v>
      </c>
      <c r="S17" s="499">
        <f t="shared" si="2"/>
        <v>-0.01</v>
      </c>
      <c r="T17" s="499">
        <f t="shared" si="3"/>
        <v>0.02</v>
      </c>
      <c r="Z17" s="519">
        <v>37.761060000000001</v>
      </c>
    </row>
    <row r="18" spans="2:26" ht="18.75" x14ac:dyDescent="0.3">
      <c r="B18" s="506" t="s">
        <v>966</v>
      </c>
      <c r="C18" s="507">
        <v>1.3</v>
      </c>
      <c r="D18" s="507">
        <v>0.34</v>
      </c>
      <c r="E18" s="507"/>
      <c r="F18" s="571">
        <f>0.39*'Вхідні дані'!D77</f>
        <v>0.41</v>
      </c>
      <c r="G18" s="508">
        <f t="shared" si="4"/>
        <v>0.36</v>
      </c>
      <c r="H18" s="509">
        <f t="shared" si="5"/>
        <v>0.05</v>
      </c>
      <c r="I18" s="509">
        <f t="shared" si="10"/>
        <v>0.01</v>
      </c>
      <c r="J18" s="509">
        <f t="shared" si="11"/>
        <v>0.04</v>
      </c>
      <c r="K18" s="509">
        <f t="shared" si="6"/>
        <v>0</v>
      </c>
      <c r="L18" s="509">
        <f t="shared" si="7"/>
        <v>0</v>
      </c>
      <c r="M18" s="509">
        <f t="shared" si="8"/>
        <v>0</v>
      </c>
      <c r="N18" s="509">
        <f t="shared" si="9"/>
        <v>0</v>
      </c>
      <c r="O18" s="534" t="s">
        <v>991</v>
      </c>
      <c r="S18" s="499">
        <f t="shared" si="2"/>
        <v>0</v>
      </c>
      <c r="T18" s="499">
        <f t="shared" si="3"/>
        <v>0</v>
      </c>
      <c r="Z18" s="519">
        <v>4.5862800000000004</v>
      </c>
    </row>
    <row r="19" spans="2:26" ht="18.75" x14ac:dyDescent="0.3">
      <c r="B19" s="506" t="s">
        <v>967</v>
      </c>
      <c r="C19" s="507">
        <v>0.38</v>
      </c>
      <c r="D19" s="507">
        <v>1.36</v>
      </c>
      <c r="E19" s="507"/>
      <c r="F19" s="571">
        <f>1.55*'Вхідні дані'!D77</f>
        <v>1.65</v>
      </c>
      <c r="G19" s="508">
        <f t="shared" si="4"/>
        <v>1.43</v>
      </c>
      <c r="H19" s="509">
        <f t="shared" si="5"/>
        <v>0.2</v>
      </c>
      <c r="I19" s="509">
        <f t="shared" si="10"/>
        <v>0.03</v>
      </c>
      <c r="J19" s="509">
        <f t="shared" si="11"/>
        <v>0.16</v>
      </c>
      <c r="K19" s="509">
        <f t="shared" si="6"/>
        <v>0.02</v>
      </c>
      <c r="L19" s="509">
        <f t="shared" si="7"/>
        <v>0</v>
      </c>
      <c r="M19" s="509">
        <f t="shared" si="8"/>
        <v>0</v>
      </c>
      <c r="N19" s="509">
        <f t="shared" si="9"/>
        <v>0</v>
      </c>
      <c r="O19" s="534" t="s">
        <v>991</v>
      </c>
      <c r="S19" s="499">
        <f t="shared" si="2"/>
        <v>0</v>
      </c>
      <c r="T19" s="499">
        <f t="shared" si="3"/>
        <v>0.01</v>
      </c>
      <c r="Z19" s="519">
        <v>2.8382800000000001</v>
      </c>
    </row>
    <row r="20" spans="2:26" ht="37.5" x14ac:dyDescent="0.3">
      <c r="B20" s="510" t="s">
        <v>942</v>
      </c>
      <c r="C20" s="505">
        <f>C21+C23</f>
        <v>989.17</v>
      </c>
      <c r="D20" s="505">
        <f t="shared" ref="D20:N20" si="12">D21+D23</f>
        <v>1021.64</v>
      </c>
      <c r="E20" s="505">
        <f t="shared" si="12"/>
        <v>826.9</v>
      </c>
      <c r="F20" s="505">
        <f t="shared" si="12"/>
        <v>1191.46</v>
      </c>
      <c r="G20" s="505">
        <f t="shared" si="12"/>
        <v>1035.74</v>
      </c>
      <c r="H20" s="505">
        <f t="shared" si="12"/>
        <v>141.66</v>
      </c>
      <c r="I20" s="505">
        <f t="shared" si="12"/>
        <v>23.22</v>
      </c>
      <c r="J20" s="505">
        <f t="shared" si="12"/>
        <v>118.56</v>
      </c>
      <c r="K20" s="505">
        <f t="shared" si="12"/>
        <v>14.06</v>
      </c>
      <c r="L20" s="505">
        <f t="shared" si="12"/>
        <v>0</v>
      </c>
      <c r="M20" s="505">
        <f t="shared" si="12"/>
        <v>0</v>
      </c>
      <c r="N20" s="505">
        <f t="shared" si="12"/>
        <v>0</v>
      </c>
      <c r="O20" s="534"/>
      <c r="P20" s="535"/>
      <c r="S20" s="499">
        <f t="shared" si="2"/>
        <v>0</v>
      </c>
      <c r="T20" s="499">
        <f t="shared" si="3"/>
        <v>-0.12</v>
      </c>
    </row>
    <row r="21" spans="2:26" ht="55.5" customHeight="1" x14ac:dyDescent="0.3">
      <c r="B21" s="506" t="s">
        <v>1619</v>
      </c>
      <c r="C21" s="507">
        <v>813.32</v>
      </c>
      <c r="D21" s="507">
        <v>839.58</v>
      </c>
      <c r="E21" s="507">
        <f>393.8+272.8</f>
        <v>666.6</v>
      </c>
      <c r="F21" s="507">
        <f>ФОП!H49/1000</f>
        <v>976.61</v>
      </c>
      <c r="G21" s="508">
        <f>F21*$G$5</f>
        <v>848.97</v>
      </c>
      <c r="H21" s="509">
        <f>F21*$H$5-0.01</f>
        <v>116.11</v>
      </c>
      <c r="I21" s="509">
        <f>F21*$I$5-0.01</f>
        <v>19.03</v>
      </c>
      <c r="J21" s="509">
        <f>F21*$J$5+0.01</f>
        <v>97.18</v>
      </c>
      <c r="K21" s="509">
        <f>F21*$K$5</f>
        <v>11.52</v>
      </c>
      <c r="L21" s="509">
        <f>F21*$L$5</f>
        <v>0</v>
      </c>
      <c r="M21" s="509">
        <f>F21*$M$5</f>
        <v>0</v>
      </c>
      <c r="N21" s="509">
        <f>F21*$N$5</f>
        <v>0</v>
      </c>
      <c r="O21" s="536" t="s">
        <v>1075</v>
      </c>
      <c r="P21" s="535"/>
      <c r="S21" s="499">
        <f t="shared" ref="S21:S27" si="13">F21-G21-H21-K21-L21-M21-N21</f>
        <v>0.01</v>
      </c>
      <c r="T21" s="499">
        <f t="shared" ref="T21:T27" si="14">H21-I21-J21</f>
        <v>-0.1</v>
      </c>
    </row>
    <row r="22" spans="2:26" ht="18.75" hidden="1" x14ac:dyDescent="0.3">
      <c r="B22" s="572" t="s">
        <v>1618</v>
      </c>
      <c r="C22" s="507"/>
      <c r="D22" s="507"/>
      <c r="E22" s="507"/>
      <c r="F22" s="507">
        <f>ФОП!H50/1000</f>
        <v>0</v>
      </c>
      <c r="G22" s="508">
        <f t="shared" ref="G22:G66" si="15">F22*$G$5</f>
        <v>0</v>
      </c>
      <c r="H22" s="509">
        <f t="shared" ref="H22:H66" si="16">F22*$H$5</f>
        <v>0</v>
      </c>
      <c r="I22" s="509">
        <f t="shared" ref="I22:I66" si="17">F22*$I$5</f>
        <v>0</v>
      </c>
      <c r="J22" s="509">
        <f t="shared" ref="J22:J66" si="18">F22*$J$5</f>
        <v>0</v>
      </c>
      <c r="K22" s="509">
        <f t="shared" ref="K22:K66" si="19">F22*$K$5</f>
        <v>0</v>
      </c>
      <c r="L22" s="509">
        <f t="shared" ref="L22:L66" si="20">F22*$L$5</f>
        <v>0</v>
      </c>
      <c r="M22" s="509">
        <f t="shared" ref="M22:M66" si="21">F22*$M$5</f>
        <v>0</v>
      </c>
      <c r="N22" s="509">
        <f t="shared" ref="N22:N66" si="22">F22*$N$5</f>
        <v>0</v>
      </c>
      <c r="O22" s="536" t="s">
        <v>1075</v>
      </c>
      <c r="P22" s="535"/>
      <c r="S22" s="499">
        <f t="shared" si="13"/>
        <v>0</v>
      </c>
      <c r="T22" s="499">
        <f t="shared" si="14"/>
        <v>0</v>
      </c>
    </row>
    <row r="23" spans="2:26" ht="58.5" customHeight="1" x14ac:dyDescent="0.3">
      <c r="B23" s="506" t="s">
        <v>1620</v>
      </c>
      <c r="C23" s="507">
        <v>175.85</v>
      </c>
      <c r="D23" s="507">
        <v>182.06</v>
      </c>
      <c r="E23" s="507">
        <v>160.30000000000001</v>
      </c>
      <c r="F23" s="507">
        <f>(F21-F22)*'Вхідні дані'!D44+F22*'Вхідні дані'!D45</f>
        <v>214.85</v>
      </c>
      <c r="G23" s="508">
        <f>F23*$G$5</f>
        <v>186.77</v>
      </c>
      <c r="H23" s="509">
        <f>F23*$H$5</f>
        <v>25.55</v>
      </c>
      <c r="I23" s="509">
        <f>F23*$I$5</f>
        <v>4.1900000000000004</v>
      </c>
      <c r="J23" s="509">
        <f>F23*$J$5</f>
        <v>21.38</v>
      </c>
      <c r="K23" s="509">
        <f>F23*$K$5</f>
        <v>2.54</v>
      </c>
      <c r="L23" s="509">
        <f t="shared" si="20"/>
        <v>0</v>
      </c>
      <c r="M23" s="509">
        <f t="shared" si="21"/>
        <v>0</v>
      </c>
      <c r="N23" s="509">
        <f t="shared" si="22"/>
        <v>0</v>
      </c>
      <c r="O23" s="536" t="s">
        <v>1075</v>
      </c>
      <c r="P23" s="535" t="s">
        <v>3225</v>
      </c>
      <c r="S23" s="499">
        <f t="shared" si="13"/>
        <v>-0.01</v>
      </c>
      <c r="T23" s="499">
        <f t="shared" si="14"/>
        <v>-0.02</v>
      </c>
    </row>
    <row r="24" spans="2:26" s="511" customFormat="1" ht="75" x14ac:dyDescent="0.3">
      <c r="B24" s="510" t="s">
        <v>945</v>
      </c>
      <c r="C24" s="505">
        <f>SUM(C25:C35)</f>
        <v>48.26</v>
      </c>
      <c r="D24" s="505">
        <f t="shared" ref="D24:N24" si="23">SUM(D25:D35)</f>
        <v>97.07</v>
      </c>
      <c r="E24" s="505">
        <f t="shared" si="23"/>
        <v>120.46</v>
      </c>
      <c r="F24" s="505">
        <f>SUM(F25:F35)</f>
        <v>115.92</v>
      </c>
      <c r="G24" s="505">
        <f t="shared" si="23"/>
        <v>100.77</v>
      </c>
      <c r="H24" s="505">
        <f t="shared" si="23"/>
        <v>13.78</v>
      </c>
      <c r="I24" s="505">
        <f t="shared" si="23"/>
        <v>2.25</v>
      </c>
      <c r="J24" s="505">
        <f t="shared" si="23"/>
        <v>11.52</v>
      </c>
      <c r="K24" s="505">
        <f t="shared" si="23"/>
        <v>1.37</v>
      </c>
      <c r="L24" s="505">
        <f t="shared" si="23"/>
        <v>0</v>
      </c>
      <c r="M24" s="505">
        <f t="shared" si="23"/>
        <v>0</v>
      </c>
      <c r="N24" s="505">
        <f t="shared" si="23"/>
        <v>0</v>
      </c>
      <c r="O24" s="534"/>
      <c r="P24" s="537"/>
      <c r="Q24" s="522"/>
      <c r="S24" s="499">
        <f t="shared" si="13"/>
        <v>0</v>
      </c>
      <c r="T24" s="499">
        <f t="shared" si="14"/>
        <v>0.01</v>
      </c>
      <c r="U24" s="492"/>
      <c r="V24" s="492"/>
    </row>
    <row r="25" spans="2:26" ht="18" customHeight="1" x14ac:dyDescent="0.3">
      <c r="B25" s="512" t="s">
        <v>1330</v>
      </c>
      <c r="C25" s="570">
        <v>25.66</v>
      </c>
      <c r="D25" s="570">
        <f>73.4+0.22+0.03</f>
        <v>73.650000000000006</v>
      </c>
      <c r="E25" s="570">
        <v>83.87</v>
      </c>
      <c r="F25" s="570">
        <f>(83.58+0.24+0.03)</f>
        <v>83.85</v>
      </c>
      <c r="G25" s="508">
        <f t="shared" si="15"/>
        <v>72.89</v>
      </c>
      <c r="H25" s="509">
        <f t="shared" si="16"/>
        <v>9.9700000000000006</v>
      </c>
      <c r="I25" s="509">
        <f t="shared" si="17"/>
        <v>1.64</v>
      </c>
      <c r="J25" s="509">
        <f t="shared" si="18"/>
        <v>8.34</v>
      </c>
      <c r="K25" s="509">
        <f t="shared" si="19"/>
        <v>0.99</v>
      </c>
      <c r="L25" s="509">
        <f t="shared" si="20"/>
        <v>0</v>
      </c>
      <c r="M25" s="509">
        <f t="shared" si="21"/>
        <v>0</v>
      </c>
      <c r="N25" s="509">
        <f t="shared" si="22"/>
        <v>0</v>
      </c>
      <c r="O25" s="535" t="s">
        <v>1513</v>
      </c>
      <c r="P25" s="535"/>
      <c r="Q25" s="522"/>
      <c r="S25" s="499">
        <f t="shared" si="13"/>
        <v>0</v>
      </c>
      <c r="T25" s="499">
        <f t="shared" si="14"/>
        <v>-0.01</v>
      </c>
    </row>
    <row r="26" spans="2:26" ht="18" customHeight="1" x14ac:dyDescent="0.3">
      <c r="B26" s="512" t="s">
        <v>1479</v>
      </c>
      <c r="C26" s="570">
        <v>3.06</v>
      </c>
      <c r="D26" s="570">
        <v>2.98</v>
      </c>
      <c r="E26" s="570">
        <v>3.39</v>
      </c>
      <c r="F26" s="570">
        <f>3.39</f>
        <v>3.39</v>
      </c>
      <c r="G26" s="508">
        <f t="shared" si="15"/>
        <v>2.95</v>
      </c>
      <c r="H26" s="509">
        <f t="shared" si="16"/>
        <v>0.4</v>
      </c>
      <c r="I26" s="509">
        <f>F26*$I$5-0.01</f>
        <v>0.06</v>
      </c>
      <c r="J26" s="509">
        <f t="shared" si="18"/>
        <v>0.34</v>
      </c>
      <c r="K26" s="509">
        <f t="shared" si="19"/>
        <v>0.04</v>
      </c>
      <c r="L26" s="509">
        <f t="shared" si="20"/>
        <v>0</v>
      </c>
      <c r="M26" s="509">
        <f t="shared" si="21"/>
        <v>0</v>
      </c>
      <c r="N26" s="509">
        <f t="shared" si="22"/>
        <v>0</v>
      </c>
      <c r="O26" s="621"/>
      <c r="P26" s="535"/>
      <c r="Q26" s="522"/>
      <c r="S26" s="499">
        <f t="shared" si="13"/>
        <v>0</v>
      </c>
      <c r="T26" s="499">
        <f t="shared" si="14"/>
        <v>0</v>
      </c>
    </row>
    <row r="27" spans="2:26" ht="37.5" x14ac:dyDescent="0.3">
      <c r="B27" s="512" t="s">
        <v>1334</v>
      </c>
      <c r="C27" s="507">
        <f>(0.2+0.7)</f>
        <v>0.9</v>
      </c>
      <c r="D27" s="507">
        <f>0.33+0.74</f>
        <v>1.07</v>
      </c>
      <c r="E27" s="507">
        <f>0.9+0.9</f>
        <v>1.8</v>
      </c>
      <c r="F27" s="570">
        <f>(0.37+0.85)</f>
        <v>1.22</v>
      </c>
      <c r="G27" s="508">
        <f t="shared" si="15"/>
        <v>1.06</v>
      </c>
      <c r="H27" s="509">
        <f t="shared" si="16"/>
        <v>0.15</v>
      </c>
      <c r="I27" s="509">
        <f t="shared" si="17"/>
        <v>0.02</v>
      </c>
      <c r="J27" s="509">
        <f t="shared" si="18"/>
        <v>0.12</v>
      </c>
      <c r="K27" s="509">
        <f>F27*$K$5</f>
        <v>0.01</v>
      </c>
      <c r="L27" s="509">
        <f t="shared" si="20"/>
        <v>0</v>
      </c>
      <c r="M27" s="509">
        <f t="shared" si="21"/>
        <v>0</v>
      </c>
      <c r="N27" s="509">
        <f t="shared" si="22"/>
        <v>0</v>
      </c>
      <c r="O27" s="583" t="s">
        <v>1801</v>
      </c>
      <c r="P27" s="534"/>
      <c r="Q27" s="537"/>
      <c r="S27" s="499">
        <f t="shared" si="13"/>
        <v>0</v>
      </c>
      <c r="T27" s="499">
        <f t="shared" si="14"/>
        <v>0.01</v>
      </c>
    </row>
    <row r="28" spans="2:26" ht="18.75" x14ac:dyDescent="0.3">
      <c r="B28" s="512" t="s">
        <v>946</v>
      </c>
      <c r="C28" s="509">
        <f>14.58</f>
        <v>14.58</v>
      </c>
      <c r="D28" s="509">
        <f>15.4</f>
        <v>15.4</v>
      </c>
      <c r="E28" s="509">
        <v>31.4</v>
      </c>
      <c r="F28" s="570">
        <f>'Д 9_ЕЕ'!D169</f>
        <v>19.12</v>
      </c>
      <c r="G28" s="508">
        <f t="shared" si="15"/>
        <v>16.62</v>
      </c>
      <c r="H28" s="509">
        <f t="shared" si="16"/>
        <v>2.27</v>
      </c>
      <c r="I28" s="509">
        <f t="shared" si="17"/>
        <v>0.37</v>
      </c>
      <c r="J28" s="509">
        <f t="shared" si="18"/>
        <v>1.9</v>
      </c>
      <c r="K28" s="509">
        <f t="shared" si="19"/>
        <v>0.23</v>
      </c>
      <c r="L28" s="509">
        <f t="shared" si="20"/>
        <v>0</v>
      </c>
      <c r="M28" s="509">
        <f t="shared" si="21"/>
        <v>0</v>
      </c>
      <c r="N28" s="509">
        <f t="shared" si="22"/>
        <v>0</v>
      </c>
      <c r="O28" s="538" t="s">
        <v>1623</v>
      </c>
      <c r="S28" s="499">
        <f t="shared" ref="S28:S37" si="24">F28-G28-H28-K28-L28-M28-N28</f>
        <v>0</v>
      </c>
      <c r="T28" s="499">
        <f t="shared" ref="T28:T37" si="25">H28-I28-J28</f>
        <v>0</v>
      </c>
    </row>
    <row r="29" spans="2:26" ht="18.75" hidden="1" x14ac:dyDescent="0.3">
      <c r="B29" s="512" t="s">
        <v>947</v>
      </c>
      <c r="C29" s="509"/>
      <c r="D29" s="509"/>
      <c r="E29" s="509"/>
      <c r="F29" s="570"/>
      <c r="G29" s="508">
        <f t="shared" si="15"/>
        <v>0</v>
      </c>
      <c r="H29" s="509">
        <f t="shared" si="16"/>
        <v>0</v>
      </c>
      <c r="I29" s="509">
        <f t="shared" si="17"/>
        <v>0</v>
      </c>
      <c r="J29" s="509">
        <f t="shared" si="18"/>
        <v>0</v>
      </c>
      <c r="K29" s="509">
        <f t="shared" si="19"/>
        <v>0</v>
      </c>
      <c r="L29" s="509">
        <f t="shared" si="20"/>
        <v>0</v>
      </c>
      <c r="M29" s="509">
        <f t="shared" si="21"/>
        <v>0</v>
      </c>
      <c r="N29" s="509">
        <f t="shared" si="22"/>
        <v>0</v>
      </c>
      <c r="O29" s="538"/>
      <c r="S29" s="499">
        <f t="shared" si="24"/>
        <v>0</v>
      </c>
      <c r="T29" s="499">
        <f t="shared" si="25"/>
        <v>0</v>
      </c>
    </row>
    <row r="30" spans="2:26" ht="18.75" x14ac:dyDescent="0.3">
      <c r="B30" s="512" t="s">
        <v>1340</v>
      </c>
      <c r="C30" s="509">
        <v>0.64</v>
      </c>
      <c r="D30" s="509">
        <v>0.79</v>
      </c>
      <c r="E30" s="509"/>
      <c r="F30" s="570">
        <f>[43]Лист1!$G$24</f>
        <v>4.74</v>
      </c>
      <c r="G30" s="508">
        <f t="shared" si="15"/>
        <v>4.12</v>
      </c>
      <c r="H30" s="509">
        <f t="shared" si="16"/>
        <v>0.56000000000000005</v>
      </c>
      <c r="I30" s="509">
        <f t="shared" si="17"/>
        <v>0.09</v>
      </c>
      <c r="J30" s="509">
        <f t="shared" si="18"/>
        <v>0.47</v>
      </c>
      <c r="K30" s="509">
        <f t="shared" si="19"/>
        <v>0.06</v>
      </c>
      <c r="L30" s="509">
        <f t="shared" si="20"/>
        <v>0</v>
      </c>
      <c r="M30" s="509">
        <f t="shared" si="21"/>
        <v>0</v>
      </c>
      <c r="N30" s="509">
        <f t="shared" si="22"/>
        <v>0</v>
      </c>
      <c r="O30" s="538"/>
      <c r="S30" s="499">
        <f t="shared" si="24"/>
        <v>0</v>
      </c>
      <c r="T30" s="499">
        <f t="shared" si="25"/>
        <v>0</v>
      </c>
    </row>
    <row r="31" spans="2:26" ht="18.75" x14ac:dyDescent="0.3">
      <c r="B31" s="512" t="s">
        <v>1341</v>
      </c>
      <c r="C31" s="509">
        <v>1.94</v>
      </c>
      <c r="D31" s="509">
        <v>1.56</v>
      </c>
      <c r="E31" s="509"/>
      <c r="F31" s="570">
        <f>(1.75)</f>
        <v>1.75</v>
      </c>
      <c r="G31" s="508">
        <f t="shared" si="15"/>
        <v>1.52</v>
      </c>
      <c r="H31" s="509">
        <f t="shared" si="16"/>
        <v>0.21</v>
      </c>
      <c r="I31" s="509">
        <f t="shared" si="17"/>
        <v>0.03</v>
      </c>
      <c r="J31" s="509">
        <f t="shared" si="18"/>
        <v>0.17</v>
      </c>
      <c r="K31" s="509">
        <f t="shared" si="19"/>
        <v>0.02</v>
      </c>
      <c r="L31" s="509">
        <f t="shared" si="20"/>
        <v>0</v>
      </c>
      <c r="M31" s="509">
        <f t="shared" si="21"/>
        <v>0</v>
      </c>
      <c r="N31" s="509">
        <f t="shared" si="22"/>
        <v>0</v>
      </c>
      <c r="O31" s="538"/>
      <c r="S31" s="499">
        <f t="shared" si="24"/>
        <v>0</v>
      </c>
      <c r="T31" s="499">
        <f t="shared" si="25"/>
        <v>0.01</v>
      </c>
    </row>
    <row r="32" spans="2:26" ht="18.75" x14ac:dyDescent="0.3">
      <c r="B32" s="512" t="s">
        <v>1342</v>
      </c>
      <c r="C32" s="509">
        <v>1.48</v>
      </c>
      <c r="D32" s="509">
        <v>1.62</v>
      </c>
      <c r="E32" s="509"/>
      <c r="F32" s="570">
        <f>(1.85)</f>
        <v>1.85</v>
      </c>
      <c r="G32" s="508">
        <f t="shared" si="15"/>
        <v>1.61</v>
      </c>
      <c r="H32" s="509">
        <f t="shared" si="16"/>
        <v>0.22</v>
      </c>
      <c r="I32" s="509">
        <f t="shared" si="17"/>
        <v>0.04</v>
      </c>
      <c r="J32" s="509">
        <f t="shared" si="18"/>
        <v>0.18</v>
      </c>
      <c r="K32" s="509">
        <f t="shared" si="19"/>
        <v>0.02</v>
      </c>
      <c r="L32" s="509">
        <f t="shared" si="20"/>
        <v>0</v>
      </c>
      <c r="M32" s="509">
        <f t="shared" si="21"/>
        <v>0</v>
      </c>
      <c r="N32" s="509">
        <f t="shared" si="22"/>
        <v>0</v>
      </c>
      <c r="O32" s="538"/>
      <c r="S32" s="499">
        <f t="shared" si="24"/>
        <v>0</v>
      </c>
      <c r="T32" s="499">
        <f t="shared" si="25"/>
        <v>0</v>
      </c>
    </row>
    <row r="33" spans="1:24" ht="18.75" hidden="1" x14ac:dyDescent="0.3">
      <c r="B33" s="512" t="s">
        <v>1343</v>
      </c>
      <c r="C33" s="509"/>
      <c r="D33" s="509"/>
      <c r="E33" s="509"/>
      <c r="F33" s="570">
        <v>0</v>
      </c>
      <c r="G33" s="508">
        <f t="shared" si="15"/>
        <v>0</v>
      </c>
      <c r="H33" s="509">
        <f t="shared" si="16"/>
        <v>0</v>
      </c>
      <c r="I33" s="509">
        <f t="shared" si="17"/>
        <v>0</v>
      </c>
      <c r="J33" s="509">
        <f t="shared" si="18"/>
        <v>0</v>
      </c>
      <c r="K33" s="509">
        <f t="shared" si="19"/>
        <v>0</v>
      </c>
      <c r="L33" s="509">
        <f t="shared" si="20"/>
        <v>0</v>
      </c>
      <c r="M33" s="509">
        <f t="shared" si="21"/>
        <v>0</v>
      </c>
      <c r="N33" s="509">
        <f t="shared" si="22"/>
        <v>0</v>
      </c>
      <c r="O33" s="538"/>
      <c r="S33" s="499">
        <f t="shared" si="24"/>
        <v>0</v>
      </c>
      <c r="T33" s="499">
        <f t="shared" si="25"/>
        <v>0</v>
      </c>
    </row>
    <row r="34" spans="1:24" ht="18.75" hidden="1" x14ac:dyDescent="0.3">
      <c r="B34" s="512" t="s">
        <v>1344</v>
      </c>
      <c r="C34" s="509"/>
      <c r="D34" s="509"/>
      <c r="E34" s="509"/>
      <c r="F34" s="570">
        <v>0</v>
      </c>
      <c r="G34" s="508">
        <f t="shared" si="15"/>
        <v>0</v>
      </c>
      <c r="H34" s="509">
        <f t="shared" si="16"/>
        <v>0</v>
      </c>
      <c r="I34" s="509">
        <f t="shared" si="17"/>
        <v>0</v>
      </c>
      <c r="J34" s="509">
        <f t="shared" si="18"/>
        <v>0</v>
      </c>
      <c r="K34" s="509">
        <f t="shared" si="19"/>
        <v>0</v>
      </c>
      <c r="L34" s="509">
        <f t="shared" si="20"/>
        <v>0</v>
      </c>
      <c r="M34" s="509">
        <f t="shared" si="21"/>
        <v>0</v>
      </c>
      <c r="N34" s="509">
        <f t="shared" si="22"/>
        <v>0</v>
      </c>
      <c r="O34" s="538"/>
      <c r="S34" s="499">
        <f t="shared" si="24"/>
        <v>0</v>
      </c>
      <c r="T34" s="499">
        <f t="shared" si="25"/>
        <v>0</v>
      </c>
    </row>
    <row r="35" spans="1:24" ht="18.75" hidden="1" x14ac:dyDescent="0.3">
      <c r="B35" s="512" t="s">
        <v>1345</v>
      </c>
      <c r="C35" s="507"/>
      <c r="D35" s="507"/>
      <c r="E35" s="507"/>
      <c r="F35" s="570">
        <v>0</v>
      </c>
      <c r="G35" s="508">
        <f t="shared" si="15"/>
        <v>0</v>
      </c>
      <c r="H35" s="509">
        <f t="shared" si="16"/>
        <v>0</v>
      </c>
      <c r="I35" s="509">
        <f t="shared" si="17"/>
        <v>0</v>
      </c>
      <c r="J35" s="509">
        <f t="shared" si="18"/>
        <v>0</v>
      </c>
      <c r="K35" s="509">
        <f t="shared" si="19"/>
        <v>0</v>
      </c>
      <c r="L35" s="509">
        <f t="shared" si="20"/>
        <v>0</v>
      </c>
      <c r="M35" s="509">
        <f t="shared" si="21"/>
        <v>0</v>
      </c>
      <c r="N35" s="509">
        <f t="shared" si="22"/>
        <v>0</v>
      </c>
      <c r="O35" s="538"/>
      <c r="S35" s="499">
        <f t="shared" si="24"/>
        <v>0</v>
      </c>
      <c r="T35" s="499">
        <f t="shared" si="25"/>
        <v>0</v>
      </c>
    </row>
    <row r="36" spans="1:24" s="511" customFormat="1" ht="37.5" x14ac:dyDescent="0.3">
      <c r="A36" s="492"/>
      <c r="B36" s="510" t="s">
        <v>1621</v>
      </c>
      <c r="C36" s="513">
        <v>19.77</v>
      </c>
      <c r="D36" s="513">
        <v>21.75</v>
      </c>
      <c r="E36" s="513">
        <v>12.2</v>
      </c>
      <c r="F36" s="513">
        <f>[50]TDSheet!$H$11</f>
        <v>24.78</v>
      </c>
      <c r="G36" s="1516">
        <f t="shared" si="15"/>
        <v>21.54</v>
      </c>
      <c r="H36" s="505">
        <f t="shared" si="16"/>
        <v>2.95</v>
      </c>
      <c r="I36" s="505">
        <f>F36*$I$5</f>
        <v>0.48</v>
      </c>
      <c r="J36" s="505">
        <f t="shared" si="18"/>
        <v>2.4700000000000002</v>
      </c>
      <c r="K36" s="505">
        <f t="shared" si="19"/>
        <v>0.28999999999999998</v>
      </c>
      <c r="L36" s="505">
        <f t="shared" si="20"/>
        <v>0</v>
      </c>
      <c r="M36" s="505">
        <f t="shared" si="21"/>
        <v>0</v>
      </c>
      <c r="N36" s="505">
        <f t="shared" si="22"/>
        <v>0</v>
      </c>
      <c r="O36" s="628"/>
      <c r="P36" s="538"/>
      <c r="Q36" s="538"/>
      <c r="R36" s="538"/>
      <c r="S36" s="499">
        <f t="shared" si="24"/>
        <v>0</v>
      </c>
      <c r="T36" s="499">
        <f t="shared" si="25"/>
        <v>0</v>
      </c>
      <c r="U36" s="492"/>
    </row>
    <row r="37" spans="1:24" s="511" customFormat="1" ht="56.25" hidden="1" x14ac:dyDescent="0.3">
      <c r="A37" s="492"/>
      <c r="B37" s="510" t="s">
        <v>1622</v>
      </c>
      <c r="C37" s="513">
        <v>0</v>
      </c>
      <c r="D37" s="513">
        <v>0</v>
      </c>
      <c r="E37" s="513">
        <v>0</v>
      </c>
      <c r="F37" s="513">
        <v>0</v>
      </c>
      <c r="G37" s="508">
        <f t="shared" si="15"/>
        <v>0</v>
      </c>
      <c r="H37" s="509">
        <f t="shared" si="16"/>
        <v>0</v>
      </c>
      <c r="I37" s="509">
        <f t="shared" si="17"/>
        <v>0</v>
      </c>
      <c r="J37" s="509">
        <f t="shared" si="18"/>
        <v>0</v>
      </c>
      <c r="K37" s="509">
        <f t="shared" si="19"/>
        <v>0</v>
      </c>
      <c r="L37" s="509">
        <f t="shared" si="20"/>
        <v>0</v>
      </c>
      <c r="M37" s="509">
        <f t="shared" si="21"/>
        <v>0</v>
      </c>
      <c r="N37" s="509">
        <f t="shared" si="22"/>
        <v>0</v>
      </c>
      <c r="O37" s="503"/>
      <c r="P37" s="3984"/>
      <c r="Q37" s="3984"/>
      <c r="R37" s="3984"/>
      <c r="S37" s="499">
        <f t="shared" si="24"/>
        <v>0</v>
      </c>
      <c r="T37" s="499">
        <f t="shared" si="25"/>
        <v>0</v>
      </c>
      <c r="U37" s="492"/>
    </row>
    <row r="38" spans="1:24" ht="18.75" x14ac:dyDescent="0.3">
      <c r="B38" s="510" t="s">
        <v>948</v>
      </c>
      <c r="C38" s="513">
        <f>SUM(C39:C66)</f>
        <v>172.54</v>
      </c>
      <c r="D38" s="513">
        <f>SUM(D39:D66)</f>
        <v>175.06</v>
      </c>
      <c r="E38" s="513">
        <f>SUM(E39:E66)</f>
        <v>12.5</v>
      </c>
      <c r="F38" s="513">
        <f>SUM(F39:F66)</f>
        <v>197.54</v>
      </c>
      <c r="G38" s="513">
        <f t="shared" ref="G38:K38" si="26">SUM(G39:G66)</f>
        <v>171.69</v>
      </c>
      <c r="H38" s="513">
        <f t="shared" si="26"/>
        <v>23.46</v>
      </c>
      <c r="I38" s="513">
        <f t="shared" si="26"/>
        <v>3.86</v>
      </c>
      <c r="J38" s="513">
        <f t="shared" si="26"/>
        <v>19.670000000000002</v>
      </c>
      <c r="K38" s="513">
        <f t="shared" si="26"/>
        <v>2.33</v>
      </c>
      <c r="L38" s="505">
        <f t="shared" si="20"/>
        <v>0</v>
      </c>
      <c r="M38" s="505">
        <f t="shared" si="21"/>
        <v>0</v>
      </c>
      <c r="N38" s="505">
        <f t="shared" si="22"/>
        <v>0</v>
      </c>
      <c r="O38" s="503"/>
      <c r="P38" s="522"/>
      <c r="Q38" s="522"/>
      <c r="R38" s="514"/>
      <c r="S38" s="499">
        <f>F38-G38-H38-K38-L38-M38-N38</f>
        <v>0.06</v>
      </c>
      <c r="T38" s="499">
        <f>H38-I38-J38</f>
        <v>-7.0000000000000007E-2</v>
      </c>
      <c r="U38" s="514"/>
      <c r="V38" s="514"/>
      <c r="W38" s="514"/>
      <c r="X38" s="514"/>
    </row>
    <row r="39" spans="1:24" ht="19.5" thickBot="1" x14ac:dyDescent="0.35">
      <c r="B39" s="3541" t="s">
        <v>3215</v>
      </c>
      <c r="C39" s="575">
        <f>21.74+0.02</f>
        <v>21.76</v>
      </c>
      <c r="D39" s="575">
        <f>28.2+0.06</f>
        <v>28.26</v>
      </c>
      <c r="E39" s="575"/>
      <c r="F39" s="575">
        <f>F21*3.5%</f>
        <v>34.18</v>
      </c>
      <c r="G39" s="605">
        <f t="shared" si="15"/>
        <v>29.71</v>
      </c>
      <c r="H39" s="517">
        <f t="shared" si="16"/>
        <v>4.0599999999999996</v>
      </c>
      <c r="I39" s="517">
        <f>F39*$I$5</f>
        <v>0.67</v>
      </c>
      <c r="J39" s="517">
        <f>F39*$J$5</f>
        <v>3.4</v>
      </c>
      <c r="K39" s="517">
        <f t="shared" si="19"/>
        <v>0.4</v>
      </c>
      <c r="L39" s="517">
        <f t="shared" si="20"/>
        <v>0</v>
      </c>
      <c r="M39" s="517">
        <f t="shared" si="21"/>
        <v>0</v>
      </c>
      <c r="N39" s="509">
        <f t="shared" si="22"/>
        <v>0</v>
      </c>
      <c r="O39" s="538"/>
      <c r="P39" s="522"/>
      <c r="Q39" s="522"/>
      <c r="R39" s="514"/>
      <c r="S39" s="499">
        <f t="shared" ref="S39:S50" si="27">F39-G39-H39-K39-L39-M39-N39</f>
        <v>0.01</v>
      </c>
      <c r="T39" s="499">
        <f t="shared" ref="T39:T50" si="28">H39-I39-J39</f>
        <v>-0.01</v>
      </c>
      <c r="U39" s="514"/>
      <c r="V39" s="514"/>
      <c r="W39" s="514"/>
      <c r="X39" s="514"/>
    </row>
    <row r="40" spans="1:24" ht="18.75" customHeight="1" x14ac:dyDescent="0.3">
      <c r="B40" s="3538" t="s">
        <v>1348</v>
      </c>
      <c r="C40" s="3539">
        <f>1.4+0.14</f>
        <v>1.54</v>
      </c>
      <c r="D40" s="3539">
        <f>0.58+0.5</f>
        <v>1.08</v>
      </c>
      <c r="E40" s="3539">
        <v>1.7</v>
      </c>
      <c r="F40" s="3539">
        <f>(0.59+0.68)</f>
        <v>1.27</v>
      </c>
      <c r="G40" s="3376">
        <f t="shared" si="15"/>
        <v>1.1000000000000001</v>
      </c>
      <c r="H40" s="3540">
        <f t="shared" si="16"/>
        <v>0.15</v>
      </c>
      <c r="I40" s="3540">
        <f>F40*$I$5</f>
        <v>0.02</v>
      </c>
      <c r="J40" s="3540">
        <f t="shared" si="18"/>
        <v>0.13</v>
      </c>
      <c r="K40" s="3540">
        <f t="shared" si="19"/>
        <v>0.01</v>
      </c>
      <c r="L40" s="3540">
        <f t="shared" si="20"/>
        <v>0</v>
      </c>
      <c r="M40" s="3540">
        <f t="shared" si="21"/>
        <v>0</v>
      </c>
      <c r="N40" s="509">
        <f t="shared" si="22"/>
        <v>0</v>
      </c>
      <c r="O40" s="538"/>
      <c r="S40" s="499">
        <f t="shared" si="27"/>
        <v>0.01</v>
      </c>
      <c r="T40" s="499">
        <f t="shared" si="28"/>
        <v>0</v>
      </c>
    </row>
    <row r="41" spans="1:24" ht="18" customHeight="1" x14ac:dyDescent="0.3">
      <c r="B41" s="515" t="s">
        <v>3181</v>
      </c>
      <c r="C41" s="507">
        <v>0.36</v>
      </c>
      <c r="D41" s="507">
        <v>0.27</v>
      </c>
      <c r="E41" s="507">
        <v>0.3</v>
      </c>
      <c r="F41" s="507">
        <f>[43]Лист1!$G$19</f>
        <v>0.21</v>
      </c>
      <c r="G41" s="508">
        <f t="shared" si="15"/>
        <v>0.18</v>
      </c>
      <c r="H41" s="509">
        <f t="shared" si="16"/>
        <v>0.02</v>
      </c>
      <c r="I41" s="509">
        <f>F41*$I$5+0.01</f>
        <v>0.01</v>
      </c>
      <c r="J41" s="509">
        <f t="shared" si="18"/>
        <v>0.02</v>
      </c>
      <c r="K41" s="509">
        <f t="shared" si="19"/>
        <v>0</v>
      </c>
      <c r="L41" s="509">
        <f t="shared" si="20"/>
        <v>0</v>
      </c>
      <c r="M41" s="509">
        <f t="shared" si="21"/>
        <v>0</v>
      </c>
      <c r="N41" s="509">
        <f t="shared" si="22"/>
        <v>0</v>
      </c>
      <c r="O41" s="538"/>
      <c r="P41" s="503"/>
      <c r="S41" s="499">
        <f t="shared" si="27"/>
        <v>0.01</v>
      </c>
      <c r="T41" s="499">
        <f t="shared" si="28"/>
        <v>-0.01</v>
      </c>
    </row>
    <row r="42" spans="1:24" ht="18.75" customHeight="1" x14ac:dyDescent="0.3">
      <c r="B42" s="515" t="s">
        <v>1524</v>
      </c>
      <c r="C42" s="507">
        <v>1.94</v>
      </c>
      <c r="D42" s="507">
        <v>2.58</v>
      </c>
      <c r="E42" s="507"/>
      <c r="F42" s="3293">
        <f>2.94</f>
        <v>2.94</v>
      </c>
      <c r="G42" s="508">
        <f t="shared" si="15"/>
        <v>2.56</v>
      </c>
      <c r="H42" s="509">
        <f t="shared" si="16"/>
        <v>0.35</v>
      </c>
      <c r="I42" s="509">
        <f t="shared" si="17"/>
        <v>0.06</v>
      </c>
      <c r="J42" s="509">
        <f t="shared" si="18"/>
        <v>0.28999999999999998</v>
      </c>
      <c r="K42" s="509">
        <f t="shared" si="19"/>
        <v>0.03</v>
      </c>
      <c r="L42" s="509">
        <f t="shared" si="20"/>
        <v>0</v>
      </c>
      <c r="M42" s="509">
        <f t="shared" si="21"/>
        <v>0</v>
      </c>
      <c r="N42" s="509">
        <f t="shared" si="22"/>
        <v>0</v>
      </c>
      <c r="O42" s="492"/>
      <c r="P42" s="503"/>
      <c r="S42" s="499">
        <f t="shared" si="27"/>
        <v>0</v>
      </c>
      <c r="T42" s="499">
        <f t="shared" si="28"/>
        <v>0</v>
      </c>
    </row>
    <row r="43" spans="1:24" ht="18.75" customHeight="1" x14ac:dyDescent="0.3">
      <c r="B43" s="515" t="s">
        <v>1827</v>
      </c>
      <c r="C43" s="507">
        <v>4.7699999999999996</v>
      </c>
      <c r="D43" s="507">
        <v>2.74</v>
      </c>
      <c r="E43" s="507"/>
      <c r="F43" s="507">
        <f>D43</f>
        <v>2.74</v>
      </c>
      <c r="G43" s="508">
        <f t="shared" si="15"/>
        <v>2.38</v>
      </c>
      <c r="H43" s="509">
        <f t="shared" si="16"/>
        <v>0.33</v>
      </c>
      <c r="I43" s="509">
        <f>F43*$I$5+0.01</f>
        <v>0.06</v>
      </c>
      <c r="J43" s="509">
        <f t="shared" si="18"/>
        <v>0.27</v>
      </c>
      <c r="K43" s="509">
        <f t="shared" si="19"/>
        <v>0.03</v>
      </c>
      <c r="L43" s="509">
        <f t="shared" si="20"/>
        <v>0</v>
      </c>
      <c r="M43" s="509">
        <f t="shared" si="21"/>
        <v>0</v>
      </c>
      <c r="N43" s="509">
        <f t="shared" si="22"/>
        <v>0</v>
      </c>
      <c r="O43" s="492"/>
      <c r="P43" s="503"/>
      <c r="S43" s="499">
        <f t="shared" si="27"/>
        <v>0</v>
      </c>
      <c r="T43" s="499">
        <f t="shared" si="28"/>
        <v>0</v>
      </c>
    </row>
    <row r="44" spans="1:24" ht="18.75" customHeight="1" x14ac:dyDescent="0.3">
      <c r="B44" s="515" t="s">
        <v>1476</v>
      </c>
      <c r="C44" s="507">
        <v>0.13</v>
      </c>
      <c r="D44" s="507">
        <v>0.34</v>
      </c>
      <c r="E44" s="507"/>
      <c r="F44" s="507">
        <f>0.37</f>
        <v>0.37</v>
      </c>
      <c r="G44" s="508">
        <f t="shared" si="15"/>
        <v>0.32</v>
      </c>
      <c r="H44" s="509">
        <f t="shared" si="16"/>
        <v>0.04</v>
      </c>
      <c r="I44" s="509">
        <f t="shared" si="17"/>
        <v>0.01</v>
      </c>
      <c r="J44" s="509">
        <f t="shared" si="18"/>
        <v>0.04</v>
      </c>
      <c r="K44" s="509">
        <f t="shared" si="19"/>
        <v>0</v>
      </c>
      <c r="L44" s="509">
        <f t="shared" si="20"/>
        <v>0</v>
      </c>
      <c r="M44" s="509">
        <f t="shared" si="21"/>
        <v>0</v>
      </c>
      <c r="N44" s="509">
        <f t="shared" si="22"/>
        <v>0</v>
      </c>
      <c r="O44" s="492"/>
      <c r="P44" s="503"/>
      <c r="S44" s="499">
        <f t="shared" si="27"/>
        <v>0.01</v>
      </c>
      <c r="T44" s="499">
        <f t="shared" si="28"/>
        <v>-0.01</v>
      </c>
    </row>
    <row r="45" spans="1:24" ht="18.75" hidden="1" customHeight="1" x14ac:dyDescent="0.3">
      <c r="B45" s="515" t="s">
        <v>1477</v>
      </c>
      <c r="C45" s="507"/>
      <c r="D45" s="507"/>
      <c r="E45" s="507"/>
      <c r="F45" s="507">
        <v>0</v>
      </c>
      <c r="G45" s="508">
        <f t="shared" si="15"/>
        <v>0</v>
      </c>
      <c r="H45" s="509">
        <f t="shared" si="16"/>
        <v>0</v>
      </c>
      <c r="I45" s="509">
        <f t="shared" si="17"/>
        <v>0</v>
      </c>
      <c r="J45" s="509">
        <f t="shared" si="18"/>
        <v>0</v>
      </c>
      <c r="K45" s="509">
        <f t="shared" si="19"/>
        <v>0</v>
      </c>
      <c r="L45" s="509">
        <f t="shared" si="20"/>
        <v>0</v>
      </c>
      <c r="M45" s="509">
        <f t="shared" si="21"/>
        <v>0</v>
      </c>
      <c r="N45" s="509">
        <f t="shared" si="22"/>
        <v>0</v>
      </c>
      <c r="O45" s="492"/>
      <c r="P45" s="503"/>
      <c r="S45" s="499">
        <f t="shared" si="27"/>
        <v>0</v>
      </c>
      <c r="T45" s="499">
        <f t="shared" si="28"/>
        <v>0</v>
      </c>
    </row>
    <row r="46" spans="1:24" ht="18.75" hidden="1" customHeight="1" x14ac:dyDescent="0.3">
      <c r="B46" s="515" t="s">
        <v>1480</v>
      </c>
      <c r="C46" s="507"/>
      <c r="D46" s="507"/>
      <c r="E46" s="507"/>
      <c r="F46" s="507">
        <f>D46</f>
        <v>0</v>
      </c>
      <c r="G46" s="508">
        <f t="shared" si="15"/>
        <v>0</v>
      </c>
      <c r="H46" s="509">
        <f t="shared" si="16"/>
        <v>0</v>
      </c>
      <c r="I46" s="509">
        <f t="shared" si="17"/>
        <v>0</v>
      </c>
      <c r="J46" s="509">
        <f t="shared" si="18"/>
        <v>0</v>
      </c>
      <c r="K46" s="509">
        <f t="shared" si="19"/>
        <v>0</v>
      </c>
      <c r="L46" s="509">
        <f t="shared" si="20"/>
        <v>0</v>
      </c>
      <c r="M46" s="509">
        <f t="shared" si="21"/>
        <v>0</v>
      </c>
      <c r="N46" s="509">
        <f t="shared" si="22"/>
        <v>0</v>
      </c>
      <c r="O46" s="492"/>
      <c r="P46" s="503"/>
      <c r="S46" s="499">
        <f t="shared" si="27"/>
        <v>0</v>
      </c>
      <c r="T46" s="499">
        <f t="shared" si="28"/>
        <v>0</v>
      </c>
    </row>
    <row r="47" spans="1:24" ht="18.75" customHeight="1" x14ac:dyDescent="0.3">
      <c r="B47" s="515" t="s">
        <v>1478</v>
      </c>
      <c r="C47" s="507">
        <v>2.2400000000000002</v>
      </c>
      <c r="D47" s="507">
        <v>1.2</v>
      </c>
      <c r="E47" s="507">
        <v>4.4000000000000004</v>
      </c>
      <c r="F47" s="507">
        <f>1.34</f>
        <v>1.34</v>
      </c>
      <c r="G47" s="508">
        <f t="shared" si="15"/>
        <v>1.1599999999999999</v>
      </c>
      <c r="H47" s="509">
        <f t="shared" si="16"/>
        <v>0.16</v>
      </c>
      <c r="I47" s="509">
        <f t="shared" si="17"/>
        <v>0.03</v>
      </c>
      <c r="J47" s="509">
        <f>F47*$J$5-0.01</f>
        <v>0.12</v>
      </c>
      <c r="K47" s="509">
        <f t="shared" si="19"/>
        <v>0.02</v>
      </c>
      <c r="L47" s="509">
        <f t="shared" si="20"/>
        <v>0</v>
      </c>
      <c r="M47" s="509">
        <f t="shared" si="21"/>
        <v>0</v>
      </c>
      <c r="N47" s="509">
        <f t="shared" si="22"/>
        <v>0</v>
      </c>
      <c r="O47" s="492"/>
      <c r="P47" s="503"/>
      <c r="S47" s="499">
        <f t="shared" si="27"/>
        <v>0</v>
      </c>
      <c r="T47" s="499">
        <f t="shared" si="28"/>
        <v>0.01</v>
      </c>
    </row>
    <row r="48" spans="1:24" ht="18.75" customHeight="1" x14ac:dyDescent="0.3">
      <c r="B48" s="515" t="s">
        <v>3216</v>
      </c>
      <c r="C48" s="507">
        <f>0.04+1.44</f>
        <v>1.48</v>
      </c>
      <c r="D48" s="507">
        <f>0.83+0.15</f>
        <v>0.98</v>
      </c>
      <c r="E48" s="507"/>
      <c r="F48" s="507">
        <f>(0.95+0.16)</f>
        <v>1.1100000000000001</v>
      </c>
      <c r="G48" s="508">
        <f t="shared" si="15"/>
        <v>0.96</v>
      </c>
      <c r="H48" s="509">
        <f t="shared" si="16"/>
        <v>0.13</v>
      </c>
      <c r="I48" s="509">
        <f t="shared" si="17"/>
        <v>0.02</v>
      </c>
      <c r="J48" s="509">
        <f>F48*$J$5+0.01</f>
        <v>0.12</v>
      </c>
      <c r="K48" s="509">
        <f t="shared" si="19"/>
        <v>0.01</v>
      </c>
      <c r="L48" s="509">
        <f t="shared" si="20"/>
        <v>0</v>
      </c>
      <c r="M48" s="509">
        <f t="shared" si="21"/>
        <v>0</v>
      </c>
      <c r="N48" s="509">
        <f t="shared" si="22"/>
        <v>0</v>
      </c>
      <c r="O48" s="492" t="s">
        <v>991</v>
      </c>
      <c r="P48" s="503"/>
      <c r="S48" s="499">
        <f t="shared" si="27"/>
        <v>0.01</v>
      </c>
      <c r="T48" s="499">
        <f t="shared" si="28"/>
        <v>-0.01</v>
      </c>
    </row>
    <row r="49" spans="2:20" ht="37.5" x14ac:dyDescent="0.3">
      <c r="B49" s="506" t="s">
        <v>1505</v>
      </c>
      <c r="C49" s="507">
        <f>0.13+0.14+0.4+0.29+0.02</f>
        <v>0.98</v>
      </c>
      <c r="D49" s="507">
        <f>0.02+0.27+1.17+0.4+0.03</f>
        <v>1.89</v>
      </c>
      <c r="E49" s="507"/>
      <c r="F49" s="507">
        <f>(0.5+1.31+0.46)</f>
        <v>2.27</v>
      </c>
      <c r="G49" s="508">
        <f>F49*$G$5-0.01</f>
        <v>1.96</v>
      </c>
      <c r="H49" s="509">
        <f t="shared" si="16"/>
        <v>0.27</v>
      </c>
      <c r="I49" s="509">
        <f t="shared" si="17"/>
        <v>0.04</v>
      </c>
      <c r="J49" s="509">
        <f t="shared" si="18"/>
        <v>0.23</v>
      </c>
      <c r="K49" s="509">
        <f t="shared" si="19"/>
        <v>0.03</v>
      </c>
      <c r="L49" s="509">
        <f t="shared" si="20"/>
        <v>0</v>
      </c>
      <c r="M49" s="509">
        <f t="shared" si="21"/>
        <v>0</v>
      </c>
      <c r="N49" s="509">
        <f t="shared" si="22"/>
        <v>0</v>
      </c>
      <c r="O49" s="492" t="s">
        <v>991</v>
      </c>
      <c r="S49" s="499">
        <f t="shared" si="27"/>
        <v>0.01</v>
      </c>
      <c r="T49" s="499">
        <f t="shared" si="28"/>
        <v>0</v>
      </c>
    </row>
    <row r="50" spans="2:20" ht="18.75" x14ac:dyDescent="0.3">
      <c r="B50" s="506" t="s">
        <v>1331</v>
      </c>
      <c r="C50" s="507"/>
      <c r="D50" s="507"/>
      <c r="E50" s="507"/>
      <c r="F50" s="570"/>
      <c r="G50" s="508"/>
      <c r="H50" s="509"/>
      <c r="I50" s="509"/>
      <c r="J50" s="509"/>
      <c r="K50" s="509"/>
      <c r="L50" s="509"/>
      <c r="M50" s="509"/>
      <c r="N50" s="509"/>
      <c r="O50" s="538"/>
      <c r="S50" s="499">
        <f t="shared" si="27"/>
        <v>0</v>
      </c>
      <c r="T50" s="499">
        <f t="shared" si="28"/>
        <v>0</v>
      </c>
    </row>
    <row r="51" spans="2:20" ht="18.75" x14ac:dyDescent="0.3">
      <c r="B51" s="572" t="s">
        <v>1332</v>
      </c>
      <c r="C51" s="570">
        <f>0.02+2.09+0.32</f>
        <v>2.4300000000000002</v>
      </c>
      <c r="D51" s="570">
        <f>0.34+2.04+0.02</f>
        <v>2.4</v>
      </c>
      <c r="E51" s="570">
        <v>2.1</v>
      </c>
      <c r="F51" s="570">
        <f>[45]Лист1!$F$18</f>
        <v>0.17</v>
      </c>
      <c r="G51" s="508">
        <f t="shared" si="15"/>
        <v>0.15</v>
      </c>
      <c r="H51" s="509">
        <f t="shared" si="16"/>
        <v>0.02</v>
      </c>
      <c r="I51" s="509">
        <f t="shared" si="17"/>
        <v>0</v>
      </c>
      <c r="J51" s="509">
        <f t="shared" si="18"/>
        <v>0.02</v>
      </c>
      <c r="K51" s="509">
        <f t="shared" si="19"/>
        <v>0</v>
      </c>
      <c r="L51" s="509">
        <f t="shared" si="20"/>
        <v>0</v>
      </c>
      <c r="M51" s="509">
        <f t="shared" si="21"/>
        <v>0</v>
      </c>
      <c r="N51" s="509">
        <f t="shared" si="22"/>
        <v>0</v>
      </c>
      <c r="O51" s="538" t="s">
        <v>1512</v>
      </c>
      <c r="S51" s="499">
        <f t="shared" ref="S51:S66" si="29">F51-G51-H51-K51-L51-M51-N51</f>
        <v>0</v>
      </c>
      <c r="T51" s="499">
        <f t="shared" ref="T51:T66" si="30">H51-I51-J51</f>
        <v>0</v>
      </c>
    </row>
    <row r="52" spans="2:20" ht="18.75" x14ac:dyDescent="0.3">
      <c r="B52" s="572" t="s">
        <v>1333</v>
      </c>
      <c r="C52" s="570">
        <v>0.75</v>
      </c>
      <c r="D52" s="570">
        <v>0.61</v>
      </c>
      <c r="E52" s="570"/>
      <c r="F52" s="570">
        <f>[45]Лист1!$F$19*'Вхідні дані'!D77</f>
        <v>0.02</v>
      </c>
      <c r="G52" s="508">
        <f t="shared" si="15"/>
        <v>0.02</v>
      </c>
      <c r="H52" s="509">
        <f t="shared" si="16"/>
        <v>0</v>
      </c>
      <c r="I52" s="509">
        <f t="shared" si="17"/>
        <v>0</v>
      </c>
      <c r="J52" s="509">
        <f t="shared" si="18"/>
        <v>0</v>
      </c>
      <c r="K52" s="509">
        <f t="shared" si="19"/>
        <v>0</v>
      </c>
      <c r="L52" s="509">
        <f t="shared" si="20"/>
        <v>0</v>
      </c>
      <c r="M52" s="509">
        <f t="shared" si="21"/>
        <v>0</v>
      </c>
      <c r="N52" s="509">
        <f t="shared" si="22"/>
        <v>0</v>
      </c>
      <c r="O52" s="538" t="s">
        <v>1512</v>
      </c>
      <c r="S52" s="499">
        <f t="shared" si="29"/>
        <v>0</v>
      </c>
      <c r="T52" s="499">
        <f t="shared" si="30"/>
        <v>0</v>
      </c>
    </row>
    <row r="53" spans="2:20" ht="18.75" x14ac:dyDescent="0.3">
      <c r="B53" s="516" t="s">
        <v>949</v>
      </c>
      <c r="C53" s="507">
        <f>0.45+0.06+0.16</f>
        <v>0.67</v>
      </c>
      <c r="D53" s="507">
        <f>0.62+0.06+0.58</f>
        <v>1.26</v>
      </c>
      <c r="E53" s="507"/>
      <c r="F53" s="507">
        <f>(0.7+0.7+0.06)</f>
        <v>1.46</v>
      </c>
      <c r="G53" s="508">
        <f t="shared" si="15"/>
        <v>1.27</v>
      </c>
      <c r="H53" s="509">
        <f t="shared" si="16"/>
        <v>0.17</v>
      </c>
      <c r="I53" s="509">
        <f t="shared" si="17"/>
        <v>0.03</v>
      </c>
      <c r="J53" s="509">
        <f t="shared" si="18"/>
        <v>0.15</v>
      </c>
      <c r="K53" s="509">
        <f t="shared" si="19"/>
        <v>0.02</v>
      </c>
      <c r="L53" s="509">
        <f t="shared" si="20"/>
        <v>0</v>
      </c>
      <c r="M53" s="509">
        <f t="shared" si="21"/>
        <v>0</v>
      </c>
      <c r="N53" s="509">
        <f t="shared" si="22"/>
        <v>0</v>
      </c>
      <c r="O53" s="538" t="s">
        <v>1511</v>
      </c>
      <c r="S53" s="499">
        <f>F53-G53-H53-K53-L53-M53-N53</f>
        <v>0</v>
      </c>
      <c r="T53" s="499">
        <f t="shared" si="30"/>
        <v>-0.01</v>
      </c>
    </row>
    <row r="54" spans="2:20" ht="18.75" x14ac:dyDescent="0.3">
      <c r="B54" s="516" t="s">
        <v>3217</v>
      </c>
      <c r="C54" s="507">
        <f>1.16+0.02</f>
        <v>1.18</v>
      </c>
      <c r="D54" s="507">
        <f>0.08</f>
        <v>0.08</v>
      </c>
      <c r="E54" s="507"/>
      <c r="F54" s="507">
        <f>C54</f>
        <v>1.18</v>
      </c>
      <c r="G54" s="508">
        <f>F54*$G$5+0.01</f>
        <v>1.04</v>
      </c>
      <c r="H54" s="509">
        <f t="shared" ref="H54" si="31">F54*$H$5</f>
        <v>0.14000000000000001</v>
      </c>
      <c r="I54" s="509">
        <f t="shared" ref="I54" si="32">F54*$I$5</f>
        <v>0.02</v>
      </c>
      <c r="J54" s="509">
        <f>F54*$J$5</f>
        <v>0.12</v>
      </c>
      <c r="K54" s="509">
        <f t="shared" ref="K54" si="33">F54*$K$5</f>
        <v>0.01</v>
      </c>
      <c r="L54" s="509">
        <f t="shared" ref="L54" si="34">F54*$L$5</f>
        <v>0</v>
      </c>
      <c r="M54" s="509">
        <f t="shared" ref="M54" si="35">F54*$M$5</f>
        <v>0</v>
      </c>
      <c r="N54" s="509">
        <f t="shared" ref="N54" si="36">F54*$N$5</f>
        <v>0</v>
      </c>
      <c r="O54" s="538"/>
      <c r="S54" s="499">
        <f t="shared" ref="S54:S56" si="37">F54-G54-H54-K54-L54-M54-N54</f>
        <v>-0.01</v>
      </c>
      <c r="T54" s="499">
        <f t="shared" ref="T54:T56" si="38">H54-I54-J54</f>
        <v>0</v>
      </c>
    </row>
    <row r="55" spans="2:20" ht="18.75" x14ac:dyDescent="0.3">
      <c r="B55" s="516" t="s">
        <v>3177</v>
      </c>
      <c r="C55" s="507">
        <f>0.03</f>
        <v>0.03</v>
      </c>
      <c r="D55" s="507">
        <v>0.03</v>
      </c>
      <c r="E55" s="507">
        <v>1.6</v>
      </c>
      <c r="F55" s="507">
        <f>C55</f>
        <v>0.03</v>
      </c>
      <c r="G55" s="508">
        <f>F55*$G$5</f>
        <v>0.03</v>
      </c>
      <c r="H55" s="509">
        <f>F55*$H$5</f>
        <v>0</v>
      </c>
      <c r="I55" s="509">
        <f>F55*$I$5</f>
        <v>0</v>
      </c>
      <c r="J55" s="509">
        <f>F55*$J$5</f>
        <v>0</v>
      </c>
      <c r="K55" s="509">
        <f t="shared" ref="K55:K56" si="39">F55*$K$5</f>
        <v>0</v>
      </c>
      <c r="L55" s="509">
        <f t="shared" ref="L55:L56" si="40">F55*$L$5</f>
        <v>0</v>
      </c>
      <c r="M55" s="509">
        <f t="shared" ref="M55:M56" si="41">F55*$M$5</f>
        <v>0</v>
      </c>
      <c r="N55" s="509">
        <f t="shared" ref="N55:N56" si="42">F55*$N$5</f>
        <v>0</v>
      </c>
      <c r="O55" s="538"/>
      <c r="S55" s="499">
        <f t="shared" si="37"/>
        <v>0</v>
      </c>
      <c r="T55" s="499">
        <f t="shared" si="38"/>
        <v>0</v>
      </c>
    </row>
    <row r="56" spans="2:20" ht="18.75" x14ac:dyDescent="0.3">
      <c r="B56" s="516" t="s">
        <v>3188</v>
      </c>
      <c r="C56" s="507">
        <v>1.65</v>
      </c>
      <c r="D56" s="507">
        <v>0.46</v>
      </c>
      <c r="E56" s="507"/>
      <c r="F56" s="507">
        <v>0.54</v>
      </c>
      <c r="G56" s="508">
        <f>F56*$G$5-0.01</f>
        <v>0.46</v>
      </c>
      <c r="H56" s="509">
        <f t="shared" ref="H56" si="43">F56*$H$5</f>
        <v>0.06</v>
      </c>
      <c r="I56" s="509">
        <f t="shared" ref="I56" si="44">F56*$I$5</f>
        <v>0.01</v>
      </c>
      <c r="J56" s="509">
        <f>F56*$J$5</f>
        <v>0.05</v>
      </c>
      <c r="K56" s="509">
        <f t="shared" si="39"/>
        <v>0.01</v>
      </c>
      <c r="L56" s="509">
        <f t="shared" si="40"/>
        <v>0</v>
      </c>
      <c r="M56" s="509">
        <f t="shared" si="41"/>
        <v>0</v>
      </c>
      <c r="N56" s="509">
        <f t="shared" si="42"/>
        <v>0</v>
      </c>
      <c r="O56" s="538"/>
      <c r="S56" s="499">
        <f t="shared" si="37"/>
        <v>0.01</v>
      </c>
      <c r="T56" s="499">
        <f t="shared" si="38"/>
        <v>0</v>
      </c>
    </row>
    <row r="57" spans="2:20" ht="18.75" x14ac:dyDescent="0.3">
      <c r="B57" s="573" t="s">
        <v>1338</v>
      </c>
      <c r="C57" s="507">
        <f>0.09+47.96+10.85</f>
        <v>58.9</v>
      </c>
      <c r="D57" s="507">
        <f>38.96+0.27+10.64</f>
        <v>49.87</v>
      </c>
      <c r="E57" s="507"/>
      <c r="F57" s="507">
        <f>(44.37+0.3+12.1)</f>
        <v>56.77</v>
      </c>
      <c r="G57" s="508">
        <f t="shared" si="15"/>
        <v>49.35</v>
      </c>
      <c r="H57" s="509">
        <f t="shared" si="16"/>
        <v>6.75</v>
      </c>
      <c r="I57" s="509">
        <f t="shared" si="17"/>
        <v>1.1100000000000001</v>
      </c>
      <c r="J57" s="509">
        <f t="shared" si="18"/>
        <v>5.65</v>
      </c>
      <c r="K57" s="509">
        <f t="shared" si="19"/>
        <v>0.67</v>
      </c>
      <c r="L57" s="509">
        <f t="shared" si="20"/>
        <v>0</v>
      </c>
      <c r="M57" s="509">
        <f t="shared" si="21"/>
        <v>0</v>
      </c>
      <c r="N57" s="509">
        <f t="shared" si="22"/>
        <v>0</v>
      </c>
      <c r="O57" s="538"/>
      <c r="S57" s="499">
        <f t="shared" si="29"/>
        <v>0</v>
      </c>
      <c r="T57" s="499">
        <f t="shared" si="30"/>
        <v>-0.01</v>
      </c>
    </row>
    <row r="58" spans="2:20" ht="18.75" x14ac:dyDescent="0.3">
      <c r="B58" s="573" t="s">
        <v>3218</v>
      </c>
      <c r="C58" s="507">
        <f>23.12</f>
        <v>23.12</v>
      </c>
      <c r="D58" s="507">
        <v>24.92</v>
      </c>
      <c r="E58" s="507"/>
      <c r="F58" s="507">
        <f>F21*3%</f>
        <v>29.3</v>
      </c>
      <c r="G58" s="508">
        <f t="shared" ref="G58:G60" si="45">F58*$G$5</f>
        <v>25.47</v>
      </c>
      <c r="H58" s="509">
        <f t="shared" ref="H58:H60" si="46">F58*$H$5</f>
        <v>3.48</v>
      </c>
      <c r="I58" s="509">
        <f t="shared" ref="I58:I60" si="47">F58*$I$5</f>
        <v>0.56999999999999995</v>
      </c>
      <c r="J58" s="509">
        <f>F58*$J$5+0.01</f>
        <v>2.93</v>
      </c>
      <c r="K58" s="509">
        <f t="shared" ref="K58:K59" si="48">F58*$K$5</f>
        <v>0.35</v>
      </c>
      <c r="L58" s="509">
        <f t="shared" ref="L58:L60" si="49">F58*$L$5</f>
        <v>0</v>
      </c>
      <c r="M58" s="509">
        <f t="shared" ref="M58:M60" si="50">F58*$M$5</f>
        <v>0</v>
      </c>
      <c r="N58" s="509">
        <f t="shared" ref="N58:N60" si="51">F58*$N$5</f>
        <v>0</v>
      </c>
      <c r="O58" s="538"/>
      <c r="S58" s="499">
        <f t="shared" ref="S58:S62" si="52">F58-G58-H58-K58-L58-M58-N58</f>
        <v>0</v>
      </c>
      <c r="T58" s="499">
        <f t="shared" ref="T58:T62" si="53">H58-I58-J58</f>
        <v>-0.02</v>
      </c>
    </row>
    <row r="59" spans="2:20" ht="18.75" x14ac:dyDescent="0.3">
      <c r="B59" s="573" t="s">
        <v>3219</v>
      </c>
      <c r="C59" s="507">
        <f>6.64+5.84+0.03+0.64+2.07+0.64+21.88</f>
        <v>37.74</v>
      </c>
      <c r="D59" s="507">
        <f>27.14+0.46+2.6+1.04+0.03+8.92+7.42</f>
        <v>47.61</v>
      </c>
      <c r="E59" s="507">
        <v>0.5</v>
      </c>
      <c r="F59" s="507">
        <f>(8.46+10.17+0.05+1.19+2.97+0.02+0.52+30.92)</f>
        <v>54.3</v>
      </c>
      <c r="G59" s="508">
        <f>F59*$G$5-0.01</f>
        <v>47.19</v>
      </c>
      <c r="H59" s="509">
        <f t="shared" si="46"/>
        <v>6.46</v>
      </c>
      <c r="I59" s="509">
        <f t="shared" si="47"/>
        <v>1.06</v>
      </c>
      <c r="J59" s="509">
        <f t="shared" ref="J59:J60" si="54">F59*$J$5</f>
        <v>5.4</v>
      </c>
      <c r="K59" s="509">
        <f t="shared" si="48"/>
        <v>0.64</v>
      </c>
      <c r="L59" s="509">
        <f t="shared" si="49"/>
        <v>0</v>
      </c>
      <c r="M59" s="509">
        <f t="shared" si="50"/>
        <v>0</v>
      </c>
      <c r="N59" s="509">
        <f t="shared" si="51"/>
        <v>0</v>
      </c>
      <c r="O59" s="538"/>
      <c r="S59" s="499">
        <f t="shared" si="52"/>
        <v>0.01</v>
      </c>
      <c r="T59" s="499">
        <f t="shared" si="53"/>
        <v>0</v>
      </c>
    </row>
    <row r="60" spans="2:20" ht="37.5" x14ac:dyDescent="0.3">
      <c r="B60" s="573" t="s">
        <v>3220</v>
      </c>
      <c r="C60" s="507">
        <f>0.81</f>
        <v>0.81</v>
      </c>
      <c r="D60" s="507">
        <v>0.85</v>
      </c>
      <c r="E60" s="507"/>
      <c r="F60" s="507">
        <f>0.96*'Вхідні дані'!D77</f>
        <v>1.02</v>
      </c>
      <c r="G60" s="508">
        <f t="shared" si="45"/>
        <v>0.89</v>
      </c>
      <c r="H60" s="509">
        <f t="shared" si="46"/>
        <v>0.12</v>
      </c>
      <c r="I60" s="509">
        <f t="shared" si="47"/>
        <v>0.02</v>
      </c>
      <c r="J60" s="509">
        <f t="shared" si="54"/>
        <v>0.1</v>
      </c>
      <c r="K60" s="509">
        <f>F60*$K$5+0.01</f>
        <v>0.02</v>
      </c>
      <c r="L60" s="509">
        <f t="shared" si="49"/>
        <v>0</v>
      </c>
      <c r="M60" s="509">
        <f t="shared" si="50"/>
        <v>0</v>
      </c>
      <c r="N60" s="509">
        <f t="shared" si="51"/>
        <v>0</v>
      </c>
      <c r="O60" s="538"/>
      <c r="S60" s="499">
        <f t="shared" si="52"/>
        <v>-0.01</v>
      </c>
      <c r="T60" s="499">
        <f t="shared" si="53"/>
        <v>0</v>
      </c>
    </row>
    <row r="61" spans="2:20" ht="56.25" x14ac:dyDescent="0.3">
      <c r="B61" s="573" t="s">
        <v>3221</v>
      </c>
      <c r="C61" s="507">
        <f>0.15</f>
        <v>0.15</v>
      </c>
      <c r="D61" s="507"/>
      <c r="E61" s="507"/>
      <c r="F61" s="507">
        <v>0</v>
      </c>
      <c r="G61" s="507">
        <v>0</v>
      </c>
      <c r="H61" s="507">
        <v>0</v>
      </c>
      <c r="I61" s="507">
        <v>0</v>
      </c>
      <c r="J61" s="509">
        <f t="shared" ref="J61:J62" si="55">F61*$J$5</f>
        <v>0</v>
      </c>
      <c r="K61" s="509">
        <f t="shared" ref="K61:K62" si="56">F61*$K$5</f>
        <v>0</v>
      </c>
      <c r="L61" s="509">
        <f t="shared" ref="L61:L62" si="57">F61*$L$5</f>
        <v>0</v>
      </c>
      <c r="M61" s="509">
        <f t="shared" ref="M61:M62" si="58">F61*$M$5</f>
        <v>0</v>
      </c>
      <c r="N61" s="509">
        <f t="shared" ref="N61:N62" si="59">F61*$N$5</f>
        <v>0</v>
      </c>
      <c r="O61" s="538"/>
      <c r="S61" s="499">
        <f t="shared" si="52"/>
        <v>0</v>
      </c>
      <c r="T61" s="499">
        <f t="shared" si="53"/>
        <v>0</v>
      </c>
    </row>
    <row r="62" spans="2:20" ht="37.5" x14ac:dyDescent="0.3">
      <c r="B62" s="573" t="s">
        <v>3222</v>
      </c>
      <c r="C62" s="507">
        <f>4.63+2.11</f>
        <v>6.74</v>
      </c>
      <c r="D62" s="507">
        <f>1.11+1.15</f>
        <v>2.2599999999999998</v>
      </c>
      <c r="E62" s="507"/>
      <c r="F62" s="507">
        <v>2.2799999999999998</v>
      </c>
      <c r="G62" s="508">
        <f t="shared" ref="G62" si="60">F62*$G$5</f>
        <v>1.98</v>
      </c>
      <c r="H62" s="509">
        <f t="shared" ref="H62" si="61">F62*$H$5</f>
        <v>0.27</v>
      </c>
      <c r="I62" s="509">
        <f t="shared" ref="I62" si="62">F62*$I$5</f>
        <v>0.04</v>
      </c>
      <c r="J62" s="509">
        <f t="shared" si="55"/>
        <v>0.23</v>
      </c>
      <c r="K62" s="509">
        <f t="shared" si="56"/>
        <v>0.03</v>
      </c>
      <c r="L62" s="509">
        <f t="shared" si="57"/>
        <v>0</v>
      </c>
      <c r="M62" s="509">
        <f t="shared" si="58"/>
        <v>0</v>
      </c>
      <c r="N62" s="509">
        <f t="shared" si="59"/>
        <v>0</v>
      </c>
      <c r="O62" s="538"/>
      <c r="S62" s="499">
        <f t="shared" si="52"/>
        <v>0</v>
      </c>
      <c r="T62" s="499">
        <f t="shared" si="53"/>
        <v>0</v>
      </c>
    </row>
    <row r="63" spans="2:20" ht="18.75" x14ac:dyDescent="0.3">
      <c r="B63" s="506" t="s">
        <v>950</v>
      </c>
      <c r="C63" s="570">
        <f>1.77</f>
        <v>1.77</v>
      </c>
      <c r="D63" s="570">
        <v>1.96</v>
      </c>
      <c r="E63" s="570">
        <v>1.9</v>
      </c>
      <c r="F63" s="507">
        <f>2.24</f>
        <v>2.2400000000000002</v>
      </c>
      <c r="G63" s="508">
        <f t="shared" si="15"/>
        <v>1.95</v>
      </c>
      <c r="H63" s="509">
        <f t="shared" si="16"/>
        <v>0.27</v>
      </c>
      <c r="I63" s="509">
        <f t="shared" si="17"/>
        <v>0.04</v>
      </c>
      <c r="J63" s="509">
        <f t="shared" si="18"/>
        <v>0.22</v>
      </c>
      <c r="K63" s="509">
        <f t="shared" si="19"/>
        <v>0.03</v>
      </c>
      <c r="L63" s="509">
        <f t="shared" si="20"/>
        <v>0</v>
      </c>
      <c r="M63" s="509">
        <f t="shared" si="21"/>
        <v>0</v>
      </c>
      <c r="N63" s="509">
        <f t="shared" si="22"/>
        <v>0</v>
      </c>
      <c r="O63" s="1912" t="s">
        <v>2670</v>
      </c>
      <c r="S63" s="499">
        <f t="shared" si="29"/>
        <v>-0.01</v>
      </c>
      <c r="T63" s="499">
        <f t="shared" si="30"/>
        <v>0.01</v>
      </c>
    </row>
    <row r="64" spans="2:20" ht="18.75" x14ac:dyDescent="0.3">
      <c r="B64" s="855" t="s">
        <v>1884</v>
      </c>
      <c r="C64" s="604">
        <v>0.01</v>
      </c>
      <c r="D64" s="604"/>
      <c r="E64" s="604"/>
      <c r="F64" s="603">
        <v>0</v>
      </c>
      <c r="G64" s="508">
        <f>F64*$G$5</f>
        <v>0</v>
      </c>
      <c r="H64" s="509">
        <f>F64*$H$5</f>
        <v>0</v>
      </c>
      <c r="I64" s="509">
        <f t="shared" si="17"/>
        <v>0</v>
      </c>
      <c r="J64" s="509">
        <f t="shared" si="18"/>
        <v>0</v>
      </c>
      <c r="K64" s="509">
        <f>F64*$K$5</f>
        <v>0</v>
      </c>
      <c r="L64" s="509">
        <f>F64*$L$5</f>
        <v>0</v>
      </c>
      <c r="M64" s="509">
        <f>F64*$M$5</f>
        <v>0</v>
      </c>
      <c r="N64" s="509">
        <f t="shared" si="22"/>
        <v>0</v>
      </c>
      <c r="O64" s="499"/>
      <c r="S64" s="499">
        <f t="shared" si="29"/>
        <v>0</v>
      </c>
      <c r="T64" s="499">
        <f t="shared" si="30"/>
        <v>0</v>
      </c>
    </row>
    <row r="65" spans="2:20" ht="18.75" x14ac:dyDescent="0.3">
      <c r="B65" s="855" t="s">
        <v>1633</v>
      </c>
      <c r="C65" s="604"/>
      <c r="D65" s="604"/>
      <c r="E65" s="604"/>
      <c r="F65" s="603">
        <v>0</v>
      </c>
      <c r="G65" s="508">
        <f>F65*$G$5</f>
        <v>0</v>
      </c>
      <c r="H65" s="509">
        <f>F65*$H$5</f>
        <v>0</v>
      </c>
      <c r="I65" s="509">
        <f t="shared" si="17"/>
        <v>0</v>
      </c>
      <c r="J65" s="509">
        <f t="shared" si="18"/>
        <v>0</v>
      </c>
      <c r="K65" s="509">
        <f>F65*$K$5</f>
        <v>0</v>
      </c>
      <c r="L65" s="509">
        <f>F65*$L$5</f>
        <v>0</v>
      </c>
      <c r="M65" s="509">
        <f>F65*$M$5</f>
        <v>0</v>
      </c>
      <c r="N65" s="509">
        <f t="shared" si="22"/>
        <v>0</v>
      </c>
      <c r="O65" s="499"/>
      <c r="S65" s="499">
        <f t="shared" si="29"/>
        <v>0</v>
      </c>
      <c r="T65" s="499">
        <f t="shared" si="30"/>
        <v>0</v>
      </c>
    </row>
    <row r="66" spans="2:20" ht="19.5" thickBot="1" x14ac:dyDescent="0.35">
      <c r="B66" s="574" t="s">
        <v>58</v>
      </c>
      <c r="C66" s="575">
        <f>0.4+0.9+0.09</f>
        <v>1.39</v>
      </c>
      <c r="D66" s="575">
        <f>0.6+0.65+1.65+0.19+0.32</f>
        <v>3.41</v>
      </c>
      <c r="E66" s="575"/>
      <c r="F66" s="575">
        <f>(0.74+0.68+0.38)</f>
        <v>1.8</v>
      </c>
      <c r="G66" s="605">
        <f t="shared" si="15"/>
        <v>1.56</v>
      </c>
      <c r="H66" s="517">
        <f t="shared" si="16"/>
        <v>0.21</v>
      </c>
      <c r="I66" s="517">
        <f t="shared" si="17"/>
        <v>0.04</v>
      </c>
      <c r="J66" s="517">
        <f t="shared" si="18"/>
        <v>0.18</v>
      </c>
      <c r="K66" s="517">
        <f t="shared" si="19"/>
        <v>0.02</v>
      </c>
      <c r="L66" s="517">
        <f t="shared" si="20"/>
        <v>0</v>
      </c>
      <c r="M66" s="517">
        <f t="shared" si="21"/>
        <v>0</v>
      </c>
      <c r="N66" s="517">
        <f t="shared" si="22"/>
        <v>0</v>
      </c>
      <c r="O66" s="492" t="s">
        <v>3226</v>
      </c>
      <c r="P66" s="492"/>
      <c r="Q66" s="503"/>
      <c r="S66" s="499">
        <f t="shared" si="29"/>
        <v>0.01</v>
      </c>
      <c r="T66" s="499">
        <f t="shared" si="30"/>
        <v>-0.01</v>
      </c>
    </row>
    <row r="67" spans="2:20" ht="24" customHeight="1" x14ac:dyDescent="0.3">
      <c r="C67" s="492"/>
      <c r="D67" s="519"/>
      <c r="E67" s="492"/>
      <c r="F67" s="913"/>
      <c r="M67" s="518"/>
      <c r="N67" s="518"/>
    </row>
    <row r="68" spans="2:20" ht="24" customHeight="1" x14ac:dyDescent="0.25">
      <c r="C68" s="1431"/>
      <c r="D68" s="499"/>
      <c r="E68" s="492"/>
      <c r="F68" s="913"/>
      <c r="M68" s="518"/>
      <c r="N68" s="518"/>
    </row>
    <row r="69" spans="2:20" ht="24" customHeight="1" x14ac:dyDescent="0.3">
      <c r="B69" s="3273" t="str">
        <f>'Вхідні дані'!$B$13</f>
        <v>Начальник Адміністрації морського порту Чорноморськ</v>
      </c>
      <c r="C69" s="3273"/>
      <c r="D69" s="3273"/>
      <c r="E69" s="3323" t="s">
        <v>1339</v>
      </c>
      <c r="F69" s="491"/>
      <c r="G69" s="3969" t="str">
        <f>'Вхідні дані'!$F$13</f>
        <v>Максим ШИРОКОВ</v>
      </c>
      <c r="H69" s="3969"/>
      <c r="I69" s="3969"/>
      <c r="M69" s="518"/>
      <c r="N69" s="518"/>
    </row>
    <row r="70" spans="2:20" ht="24" customHeight="1" x14ac:dyDescent="0.3">
      <c r="B70" s="3273"/>
      <c r="C70" s="3273"/>
      <c r="D70" s="3273"/>
      <c r="E70" s="3323" t="s">
        <v>219</v>
      </c>
      <c r="F70" s="491"/>
      <c r="G70" s="3971" t="s">
        <v>3418</v>
      </c>
      <c r="H70" s="3971"/>
      <c r="I70" s="3971"/>
      <c r="M70" s="518"/>
      <c r="N70" s="518"/>
    </row>
    <row r="71" spans="2:20" ht="24" customHeight="1" x14ac:dyDescent="0.3">
      <c r="B71" s="3273" t="str">
        <f>'Вхідні дані'!$B$15</f>
        <v>Заступник начальника з економіки та фінансів</v>
      </c>
      <c r="C71" s="3273"/>
      <c r="D71" s="3273"/>
      <c r="E71" s="3323" t="s">
        <v>1339</v>
      </c>
      <c r="F71" s="491"/>
      <c r="G71" s="3969" t="str">
        <f>'Вхідні дані'!$F$15</f>
        <v>Наталія БАРТОШИК</v>
      </c>
      <c r="H71" s="3969"/>
      <c r="I71" s="3969"/>
      <c r="M71" s="518"/>
      <c r="N71" s="518"/>
    </row>
    <row r="72" spans="2:20" ht="24" customHeight="1" x14ac:dyDescent="0.3">
      <c r="B72" s="3324"/>
      <c r="C72" s="3324"/>
      <c r="D72" s="3324"/>
      <c r="E72" s="3323" t="s">
        <v>219</v>
      </c>
      <c r="F72" s="491"/>
      <c r="G72" s="3971" t="s">
        <v>3418</v>
      </c>
      <c r="H72" s="3971"/>
      <c r="I72" s="3971"/>
      <c r="K72" s="518"/>
      <c r="L72" s="518"/>
      <c r="M72" s="518"/>
      <c r="N72" s="518"/>
    </row>
    <row r="73" spans="2:20" ht="18.75" x14ac:dyDescent="0.3">
      <c r="C73" s="492"/>
      <c r="D73" s="492"/>
      <c r="E73" s="492"/>
      <c r="F73" s="1079"/>
      <c r="G73" s="519"/>
      <c r="H73" s="519"/>
      <c r="I73" s="519"/>
    </row>
    <row r="74" spans="2:20" x14ac:dyDescent="0.25">
      <c r="C74" s="492"/>
      <c r="D74" s="492"/>
      <c r="E74" s="492"/>
      <c r="F74" s="913"/>
    </row>
    <row r="75" spans="2:20" x14ac:dyDescent="0.25">
      <c r="C75" s="492"/>
      <c r="D75" s="492"/>
      <c r="E75" s="492"/>
      <c r="F75" s="913"/>
    </row>
    <row r="76" spans="2:20" x14ac:dyDescent="0.25">
      <c r="C76" s="492"/>
      <c r="D76" s="492"/>
      <c r="E76" s="492"/>
      <c r="F76" s="913"/>
    </row>
    <row r="77" spans="2:20" ht="31.5" x14ac:dyDescent="0.25">
      <c r="B77" s="778" t="s">
        <v>1810</v>
      </c>
      <c r="C77" s="490" t="str">
        <f>'Вхідні дані'!F6</f>
        <v>2022-2023</v>
      </c>
      <c r="D77" s="492"/>
      <c r="E77" s="492"/>
      <c r="F77" s="913"/>
    </row>
    <row r="78" spans="2:20" ht="15.75" x14ac:dyDescent="0.25">
      <c r="B78" s="779" t="str">
        <f>'Вхідні дані'!F5</f>
        <v>ЧФ ДП "АМПУ"</v>
      </c>
      <c r="C78" s="820" t="s">
        <v>647</v>
      </c>
      <c r="D78" s="492"/>
      <c r="E78" s="492"/>
      <c r="F78" s="913"/>
    </row>
    <row r="79" spans="2:20" ht="16.5" thickBot="1" x14ac:dyDescent="0.3">
      <c r="B79" s="490"/>
      <c r="C79" s="490"/>
      <c r="D79" s="492"/>
      <c r="E79" s="492"/>
      <c r="F79" s="913"/>
    </row>
    <row r="80" spans="2:20" ht="16.5" thickBot="1" x14ac:dyDescent="0.3">
      <c r="B80" s="856" t="s">
        <v>1885</v>
      </c>
      <c r="C80" s="857" t="s">
        <v>1886</v>
      </c>
      <c r="D80" s="492"/>
      <c r="E80" s="492"/>
      <c r="F80" s="913"/>
    </row>
    <row r="81" spans="2:6" ht="15.75" x14ac:dyDescent="0.25">
      <c r="B81" s="751" t="s">
        <v>1068</v>
      </c>
      <c r="C81" s="816"/>
      <c r="D81" s="492"/>
      <c r="E81" s="492"/>
      <c r="F81" s="913"/>
    </row>
    <row r="82" spans="2:6" ht="15.75" x14ac:dyDescent="0.25">
      <c r="B82" s="752"/>
      <c r="C82" s="753"/>
      <c r="D82" s="492"/>
      <c r="E82" s="492"/>
      <c r="F82" s="913"/>
    </row>
    <row r="83" spans="2:6" ht="15.75" x14ac:dyDescent="0.25">
      <c r="B83" s="752" t="s">
        <v>1068</v>
      </c>
      <c r="C83" s="753"/>
      <c r="D83" s="492"/>
      <c r="E83" s="492"/>
      <c r="F83" s="913"/>
    </row>
    <row r="84" spans="2:6" ht="15.75" x14ac:dyDescent="0.25">
      <c r="B84" s="752" t="s">
        <v>1068</v>
      </c>
      <c r="C84" s="753"/>
      <c r="D84" s="492"/>
      <c r="E84" s="492"/>
      <c r="F84" s="913"/>
    </row>
    <row r="85" spans="2:6" ht="15.75" x14ac:dyDescent="0.25">
      <c r="B85" s="752" t="s">
        <v>954</v>
      </c>
      <c r="C85" s="753"/>
      <c r="D85" s="492"/>
      <c r="E85" s="492"/>
      <c r="F85" s="913"/>
    </row>
    <row r="86" spans="2:6" ht="15.75" x14ac:dyDescent="0.25">
      <c r="B86" s="752" t="s">
        <v>1068</v>
      </c>
      <c r="C86" s="753"/>
      <c r="D86" s="492"/>
      <c r="E86" s="492"/>
      <c r="F86" s="913"/>
    </row>
    <row r="87" spans="2:6" ht="16.5" thickBot="1" x14ac:dyDescent="0.3">
      <c r="B87" s="754" t="s">
        <v>1068</v>
      </c>
      <c r="C87" s="817"/>
      <c r="D87" s="492"/>
      <c r="E87" s="492"/>
      <c r="F87" s="913"/>
    </row>
    <row r="88" spans="2:6" ht="15.75" x14ac:dyDescent="0.25">
      <c r="B88" s="751" t="s">
        <v>1510</v>
      </c>
      <c r="C88" s="816"/>
      <c r="D88" s="492"/>
      <c r="E88" s="492"/>
      <c r="F88" s="913"/>
    </row>
    <row r="89" spans="2:6" ht="15.75" x14ac:dyDescent="0.25">
      <c r="B89" s="752" t="s">
        <v>1510</v>
      </c>
      <c r="C89" s="753"/>
      <c r="D89" s="492"/>
      <c r="E89" s="492"/>
      <c r="F89" s="913"/>
    </row>
    <row r="90" spans="2:6" ht="15.75" x14ac:dyDescent="0.25">
      <c r="B90" s="752" t="s">
        <v>1510</v>
      </c>
      <c r="C90" s="753"/>
      <c r="D90" s="492"/>
      <c r="E90" s="492"/>
      <c r="F90" s="913"/>
    </row>
    <row r="91" spans="2:6" ht="16.5" thickBot="1" x14ac:dyDescent="0.3">
      <c r="B91" s="755" t="s">
        <v>1510</v>
      </c>
      <c r="C91" s="818"/>
      <c r="D91" s="492"/>
      <c r="E91" s="492"/>
      <c r="F91" s="913"/>
    </row>
    <row r="92" spans="2:6" ht="15.75" x14ac:dyDescent="0.25">
      <c r="B92" s="756" t="s">
        <v>1068</v>
      </c>
      <c r="C92" s="819"/>
      <c r="D92" s="492"/>
      <c r="E92" s="492"/>
      <c r="F92" s="913"/>
    </row>
    <row r="93" spans="2:6" ht="15.75" x14ac:dyDescent="0.25">
      <c r="B93" s="752" t="s">
        <v>1068</v>
      </c>
      <c r="C93" s="753"/>
      <c r="D93" s="492"/>
      <c r="E93" s="492"/>
      <c r="F93" s="913"/>
    </row>
    <row r="94" spans="2:6" ht="16.5" thickBot="1" x14ac:dyDescent="0.3">
      <c r="B94" s="762" t="s">
        <v>1475</v>
      </c>
      <c r="C94" s="763"/>
      <c r="D94" s="492"/>
      <c r="E94" s="492"/>
      <c r="F94" s="913"/>
    </row>
    <row r="95" spans="2:6" ht="15.75" x14ac:dyDescent="0.25">
      <c r="B95" s="751" t="s">
        <v>1955</v>
      </c>
      <c r="C95" s="757"/>
      <c r="D95" s="492"/>
      <c r="E95" s="492"/>
      <c r="F95" s="913"/>
    </row>
    <row r="96" spans="2:6" ht="15.75" x14ac:dyDescent="0.25">
      <c r="B96" s="758" t="s">
        <v>1521</v>
      </c>
      <c r="C96" s="759"/>
      <c r="D96" s="492"/>
      <c r="E96" s="492"/>
      <c r="F96" s="913"/>
    </row>
    <row r="97" spans="2:10" ht="16.5" thickBot="1" x14ac:dyDescent="0.3">
      <c r="B97" s="760" t="s">
        <v>1520</v>
      </c>
      <c r="C97" s="761"/>
      <c r="D97" s="492"/>
      <c r="E97" s="492"/>
      <c r="F97" s="913"/>
    </row>
    <row r="98" spans="2:10" x14ac:dyDescent="0.25">
      <c r="C98" s="492"/>
      <c r="D98" s="492"/>
      <c r="E98" s="492"/>
      <c r="F98" s="913"/>
    </row>
    <row r="99" spans="2:10" x14ac:dyDescent="0.25">
      <c r="C99" s="492"/>
      <c r="D99" s="492"/>
      <c r="E99" s="492"/>
      <c r="F99" s="913"/>
    </row>
    <row r="100" spans="2:10" ht="18.75" x14ac:dyDescent="0.3">
      <c r="B100" s="519" t="str">
        <f>'Вхідні дані'!$B$15</f>
        <v>Заступник начальника з економіки та фінансів</v>
      </c>
      <c r="C100" s="601" t="s">
        <v>1339</v>
      </c>
      <c r="D100" s="519" t="str">
        <f>'Вхідні дані'!$F$15</f>
        <v>Наталія БАРТОШИК</v>
      </c>
      <c r="E100" s="492"/>
      <c r="F100" s="913"/>
      <c r="H100" s="519"/>
      <c r="I100" s="519"/>
      <c r="J100" s="519"/>
    </row>
    <row r="101" spans="2:10" ht="18.75" x14ac:dyDescent="0.3">
      <c r="B101" s="518"/>
      <c r="C101" s="601" t="s">
        <v>219</v>
      </c>
      <c r="D101" s="518"/>
      <c r="E101" s="492"/>
      <c r="F101" s="913"/>
      <c r="H101" s="518"/>
      <c r="I101" s="518"/>
      <c r="J101" s="518"/>
    </row>
    <row r="102" spans="2:10" x14ac:dyDescent="0.25">
      <c r="C102" s="492"/>
      <c r="D102" s="492"/>
      <c r="E102" s="492"/>
      <c r="F102" s="913"/>
    </row>
    <row r="103" spans="2:10" ht="15.75" x14ac:dyDescent="0.25">
      <c r="B103" s="3976" t="s">
        <v>3223</v>
      </c>
      <c r="C103" s="3976"/>
      <c r="D103" s="3976"/>
      <c r="E103" s="3976"/>
      <c r="F103" s="3976"/>
      <c r="G103" s="3976"/>
      <c r="H103" s="3976"/>
    </row>
    <row r="104" spans="2:10" ht="15.75" x14ac:dyDescent="0.25">
      <c r="B104" s="1254"/>
      <c r="C104" s="1254"/>
      <c r="D104" s="1254"/>
      <c r="E104" s="3977" t="s">
        <v>1704</v>
      </c>
      <c r="F104" s="3977"/>
      <c r="G104" s="1254"/>
      <c r="H104" s="1254"/>
    </row>
    <row r="105" spans="2:10" ht="15.75" x14ac:dyDescent="0.25">
      <c r="B105" s="1313" t="s">
        <v>355</v>
      </c>
      <c r="C105" s="3975" t="s">
        <v>2184</v>
      </c>
      <c r="D105" s="3975"/>
      <c r="E105" s="3975" t="s">
        <v>2185</v>
      </c>
      <c r="F105" s="3975"/>
      <c r="G105" s="1313" t="s">
        <v>2187</v>
      </c>
      <c r="H105" s="1313" t="s">
        <v>2186</v>
      </c>
    </row>
    <row r="106" spans="2:10" ht="15.75" x14ac:dyDescent="0.25">
      <c r="B106" s="921" t="s">
        <v>2173</v>
      </c>
      <c r="C106" s="1288">
        <f>D106/D116</f>
        <v>0.62270000000000003</v>
      </c>
      <c r="D106" s="1278">
        <f>F21-L21</f>
        <v>976.61</v>
      </c>
      <c r="E106" s="1288">
        <f>F106/F116</f>
        <v>0.67789999999999995</v>
      </c>
      <c r="F106" s="1278">
        <f>E21</f>
        <v>666.6</v>
      </c>
      <c r="G106" s="1315">
        <f>C106-E106</f>
        <v>-5.5199999999999999E-2</v>
      </c>
      <c r="H106" s="1278">
        <f>D106-F106</f>
        <v>310.01</v>
      </c>
    </row>
    <row r="107" spans="2:10" ht="15.75" x14ac:dyDescent="0.25">
      <c r="B107" s="921" t="s">
        <v>2174</v>
      </c>
      <c r="C107" s="1288">
        <f>D107/D116</f>
        <v>0.13700000000000001</v>
      </c>
      <c r="D107" s="1278">
        <f>F23-L23</f>
        <v>214.85</v>
      </c>
      <c r="E107" s="1288">
        <f>F107/F116</f>
        <v>0.16300000000000001</v>
      </c>
      <c r="F107" s="1278">
        <f>E23</f>
        <v>160.30000000000001</v>
      </c>
      <c r="G107" s="1315">
        <f t="shared" ref="G107:H116" si="63">C107-E107</f>
        <v>-2.5999999999999999E-2</v>
      </c>
      <c r="H107" s="1278">
        <f t="shared" si="63"/>
        <v>54.55</v>
      </c>
    </row>
    <row r="108" spans="2:10" ht="15.75" x14ac:dyDescent="0.25">
      <c r="B108" s="921" t="s">
        <v>2175</v>
      </c>
      <c r="C108" s="1288">
        <f>D108/D116</f>
        <v>0</v>
      </c>
      <c r="D108" s="1278"/>
      <c r="E108" s="1288">
        <f>F108/F116</f>
        <v>0</v>
      </c>
      <c r="F108" s="1278"/>
      <c r="G108" s="1315">
        <f t="shared" si="63"/>
        <v>0</v>
      </c>
      <c r="H108" s="1278">
        <f t="shared" si="63"/>
        <v>0</v>
      </c>
    </row>
    <row r="109" spans="2:10" ht="15.75" x14ac:dyDescent="0.25">
      <c r="B109" s="921" t="s">
        <v>43</v>
      </c>
      <c r="C109" s="1288">
        <f>D109/D116</f>
        <v>0</v>
      </c>
      <c r="D109" s="1278"/>
      <c r="E109" s="1288">
        <f>F109/F116</f>
        <v>0</v>
      </c>
      <c r="F109" s="1278"/>
      <c r="G109" s="1315">
        <f t="shared" si="63"/>
        <v>0</v>
      </c>
      <c r="H109" s="1278">
        <f t="shared" si="63"/>
        <v>0</v>
      </c>
    </row>
    <row r="110" spans="2:10" ht="15.75" x14ac:dyDescent="0.25">
      <c r="B110" s="921" t="s">
        <v>2176</v>
      </c>
      <c r="C110" s="1288">
        <f>D110/D116</f>
        <v>0</v>
      </c>
      <c r="D110" s="1278"/>
      <c r="E110" s="1288">
        <f>F110/F116</f>
        <v>0</v>
      </c>
      <c r="F110" s="1278"/>
      <c r="G110" s="1315">
        <f t="shared" si="63"/>
        <v>0</v>
      </c>
      <c r="H110" s="1278">
        <f t="shared" si="63"/>
        <v>0</v>
      </c>
    </row>
    <row r="111" spans="2:10" ht="15.75" x14ac:dyDescent="0.25">
      <c r="B111" s="921" t="s">
        <v>459</v>
      </c>
      <c r="C111" s="1288">
        <f>D111/D116</f>
        <v>1.5800000000000002E-2</v>
      </c>
      <c r="D111" s="1278">
        <f>F36+F37-L36-L37</f>
        <v>24.78</v>
      </c>
      <c r="E111" s="1288">
        <f>F111/F116</f>
        <v>1.24E-2</v>
      </c>
      <c r="F111" s="1278">
        <f>E36</f>
        <v>12.2</v>
      </c>
      <c r="G111" s="1315">
        <f t="shared" si="63"/>
        <v>3.3999999999999998E-3</v>
      </c>
      <c r="H111" s="1278">
        <f t="shared" si="63"/>
        <v>12.58</v>
      </c>
    </row>
    <row r="112" spans="2:10" ht="15.75" x14ac:dyDescent="0.25">
      <c r="B112" s="921" t="s">
        <v>2177</v>
      </c>
      <c r="C112" s="1288">
        <f>D112/D116</f>
        <v>0</v>
      </c>
      <c r="D112" s="1278"/>
      <c r="E112" s="1288">
        <f>F112/F116</f>
        <v>0</v>
      </c>
      <c r="F112" s="1278"/>
      <c r="G112" s="1315">
        <f t="shared" si="63"/>
        <v>0</v>
      </c>
      <c r="H112" s="1278">
        <f t="shared" si="63"/>
        <v>0</v>
      </c>
    </row>
    <row r="113" spans="2:8" ht="15.75" x14ac:dyDescent="0.25">
      <c r="B113" s="921" t="s">
        <v>2178</v>
      </c>
      <c r="C113" s="1288">
        <f>D113/D116</f>
        <v>5.5599999999999997E-2</v>
      </c>
      <c r="D113" s="1278">
        <f>F25+F26-L25-L26</f>
        <v>87.24</v>
      </c>
      <c r="E113" s="1288">
        <f>F113/F116</f>
        <v>0</v>
      </c>
      <c r="F113" s="1278"/>
      <c r="G113" s="1315">
        <f t="shared" si="63"/>
        <v>5.5599999999999997E-2</v>
      </c>
      <c r="H113" s="1278">
        <f t="shared" si="63"/>
        <v>87.24</v>
      </c>
    </row>
    <row r="114" spans="2:8" ht="15.75" x14ac:dyDescent="0.25">
      <c r="B114" s="921" t="s">
        <v>2179</v>
      </c>
      <c r="C114" s="1288">
        <f>D114/D116</f>
        <v>0.16889999999999999</v>
      </c>
      <c r="D114" s="1278">
        <f>D116-D106-D107-D108-D109-D110-D111-D112-D113</f>
        <v>264.88</v>
      </c>
      <c r="E114" s="1288">
        <f>F114/F116</f>
        <v>0.14660000000000001</v>
      </c>
      <c r="F114" s="1278">
        <f>F116-F106-F107-F111</f>
        <v>144.16</v>
      </c>
      <c r="G114" s="1315">
        <f t="shared" si="63"/>
        <v>2.23E-2</v>
      </c>
      <c r="H114" s="1278">
        <f t="shared" si="63"/>
        <v>120.72</v>
      </c>
    </row>
    <row r="115" spans="2:8" ht="15.75" x14ac:dyDescent="0.25">
      <c r="B115" s="921" t="s">
        <v>2183</v>
      </c>
      <c r="C115" s="1288">
        <f>D115/D116</f>
        <v>0</v>
      </c>
      <c r="D115" s="1278"/>
      <c r="E115" s="1288">
        <f>F115/F116</f>
        <v>0</v>
      </c>
      <c r="F115" s="1278"/>
      <c r="G115" s="1315">
        <f t="shared" si="63"/>
        <v>0</v>
      </c>
      <c r="H115" s="1278">
        <f t="shared" si="63"/>
        <v>0</v>
      </c>
    </row>
    <row r="116" spans="2:8" ht="15.75" x14ac:dyDescent="0.25">
      <c r="B116" s="1290" t="s">
        <v>1872</v>
      </c>
      <c r="C116" s="1291">
        <f>SUM(C106:C115)</f>
        <v>1</v>
      </c>
      <c r="D116" s="1278">
        <f>F8-L8</f>
        <v>1568.36</v>
      </c>
      <c r="E116" s="1291">
        <f>SUM(E106:E115)</f>
        <v>1</v>
      </c>
      <c r="F116" s="1278">
        <f>E8</f>
        <v>983.26</v>
      </c>
      <c r="G116" s="1315">
        <f t="shared" si="63"/>
        <v>0</v>
      </c>
      <c r="H116" s="1278">
        <f t="shared" si="63"/>
        <v>585.1</v>
      </c>
    </row>
    <row r="117" spans="2:8" x14ac:dyDescent="0.25">
      <c r="C117" s="492"/>
      <c r="D117" s="492"/>
      <c r="E117" s="492"/>
      <c r="F117" s="913"/>
    </row>
    <row r="118" spans="2:8" x14ac:dyDescent="0.25">
      <c r="C118" s="492"/>
      <c r="D118" s="492"/>
      <c r="E118" s="492"/>
      <c r="F118" s="913"/>
    </row>
    <row r="119" spans="2:8" x14ac:dyDescent="0.25">
      <c r="C119" s="492"/>
      <c r="D119" s="492"/>
      <c r="E119" s="492"/>
      <c r="F119" s="913"/>
    </row>
    <row r="120" spans="2:8" x14ac:dyDescent="0.25">
      <c r="C120" s="492"/>
      <c r="D120" s="492"/>
      <c r="E120" s="492"/>
      <c r="F120" s="913"/>
    </row>
    <row r="121" spans="2:8" x14ac:dyDescent="0.25">
      <c r="C121" s="492"/>
      <c r="D121" s="492"/>
      <c r="E121" s="492"/>
      <c r="F121" s="913"/>
    </row>
    <row r="122" spans="2:8" x14ac:dyDescent="0.25">
      <c r="C122" s="492"/>
      <c r="D122" s="492"/>
      <c r="E122" s="492"/>
      <c r="F122" s="913"/>
    </row>
    <row r="123" spans="2:8" x14ac:dyDescent="0.25">
      <c r="C123" s="492"/>
      <c r="D123" s="492"/>
      <c r="E123" s="492"/>
      <c r="F123" s="913"/>
    </row>
    <row r="124" spans="2:8" x14ac:dyDescent="0.25">
      <c r="C124" s="492"/>
      <c r="D124" s="492"/>
      <c r="E124" s="492"/>
      <c r="F124" s="913"/>
    </row>
    <row r="125" spans="2:8" x14ac:dyDescent="0.25">
      <c r="C125" s="492"/>
      <c r="D125" s="492"/>
      <c r="E125" s="492"/>
      <c r="F125" s="913"/>
    </row>
  </sheetData>
  <mergeCells count="11">
    <mergeCell ref="P37:R37"/>
    <mergeCell ref="G6:M6"/>
    <mergeCell ref="B6:B7"/>
    <mergeCell ref="G69:I69"/>
    <mergeCell ref="G70:I70"/>
    <mergeCell ref="B103:H103"/>
    <mergeCell ref="E104:F104"/>
    <mergeCell ref="C105:D105"/>
    <mergeCell ref="E105:F105"/>
    <mergeCell ref="G71:I71"/>
    <mergeCell ref="G72:I72"/>
  </mergeCells>
  <conditionalFormatting sqref="M67:N72 K72:M72 G72:I72 B72:D72">
    <cfRule type="expression" dxfId="5" priority="12" stopIfTrue="1">
      <formula>ABS(#REF!-(#REF!+$D67+$M67+$O67))&gt;отклонение</formula>
    </cfRule>
  </conditionalFormatting>
  <conditionalFormatting sqref="H101:J101 B101 D101">
    <cfRule type="expression" dxfId="4" priority="13" stopIfTrue="1">
      <formula>ABS(#REF!-(#REF!+#REF!+$M101+$O101))&gt;отклонение</formula>
    </cfRule>
  </conditionalFormatting>
  <conditionalFormatting sqref="G72:I72">
    <cfRule type="expression" dxfId="3" priority="1" stopIfTrue="1">
      <formula>ABS(#REF!-(#REF!+#REF!+$L72+$N72))&gt;отклонение</formula>
    </cfRule>
  </conditionalFormatting>
  <pageMargins left="0.23622047244094491" right="0.23622047244094491" top="0.55118110236220474" bottom="0.39370078740157483" header="0.59055118110236227" footer="0.31496062992125984"/>
  <pageSetup paperSize="9" scale="59" fitToHeight="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pageSetUpPr fitToPage="1"/>
  </sheetPr>
  <dimension ref="B1:Q28"/>
  <sheetViews>
    <sheetView zoomScale="80" zoomScaleNormal="80" workbookViewId="0">
      <selection activeCell="B19" sqref="B19"/>
    </sheetView>
  </sheetViews>
  <sheetFormatPr defaultColWidth="9.140625" defaultRowHeight="15" x14ac:dyDescent="0.25"/>
  <cols>
    <col min="1" max="1" width="4.140625" style="18" customWidth="1"/>
    <col min="2" max="2" width="38.7109375" style="18" customWidth="1"/>
    <col min="3" max="3" width="8.5703125" style="821" customWidth="1"/>
    <col min="4" max="4" width="10.42578125" style="18" customWidth="1"/>
    <col min="5" max="5" width="10.85546875" style="18" bestFit="1" customWidth="1"/>
    <col min="6" max="6" width="13.85546875" style="18" customWidth="1"/>
    <col min="7" max="7" width="17.7109375" style="18" customWidth="1"/>
    <col min="8" max="8" width="10.5703125" style="18" customWidth="1"/>
    <col min="9" max="9" width="9.85546875" style="18" bestFit="1" customWidth="1"/>
    <col min="10" max="10" width="11.85546875" style="18" bestFit="1" customWidth="1"/>
    <col min="11" max="11" width="16.7109375" style="18" customWidth="1"/>
    <col min="12" max="12" width="9.28515625" style="18" bestFit="1" customWidth="1"/>
    <col min="13" max="13" width="10.28515625" style="18" customWidth="1"/>
    <col min="14" max="14" width="12.7109375" style="18" bestFit="1" customWidth="1"/>
    <col min="15" max="15" width="9.28515625" style="18" bestFit="1" customWidth="1"/>
    <col min="16" max="16384" width="9.140625" style="18"/>
  </cols>
  <sheetData>
    <row r="1" spans="2:17" ht="15.75" x14ac:dyDescent="0.25">
      <c r="L1" s="58" t="s">
        <v>951</v>
      </c>
    </row>
    <row r="2" spans="2:17" x14ac:dyDescent="0.25">
      <c r="G2" s="2541"/>
      <c r="H2" s="2541"/>
      <c r="I2" s="2541"/>
      <c r="J2" s="2541"/>
      <c r="K2" s="2541"/>
    </row>
    <row r="3" spans="2:17" ht="15.75" x14ac:dyDescent="0.25">
      <c r="B3" s="58" t="s">
        <v>1893</v>
      </c>
      <c r="C3" s="58"/>
      <c r="D3" s="58"/>
      <c r="E3" s="58"/>
      <c r="F3" s="58"/>
      <c r="G3" s="3892" t="str">
        <f>'Вхідні дані'!F5</f>
        <v>ЧФ ДП "АМПУ"</v>
      </c>
      <c r="H3" s="3892"/>
      <c r="I3" s="3892"/>
      <c r="J3" s="2940" t="s">
        <v>460</v>
      </c>
      <c r="K3" s="2815" t="str">
        <f>'Вхідні дані'!F6</f>
        <v>2022-2023</v>
      </c>
      <c r="L3" s="18" t="s">
        <v>647</v>
      </c>
      <c r="M3" s="58"/>
    </row>
    <row r="4" spans="2:17" ht="15.75" thickBot="1" x14ac:dyDescent="0.3"/>
    <row r="5" spans="2:17" ht="15.75" thickBot="1" x14ac:dyDescent="0.3">
      <c r="B5" s="3985" t="s">
        <v>8</v>
      </c>
      <c r="C5" s="3987" t="s">
        <v>9</v>
      </c>
      <c r="D5" s="3987" t="s">
        <v>495</v>
      </c>
      <c r="E5" s="3991" t="s">
        <v>1887</v>
      </c>
      <c r="F5" s="3992"/>
      <c r="G5" s="3992"/>
      <c r="H5" s="3992"/>
      <c r="I5" s="3992"/>
      <c r="J5" s="3993"/>
      <c r="K5" s="3991" t="s">
        <v>1889</v>
      </c>
      <c r="L5" s="3992"/>
      <c r="M5" s="3993"/>
    </row>
    <row r="6" spans="2:17" s="1791" customFormat="1" ht="30.75" thickBot="1" x14ac:dyDescent="0.3">
      <c r="B6" s="3986"/>
      <c r="C6" s="3988"/>
      <c r="D6" s="3988"/>
      <c r="E6" s="2088" t="s">
        <v>1888</v>
      </c>
      <c r="F6" s="2088" t="s">
        <v>880</v>
      </c>
      <c r="G6" s="2089" t="s">
        <v>1892</v>
      </c>
      <c r="H6" s="2088" t="s">
        <v>631</v>
      </c>
      <c r="I6" s="2088" t="s">
        <v>630</v>
      </c>
      <c r="J6" s="2088" t="s">
        <v>921</v>
      </c>
      <c r="K6" s="2089" t="s">
        <v>1803</v>
      </c>
      <c r="L6" s="2088" t="s">
        <v>883</v>
      </c>
      <c r="M6" s="2089" t="s">
        <v>1889</v>
      </c>
    </row>
    <row r="7" spans="2:17" x14ac:dyDescent="0.25">
      <c r="B7" s="864"/>
      <c r="C7" s="865"/>
      <c r="D7" s="864"/>
      <c r="E7" s="864"/>
      <c r="F7" s="864"/>
      <c r="G7" s="864"/>
      <c r="H7" s="864"/>
      <c r="I7" s="864"/>
      <c r="J7" s="864"/>
      <c r="K7" s="864"/>
      <c r="L7" s="864"/>
      <c r="M7" s="864"/>
    </row>
    <row r="8" spans="2:17" x14ac:dyDescent="0.25">
      <c r="B8" s="866" t="s">
        <v>1890</v>
      </c>
      <c r="C8" s="867" t="s">
        <v>1704</v>
      </c>
      <c r="D8" s="868">
        <f>E8+K8+L8+M8</f>
        <v>8664.9500000000007</v>
      </c>
      <c r="E8" s="868">
        <f>F8+G8+J8</f>
        <v>8664.9500000000007</v>
      </c>
      <c r="F8" s="868">
        <f>ФОП!H9/1000</f>
        <v>5029.51</v>
      </c>
      <c r="G8" s="868">
        <f>H8+I8</f>
        <v>3023.13</v>
      </c>
      <c r="H8" s="868">
        <f>Виробництво_Транспортування_1ст!K118</f>
        <v>593.91999999999996</v>
      </c>
      <c r="I8" s="868">
        <f>Виробництво_Транспортування_1ст!L118</f>
        <v>2429.21</v>
      </c>
      <c r="J8" s="868">
        <f>ФОП!H24/1000</f>
        <v>612.30999999999995</v>
      </c>
      <c r="K8" s="868">
        <f>ФОП!H29/1000</f>
        <v>0</v>
      </c>
      <c r="L8" s="868">
        <f>ФОП!H39/1000</f>
        <v>0</v>
      </c>
      <c r="M8" s="868">
        <v>0</v>
      </c>
      <c r="N8" s="862">
        <f>(ФОП!H54-ФОП!H44-ФОП!H49)/1000</f>
        <v>8664.9500000000007</v>
      </c>
      <c r="O8" s="863">
        <f>D8-N8</f>
        <v>0</v>
      </c>
      <c r="P8" s="863"/>
      <c r="Q8" s="863"/>
    </row>
    <row r="9" spans="2:17" x14ac:dyDescent="0.25">
      <c r="B9" s="866" t="s">
        <v>1890</v>
      </c>
      <c r="C9" s="867" t="s">
        <v>4</v>
      </c>
      <c r="D9" s="869">
        <f>D8/$D$8</f>
        <v>1</v>
      </c>
      <c r="E9" s="869">
        <f>E8/$D$8</f>
        <v>1</v>
      </c>
      <c r="F9" s="872"/>
      <c r="G9" s="872"/>
      <c r="H9" s="872"/>
      <c r="I9" s="872"/>
      <c r="J9" s="872"/>
      <c r="K9" s="869">
        <f t="shared" ref="K9:M9" si="0">K8/$D$8</f>
        <v>0</v>
      </c>
      <c r="L9" s="869">
        <f t="shared" si="0"/>
        <v>0</v>
      </c>
      <c r="M9" s="869">
        <f t="shared" si="0"/>
        <v>0</v>
      </c>
      <c r="P9" s="863"/>
      <c r="Q9" s="863"/>
    </row>
    <row r="10" spans="2:17" ht="45" x14ac:dyDescent="0.25">
      <c r="B10" s="871" t="s">
        <v>1894</v>
      </c>
      <c r="C10" s="867" t="s">
        <v>1704</v>
      </c>
      <c r="D10" s="870"/>
      <c r="E10" s="868">
        <f>F10+G10+J10</f>
        <v>77667.81</v>
      </c>
      <c r="F10" s="868">
        <f>Виробництво_Транспортування_1ст!F9</f>
        <v>67516.94</v>
      </c>
      <c r="G10" s="868">
        <f>H10+I10</f>
        <v>9236.75</v>
      </c>
      <c r="H10" s="868">
        <f>Виробництво_Транспортування_1ст!K105+Виробництво_Транспортування_1ст!K106+Виробництво_Транспортування_1ст!K107+Виробництво_Транспортування_1ст!K108+Виробництво_Транспортування_1ст!K109+Виробництво_Транспортування_1ст!K110+Виробництво_Транспортування_1ст!K111+Виробництво_Транспортування_1ст!K112+Виробництво_Транспортування_1ст!K113+Виробництво_Транспортування_1ст!K114+Виробництво_Транспортування_1ст!K115+Виробництво_Транспортування_1ст!K116+Виробництво_Транспортування_1ст!K118+Виробництво_Транспортування_1ст!K120</f>
        <v>1511.58</v>
      </c>
      <c r="I10" s="868">
        <f>Виробництво_Транспортування_1ст!L105+Виробництво_Транспортування_1ст!L106+Виробництво_Транспортування_1ст!L107+Виробництво_Транспортування_1ст!L108+Виробництво_Транспортування_1ст!L109+Виробництво_Транспортування_1ст!L110+Виробництво_Транспортування_1ст!L111+Виробництво_Транспортування_1ст!L112+Виробництво_Транспортування_1ст!L113+Виробництво_Транспортування_1ст!L114+Виробництво_Транспортування_1ст!L115+Виробництво_Транспортування_1ст!L116+Виробництво_Транспортування_1ст!L118+Виробництво_Транспортування_1ст!L120</f>
        <v>7725.17</v>
      </c>
      <c r="J10" s="868">
        <f>Постачання_1ст!F9</f>
        <v>914.12</v>
      </c>
      <c r="K10" s="872"/>
      <c r="L10" s="872"/>
      <c r="M10" s="872"/>
      <c r="N10" s="863">
        <f>F10+G10+J10</f>
        <v>77667.81</v>
      </c>
      <c r="P10" s="863"/>
      <c r="Q10" s="863"/>
    </row>
    <row r="11" spans="2:17" ht="45.75" thickBot="1" x14ac:dyDescent="0.3">
      <c r="B11" s="873" t="s">
        <v>1894</v>
      </c>
      <c r="C11" s="874" t="s">
        <v>4</v>
      </c>
      <c r="D11" s="870"/>
      <c r="E11" s="875">
        <f t="shared" ref="E11:I11" si="1">E10/$E$10</f>
        <v>1</v>
      </c>
      <c r="F11" s="875">
        <f>F10/$E$10</f>
        <v>0.86929999999999996</v>
      </c>
      <c r="G11" s="875">
        <f t="shared" si="1"/>
        <v>0.11890000000000001</v>
      </c>
      <c r="H11" s="875">
        <f t="shared" si="1"/>
        <v>1.95E-2</v>
      </c>
      <c r="I11" s="875">
        <f t="shared" si="1"/>
        <v>9.9500000000000005E-2</v>
      </c>
      <c r="J11" s="875">
        <f>J10/$E$10</f>
        <v>1.18E-2</v>
      </c>
      <c r="K11" s="876"/>
      <c r="L11" s="876"/>
      <c r="M11" s="876"/>
      <c r="P11" s="863"/>
      <c r="Q11" s="863"/>
    </row>
    <row r="12" spans="2:17" ht="45" x14ac:dyDescent="0.25">
      <c r="B12" s="877" t="s">
        <v>1896</v>
      </c>
      <c r="C12" s="865" t="s">
        <v>1704</v>
      </c>
      <c r="D12" s="2564">
        <f>ЗВВ_1ст!F8</f>
        <v>3933.66</v>
      </c>
      <c r="E12" s="878">
        <f>D12*E9</f>
        <v>3933.66</v>
      </c>
      <c r="F12" s="881"/>
      <c r="G12" s="881"/>
      <c r="H12" s="881"/>
      <c r="I12" s="881"/>
      <c r="J12" s="881"/>
      <c r="K12" s="878">
        <f>$D$12*K9</f>
        <v>0</v>
      </c>
      <c r="L12" s="2565">
        <f>$D$12*L9</f>
        <v>0</v>
      </c>
      <c r="M12" s="2565">
        <f>$D$12*M9</f>
        <v>0</v>
      </c>
      <c r="P12" s="863"/>
      <c r="Q12" s="863"/>
    </row>
    <row r="13" spans="2:17" ht="45" x14ac:dyDescent="0.25">
      <c r="B13" s="871" t="s">
        <v>1897</v>
      </c>
      <c r="C13" s="867" t="s">
        <v>1704</v>
      </c>
      <c r="D13" s="2566"/>
      <c r="E13" s="868">
        <f>E12</f>
        <v>3933.66</v>
      </c>
      <c r="F13" s="868">
        <f>$E$13*F11</f>
        <v>3419.53</v>
      </c>
      <c r="G13" s="868">
        <f>$E$13*G11</f>
        <v>467.71</v>
      </c>
      <c r="H13" s="868">
        <f>$E$13*H11</f>
        <v>76.709999999999994</v>
      </c>
      <c r="I13" s="868">
        <f>$E$13*I11</f>
        <v>391.4</v>
      </c>
      <c r="J13" s="868">
        <f>$E$13*J11</f>
        <v>46.42</v>
      </c>
      <c r="K13" s="872"/>
      <c r="L13" s="2566"/>
      <c r="M13" s="2566"/>
      <c r="P13" s="863"/>
      <c r="Q13" s="863"/>
    </row>
    <row r="14" spans="2:17" ht="30" x14ac:dyDescent="0.25">
      <c r="B14" s="871" t="s">
        <v>1898</v>
      </c>
      <c r="C14" s="867" t="s">
        <v>1704</v>
      </c>
      <c r="D14" s="2563">
        <f>D12</f>
        <v>3933.66</v>
      </c>
      <c r="E14" s="868">
        <f>E12</f>
        <v>3933.66</v>
      </c>
      <c r="F14" s="868">
        <f>F13</f>
        <v>3419.53</v>
      </c>
      <c r="G14" s="868">
        <f>G13</f>
        <v>467.71</v>
      </c>
      <c r="H14" s="868">
        <f>H13</f>
        <v>76.709999999999994</v>
      </c>
      <c r="I14" s="868">
        <f>I13</f>
        <v>391.4</v>
      </c>
      <c r="J14" s="868">
        <f>J13</f>
        <v>46.42</v>
      </c>
      <c r="K14" s="868">
        <f>K12</f>
        <v>0</v>
      </c>
      <c r="L14" s="2563">
        <f>L12</f>
        <v>0</v>
      </c>
      <c r="M14" s="2563">
        <f>M12</f>
        <v>0</v>
      </c>
      <c r="P14" s="863"/>
      <c r="Q14" s="863"/>
    </row>
    <row r="15" spans="2:17" ht="30.75" thickBot="1" x14ac:dyDescent="0.3">
      <c r="B15" s="873" t="s">
        <v>1899</v>
      </c>
      <c r="C15" s="874" t="s">
        <v>4</v>
      </c>
      <c r="D15" s="2567">
        <f>D14/$D$14</f>
        <v>1</v>
      </c>
      <c r="E15" s="2567">
        <f t="shared" ref="E15:M15" si="2">E14/$D$14</f>
        <v>1</v>
      </c>
      <c r="F15" s="2928">
        <f>F14/E14</f>
        <v>0.86929999999999996</v>
      </c>
      <c r="G15" s="2928">
        <f>G14/E14</f>
        <v>0.11890000000000001</v>
      </c>
      <c r="H15" s="2928">
        <f>H14/E14</f>
        <v>1.95E-2</v>
      </c>
      <c r="I15" s="2928">
        <f>I14/E14</f>
        <v>9.9500000000000005E-2</v>
      </c>
      <c r="J15" s="2928">
        <f>J14/E14</f>
        <v>1.18E-2</v>
      </c>
      <c r="K15" s="2567">
        <f t="shared" si="2"/>
        <v>0</v>
      </c>
      <c r="L15" s="2567">
        <f t="shared" si="2"/>
        <v>0</v>
      </c>
      <c r="M15" s="2567">
        <f t="shared" si="2"/>
        <v>0</v>
      </c>
      <c r="P15" s="863"/>
      <c r="Q15" s="863"/>
    </row>
    <row r="16" spans="2:17" ht="15.75" thickBot="1" x14ac:dyDescent="0.3">
      <c r="B16" s="860"/>
      <c r="D16" s="861"/>
      <c r="E16" s="861"/>
      <c r="F16" s="861"/>
      <c r="G16" s="861"/>
      <c r="H16" s="861"/>
      <c r="I16" s="861"/>
      <c r="J16" s="861"/>
      <c r="K16" s="861"/>
      <c r="L16" s="861"/>
      <c r="M16" s="861"/>
      <c r="P16" s="863"/>
      <c r="Q16" s="863"/>
    </row>
    <row r="17" spans="2:17" ht="45" x14ac:dyDescent="0.25">
      <c r="B17" s="877" t="s">
        <v>1900</v>
      </c>
      <c r="C17" s="865" t="s">
        <v>1704</v>
      </c>
      <c r="D17" s="879"/>
      <c r="E17" s="878">
        <f t="shared" ref="E17:J17" si="3">E10+E13</f>
        <v>81601.47</v>
      </c>
      <c r="F17" s="878">
        <f>F10+F13</f>
        <v>70936.47</v>
      </c>
      <c r="G17" s="878">
        <f t="shared" si="3"/>
        <v>9704.4599999999991</v>
      </c>
      <c r="H17" s="878">
        <f t="shared" si="3"/>
        <v>1588.29</v>
      </c>
      <c r="I17" s="878">
        <f t="shared" si="3"/>
        <v>8116.57</v>
      </c>
      <c r="J17" s="878">
        <f t="shared" si="3"/>
        <v>960.54</v>
      </c>
      <c r="K17" s="881"/>
      <c r="L17" s="881"/>
      <c r="M17" s="881"/>
      <c r="P17" s="863"/>
      <c r="Q17" s="863"/>
    </row>
    <row r="18" spans="2:17" ht="45" x14ac:dyDescent="0.25">
      <c r="B18" s="880" t="s">
        <v>1900</v>
      </c>
      <c r="C18" s="867" t="s">
        <v>4</v>
      </c>
      <c r="D18" s="870"/>
      <c r="E18" s="2568">
        <f t="shared" ref="E18:J18" si="4">E17/$E$17</f>
        <v>1</v>
      </c>
      <c r="F18" s="869">
        <f>F17/$E$17</f>
        <v>0.86929999999999996</v>
      </c>
      <c r="G18" s="869">
        <f t="shared" si="4"/>
        <v>0.11890000000000001</v>
      </c>
      <c r="H18" s="869">
        <f t="shared" si="4"/>
        <v>1.95E-2</v>
      </c>
      <c r="I18" s="869">
        <f t="shared" si="4"/>
        <v>9.9500000000000005E-2</v>
      </c>
      <c r="J18" s="869">
        <f t="shared" si="4"/>
        <v>1.18E-2</v>
      </c>
      <c r="K18" s="870"/>
      <c r="L18" s="870"/>
      <c r="M18" s="870"/>
      <c r="P18" s="863"/>
      <c r="Q18" s="863"/>
    </row>
    <row r="19" spans="2:17" ht="45" x14ac:dyDescent="0.25">
      <c r="B19" s="871" t="s">
        <v>3463</v>
      </c>
      <c r="C19" s="867" t="s">
        <v>1704</v>
      </c>
      <c r="D19" s="868">
        <f>Адміністративні_1ст!F8</f>
        <v>1568.36</v>
      </c>
      <c r="E19" s="868">
        <f>D19*E9</f>
        <v>1568.36</v>
      </c>
      <c r="F19" s="870"/>
      <c r="G19" s="870"/>
      <c r="H19" s="870"/>
      <c r="I19" s="870"/>
      <c r="J19" s="870"/>
      <c r="K19" s="868">
        <f>$D$19*K9</f>
        <v>0</v>
      </c>
      <c r="L19" s="868">
        <f>$D$19*L9</f>
        <v>0</v>
      </c>
      <c r="M19" s="868">
        <f>$D$19*M9</f>
        <v>0</v>
      </c>
      <c r="P19" s="863"/>
      <c r="Q19" s="863"/>
    </row>
    <row r="20" spans="2:17" ht="45" x14ac:dyDescent="0.25">
      <c r="B20" s="871" t="s">
        <v>1901</v>
      </c>
      <c r="C20" s="867" t="s">
        <v>1704</v>
      </c>
      <c r="D20" s="870"/>
      <c r="E20" s="868">
        <f>E19</f>
        <v>1568.36</v>
      </c>
      <c r="F20" s="868">
        <f>$E$20*F18</f>
        <v>1363.38</v>
      </c>
      <c r="G20" s="868">
        <f>$E$20*G18</f>
        <v>186.48</v>
      </c>
      <c r="H20" s="868">
        <f>$E$20*H18</f>
        <v>30.58</v>
      </c>
      <c r="I20" s="868">
        <f>$E$20*I18</f>
        <v>156.05000000000001</v>
      </c>
      <c r="J20" s="868">
        <f>$E$20*J18</f>
        <v>18.510000000000002</v>
      </c>
      <c r="K20" s="870"/>
      <c r="L20" s="870"/>
      <c r="M20" s="870"/>
      <c r="P20" s="863"/>
      <c r="Q20" s="863"/>
    </row>
    <row r="21" spans="2:17" ht="30" x14ac:dyDescent="0.25">
      <c r="B21" s="871" t="s">
        <v>1903</v>
      </c>
      <c r="C21" s="867" t="s">
        <v>1704</v>
      </c>
      <c r="D21" s="868">
        <f>D19</f>
        <v>1568.36</v>
      </c>
      <c r="E21" s="868">
        <f t="shared" ref="E21:M21" si="5">E19</f>
        <v>1568.36</v>
      </c>
      <c r="F21" s="868">
        <f>F20</f>
        <v>1363.38</v>
      </c>
      <c r="G21" s="868">
        <f>G20</f>
        <v>186.48</v>
      </c>
      <c r="H21" s="868">
        <f>H20</f>
        <v>30.58</v>
      </c>
      <c r="I21" s="868">
        <f>I20</f>
        <v>156.05000000000001</v>
      </c>
      <c r="J21" s="868">
        <f>J20</f>
        <v>18.510000000000002</v>
      </c>
      <c r="K21" s="868">
        <f t="shared" si="5"/>
        <v>0</v>
      </c>
      <c r="L21" s="868">
        <f t="shared" si="5"/>
        <v>0</v>
      </c>
      <c r="M21" s="868">
        <f t="shared" si="5"/>
        <v>0</v>
      </c>
      <c r="P21" s="863"/>
      <c r="Q21" s="863"/>
    </row>
    <row r="22" spans="2:17" ht="30.75" thickBot="1" x14ac:dyDescent="0.3">
      <c r="B22" s="873" t="s">
        <v>1925</v>
      </c>
      <c r="C22" s="874" t="s">
        <v>4</v>
      </c>
      <c r="D22" s="875">
        <f>D21/$D$21</f>
        <v>1</v>
      </c>
      <c r="E22" s="875">
        <f t="shared" ref="E22:M22" si="6">E21/$D$21</f>
        <v>1</v>
      </c>
      <c r="F22" s="2927">
        <f>F21/$D$21</f>
        <v>0.86929999999999996</v>
      </c>
      <c r="G22" s="2927">
        <f t="shared" si="6"/>
        <v>0.11890000000000001</v>
      </c>
      <c r="H22" s="2927">
        <f t="shared" si="6"/>
        <v>1.95E-2</v>
      </c>
      <c r="I22" s="2927">
        <f t="shared" si="6"/>
        <v>9.9500000000000005E-2</v>
      </c>
      <c r="J22" s="2927">
        <f t="shared" si="6"/>
        <v>1.18E-2</v>
      </c>
      <c r="K22" s="875">
        <f t="shared" si="6"/>
        <v>0</v>
      </c>
      <c r="L22" s="875">
        <f t="shared" si="6"/>
        <v>0</v>
      </c>
      <c r="M22" s="875">
        <f t="shared" si="6"/>
        <v>0</v>
      </c>
      <c r="P22" s="1344"/>
      <c r="Q22" s="1344"/>
    </row>
    <row r="25" spans="2:17" ht="18.75" x14ac:dyDescent="0.3">
      <c r="B25" s="3273" t="str">
        <f>'Вхідні дані'!$B$13</f>
        <v>Начальник Адміністрації морського порту Чорноморськ</v>
      </c>
      <c r="C25" s="3273"/>
      <c r="D25" s="3273"/>
      <c r="F25" s="2541"/>
      <c r="G25" s="3379" t="s">
        <v>1339</v>
      </c>
      <c r="J25" s="3989" t="str">
        <f>'Вхідні дані'!$F$13</f>
        <v>Максим ШИРОКОВ</v>
      </c>
      <c r="K25" s="3989"/>
      <c r="L25" s="3989"/>
    </row>
    <row r="26" spans="2:17" ht="18.75" x14ac:dyDescent="0.3">
      <c r="B26" s="3273"/>
      <c r="C26" s="3273"/>
      <c r="D26" s="3273"/>
      <c r="F26" s="2541"/>
      <c r="G26" s="3379" t="s">
        <v>219</v>
      </c>
      <c r="J26" s="3990" t="s">
        <v>1926</v>
      </c>
      <c r="K26" s="3990"/>
      <c r="L26" s="3990"/>
    </row>
    <row r="27" spans="2:17" ht="18.75" customHeight="1" x14ac:dyDescent="0.3">
      <c r="B27" s="3273" t="str">
        <f>'Вхідні дані'!$B$15</f>
        <v>Заступник начальника з економіки та фінансів</v>
      </c>
      <c r="C27" s="3273"/>
      <c r="D27" s="3273"/>
      <c r="F27" s="2541"/>
      <c r="G27" s="3379" t="s">
        <v>1339</v>
      </c>
      <c r="J27" s="3989" t="str">
        <f>'Вхідні дані'!$F$15</f>
        <v>Наталія БАРТОШИК</v>
      </c>
      <c r="K27" s="3989"/>
      <c r="L27" s="3989"/>
    </row>
    <row r="28" spans="2:17" ht="18.75" x14ac:dyDescent="0.3">
      <c r="B28" s="3324"/>
      <c r="C28" s="3324"/>
      <c r="D28" s="3324"/>
      <c r="F28" s="2541"/>
      <c r="G28" s="3379" t="s">
        <v>219</v>
      </c>
      <c r="J28" s="3990" t="s">
        <v>1926</v>
      </c>
      <c r="K28" s="3990"/>
      <c r="L28" s="3990"/>
    </row>
  </sheetData>
  <mergeCells count="10">
    <mergeCell ref="G3:I3"/>
    <mergeCell ref="J27:L27"/>
    <mergeCell ref="J28:L28"/>
    <mergeCell ref="E5:J5"/>
    <mergeCell ref="K5:M5"/>
    <mergeCell ref="B5:B6"/>
    <mergeCell ref="D5:D6"/>
    <mergeCell ref="C5:C6"/>
    <mergeCell ref="J25:L25"/>
    <mergeCell ref="J26:L26"/>
  </mergeCells>
  <conditionalFormatting sqref="J28:L28 B28:D28">
    <cfRule type="expression" dxfId="2" priority="2" stopIfTrue="1">
      <formula>ABS(#REF!-(#REF!+#REF!+#REF!+$N28))&gt;отклонение</formula>
    </cfRule>
  </conditionalFormatting>
  <pageMargins left="0.77" right="0.27559055118110237" top="0.51" bottom="0.31496062992125984" header="0.31496062992125984" footer="0.31496062992125984"/>
  <pageSetup paperSize="9" scale="7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S89"/>
  <sheetViews>
    <sheetView view="pageBreakPreview" zoomScale="75" zoomScaleNormal="75" zoomScaleSheetLayoutView="75" workbookViewId="0">
      <selection activeCell="H86" sqref="H86"/>
    </sheetView>
  </sheetViews>
  <sheetFormatPr defaultColWidth="9.140625" defaultRowHeight="15.75" x14ac:dyDescent="0.25"/>
  <cols>
    <col min="1" max="1" width="5.42578125" style="1170" customWidth="1"/>
    <col min="2" max="2" width="70" style="1139" customWidth="1"/>
    <col min="3" max="3" width="12.42578125" style="1139" customWidth="1"/>
    <col min="4" max="4" width="11.42578125" style="1155" customWidth="1"/>
    <col min="5" max="5" width="13.140625" style="1155" bestFit="1" customWidth="1"/>
    <col min="6" max="6" width="13.140625" style="1139" customWidth="1"/>
    <col min="7" max="7" width="14.5703125" style="1139" customWidth="1"/>
    <col min="8" max="9" width="12.28515625" style="1139" customWidth="1"/>
    <col min="10" max="10" width="20.85546875" style="1139" customWidth="1"/>
    <col min="11" max="11" width="10.42578125" style="1139" bestFit="1" customWidth="1"/>
    <col min="12" max="14" width="9.140625" style="1139" customWidth="1"/>
    <col min="15" max="16384" width="9.140625" style="1139"/>
  </cols>
  <sheetData>
    <row r="1" spans="1:19" ht="51.6" customHeight="1" x14ac:dyDescent="0.25">
      <c r="A1" s="1136"/>
      <c r="B1" s="1137"/>
      <c r="C1" s="1137"/>
      <c r="D1" s="1140"/>
      <c r="E1" s="1137"/>
      <c r="F1" s="4011" t="s">
        <v>3424</v>
      </c>
      <c r="G1" s="4011"/>
      <c r="H1" s="4011"/>
      <c r="I1" s="4011"/>
      <c r="J1" s="1138"/>
    </row>
    <row r="2" spans="1:19" x14ac:dyDescent="0.25">
      <c r="A2" s="1136"/>
      <c r="B2" s="1137"/>
      <c r="C2" s="1137"/>
      <c r="D2" s="1140"/>
      <c r="E2" s="1137"/>
      <c r="F2" s="1140"/>
      <c r="G2" s="1140"/>
      <c r="H2" s="4012"/>
      <c r="I2" s="4012"/>
    </row>
    <row r="3" spans="1:19" ht="15.6" customHeight="1" x14ac:dyDescent="0.25">
      <c r="A3" s="1136"/>
      <c r="B3" s="1137"/>
      <c r="C3" s="1137"/>
      <c r="D3" s="1140"/>
      <c r="E3" s="1137"/>
      <c r="F3" s="1140"/>
      <c r="G3" s="1140"/>
      <c r="H3" s="4013"/>
      <c r="I3" s="4013"/>
    </row>
    <row r="4" spans="1:19" ht="17.25" x14ac:dyDescent="0.25">
      <c r="A4" s="1136"/>
      <c r="B4" s="4014" t="s">
        <v>1966</v>
      </c>
      <c r="C4" s="4014"/>
      <c r="D4" s="4014"/>
      <c r="E4" s="4014"/>
      <c r="F4" s="4014"/>
      <c r="G4" s="4014"/>
      <c r="H4" s="4014"/>
      <c r="I4" s="4014"/>
      <c r="J4" s="1139" t="s">
        <v>643</v>
      </c>
    </row>
    <row r="5" spans="1:19" ht="17.25" x14ac:dyDescent="0.25">
      <c r="A5" s="1136"/>
      <c r="B5" s="4015" t="s">
        <v>3420</v>
      </c>
      <c r="C5" s="4015"/>
      <c r="D5" s="4015"/>
      <c r="E5" s="4015"/>
      <c r="F5" s="4015"/>
      <c r="G5" s="4015"/>
      <c r="H5" s="4015"/>
      <c r="I5" s="4015"/>
      <c r="J5" s="1139" t="s">
        <v>643</v>
      </c>
    </row>
    <row r="6" spans="1:19" ht="16.5" thickBot="1" x14ac:dyDescent="0.3">
      <c r="A6" s="1136"/>
      <c r="B6" s="1137"/>
      <c r="C6" s="1137"/>
      <c r="D6" s="1140"/>
      <c r="E6" s="1140"/>
      <c r="F6" s="1137"/>
      <c r="G6" s="1137"/>
      <c r="H6" s="1137"/>
      <c r="I6" s="1137"/>
    </row>
    <row r="7" spans="1:19" x14ac:dyDescent="0.25">
      <c r="A7" s="4003" t="s">
        <v>7</v>
      </c>
      <c r="B7" s="3996" t="s">
        <v>1967</v>
      </c>
      <c r="C7" s="3996" t="s">
        <v>35</v>
      </c>
      <c r="D7" s="4017" t="s">
        <v>1968</v>
      </c>
      <c r="E7" s="3996" t="s">
        <v>1969</v>
      </c>
      <c r="F7" s="3996" t="s">
        <v>1970</v>
      </c>
      <c r="G7" s="3996"/>
      <c r="H7" s="3996"/>
      <c r="I7" s="3997"/>
    </row>
    <row r="8" spans="1:19" ht="31.5" x14ac:dyDescent="0.25">
      <c r="A8" s="4004"/>
      <c r="B8" s="4016"/>
      <c r="C8" s="4016"/>
      <c r="D8" s="4018"/>
      <c r="E8" s="4016"/>
      <c r="F8" s="1211" t="s">
        <v>1971</v>
      </c>
      <c r="G8" s="3066" t="s">
        <v>1972</v>
      </c>
      <c r="H8" s="3066" t="s">
        <v>749</v>
      </c>
      <c r="I8" s="1226" t="s">
        <v>162</v>
      </c>
      <c r="J8" s="1139" t="s">
        <v>2091</v>
      </c>
    </row>
    <row r="9" spans="1:19" x14ac:dyDescent="0.25">
      <c r="A9" s="1227" t="s">
        <v>479</v>
      </c>
      <c r="B9" s="1141">
        <v>2</v>
      </c>
      <c r="C9" s="1141">
        <v>3</v>
      </c>
      <c r="D9" s="1142">
        <v>4</v>
      </c>
      <c r="E9" s="1142">
        <v>5</v>
      </c>
      <c r="F9" s="1141">
        <v>6</v>
      </c>
      <c r="G9" s="1141">
        <v>7</v>
      </c>
      <c r="H9" s="1141">
        <v>8</v>
      </c>
      <c r="I9" s="1228">
        <v>9</v>
      </c>
    </row>
    <row r="10" spans="1:19" x14ac:dyDescent="0.25">
      <c r="A10" s="1229" t="s">
        <v>1670</v>
      </c>
      <c r="B10" s="1144" t="s">
        <v>1973</v>
      </c>
      <c r="C10" s="1145" t="s">
        <v>1974</v>
      </c>
      <c r="D10" s="1177">
        <f t="shared" ref="D10:I10" si="0">D11+D12+D13+D14</f>
        <v>9.1479999999999997</v>
      </c>
      <c r="E10" s="1176">
        <f t="shared" si="0"/>
        <v>8.7149999999999999</v>
      </c>
      <c r="F10" s="1176">
        <f t="shared" si="0"/>
        <v>0</v>
      </c>
      <c r="G10" s="1176">
        <f t="shared" si="0"/>
        <v>0</v>
      </c>
      <c r="H10" s="1176">
        <f t="shared" si="0"/>
        <v>0</v>
      </c>
      <c r="I10" s="1179">
        <f t="shared" si="0"/>
        <v>8.7149999999999999</v>
      </c>
      <c r="K10" s="1188">
        <f>F10+G10+H10+I10</f>
        <v>8.7149999999999999</v>
      </c>
      <c r="L10" s="1139">
        <f>'Д 8_Паливо'!D111</f>
        <v>8.7149999999999999</v>
      </c>
    </row>
    <row r="11" spans="1:19" x14ac:dyDescent="0.25">
      <c r="A11" s="1230" t="s">
        <v>23</v>
      </c>
      <c r="B11" s="1146" t="s">
        <v>1975</v>
      </c>
      <c r="C11" s="1145" t="s">
        <v>1976</v>
      </c>
      <c r="D11" s="1177">
        <f>'Д 7_РП'!F95-'Д 7_РП'!F112</f>
        <v>9.1479999999999997</v>
      </c>
      <c r="E11" s="1177">
        <f>F11+G11+H11+I11</f>
        <v>8.7149999999999999</v>
      </c>
      <c r="F11" s="1176">
        <f>'Д 7_РП'!G96</f>
        <v>0</v>
      </c>
      <c r="G11" s="1176">
        <f>'Д 7_РП'!G103</f>
        <v>0</v>
      </c>
      <c r="H11" s="1176">
        <f>'Д 7_РП'!G106</f>
        <v>0</v>
      </c>
      <c r="I11" s="1179">
        <f>'Д 7_РП'!G109</f>
        <v>8.7149999999999999</v>
      </c>
      <c r="J11" s="1221" t="s">
        <v>2116</v>
      </c>
      <c r="L11" s="1139">
        <f>'Д 8_Паливо'!D112</f>
        <v>0</v>
      </c>
      <c r="M11" s="1188">
        <f>F10</f>
        <v>0</v>
      </c>
      <c r="N11" s="1188">
        <f>L11-M11</f>
        <v>0</v>
      </c>
    </row>
    <row r="12" spans="1:19" x14ac:dyDescent="0.25">
      <c r="A12" s="1230" t="s">
        <v>24</v>
      </c>
      <c r="B12" s="1146" t="s">
        <v>1977</v>
      </c>
      <c r="C12" s="1145" t="s">
        <v>1976</v>
      </c>
      <c r="D12" s="1177">
        <v>0</v>
      </c>
      <c r="E12" s="1176">
        <v>0</v>
      </c>
      <c r="F12" s="1176">
        <v>0</v>
      </c>
      <c r="G12" s="1176">
        <v>0</v>
      </c>
      <c r="H12" s="1176">
        <v>0</v>
      </c>
      <c r="I12" s="1179">
        <v>0</v>
      </c>
      <c r="L12" s="1139">
        <f>'Д 8_Паливо'!D113</f>
        <v>0</v>
      </c>
      <c r="M12" s="1188">
        <f>G10</f>
        <v>0</v>
      </c>
      <c r="N12" s="1188">
        <f t="shared" ref="N12:N14" si="1">L12-M12</f>
        <v>0</v>
      </c>
    </row>
    <row r="13" spans="1:19" x14ac:dyDescent="0.25">
      <c r="A13" s="1230" t="s">
        <v>48</v>
      </c>
      <c r="B13" s="1146" t="s">
        <v>421</v>
      </c>
      <c r="C13" s="1145" t="s">
        <v>1976</v>
      </c>
      <c r="D13" s="1177">
        <v>0</v>
      </c>
      <c r="E13" s="1176">
        <v>0</v>
      </c>
      <c r="F13" s="1176">
        <v>0</v>
      </c>
      <c r="G13" s="1176">
        <v>0</v>
      </c>
      <c r="H13" s="1176">
        <v>0</v>
      </c>
      <c r="I13" s="1179">
        <v>0</v>
      </c>
      <c r="L13" s="1139">
        <f>'Д 8_Паливо'!D114</f>
        <v>0</v>
      </c>
      <c r="M13" s="1188">
        <f>H10</f>
        <v>0</v>
      </c>
      <c r="N13" s="1188">
        <f t="shared" si="1"/>
        <v>0</v>
      </c>
    </row>
    <row r="14" spans="1:19" x14ac:dyDescent="0.25">
      <c r="A14" s="1230" t="s">
        <v>53</v>
      </c>
      <c r="B14" s="1146" t="s">
        <v>1978</v>
      </c>
      <c r="C14" s="1145" t="s">
        <v>1976</v>
      </c>
      <c r="D14" s="1177">
        <v>0</v>
      </c>
      <c r="E14" s="1176">
        <v>0</v>
      </c>
      <c r="F14" s="1176">
        <v>0</v>
      </c>
      <c r="G14" s="1176">
        <v>0</v>
      </c>
      <c r="H14" s="1176">
        <v>0</v>
      </c>
      <c r="I14" s="1179">
        <v>0</v>
      </c>
      <c r="L14" s="1139">
        <f>'Д 8_Паливо'!D115</f>
        <v>8.7149999999999999</v>
      </c>
      <c r="M14" s="1188">
        <f>I10</f>
        <v>8.7149999999999999</v>
      </c>
      <c r="N14" s="1188">
        <f t="shared" si="1"/>
        <v>0</v>
      </c>
    </row>
    <row r="15" spans="1:19" ht="21" customHeight="1" x14ac:dyDescent="0.25">
      <c r="A15" s="1229" t="s">
        <v>1692</v>
      </c>
      <c r="B15" s="1144" t="s">
        <v>1979</v>
      </c>
      <c r="C15" s="1145" t="s">
        <v>1980</v>
      </c>
      <c r="D15" s="1147">
        <f>D17+D18+D19+D20</f>
        <v>8.85</v>
      </c>
      <c r="E15" s="1182">
        <f>E17+E18+E19+E20</f>
        <v>9.4600000000000009</v>
      </c>
      <c r="F15" s="1182">
        <f>F17+F18+F19</f>
        <v>0</v>
      </c>
      <c r="G15" s="1182">
        <f>G17+G18+G19+G20</f>
        <v>0</v>
      </c>
      <c r="H15" s="1182">
        <f>H17+H18+H19+H20</f>
        <v>0</v>
      </c>
      <c r="I15" s="1180">
        <f>I17+I18+I19+I20</f>
        <v>9.4600000000000009</v>
      </c>
      <c r="L15" s="1148"/>
    </row>
    <row r="16" spans="1:19" ht="18" customHeight="1" x14ac:dyDescent="0.25">
      <c r="A16" s="1230"/>
      <c r="B16" s="1146" t="s">
        <v>1981</v>
      </c>
      <c r="C16" s="3998" t="s">
        <v>1982</v>
      </c>
      <c r="D16" s="3998"/>
      <c r="E16" s="3998"/>
      <c r="F16" s="3998"/>
      <c r="G16" s="3998"/>
      <c r="H16" s="3998"/>
      <c r="I16" s="3999"/>
      <c r="L16" s="1148"/>
      <c r="M16" s="1149"/>
      <c r="N16" s="1149"/>
      <c r="O16" s="1149"/>
      <c r="P16" s="1149"/>
      <c r="Q16" s="1149"/>
      <c r="R16" s="1149"/>
      <c r="S16" s="1149"/>
    </row>
    <row r="17" spans="1:19" x14ac:dyDescent="0.25">
      <c r="A17" s="1230" t="s">
        <v>25</v>
      </c>
      <c r="B17" s="1146" t="s">
        <v>1975</v>
      </c>
      <c r="C17" s="1145" t="s">
        <v>1976</v>
      </c>
      <c r="D17" s="1147">
        <f>'Д 7_РП'!F74/1000</f>
        <v>8.85</v>
      </c>
      <c r="E17" s="1182">
        <f>'Д 7_РП'!G74/1000</f>
        <v>9.4600000000000009</v>
      </c>
      <c r="F17" s="1182">
        <f>'Д 7_РП'!G75/1000</f>
        <v>0</v>
      </c>
      <c r="G17" s="1182">
        <f>'Д 7_РП'!G83/1000</f>
        <v>0</v>
      </c>
      <c r="H17" s="1182">
        <f>'Д 7_РП'!G87/1000</f>
        <v>0</v>
      </c>
      <c r="I17" s="1180">
        <f>'Д 7_РП'!G91/1000</f>
        <v>9.4600000000000009</v>
      </c>
      <c r="J17" s="2170" t="s">
        <v>2116</v>
      </c>
      <c r="L17" s="1148"/>
      <c r="M17" s="1149"/>
      <c r="N17" s="1149"/>
      <c r="O17" s="1149"/>
      <c r="P17" s="1149"/>
      <c r="Q17" s="1149"/>
      <c r="R17" s="1149"/>
      <c r="S17" s="1149"/>
    </row>
    <row r="18" spans="1:19" x14ac:dyDescent="0.25">
      <c r="A18" s="1230" t="s">
        <v>26</v>
      </c>
      <c r="B18" s="1146" t="s">
        <v>1983</v>
      </c>
      <c r="C18" s="1145" t="s">
        <v>1976</v>
      </c>
      <c r="D18" s="1147">
        <v>0</v>
      </c>
      <c r="E18" s="1182">
        <v>0</v>
      </c>
      <c r="F18" s="1182">
        <v>0</v>
      </c>
      <c r="G18" s="1182">
        <v>0</v>
      </c>
      <c r="H18" s="1182">
        <v>0</v>
      </c>
      <c r="I18" s="1180">
        <v>0</v>
      </c>
      <c r="L18" s="1148"/>
      <c r="M18" s="1149"/>
      <c r="N18" s="1149"/>
      <c r="O18" s="1149"/>
      <c r="P18" s="1149"/>
      <c r="Q18" s="1149"/>
      <c r="R18" s="1149"/>
      <c r="S18" s="1149"/>
    </row>
    <row r="19" spans="1:19" x14ac:dyDescent="0.25">
      <c r="A19" s="1230" t="s">
        <v>59</v>
      </c>
      <c r="B19" s="1146" t="s">
        <v>1984</v>
      </c>
      <c r="C19" s="1145" t="s">
        <v>1976</v>
      </c>
      <c r="D19" s="1147">
        <v>0</v>
      </c>
      <c r="E19" s="1182">
        <v>0</v>
      </c>
      <c r="F19" s="1182">
        <v>0</v>
      </c>
      <c r="G19" s="1182">
        <v>0</v>
      </c>
      <c r="H19" s="1182">
        <v>0</v>
      </c>
      <c r="I19" s="1180">
        <v>0</v>
      </c>
    </row>
    <row r="20" spans="1:19" x14ac:dyDescent="0.25">
      <c r="A20" s="1230" t="s">
        <v>1985</v>
      </c>
      <c r="B20" s="1146" t="s">
        <v>1978</v>
      </c>
      <c r="C20" s="1145" t="s">
        <v>1976</v>
      </c>
      <c r="D20" s="1147">
        <v>0</v>
      </c>
      <c r="E20" s="1182">
        <v>0</v>
      </c>
      <c r="F20" s="1182" t="s">
        <v>1986</v>
      </c>
      <c r="G20" s="1182">
        <v>0</v>
      </c>
      <c r="H20" s="1182">
        <v>0</v>
      </c>
      <c r="I20" s="1180">
        <v>0</v>
      </c>
    </row>
    <row r="21" spans="1:19" ht="31.9" customHeight="1" x14ac:dyDescent="0.25">
      <c r="A21" s="1229" t="s">
        <v>1694</v>
      </c>
      <c r="B21" s="1144" t="s">
        <v>1987</v>
      </c>
      <c r="C21" s="1145" t="s">
        <v>1976</v>
      </c>
      <c r="D21" s="1147">
        <f>'Д 7_РП'!F48/1000</f>
        <v>1.95</v>
      </c>
      <c r="E21" s="1182">
        <f>('Д 7_РП'!G48-'Д 7_РП'!G55-'Д 7_РП'!G63)/1000</f>
        <v>1.21</v>
      </c>
      <c r="F21" s="1182">
        <f>F23-F15-F24</f>
        <v>0</v>
      </c>
      <c r="G21" s="1182">
        <f>G23-G15-G24</f>
        <v>0</v>
      </c>
      <c r="H21" s="1182">
        <f>H23-H15-H24</f>
        <v>0</v>
      </c>
      <c r="I21" s="1180">
        <f>I23-I15-I24</f>
        <v>1.21</v>
      </c>
      <c r="J21" s="1171">
        <f>E21-F21-G21-H21-I21</f>
        <v>0</v>
      </c>
      <c r="K21" s="2171" t="s">
        <v>2761</v>
      </c>
    </row>
    <row r="22" spans="1:19" x14ac:dyDescent="0.25">
      <c r="A22" s="1229" t="s">
        <v>1697</v>
      </c>
      <c r="B22" s="1144" t="s">
        <v>1988</v>
      </c>
      <c r="C22" s="1145" t="s">
        <v>1976</v>
      </c>
      <c r="D22" s="1147">
        <v>0</v>
      </c>
      <c r="E22" s="1147">
        <v>0</v>
      </c>
      <c r="F22" s="1182">
        <v>0</v>
      </c>
      <c r="G22" s="1182">
        <v>0</v>
      </c>
      <c r="H22" s="1182">
        <v>0</v>
      </c>
      <c r="I22" s="1180">
        <v>0</v>
      </c>
      <c r="J22" s="1171"/>
      <c r="K22" s="1171"/>
    </row>
    <row r="23" spans="1:19" ht="19.899999999999999" customHeight="1" x14ac:dyDescent="0.25">
      <c r="A23" s="1229" t="s">
        <v>1769</v>
      </c>
      <c r="B23" s="1144" t="s">
        <v>1989</v>
      </c>
      <c r="C23" s="1145" t="s">
        <v>1976</v>
      </c>
      <c r="D23" s="1147">
        <f>D15+D21+D24</f>
        <v>12.92</v>
      </c>
      <c r="E23" s="1182">
        <f>E15+E21+E24</f>
        <v>13.07</v>
      </c>
      <c r="F23" s="1182">
        <f>'Д 8_Паливо'!B11/1000</f>
        <v>0</v>
      </c>
      <c r="G23" s="1182">
        <f>'Д 8_Паливо'!B12/1000</f>
        <v>0</v>
      </c>
      <c r="H23" s="1182">
        <f>'Д 8_Паливо'!B13/1000</f>
        <v>0</v>
      </c>
      <c r="I23" s="2632">
        <f>'Д 8_Паливо'!B14/1000</f>
        <v>13.067410000000001</v>
      </c>
      <c r="J23" s="1171">
        <f>'Д 7_РП'!G24</f>
        <v>13067.41</v>
      </c>
      <c r="K23" s="1171">
        <f>J23/1000-E23</f>
        <v>0</v>
      </c>
    </row>
    <row r="24" spans="1:19" ht="17.45" customHeight="1" x14ac:dyDescent="0.25">
      <c r="A24" s="1229" t="s">
        <v>1775</v>
      </c>
      <c r="B24" s="1144" t="s">
        <v>1990</v>
      </c>
      <c r="C24" s="1145" t="s">
        <v>1976</v>
      </c>
      <c r="D24" s="1147">
        <f>'Д 7_РП'!F71/1000</f>
        <v>2.12</v>
      </c>
      <c r="E24" s="1182">
        <f>'Д 7_РП'!G39/1000</f>
        <v>2.4</v>
      </c>
      <c r="F24" s="1182">
        <f>'Д 8_Паливо'!C76/1000</f>
        <v>0</v>
      </c>
      <c r="G24" s="1182">
        <f>'Д 8_Паливо'!C77/1000</f>
        <v>0</v>
      </c>
      <c r="H24" s="1182">
        <f>'Д 8_Паливо'!C78/1000</f>
        <v>0</v>
      </c>
      <c r="I24" s="2632">
        <f>'Д 8_Паливо'!C79/1000</f>
        <v>2.3985699999999999</v>
      </c>
      <c r="J24" s="1171">
        <f>E23-E24</f>
        <v>10.67</v>
      </c>
      <c r="K24" s="1171"/>
    </row>
    <row r="25" spans="1:19" ht="30.6" customHeight="1" x14ac:dyDescent="0.25">
      <c r="A25" s="1229" t="s">
        <v>1781</v>
      </c>
      <c r="B25" s="1144" t="s">
        <v>1991</v>
      </c>
      <c r="C25" s="1145" t="s">
        <v>1976</v>
      </c>
      <c r="D25" s="1147">
        <f t="shared" ref="D25:I25" si="2">D15</f>
        <v>8.85</v>
      </c>
      <c r="E25" s="1182">
        <f t="shared" si="2"/>
        <v>9.4600000000000009</v>
      </c>
      <c r="F25" s="1182">
        <f t="shared" si="2"/>
        <v>0</v>
      </c>
      <c r="G25" s="1182">
        <f t="shared" si="2"/>
        <v>0</v>
      </c>
      <c r="H25" s="1182">
        <f t="shared" si="2"/>
        <v>0</v>
      </c>
      <c r="I25" s="1180">
        <f t="shared" si="2"/>
        <v>9.4600000000000009</v>
      </c>
      <c r="J25" s="1171"/>
      <c r="K25" s="1171"/>
    </row>
    <row r="26" spans="1:19" ht="19.899999999999999" customHeight="1" x14ac:dyDescent="0.25">
      <c r="A26" s="1229" t="s">
        <v>1783</v>
      </c>
      <c r="B26" s="1144" t="s">
        <v>1992</v>
      </c>
      <c r="C26" s="1145" t="s">
        <v>1976</v>
      </c>
      <c r="D26" s="1147">
        <f>D23/(100%-0.8%)</f>
        <v>13.02</v>
      </c>
      <c r="E26" s="1182">
        <f>E23/(100%-0.8%)</f>
        <v>13.18</v>
      </c>
      <c r="F26" s="1182">
        <f t="shared" ref="F26:G26" si="3">F23/(100%-2.2%)</f>
        <v>0</v>
      </c>
      <c r="G26" s="1182">
        <f t="shared" si="3"/>
        <v>0</v>
      </c>
      <c r="H26" s="1182">
        <f>H23/(100%-0.8%)</f>
        <v>0</v>
      </c>
      <c r="I26" s="1180">
        <f>I23/(100%-0.8%)</f>
        <v>13.17</v>
      </c>
      <c r="J26" s="1171">
        <f>'Д 7_РП'!G14</f>
        <v>13172.79</v>
      </c>
      <c r="K26" s="1171">
        <f>J26/1000-E26</f>
        <v>-0.01</v>
      </c>
    </row>
    <row r="27" spans="1:19" ht="19.149999999999999" customHeight="1" x14ac:dyDescent="0.25">
      <c r="A27" s="1229" t="s">
        <v>1785</v>
      </c>
      <c r="B27" s="1151" t="s">
        <v>1993</v>
      </c>
      <c r="C27" s="4000" t="s">
        <v>1982</v>
      </c>
      <c r="D27" s="4001"/>
      <c r="E27" s="4001"/>
      <c r="F27" s="4001"/>
      <c r="G27" s="4001"/>
      <c r="H27" s="4001"/>
      <c r="I27" s="4002"/>
    </row>
    <row r="28" spans="1:19" ht="31.5" x14ac:dyDescent="0.25">
      <c r="A28" s="1230" t="s">
        <v>160</v>
      </c>
      <c r="B28" s="1152" t="s">
        <v>1994</v>
      </c>
      <c r="C28" s="1150" t="s">
        <v>1995</v>
      </c>
      <c r="D28" s="1147">
        <v>1711.16</v>
      </c>
      <c r="E28" s="1147">
        <f>F28+G28+H28+I28</f>
        <v>1731.21</v>
      </c>
      <c r="F28" s="1182">
        <f>'Д 8_Паливо'!F11</f>
        <v>0</v>
      </c>
      <c r="G28" s="1182">
        <f>'Д 8_Паливо'!F12</f>
        <v>0</v>
      </c>
      <c r="H28" s="1182">
        <f>'Д 8_Паливо'!F13</f>
        <v>0</v>
      </c>
      <c r="I28" s="1180">
        <f>'Д 8_Паливо'!F14</f>
        <v>1731.21</v>
      </c>
    </row>
    <row r="29" spans="1:19" x14ac:dyDescent="0.25">
      <c r="A29" s="1230" t="s">
        <v>214</v>
      </c>
      <c r="B29" s="1152" t="s">
        <v>1996</v>
      </c>
      <c r="C29" s="1150" t="s">
        <v>1997</v>
      </c>
      <c r="D29" s="1147">
        <v>0</v>
      </c>
      <c r="E29" s="1147">
        <v>0</v>
      </c>
      <c r="F29" s="1147">
        <v>0</v>
      </c>
      <c r="G29" s="1147">
        <v>0</v>
      </c>
      <c r="H29" s="1147">
        <v>0</v>
      </c>
      <c r="I29" s="1231">
        <v>0</v>
      </c>
    </row>
    <row r="30" spans="1:19" x14ac:dyDescent="0.25">
      <c r="A30" s="1230" t="s">
        <v>354</v>
      </c>
      <c r="B30" s="1153" t="s">
        <v>1998</v>
      </c>
      <c r="C30" s="1145" t="s">
        <v>1976</v>
      </c>
      <c r="D30" s="1147">
        <v>0</v>
      </c>
      <c r="E30" s="1147">
        <v>0</v>
      </c>
      <c r="F30" s="1147">
        <v>0</v>
      </c>
      <c r="G30" s="1147">
        <v>0</v>
      </c>
      <c r="H30" s="1147">
        <v>0</v>
      </c>
      <c r="I30" s="1231">
        <v>0</v>
      </c>
    </row>
    <row r="31" spans="1:19" x14ac:dyDescent="0.25">
      <c r="A31" s="1230" t="s">
        <v>1941</v>
      </c>
      <c r="B31" s="1152" t="s">
        <v>1999</v>
      </c>
      <c r="C31" s="1145" t="s">
        <v>1976</v>
      </c>
      <c r="D31" s="1147">
        <v>0</v>
      </c>
      <c r="E31" s="1147">
        <v>0</v>
      </c>
      <c r="F31" s="1147">
        <v>0</v>
      </c>
      <c r="G31" s="1147">
        <v>0</v>
      </c>
      <c r="H31" s="1147">
        <v>0</v>
      </c>
      <c r="I31" s="1231">
        <v>0</v>
      </c>
    </row>
    <row r="32" spans="1:19" ht="22.9" customHeight="1" x14ac:dyDescent="0.25">
      <c r="A32" s="1229" t="s">
        <v>1789</v>
      </c>
      <c r="B32" s="1144" t="s">
        <v>2000</v>
      </c>
      <c r="C32" s="1145" t="s">
        <v>1997</v>
      </c>
      <c r="D32" s="1147">
        <v>2.0099999999999998</v>
      </c>
      <c r="E32" s="1182">
        <f t="shared" ref="E32:I32" si="4">E33*E23/1000</f>
        <v>2.04</v>
      </c>
      <c r="F32" s="1182">
        <f t="shared" si="4"/>
        <v>0</v>
      </c>
      <c r="G32" s="1182">
        <f t="shared" si="4"/>
        <v>0</v>
      </c>
      <c r="H32" s="1182">
        <f t="shared" si="4"/>
        <v>0</v>
      </c>
      <c r="I32" s="1180">
        <f t="shared" si="4"/>
        <v>2.04</v>
      </c>
      <c r="K32" s="1171">
        <f>D23</f>
        <v>12.92</v>
      </c>
    </row>
    <row r="33" spans="1:9" x14ac:dyDescent="0.25">
      <c r="A33" s="1229" t="s">
        <v>1791</v>
      </c>
      <c r="B33" s="1144" t="s">
        <v>2001</v>
      </c>
      <c r="C33" s="1145" t="s">
        <v>2002</v>
      </c>
      <c r="D33" s="1150">
        <v>155.80000000000001</v>
      </c>
      <c r="E33" s="1147">
        <f>'Д 8_Паливо'!C10</f>
        <v>155.80000000000001</v>
      </c>
      <c r="F33" s="1182">
        <f>E33</f>
        <v>155.80000000000001</v>
      </c>
      <c r="G33" s="1182">
        <f>F33</f>
        <v>155.80000000000001</v>
      </c>
      <c r="H33" s="1182">
        <f>G33</f>
        <v>155.80000000000001</v>
      </c>
      <c r="I33" s="1180">
        <f>H33</f>
        <v>155.80000000000001</v>
      </c>
    </row>
    <row r="34" spans="1:9" hidden="1" x14ac:dyDescent="0.25">
      <c r="A34" s="1229" t="s">
        <v>1793</v>
      </c>
      <c r="B34" s="1144" t="s">
        <v>2003</v>
      </c>
      <c r="C34" s="1145" t="s">
        <v>2002</v>
      </c>
      <c r="D34" s="1150"/>
      <c r="E34" s="1150"/>
      <c r="F34" s="1145"/>
      <c r="G34" s="1145"/>
      <c r="H34" s="1145"/>
      <c r="I34" s="1212"/>
    </row>
    <row r="35" spans="1:9" ht="24" customHeight="1" x14ac:dyDescent="0.25">
      <c r="A35" s="1229" t="s">
        <v>1793</v>
      </c>
      <c r="B35" s="1144" t="s">
        <v>2004</v>
      </c>
      <c r="C35" s="1145" t="s">
        <v>2005</v>
      </c>
      <c r="D35" s="2581">
        <f>791351/1000</f>
        <v>791.35</v>
      </c>
      <c r="E35" s="1147">
        <f>'Д 9_ЕЕ'!D12+'Д 9_ЕЕ'!D33+'Д 9_ЕЕ'!D70</f>
        <v>751.12</v>
      </c>
      <c r="F35" s="1182" t="s">
        <v>1986</v>
      </c>
      <c r="G35" s="1182" t="s">
        <v>1986</v>
      </c>
      <c r="H35" s="1182" t="s">
        <v>326</v>
      </c>
      <c r="I35" s="1180" t="s">
        <v>1986</v>
      </c>
    </row>
    <row r="36" spans="1:9" ht="24" customHeight="1" x14ac:dyDescent="0.25">
      <c r="A36" s="1229" t="s">
        <v>1795</v>
      </c>
      <c r="B36" s="1154" t="s">
        <v>2006</v>
      </c>
      <c r="C36" s="1145" t="s">
        <v>2007</v>
      </c>
      <c r="D36" s="1147">
        <f>D35/D23</f>
        <v>61.25</v>
      </c>
      <c r="E36" s="1182">
        <f>E35/E23</f>
        <v>57.47</v>
      </c>
      <c r="F36" s="1182" t="s">
        <v>1986</v>
      </c>
      <c r="G36" s="1182" t="s">
        <v>1986</v>
      </c>
      <c r="H36" s="1182" t="s">
        <v>326</v>
      </c>
      <c r="I36" s="1180" t="s">
        <v>1986</v>
      </c>
    </row>
    <row r="37" spans="1:9" ht="31.5" x14ac:dyDescent="0.25">
      <c r="A37" s="1229" t="s">
        <v>1797</v>
      </c>
      <c r="B37" s="1144" t="s">
        <v>2009</v>
      </c>
      <c r="C37" s="1145" t="s">
        <v>2010</v>
      </c>
      <c r="D37" s="1147">
        <f>12755/1000</f>
        <v>12.76</v>
      </c>
      <c r="E37" s="1222">
        <f>[37]Лист1!$D$12/1000</f>
        <v>23.05</v>
      </c>
      <c r="F37" s="1182" t="s">
        <v>1986</v>
      </c>
      <c r="G37" s="1182" t="s">
        <v>1986</v>
      </c>
      <c r="H37" s="1182" t="s">
        <v>326</v>
      </c>
      <c r="I37" s="1180" t="s">
        <v>1986</v>
      </c>
    </row>
    <row r="38" spans="1:9" s="1155" customFormat="1" ht="32.450000000000003" customHeight="1" x14ac:dyDescent="0.25">
      <c r="A38" s="1232" t="s">
        <v>2008</v>
      </c>
      <c r="B38" s="1151" t="s">
        <v>2012</v>
      </c>
      <c r="C38" s="1150" t="s">
        <v>2005</v>
      </c>
      <c r="D38" s="1147">
        <v>0</v>
      </c>
      <c r="E38" s="1147">
        <v>0</v>
      </c>
      <c r="F38" s="1147">
        <v>0</v>
      </c>
      <c r="G38" s="1147">
        <v>0</v>
      </c>
      <c r="H38" s="1147">
        <v>0</v>
      </c>
      <c r="I38" s="1231">
        <v>0</v>
      </c>
    </row>
    <row r="39" spans="1:9" ht="17.45" customHeight="1" x14ac:dyDescent="0.25">
      <c r="A39" s="1229" t="s">
        <v>2011</v>
      </c>
      <c r="B39" s="1144" t="s">
        <v>2014</v>
      </c>
      <c r="C39" s="1145" t="s">
        <v>2015</v>
      </c>
      <c r="D39" s="1174">
        <v>127</v>
      </c>
      <c r="E39" s="1174">
        <f>'Вхідні дані'!D50</f>
        <v>152</v>
      </c>
      <c r="F39" s="1172">
        <f>E39</f>
        <v>152</v>
      </c>
      <c r="G39" s="1172">
        <f>E39</f>
        <v>152</v>
      </c>
      <c r="H39" s="1172">
        <f>E39</f>
        <v>152</v>
      </c>
      <c r="I39" s="1233">
        <f>E39</f>
        <v>152</v>
      </c>
    </row>
    <row r="40" spans="1:9" ht="22.15" customHeight="1" x14ac:dyDescent="0.25">
      <c r="A40" s="1229" t="s">
        <v>2016</v>
      </c>
      <c r="B40" s="1144" t="s">
        <v>2017</v>
      </c>
      <c r="C40" s="1145" t="s">
        <v>1976</v>
      </c>
      <c r="D40" s="1174">
        <f t="shared" ref="D40:I40" si="5">365-D39</f>
        <v>238</v>
      </c>
      <c r="E40" s="1174">
        <f t="shared" si="5"/>
        <v>213</v>
      </c>
      <c r="F40" s="1174">
        <f t="shared" si="5"/>
        <v>213</v>
      </c>
      <c r="G40" s="1174">
        <f t="shared" si="5"/>
        <v>213</v>
      </c>
      <c r="H40" s="1174">
        <f t="shared" si="5"/>
        <v>213</v>
      </c>
      <c r="I40" s="1234">
        <f t="shared" si="5"/>
        <v>213</v>
      </c>
    </row>
    <row r="41" spans="1:9" ht="33.6" customHeight="1" x14ac:dyDescent="0.25">
      <c r="A41" s="1229" t="s">
        <v>2013</v>
      </c>
      <c r="B41" s="1144" t="s">
        <v>2019</v>
      </c>
      <c r="C41" s="1145" t="s">
        <v>2020</v>
      </c>
      <c r="D41" s="1150">
        <f>'Вхідні дані'!D75</f>
        <v>18</v>
      </c>
      <c r="E41" s="1150">
        <f>D41</f>
        <v>18</v>
      </c>
      <c r="F41" s="1150">
        <f>E41</f>
        <v>18</v>
      </c>
      <c r="G41" s="1150">
        <f>F41</f>
        <v>18</v>
      </c>
      <c r="H41" s="1150">
        <f>G41</f>
        <v>18</v>
      </c>
      <c r="I41" s="1184">
        <f>H41</f>
        <v>18</v>
      </c>
    </row>
    <row r="42" spans="1:9" ht="31.5" x14ac:dyDescent="0.25">
      <c r="A42" s="1229" t="s">
        <v>2016</v>
      </c>
      <c r="B42" s="1144" t="s">
        <v>2022</v>
      </c>
      <c r="C42" s="1145" t="s">
        <v>1976</v>
      </c>
      <c r="D42" s="1150">
        <v>5.2</v>
      </c>
      <c r="E42" s="1147">
        <f>'Вхідні дані'!D59</f>
        <v>3.75</v>
      </c>
      <c r="F42" s="1150" t="s">
        <v>1986</v>
      </c>
      <c r="G42" s="1150" t="s">
        <v>1986</v>
      </c>
      <c r="H42" s="1150" t="s">
        <v>326</v>
      </c>
      <c r="I42" s="1184" t="s">
        <v>1986</v>
      </c>
    </row>
    <row r="43" spans="1:9" ht="36" customHeight="1" x14ac:dyDescent="0.25">
      <c r="A43" s="1229" t="s">
        <v>2018</v>
      </c>
      <c r="B43" s="1144" t="s">
        <v>2024</v>
      </c>
      <c r="C43" s="1145" t="s">
        <v>1976</v>
      </c>
      <c r="D43" s="1150">
        <f>'Вхідні дані'!D58</f>
        <v>-18</v>
      </c>
      <c r="E43" s="1150">
        <f>D43</f>
        <v>-18</v>
      </c>
      <c r="F43" s="1150" t="s">
        <v>1986</v>
      </c>
      <c r="G43" s="1150" t="s">
        <v>1986</v>
      </c>
      <c r="H43" s="1150" t="s">
        <v>326</v>
      </c>
      <c r="I43" s="1184" t="s">
        <v>1986</v>
      </c>
    </row>
    <row r="44" spans="1:9" ht="31.5" hidden="1" x14ac:dyDescent="0.25">
      <c r="A44" s="1229" t="s">
        <v>2025</v>
      </c>
      <c r="B44" s="1144" t="s">
        <v>2026</v>
      </c>
      <c r="C44" s="1145" t="s">
        <v>1976</v>
      </c>
      <c r="D44" s="1150"/>
      <c r="E44" s="1150" t="s">
        <v>1982</v>
      </c>
      <c r="F44" s="1145" t="s">
        <v>1982</v>
      </c>
      <c r="G44" s="1145" t="s">
        <v>1982</v>
      </c>
      <c r="H44" s="1145"/>
      <c r="I44" s="1212" t="s">
        <v>1982</v>
      </c>
    </row>
    <row r="45" spans="1:9" ht="31.5" hidden="1" x14ac:dyDescent="0.25">
      <c r="A45" s="1229" t="s">
        <v>2027</v>
      </c>
      <c r="B45" s="1144" t="s">
        <v>2028</v>
      </c>
      <c r="C45" s="1145" t="s">
        <v>1982</v>
      </c>
      <c r="D45" s="1150"/>
      <c r="E45" s="1150" t="s">
        <v>1982</v>
      </c>
      <c r="F45" s="1145" t="s">
        <v>1982</v>
      </c>
      <c r="G45" s="1145" t="s">
        <v>1982</v>
      </c>
      <c r="H45" s="1145"/>
      <c r="I45" s="1212" t="s">
        <v>1982</v>
      </c>
    </row>
    <row r="46" spans="1:9" hidden="1" x14ac:dyDescent="0.25">
      <c r="A46" s="1230" t="s">
        <v>2029</v>
      </c>
      <c r="B46" s="1146" t="s">
        <v>2030</v>
      </c>
      <c r="C46" s="1145" t="s">
        <v>2031</v>
      </c>
      <c r="D46" s="1150">
        <v>0</v>
      </c>
      <c r="E46" s="1145">
        <v>0</v>
      </c>
      <c r="F46" s="1145">
        <v>0</v>
      </c>
      <c r="G46" s="1145">
        <v>0</v>
      </c>
      <c r="H46" s="1145">
        <v>0</v>
      </c>
      <c r="I46" s="1212">
        <v>0</v>
      </c>
    </row>
    <row r="47" spans="1:9" hidden="1" x14ac:dyDescent="0.25">
      <c r="A47" s="1230" t="s">
        <v>2032</v>
      </c>
      <c r="B47" s="1146" t="s">
        <v>2033</v>
      </c>
      <c r="C47" s="1145" t="s">
        <v>2015</v>
      </c>
      <c r="D47" s="1150">
        <v>0</v>
      </c>
      <c r="E47" s="1145">
        <v>0</v>
      </c>
      <c r="F47" s="1145">
        <v>0</v>
      </c>
      <c r="G47" s="1145">
        <v>0</v>
      </c>
      <c r="H47" s="1145">
        <v>0</v>
      </c>
      <c r="I47" s="1212">
        <v>0</v>
      </c>
    </row>
    <row r="48" spans="1:9" hidden="1" x14ac:dyDescent="0.25">
      <c r="A48" s="1230" t="s">
        <v>2034</v>
      </c>
      <c r="B48" s="1146" t="s">
        <v>2035</v>
      </c>
      <c r="C48" s="1145" t="s">
        <v>2036</v>
      </c>
      <c r="D48" s="1150">
        <v>0</v>
      </c>
      <c r="E48" s="1145">
        <v>0</v>
      </c>
      <c r="F48" s="1145">
        <v>0</v>
      </c>
      <c r="G48" s="1145">
        <v>0</v>
      </c>
      <c r="H48" s="1145">
        <v>0</v>
      </c>
      <c r="I48" s="1212">
        <v>0</v>
      </c>
    </row>
    <row r="49" spans="1:17" ht="31.5" hidden="1" x14ac:dyDescent="0.25">
      <c r="A49" s="1229" t="s">
        <v>2037</v>
      </c>
      <c r="B49" s="1144" t="s">
        <v>2038</v>
      </c>
      <c r="C49" s="1145" t="s">
        <v>2039</v>
      </c>
      <c r="D49" s="1150">
        <v>0</v>
      </c>
      <c r="E49" s="1145">
        <v>0</v>
      </c>
      <c r="F49" s="1145">
        <v>0</v>
      </c>
      <c r="G49" s="1145">
        <v>0</v>
      </c>
      <c r="H49" s="1145">
        <v>0</v>
      </c>
      <c r="I49" s="1212">
        <v>0</v>
      </c>
    </row>
    <row r="50" spans="1:17" ht="31.5" hidden="1" x14ac:dyDescent="0.25">
      <c r="A50" s="1229" t="s">
        <v>2040</v>
      </c>
      <c r="B50" s="1144" t="s">
        <v>2041</v>
      </c>
      <c r="C50" s="1145" t="s">
        <v>2042</v>
      </c>
      <c r="D50" s="1150">
        <v>0</v>
      </c>
      <c r="E50" s="1145">
        <v>0</v>
      </c>
      <c r="F50" s="1145">
        <v>0</v>
      </c>
      <c r="G50" s="1145">
        <v>0</v>
      </c>
      <c r="H50" s="1145">
        <v>0</v>
      </c>
      <c r="I50" s="1212">
        <v>0</v>
      </c>
    </row>
    <row r="51" spans="1:17" hidden="1" x14ac:dyDescent="0.25">
      <c r="A51" s="1229" t="s">
        <v>2043</v>
      </c>
      <c r="B51" s="1144" t="s">
        <v>2044</v>
      </c>
      <c r="C51" s="1145" t="s">
        <v>1982</v>
      </c>
      <c r="D51" s="1150">
        <v>0</v>
      </c>
      <c r="E51" s="1145">
        <v>0</v>
      </c>
      <c r="F51" s="1145">
        <v>0</v>
      </c>
      <c r="G51" s="1145">
        <v>0</v>
      </c>
      <c r="H51" s="1145">
        <v>0</v>
      </c>
      <c r="I51" s="1212">
        <v>0</v>
      </c>
    </row>
    <row r="52" spans="1:17" hidden="1" x14ac:dyDescent="0.25">
      <c r="A52" s="1230" t="s">
        <v>2045</v>
      </c>
      <c r="B52" s="1153" t="s">
        <v>2046</v>
      </c>
      <c r="C52" s="1145" t="s">
        <v>2020</v>
      </c>
      <c r="D52" s="1150">
        <v>0</v>
      </c>
      <c r="E52" s="1145">
        <v>0</v>
      </c>
      <c r="F52" s="1145">
        <v>0</v>
      </c>
      <c r="G52" s="1145">
        <v>0</v>
      </c>
      <c r="H52" s="1145">
        <v>0</v>
      </c>
      <c r="I52" s="1212">
        <v>0</v>
      </c>
    </row>
    <row r="53" spans="1:17" hidden="1" x14ac:dyDescent="0.25">
      <c r="A53" s="1230" t="s">
        <v>2047</v>
      </c>
      <c r="B53" s="1153" t="s">
        <v>2048</v>
      </c>
      <c r="C53" s="1145" t="s">
        <v>1976</v>
      </c>
      <c r="D53" s="1150">
        <v>0</v>
      </c>
      <c r="E53" s="1145">
        <v>0</v>
      </c>
      <c r="F53" s="1145">
        <v>0</v>
      </c>
      <c r="G53" s="1145">
        <v>0</v>
      </c>
      <c r="H53" s="1145">
        <v>0</v>
      </c>
      <c r="I53" s="1212">
        <v>0</v>
      </c>
    </row>
    <row r="54" spans="1:17" ht="21" customHeight="1" x14ac:dyDescent="0.25">
      <c r="A54" s="1229" t="s">
        <v>2021</v>
      </c>
      <c r="B54" s="1144" t="s">
        <v>2050</v>
      </c>
      <c r="C54" s="1145" t="s">
        <v>1982</v>
      </c>
      <c r="D54" s="1150"/>
      <c r="E54" s="1150"/>
      <c r="F54" s="1150" t="s">
        <v>1986</v>
      </c>
      <c r="G54" s="1150" t="s">
        <v>1986</v>
      </c>
      <c r="H54" s="1150" t="s">
        <v>326</v>
      </c>
      <c r="I54" s="1184" t="s">
        <v>1986</v>
      </c>
    </row>
    <row r="55" spans="1:17" ht="47.25" x14ac:dyDescent="0.25">
      <c r="A55" s="1230" t="s">
        <v>2089</v>
      </c>
      <c r="B55" s="1153" t="s">
        <v>1994</v>
      </c>
      <c r="C55" s="1145" t="s">
        <v>2051</v>
      </c>
      <c r="D55" s="1147">
        <v>8228.5</v>
      </c>
      <c r="E55" s="1182">
        <f>'Д 8_Паливо'!E10</f>
        <v>8232</v>
      </c>
      <c r="F55" s="1150" t="s">
        <v>1986</v>
      </c>
      <c r="G55" s="1150" t="s">
        <v>1986</v>
      </c>
      <c r="H55" s="1150" t="s">
        <v>326</v>
      </c>
      <c r="I55" s="1184" t="s">
        <v>1986</v>
      </c>
    </row>
    <row r="56" spans="1:17" x14ac:dyDescent="0.25">
      <c r="A56" s="1230" t="s">
        <v>2090</v>
      </c>
      <c r="B56" s="1153" t="s">
        <v>1996</v>
      </c>
      <c r="C56" s="1145" t="s">
        <v>1976</v>
      </c>
      <c r="D56" s="1150">
        <v>0</v>
      </c>
      <c r="E56" s="1150">
        <v>0</v>
      </c>
      <c r="F56" s="1150" t="s">
        <v>1986</v>
      </c>
      <c r="G56" s="1150" t="s">
        <v>1986</v>
      </c>
      <c r="H56" s="1150" t="s">
        <v>326</v>
      </c>
      <c r="I56" s="1184" t="s">
        <v>1986</v>
      </c>
    </row>
    <row r="57" spans="1:17" x14ac:dyDescent="0.25">
      <c r="A57" s="1230" t="s">
        <v>2093</v>
      </c>
      <c r="B57" s="1153" t="s">
        <v>1998</v>
      </c>
      <c r="C57" s="1145" t="s">
        <v>1976</v>
      </c>
      <c r="D57" s="1150">
        <v>0</v>
      </c>
      <c r="E57" s="1150">
        <v>0</v>
      </c>
      <c r="F57" s="1150" t="s">
        <v>1986</v>
      </c>
      <c r="G57" s="1150" t="s">
        <v>1986</v>
      </c>
      <c r="H57" s="1150" t="s">
        <v>1986</v>
      </c>
      <c r="I57" s="1184" t="s">
        <v>1986</v>
      </c>
    </row>
    <row r="58" spans="1:17" x14ac:dyDescent="0.25">
      <c r="A58" s="1230" t="s">
        <v>2094</v>
      </c>
      <c r="B58" s="1153" t="s">
        <v>1999</v>
      </c>
      <c r="C58" s="1145" t="s">
        <v>1976</v>
      </c>
      <c r="D58" s="1150">
        <v>0</v>
      </c>
      <c r="E58" s="1150">
        <v>0</v>
      </c>
      <c r="F58" s="1150" t="s">
        <v>1986</v>
      </c>
      <c r="G58" s="1150" t="s">
        <v>1986</v>
      </c>
      <c r="H58" s="1150" t="s">
        <v>1986</v>
      </c>
      <c r="I58" s="1184" t="s">
        <v>1986</v>
      </c>
    </row>
    <row r="59" spans="1:17" ht="25.9" customHeight="1" x14ac:dyDescent="0.25">
      <c r="A59" s="1230" t="s">
        <v>2023</v>
      </c>
      <c r="B59" s="1144" t="s">
        <v>2053</v>
      </c>
      <c r="C59" s="4005" t="s">
        <v>2121</v>
      </c>
      <c r="D59" s="1147">
        <f>Виробництво_Транспортування_1ст!D11</f>
        <v>26361.53</v>
      </c>
      <c r="E59" s="1150" t="s">
        <v>1986</v>
      </c>
      <c r="F59" s="1150" t="s">
        <v>1986</v>
      </c>
      <c r="G59" s="1150" t="s">
        <v>1986</v>
      </c>
      <c r="H59" s="1150" t="s">
        <v>1986</v>
      </c>
      <c r="I59" s="1184" t="s">
        <v>1986</v>
      </c>
    </row>
    <row r="60" spans="1:17" x14ac:dyDescent="0.25">
      <c r="A60" s="1230" t="s">
        <v>2118</v>
      </c>
      <c r="B60" s="1153" t="s">
        <v>2117</v>
      </c>
      <c r="C60" s="4006"/>
      <c r="D60" s="1147"/>
      <c r="E60" s="1147">
        <f>'Д 8_Паливо'!G10</f>
        <v>30579.98</v>
      </c>
      <c r="F60" s="1182">
        <f>'Д 8_Паливо'!G11</f>
        <v>0</v>
      </c>
      <c r="G60" s="1182">
        <f>'Д 8_Паливо'!G12</f>
        <v>0</v>
      </c>
      <c r="H60" s="1182">
        <f>'Д 8_Паливо'!G13</f>
        <v>0</v>
      </c>
      <c r="I60" s="1180">
        <f>'Д 8_Паливо'!G14</f>
        <v>30579.98</v>
      </c>
    </row>
    <row r="61" spans="1:17" x14ac:dyDescent="0.25">
      <c r="A61" s="1230" t="s">
        <v>2119</v>
      </c>
      <c r="B61" s="1153" t="s">
        <v>1823</v>
      </c>
      <c r="C61" s="4006"/>
      <c r="D61" s="1147"/>
      <c r="E61" s="1147">
        <f>'Д 8_Паливо'!G16</f>
        <v>136.58000000000001</v>
      </c>
      <c r="F61" s="1182">
        <f t="shared" ref="F61:I62" si="6">E61</f>
        <v>136.58000000000001</v>
      </c>
      <c r="G61" s="1182">
        <f t="shared" si="6"/>
        <v>136.58000000000001</v>
      </c>
      <c r="H61" s="1182">
        <f t="shared" si="6"/>
        <v>136.58000000000001</v>
      </c>
      <c r="I61" s="1180">
        <f t="shared" si="6"/>
        <v>136.58000000000001</v>
      </c>
    </row>
    <row r="62" spans="1:17" x14ac:dyDescent="0.25">
      <c r="A62" s="1230" t="s">
        <v>2120</v>
      </c>
      <c r="B62" s="1153" t="s">
        <v>1931</v>
      </c>
      <c r="C62" s="4007"/>
      <c r="D62" s="1147"/>
      <c r="E62" s="1147">
        <f>'Д 8_Паливо'!G22</f>
        <v>840</v>
      </c>
      <c r="F62" s="1182">
        <f t="shared" si="6"/>
        <v>840</v>
      </c>
      <c r="G62" s="1182">
        <f t="shared" si="6"/>
        <v>840</v>
      </c>
      <c r="H62" s="1182">
        <f t="shared" si="6"/>
        <v>840</v>
      </c>
      <c r="I62" s="1180">
        <f t="shared" si="6"/>
        <v>840</v>
      </c>
    </row>
    <row r="63" spans="1:17" ht="31.5" x14ac:dyDescent="0.25">
      <c r="A63" s="1229" t="s">
        <v>2025</v>
      </c>
      <c r="B63" s="1144" t="s">
        <v>2055</v>
      </c>
      <c r="C63" s="1145" t="s">
        <v>2056</v>
      </c>
      <c r="D63" s="1147">
        <f>6645.9/D35</f>
        <v>8.4</v>
      </c>
      <c r="E63" s="1147">
        <f>('Д 9_ЕЕ'!D17+'Д 9_ЕЕ'!D44+'Д 9_ЕЕ'!D75)/E35</f>
        <v>3.23</v>
      </c>
      <c r="F63" s="1150" t="s">
        <v>1986</v>
      </c>
      <c r="G63" s="1150" t="s">
        <v>1986</v>
      </c>
      <c r="H63" s="1150" t="s">
        <v>1986</v>
      </c>
      <c r="I63" s="1184" t="s">
        <v>1986</v>
      </c>
    </row>
    <row r="64" spans="1:17" ht="31.5" x14ac:dyDescent="0.25">
      <c r="A64" s="1229" t="s">
        <v>2027</v>
      </c>
      <c r="B64" s="1144" t="s">
        <v>2058</v>
      </c>
      <c r="C64" s="1145" t="s">
        <v>2059</v>
      </c>
      <c r="D64" s="1147">
        <v>0</v>
      </c>
      <c r="E64" s="1182">
        <v>0</v>
      </c>
      <c r="F64" s="1182">
        <v>0</v>
      </c>
      <c r="G64" s="1182">
        <v>0</v>
      </c>
      <c r="H64" s="1182">
        <v>0</v>
      </c>
      <c r="I64" s="1180">
        <v>0</v>
      </c>
      <c r="Q64" s="1149"/>
    </row>
    <row r="65" spans="1:14" ht="31.5" x14ac:dyDescent="0.25">
      <c r="A65" s="1229" t="s">
        <v>2037</v>
      </c>
      <c r="B65" s="1144" t="s">
        <v>2061</v>
      </c>
      <c r="C65" s="1145" t="s">
        <v>2062</v>
      </c>
      <c r="D65" s="1147">
        <v>0</v>
      </c>
      <c r="E65" s="1182">
        <v>0</v>
      </c>
      <c r="F65" s="1182">
        <v>0</v>
      </c>
      <c r="G65" s="1182">
        <v>0</v>
      </c>
      <c r="H65" s="1182">
        <v>0</v>
      </c>
      <c r="I65" s="1180">
        <v>0</v>
      </c>
    </row>
    <row r="66" spans="1:14" ht="32.25" thickBot="1" x14ac:dyDescent="0.3">
      <c r="A66" s="1235" t="s">
        <v>2040</v>
      </c>
      <c r="B66" s="1236" t="s">
        <v>2122</v>
      </c>
      <c r="C66" s="1175" t="s">
        <v>2064</v>
      </c>
      <c r="D66" s="1237">
        <f>(422280.44/30518.2+94553.59/8880.6)</f>
        <v>24.48</v>
      </c>
      <c r="E66" s="1237">
        <f>'Вхідні дані'!D37+'Вхідні дані'!D38</f>
        <v>34.83</v>
      </c>
      <c r="F66" s="1238" t="s">
        <v>1986</v>
      </c>
      <c r="G66" s="1238" t="s">
        <v>1986</v>
      </c>
      <c r="H66" s="1238" t="s">
        <v>1986</v>
      </c>
      <c r="I66" s="1185" t="s">
        <v>1986</v>
      </c>
    </row>
    <row r="67" spans="1:14" ht="34.15" hidden="1" customHeight="1" x14ac:dyDescent="0.25">
      <c r="A67" s="1223" t="s">
        <v>2043</v>
      </c>
      <c r="B67" s="1224" t="s">
        <v>2066</v>
      </c>
      <c r="C67" s="1178" t="s">
        <v>2067</v>
      </c>
      <c r="D67" s="1225"/>
      <c r="E67" s="1225" t="s">
        <v>1982</v>
      </c>
      <c r="F67" s="1178" t="s">
        <v>1982</v>
      </c>
      <c r="G67" s="1178" t="s">
        <v>1982</v>
      </c>
      <c r="H67" s="1178"/>
      <c r="I67" s="1178" t="s">
        <v>1982</v>
      </c>
    </row>
    <row r="68" spans="1:14" ht="31.5" hidden="1" x14ac:dyDescent="0.25">
      <c r="A68" s="1143" t="s">
        <v>2049</v>
      </c>
      <c r="B68" s="1144" t="s">
        <v>2069</v>
      </c>
      <c r="C68" s="1145" t="s">
        <v>1976</v>
      </c>
      <c r="D68" s="1150">
        <v>1163.1551899999999</v>
      </c>
      <c r="E68" s="1150"/>
      <c r="F68" s="1145"/>
      <c r="G68" s="1145"/>
      <c r="H68" s="1145"/>
      <c r="I68" s="1145"/>
    </row>
    <row r="69" spans="1:14" ht="31.5" hidden="1" x14ac:dyDescent="0.25">
      <c r="A69" s="1143" t="s">
        <v>2052</v>
      </c>
      <c r="B69" s="1144" t="s">
        <v>2070</v>
      </c>
      <c r="C69" s="1145" t="s">
        <v>1976</v>
      </c>
      <c r="D69" s="1150">
        <v>173.47329999999999</v>
      </c>
      <c r="E69" s="1150"/>
      <c r="F69" s="1145"/>
      <c r="G69" s="1145"/>
      <c r="H69" s="1145"/>
      <c r="I69" s="1145"/>
    </row>
    <row r="70" spans="1:14" ht="47.25" hidden="1" x14ac:dyDescent="0.25">
      <c r="A70" s="1143" t="s">
        <v>2054</v>
      </c>
      <c r="B70" s="1156" t="s">
        <v>2071</v>
      </c>
      <c r="C70" s="1145" t="s">
        <v>2072</v>
      </c>
      <c r="D70" s="1150">
        <v>989.68188999999995</v>
      </c>
      <c r="E70" s="1150"/>
      <c r="F70" s="1145"/>
      <c r="G70" s="1145"/>
      <c r="H70" s="1145"/>
      <c r="I70" s="1145"/>
      <c r="N70" s="1149"/>
    </row>
    <row r="71" spans="1:14" ht="31.5" hidden="1" x14ac:dyDescent="0.25">
      <c r="A71" s="1143" t="s">
        <v>2057</v>
      </c>
      <c r="B71" s="1144" t="s">
        <v>2073</v>
      </c>
      <c r="C71" s="1145" t="s">
        <v>2074</v>
      </c>
      <c r="D71" s="1150"/>
      <c r="E71" s="1150"/>
      <c r="F71" s="1145"/>
      <c r="G71" s="1145"/>
      <c r="H71" s="1145"/>
      <c r="I71" s="1145"/>
    </row>
    <row r="72" spans="1:14" ht="31.5" hidden="1" x14ac:dyDescent="0.25">
      <c r="A72" s="1143" t="s">
        <v>2060</v>
      </c>
      <c r="B72" s="1144" t="s">
        <v>2075</v>
      </c>
      <c r="C72" s="1145" t="s">
        <v>2076</v>
      </c>
      <c r="D72" s="1150"/>
      <c r="E72" s="1173"/>
      <c r="F72" s="1173"/>
      <c r="G72" s="1145" t="s">
        <v>1986</v>
      </c>
      <c r="H72" s="1145" t="s">
        <v>1986</v>
      </c>
      <c r="I72" s="1145" t="s">
        <v>1986</v>
      </c>
    </row>
    <row r="73" spans="1:14" ht="31.5" hidden="1" x14ac:dyDescent="0.25">
      <c r="A73" s="1143" t="s">
        <v>2063</v>
      </c>
      <c r="B73" s="1144" t="s">
        <v>2077</v>
      </c>
      <c r="C73" s="1145" t="s">
        <v>2076</v>
      </c>
      <c r="D73" s="1150">
        <v>0</v>
      </c>
      <c r="E73" s="1145">
        <v>0</v>
      </c>
      <c r="F73" s="1145">
        <v>0</v>
      </c>
      <c r="G73" s="1145" t="s">
        <v>1986</v>
      </c>
      <c r="H73" s="1145" t="s">
        <v>1986</v>
      </c>
      <c r="I73" s="1145" t="s">
        <v>1986</v>
      </c>
    </row>
    <row r="74" spans="1:14" ht="31.5" hidden="1" x14ac:dyDescent="0.25">
      <c r="A74" s="1143" t="s">
        <v>2065</v>
      </c>
      <c r="B74" s="1144" t="s">
        <v>2078</v>
      </c>
      <c r="C74" s="1145" t="s">
        <v>2079</v>
      </c>
      <c r="D74" s="1150">
        <v>0</v>
      </c>
      <c r="E74" s="1150">
        <f>F74+G74+H74+I74</f>
        <v>4</v>
      </c>
      <c r="F74" s="1172">
        <f>'Д 13_12'!C14</f>
        <v>0</v>
      </c>
      <c r="G74" s="1172">
        <f>'Д 13_12'!F14</f>
        <v>0</v>
      </c>
      <c r="H74" s="1172">
        <f>'Д 13_12'!I14</f>
        <v>0</v>
      </c>
      <c r="I74" s="1172">
        <f>'Д 13_12'!M14</f>
        <v>4</v>
      </c>
    </row>
    <row r="75" spans="1:14" ht="31.5" hidden="1" x14ac:dyDescent="0.25">
      <c r="A75" s="1143" t="s">
        <v>2068</v>
      </c>
      <c r="B75" s="1144" t="s">
        <v>2092</v>
      </c>
      <c r="C75" s="1145" t="s">
        <v>2079</v>
      </c>
      <c r="D75" s="1150">
        <v>0</v>
      </c>
      <c r="E75" s="1145">
        <v>0</v>
      </c>
      <c r="F75" s="1145">
        <v>0</v>
      </c>
      <c r="G75" s="1145">
        <v>0</v>
      </c>
      <c r="H75" s="1145">
        <v>0</v>
      </c>
      <c r="I75" s="1145">
        <v>0</v>
      </c>
    </row>
    <row r="76" spans="1:14" x14ac:dyDescent="0.25">
      <c r="A76" s="1136"/>
      <c r="B76" s="1157"/>
      <c r="C76" s="1158"/>
      <c r="D76" s="1159"/>
      <c r="E76" s="1159"/>
      <c r="F76" s="1158"/>
      <c r="G76" s="1158"/>
      <c r="H76" s="1158"/>
      <c r="I76" s="1158"/>
    </row>
    <row r="77" spans="1:14" x14ac:dyDescent="0.25">
      <c r="A77" s="1136"/>
      <c r="B77" s="1157"/>
      <c r="C77" s="1158"/>
      <c r="D77" s="1159"/>
      <c r="E77" s="1159"/>
      <c r="F77" s="1158"/>
      <c r="G77" s="1158"/>
      <c r="H77" s="1158"/>
      <c r="I77" s="1158"/>
      <c r="N77" s="4010"/>
    </row>
    <row r="78" spans="1:14" x14ac:dyDescent="0.25">
      <c r="A78" s="1136"/>
      <c r="B78" s="1167" t="s">
        <v>3419</v>
      </c>
      <c r="C78" s="1140"/>
      <c r="D78" s="1140" t="s">
        <v>2080</v>
      </c>
      <c r="E78" s="1160"/>
      <c r="F78" s="1140"/>
      <c r="G78" s="4009" t="s">
        <v>3167</v>
      </c>
      <c r="H78" s="4009"/>
      <c r="I78" s="4009"/>
      <c r="N78" s="4010"/>
    </row>
    <row r="79" spans="1:14" x14ac:dyDescent="0.25">
      <c r="A79" s="1136"/>
      <c r="B79" s="1161" t="s">
        <v>2081</v>
      </c>
      <c r="C79" s="1137"/>
      <c r="D79" s="4008" t="s">
        <v>219</v>
      </c>
      <c r="E79" s="4008"/>
      <c r="F79" s="1137"/>
      <c r="G79" s="4008" t="s">
        <v>2082</v>
      </c>
      <c r="H79" s="4008"/>
      <c r="I79" s="4008"/>
    </row>
    <row r="80" spans="1:14" x14ac:dyDescent="0.25">
      <c r="A80" s="1136"/>
      <c r="B80" s="1162"/>
      <c r="C80" s="1137"/>
      <c r="D80" s="1140"/>
      <c r="E80" s="1160"/>
      <c r="F80" s="1137"/>
      <c r="G80" s="1137"/>
      <c r="H80" s="1137"/>
      <c r="I80" s="1137"/>
    </row>
    <row r="81" spans="1:9" x14ac:dyDescent="0.25">
      <c r="A81" s="1136"/>
      <c r="C81" s="1137"/>
      <c r="D81" s="4008"/>
      <c r="E81" s="4008"/>
      <c r="F81" s="1137"/>
      <c r="G81" s="1137"/>
      <c r="H81" s="1137"/>
      <c r="I81" s="1137"/>
    </row>
    <row r="82" spans="1:9" x14ac:dyDescent="0.25">
      <c r="A82" s="1136"/>
      <c r="B82" s="1166" t="s">
        <v>3410</v>
      </c>
      <c r="C82" s="1137"/>
      <c r="D82" s="1140" t="s">
        <v>2080</v>
      </c>
      <c r="E82" s="1160"/>
      <c r="F82" s="1137"/>
      <c r="G82" s="4009" t="s">
        <v>3248</v>
      </c>
      <c r="H82" s="4009"/>
      <c r="I82" s="4009"/>
    </row>
    <row r="83" spans="1:9" x14ac:dyDescent="0.25">
      <c r="A83" s="1136"/>
      <c r="B83" s="1163"/>
      <c r="C83" s="1137"/>
      <c r="D83" s="4008" t="s">
        <v>219</v>
      </c>
      <c r="E83" s="4008"/>
      <c r="F83" s="1137"/>
      <c r="G83" s="4008" t="s">
        <v>2082</v>
      </c>
      <c r="H83" s="4008"/>
      <c r="I83" s="4008"/>
    </row>
    <row r="84" spans="1:9" ht="29.25" customHeight="1" x14ac:dyDescent="0.25">
      <c r="A84" s="1164" t="s">
        <v>2083</v>
      </c>
      <c r="B84" s="1165"/>
      <c r="C84" s="1165"/>
      <c r="D84" s="1165"/>
      <c r="E84" s="1165"/>
      <c r="F84" s="1165"/>
      <c r="G84" s="1165"/>
      <c r="H84" s="1165"/>
      <c r="I84" s="1165"/>
    </row>
    <row r="85" spans="1:9" ht="13.5" customHeight="1" x14ac:dyDescent="0.25">
      <c r="A85" s="3994" t="s">
        <v>2084</v>
      </c>
      <c r="B85" s="3994"/>
      <c r="C85" s="3994"/>
      <c r="D85" s="3994"/>
      <c r="E85" s="3994"/>
      <c r="F85" s="3994"/>
      <c r="G85" s="3994"/>
      <c r="H85" s="3994"/>
      <c r="I85" s="3994"/>
    </row>
    <row r="86" spans="1:9" ht="13.5" customHeight="1" x14ac:dyDescent="0.25">
      <c r="A86" s="1166"/>
      <c r="B86" s="1166"/>
      <c r="C86" s="1166"/>
      <c r="D86" s="1167"/>
      <c r="E86" s="1167"/>
      <c r="F86" s="1166"/>
      <c r="G86" s="1166"/>
      <c r="H86" s="1166"/>
      <c r="I86" s="1166"/>
    </row>
    <row r="87" spans="1:9" ht="14.25" customHeight="1" x14ac:dyDescent="0.25">
      <c r="A87" s="1136"/>
      <c r="B87" s="1168"/>
      <c r="C87" s="1137"/>
      <c r="D87" s="1140"/>
      <c r="E87" s="1140"/>
      <c r="F87" s="1137"/>
      <c r="G87" s="1137"/>
      <c r="H87" s="1137"/>
      <c r="I87" s="1137"/>
    </row>
    <row r="88" spans="1:9" x14ac:dyDescent="0.25">
      <c r="A88" s="3995"/>
      <c r="B88" s="3995"/>
      <c r="C88" s="1137"/>
      <c r="D88" s="1140"/>
      <c r="E88" s="1140"/>
      <c r="F88" s="1137"/>
      <c r="G88" s="1137"/>
      <c r="H88" s="1137"/>
      <c r="I88" s="1137"/>
    </row>
    <row r="89" spans="1:9" x14ac:dyDescent="0.25">
      <c r="A89" s="3995"/>
      <c r="B89" s="3995"/>
      <c r="C89" s="1137"/>
      <c r="D89" s="1140"/>
      <c r="E89" s="1140"/>
      <c r="F89" s="1137"/>
      <c r="G89" s="1137"/>
      <c r="H89" s="1169"/>
      <c r="I89" s="1137"/>
    </row>
  </sheetData>
  <mergeCells count="25">
    <mergeCell ref="N77:N78"/>
    <mergeCell ref="G78:I78"/>
    <mergeCell ref="D79:E79"/>
    <mergeCell ref="G79:I79"/>
    <mergeCell ref="F1:I1"/>
    <mergeCell ref="H2:I2"/>
    <mergeCell ref="H3:I3"/>
    <mergeCell ref="B4:I4"/>
    <mergeCell ref="B5:I5"/>
    <mergeCell ref="B7:B8"/>
    <mergeCell ref="C7:C8"/>
    <mergeCell ref="D7:D8"/>
    <mergeCell ref="E7:E8"/>
    <mergeCell ref="A85:I85"/>
    <mergeCell ref="A88:B88"/>
    <mergeCell ref="A89:B89"/>
    <mergeCell ref="F7:I7"/>
    <mergeCell ref="C16:I16"/>
    <mergeCell ref="C27:I27"/>
    <mergeCell ref="A7:A8"/>
    <mergeCell ref="C59:C62"/>
    <mergeCell ref="D81:E81"/>
    <mergeCell ref="D83:E83"/>
    <mergeCell ref="G82:I82"/>
    <mergeCell ref="G83:I83"/>
  </mergeCells>
  <pageMargins left="0.70866141732283472" right="0.19685039370078741" top="0.62992125984251968" bottom="0.35433070866141736" header="0.31496062992125984" footer="0.31496062992125984"/>
  <pageSetup paperSize="9" scale="5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A1:M20"/>
  <sheetViews>
    <sheetView zoomScaleNormal="100" workbookViewId="0">
      <selection activeCell="A20" sqref="A20:F20"/>
    </sheetView>
  </sheetViews>
  <sheetFormatPr defaultRowHeight="15" x14ac:dyDescent="0.25"/>
  <cols>
    <col min="1" max="1" width="20" customWidth="1"/>
    <col min="2" max="2" width="14.5703125" customWidth="1"/>
    <col min="3" max="3" width="10.140625" bestFit="1" customWidth="1"/>
    <col min="4" max="4" width="11.42578125" customWidth="1"/>
    <col min="5" max="6" width="11.85546875" customWidth="1"/>
    <col min="7" max="7" width="11.42578125" customWidth="1"/>
    <col min="8" max="8" width="10.42578125" customWidth="1"/>
    <col min="9" max="12" width="13.42578125" bestFit="1" customWidth="1"/>
  </cols>
  <sheetData>
    <row r="1" spans="1:13" ht="15.75" x14ac:dyDescent="0.25">
      <c r="A1" s="58" t="s">
        <v>2756</v>
      </c>
      <c r="B1" s="58"/>
      <c r="C1" s="58"/>
      <c r="D1" s="58"/>
      <c r="E1" s="58"/>
      <c r="F1" s="58"/>
      <c r="G1" s="58"/>
      <c r="H1" s="58"/>
      <c r="I1" s="58"/>
      <c r="J1" s="58"/>
      <c r="K1" s="58"/>
      <c r="L1" s="58"/>
      <c r="M1" s="58"/>
    </row>
    <row r="2" spans="1:13" ht="31.5" x14ac:dyDescent="0.25">
      <c r="A2" s="1524" t="s">
        <v>1350</v>
      </c>
      <c r="B2" s="921"/>
      <c r="C2" s="842" t="s">
        <v>766</v>
      </c>
      <c r="D2" s="842" t="s">
        <v>3</v>
      </c>
      <c r="E2" s="842" t="s">
        <v>169</v>
      </c>
      <c r="F2" s="842" t="s">
        <v>2752</v>
      </c>
      <c r="G2" s="842" t="s">
        <v>162</v>
      </c>
      <c r="H2" s="58"/>
      <c r="I2" s="58"/>
      <c r="J2" s="58"/>
      <c r="K2" s="58"/>
      <c r="L2" s="58"/>
      <c r="M2" s="58"/>
    </row>
    <row r="3" spans="1:13" s="1821" customFormat="1" ht="47.25" x14ac:dyDescent="0.25">
      <c r="A3" s="1850" t="s">
        <v>2755</v>
      </c>
      <c r="B3" s="3380" t="s">
        <v>2758</v>
      </c>
      <c r="C3" s="3381">
        <f>D3+E3+F3+G3</f>
        <v>8.7149999999999999</v>
      </c>
      <c r="D3" s="3380">
        <f>'Д 7_РП'!G96</f>
        <v>0</v>
      </c>
      <c r="E3" s="3380">
        <f>'Д 7_РП'!G103</f>
        <v>0</v>
      </c>
      <c r="F3" s="3380">
        <f>'Д 7_РП'!G106</f>
        <v>0</v>
      </c>
      <c r="G3" s="3380">
        <f>'Д 7_РП'!G109</f>
        <v>8.7149999999999999</v>
      </c>
      <c r="H3" s="57"/>
      <c r="I3" s="57"/>
      <c r="J3" s="57"/>
      <c r="K3" s="57"/>
      <c r="L3" s="57"/>
      <c r="M3" s="57"/>
    </row>
    <row r="4" spans="1:13" ht="15.75" x14ac:dyDescent="0.25">
      <c r="A4" s="2153" t="s">
        <v>629</v>
      </c>
      <c r="B4" s="842" t="s">
        <v>2758</v>
      </c>
      <c r="C4" s="921">
        <f>SUM(D4:G4)</f>
        <v>1.238</v>
      </c>
      <c r="D4" s="16">
        <f>'Д 7_РП'!G97</f>
        <v>0</v>
      </c>
      <c r="E4" s="16">
        <f>'Д 7_РП'!G104</f>
        <v>0</v>
      </c>
      <c r="F4" s="16">
        <f>'Д 7_РП'!G107</f>
        <v>0</v>
      </c>
      <c r="G4" s="16">
        <f>'Д 7_РП'!G110</f>
        <v>1.238</v>
      </c>
      <c r="H4" s="58"/>
      <c r="I4" s="58"/>
      <c r="J4" s="58"/>
      <c r="K4" s="58"/>
      <c r="L4" s="58"/>
      <c r="M4" s="58"/>
    </row>
    <row r="5" spans="1:13" ht="15.75" x14ac:dyDescent="0.25">
      <c r="A5" s="2153" t="s">
        <v>630</v>
      </c>
      <c r="B5" s="842" t="s">
        <v>2758</v>
      </c>
      <c r="C5" s="921">
        <f>SUM(D5:G5)</f>
        <v>7.4770000000000003</v>
      </c>
      <c r="D5" s="16">
        <f>'Д 7_РП'!G100</f>
        <v>0</v>
      </c>
      <c r="E5" s="16">
        <f>'Д 7_РП'!G105</f>
        <v>0</v>
      </c>
      <c r="F5" s="16">
        <f>'Д 7_РП'!G108</f>
        <v>0</v>
      </c>
      <c r="G5" s="16">
        <f>'Д 7_РП'!G111</f>
        <v>7.4770000000000003</v>
      </c>
      <c r="H5" s="58"/>
      <c r="I5" s="58"/>
      <c r="J5" s="58"/>
      <c r="K5" s="58"/>
      <c r="L5" s="58"/>
      <c r="M5" s="58"/>
    </row>
    <row r="6" spans="1:13" s="1821" customFormat="1" ht="16.149999999999999" customHeight="1" x14ac:dyDescent="0.25">
      <c r="A6" s="1850" t="s">
        <v>2751</v>
      </c>
      <c r="B6" s="1850" t="s">
        <v>22</v>
      </c>
      <c r="C6" s="1290">
        <f>D6+E6+F6+G6</f>
        <v>1209.46</v>
      </c>
      <c r="D6" s="3382">
        <f>'Д 7_РП'!G51+'Д 7_РП'!G59</f>
        <v>0</v>
      </c>
      <c r="E6" s="3382">
        <f>'Д 7_РП'!G52+'Д 7_РП'!G60</f>
        <v>0</v>
      </c>
      <c r="F6" s="3382">
        <f>'Д 7_РП'!G53+'Д 7_РП'!G61</f>
        <v>0</v>
      </c>
      <c r="G6" s="3382">
        <f>'Д 7_РП'!G54+'Д 7_РП'!G62</f>
        <v>1209.46</v>
      </c>
      <c r="H6" s="57"/>
      <c r="I6" s="57"/>
      <c r="J6" s="57"/>
      <c r="K6" s="57"/>
      <c r="L6" s="57"/>
      <c r="M6" s="57"/>
    </row>
    <row r="7" spans="1:13" s="166" customFormat="1" ht="16.149999999999999" customHeight="1" x14ac:dyDescent="0.25">
      <c r="A7" s="2153" t="s">
        <v>629</v>
      </c>
      <c r="B7" s="842" t="s">
        <v>22</v>
      </c>
      <c r="C7" s="921">
        <f t="shared" ref="C7:C8" si="0">D7+E7+F7+G7</f>
        <v>196.31</v>
      </c>
      <c r="D7" s="3383">
        <f>'Д 7_РП'!G51</f>
        <v>0</v>
      </c>
      <c r="E7" s="3383">
        <f>'Д 7_РП'!G52</f>
        <v>0</v>
      </c>
      <c r="F7" s="3383">
        <f>'Д 7_РП'!G53</f>
        <v>0</v>
      </c>
      <c r="G7" s="3383">
        <f>'Д 7_РП'!G54</f>
        <v>196.31</v>
      </c>
      <c r="H7" s="2400"/>
      <c r="I7" s="2400"/>
      <c r="J7" s="2400"/>
      <c r="K7" s="2400"/>
      <c r="L7" s="2400"/>
      <c r="M7" s="2400"/>
    </row>
    <row r="8" spans="1:13" s="166" customFormat="1" ht="16.149999999999999" customHeight="1" x14ac:dyDescent="0.25">
      <c r="A8" s="2153" t="s">
        <v>630</v>
      </c>
      <c r="B8" s="842" t="s">
        <v>22</v>
      </c>
      <c r="C8" s="921">
        <f t="shared" si="0"/>
        <v>1013.15</v>
      </c>
      <c r="D8" s="3383">
        <f>'Д 7_РП'!G59</f>
        <v>0</v>
      </c>
      <c r="E8" s="3383">
        <f>'Д 7_РП'!G60</f>
        <v>0</v>
      </c>
      <c r="F8" s="3383">
        <f>'Д 7_РП'!G61</f>
        <v>0</v>
      </c>
      <c r="G8" s="3383">
        <f>'Д 7_РП'!G62</f>
        <v>1013.15</v>
      </c>
      <c r="H8" s="2400"/>
      <c r="I8" s="2400"/>
      <c r="J8" s="2400"/>
      <c r="K8" s="2400"/>
      <c r="L8" s="2400"/>
      <c r="M8" s="2400"/>
    </row>
    <row r="9" spans="1:13" s="2007" customFormat="1" ht="31.5" x14ac:dyDescent="0.25">
      <c r="A9" s="2254" t="s">
        <v>2754</v>
      </c>
      <c r="B9" s="3384" t="s">
        <v>2753</v>
      </c>
      <c r="C9" s="3385"/>
      <c r="D9" s="2056">
        <f>'Д 2_Т на В'!L52</f>
        <v>0</v>
      </c>
      <c r="E9" s="2056">
        <f>'Д 2_Т на В'!P52</f>
        <v>0</v>
      </c>
      <c r="F9" s="2056">
        <f>'Д 2_Т на В'!T52</f>
        <v>0</v>
      </c>
      <c r="G9" s="2056">
        <f>'Д 2_Т на В'!X52</f>
        <v>7163.27</v>
      </c>
      <c r="H9" s="2252"/>
      <c r="I9" s="3386"/>
      <c r="J9" s="2252"/>
      <c r="K9" s="2252"/>
      <c r="L9" s="2252"/>
      <c r="M9" s="2252"/>
    </row>
    <row r="10" spans="1:13" s="2007" customFormat="1" ht="31.5" x14ac:dyDescent="0.25">
      <c r="A10" s="3387" t="s">
        <v>2757</v>
      </c>
      <c r="B10" s="3387" t="s">
        <v>1704</v>
      </c>
      <c r="C10" s="2252"/>
      <c r="D10" s="2252"/>
      <c r="E10" s="2252"/>
      <c r="F10" s="2252"/>
      <c r="G10" s="2252"/>
      <c r="H10" s="3388"/>
      <c r="I10" s="3388"/>
      <c r="J10" s="3388"/>
      <c r="K10" s="3388"/>
      <c r="L10" s="3388"/>
      <c r="M10" s="2252"/>
    </row>
    <row r="11" spans="1:13" s="2361" customFormat="1" ht="31.5" x14ac:dyDescent="0.25">
      <c r="A11" s="3389" t="s">
        <v>2759</v>
      </c>
      <c r="B11" s="3389" t="s">
        <v>1704</v>
      </c>
      <c r="C11" s="3390">
        <f>D11+E11+F11+G11</f>
        <v>8663.69</v>
      </c>
      <c r="D11" s="3390">
        <f>D6*D9/1000</f>
        <v>0</v>
      </c>
      <c r="E11" s="3390">
        <f>E6*E9/1000</f>
        <v>0</v>
      </c>
      <c r="F11" s="3390">
        <f>F6*F9/1000</f>
        <v>0</v>
      </c>
      <c r="G11" s="3391">
        <f>G6*G9/1000</f>
        <v>8663.69</v>
      </c>
      <c r="H11" s="3393">
        <f>Виробництво_Транспортування_1ст!F117</f>
        <v>8663.69</v>
      </c>
      <c r="I11" s="3393">
        <f>Виробництво_Транспортування_1ст!G117</f>
        <v>0</v>
      </c>
      <c r="J11" s="3393">
        <f>Виробництво_Транспортування_1ст!H117</f>
        <v>0</v>
      </c>
      <c r="K11" s="3393">
        <f>Виробництво_Транспортування_1ст!I117</f>
        <v>0</v>
      </c>
      <c r="L11" s="3393">
        <f>Виробництво_Транспортування_1ст!J117</f>
        <v>8663.69</v>
      </c>
      <c r="M11" s="3390"/>
    </row>
    <row r="12" spans="1:13" ht="15.75" x14ac:dyDescent="0.25">
      <c r="A12" s="3392" t="s">
        <v>629</v>
      </c>
      <c r="B12" s="1838" t="s">
        <v>1704</v>
      </c>
      <c r="C12" s="1127">
        <f t="shared" ref="C12:C13" si="1">D12+E12+F12+G12</f>
        <v>1406.222</v>
      </c>
      <c r="D12" s="1127">
        <f>D7*D9/1000</f>
        <v>0</v>
      </c>
      <c r="E12" s="1127">
        <f>E7*E9/1000</f>
        <v>0</v>
      </c>
      <c r="F12" s="1127">
        <f>F7*F9/1000</f>
        <v>0</v>
      </c>
      <c r="G12" s="1127">
        <f>G7*G9/1000</f>
        <v>1406.222</v>
      </c>
      <c r="H12" s="1898"/>
      <c r="I12" s="1898"/>
      <c r="J12" s="1898"/>
      <c r="K12" s="1898"/>
      <c r="L12" s="1898"/>
      <c r="M12" s="58"/>
    </row>
    <row r="13" spans="1:13" ht="15.75" x14ac:dyDescent="0.25">
      <c r="A13" s="3392" t="s">
        <v>630</v>
      </c>
      <c r="B13" s="1838" t="s">
        <v>1704</v>
      </c>
      <c r="C13" s="1127">
        <f t="shared" si="1"/>
        <v>7257.4669999999996</v>
      </c>
      <c r="D13" s="1127">
        <f>D8*D9/1000</f>
        <v>0</v>
      </c>
      <c r="E13" s="1127">
        <f>E8*E9/1000</f>
        <v>0</v>
      </c>
      <c r="F13" s="1127">
        <f>F8*F9/1000</f>
        <v>0</v>
      </c>
      <c r="G13" s="1127">
        <f>G8*G9/1000</f>
        <v>7257.4669999999996</v>
      </c>
      <c r="H13" s="1898"/>
      <c r="I13" s="1898"/>
      <c r="J13" s="1898"/>
      <c r="K13" s="1898"/>
      <c r="L13" s="1898"/>
      <c r="M13" s="58"/>
    </row>
    <row r="14" spans="1:13" ht="15.75" x14ac:dyDescent="0.25">
      <c r="A14" s="3392"/>
      <c r="B14" s="1838"/>
      <c r="C14" s="58"/>
      <c r="D14" s="58"/>
      <c r="E14" s="58"/>
      <c r="F14" s="58"/>
      <c r="G14" s="58"/>
      <c r="H14" s="1898"/>
      <c r="I14" s="1898"/>
      <c r="J14" s="1898"/>
      <c r="K14" s="1898"/>
      <c r="L14" s="1898"/>
      <c r="M14" s="58"/>
    </row>
    <row r="15" spans="1:13" ht="15.75" x14ac:dyDescent="0.25">
      <c r="A15" s="3392" t="s">
        <v>629</v>
      </c>
      <c r="B15" s="58" t="s">
        <v>3055</v>
      </c>
      <c r="C15" s="2253">
        <f>C12/C4/12*1000</f>
        <v>94656.84</v>
      </c>
      <c r="D15" s="2253">
        <v>0</v>
      </c>
      <c r="E15" s="2253">
        <v>0</v>
      </c>
      <c r="F15" s="2253">
        <v>0</v>
      </c>
      <c r="G15" s="2253">
        <f>G12/G4/12*1000</f>
        <v>94656.84</v>
      </c>
      <c r="H15" s="1898"/>
      <c r="I15" s="1898"/>
      <c r="J15" s="1898"/>
      <c r="K15" s="1898"/>
      <c r="L15" s="1898"/>
      <c r="M15" s="58"/>
    </row>
    <row r="16" spans="1:13" ht="15.75" x14ac:dyDescent="0.25">
      <c r="A16" s="3392" t="s">
        <v>630</v>
      </c>
      <c r="B16" s="58" t="s">
        <v>3055</v>
      </c>
      <c r="C16" s="2253">
        <f>C13/C5/12*1000</f>
        <v>80886.570000000007</v>
      </c>
      <c r="D16" s="2253">
        <v>0</v>
      </c>
      <c r="E16" s="2253">
        <v>0</v>
      </c>
      <c r="F16" s="2253">
        <v>0</v>
      </c>
      <c r="G16" s="2253">
        <f>G13/G5/12*1000</f>
        <v>80886.570000000007</v>
      </c>
      <c r="H16" s="1898"/>
      <c r="I16" s="1898"/>
      <c r="J16" s="1898"/>
      <c r="K16" s="1898"/>
      <c r="L16" s="1898"/>
      <c r="M16" s="58"/>
    </row>
    <row r="17" spans="1:13" ht="15.75" x14ac:dyDescent="0.25">
      <c r="A17" s="3392"/>
      <c r="B17" s="1838"/>
      <c r="C17" s="58"/>
      <c r="D17" s="58"/>
      <c r="E17" s="58"/>
      <c r="F17" s="58"/>
      <c r="G17" s="58"/>
      <c r="H17" s="1898"/>
      <c r="I17" s="1898"/>
      <c r="J17" s="1898"/>
      <c r="K17" s="1898"/>
      <c r="L17" s="1898"/>
      <c r="M17" s="58"/>
    </row>
    <row r="18" spans="1:13" ht="15.75" x14ac:dyDescent="0.25">
      <c r="A18" s="58"/>
      <c r="B18" s="58"/>
      <c r="C18" s="58"/>
      <c r="D18" s="58"/>
      <c r="E18" s="58"/>
      <c r="F18" s="58"/>
      <c r="G18" s="58"/>
      <c r="H18" s="58"/>
      <c r="I18" s="58"/>
      <c r="J18" s="58"/>
      <c r="K18" s="58"/>
      <c r="L18" s="58"/>
      <c r="M18" s="58"/>
    </row>
    <row r="19" spans="1:13" ht="15.75" x14ac:dyDescent="0.25">
      <c r="A19" s="58"/>
      <c r="B19" s="58"/>
      <c r="C19" s="58"/>
      <c r="D19" s="58"/>
      <c r="E19" s="58"/>
      <c r="F19" s="58"/>
      <c r="G19" s="58"/>
      <c r="H19" s="58"/>
      <c r="I19" s="58"/>
      <c r="J19" s="58"/>
      <c r="K19" s="58"/>
      <c r="L19" s="58"/>
      <c r="M19" s="58"/>
    </row>
    <row r="20" spans="1:13" ht="15.75" x14ac:dyDescent="0.25">
      <c r="A20" s="58" t="s">
        <v>3421</v>
      </c>
      <c r="B20" s="58"/>
      <c r="C20" s="58"/>
      <c r="D20" s="58"/>
      <c r="E20" s="58"/>
      <c r="F20" s="58" t="s">
        <v>3422</v>
      </c>
    </row>
  </sheetData>
  <pageMargins left="0.70866141732283472" right="0.51181102362204722" top="0.74803149606299213" bottom="0.74803149606299213" header="0.31496062992125984" footer="0.31496062992125984"/>
  <pageSetup paperSize="9" scale="95" orientation="portrait" r:id="rId1"/>
  <colBreaks count="1" manualBreakCount="1">
    <brk id="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BA129"/>
  <sheetViews>
    <sheetView topLeftCell="A4" workbookViewId="0">
      <selection activeCell="F35" sqref="F35"/>
    </sheetView>
  </sheetViews>
  <sheetFormatPr defaultRowHeight="15" x14ac:dyDescent="0.25"/>
  <cols>
    <col min="1" max="1" width="34.140625" customWidth="1"/>
    <col min="3" max="3" width="12.42578125" customWidth="1"/>
    <col min="4" max="4" width="10.28515625" customWidth="1"/>
    <col min="5" max="5" width="9.42578125" bestFit="1" customWidth="1"/>
    <col min="6" max="7" width="9.7109375" customWidth="1"/>
    <col min="8" max="8" width="10" customWidth="1"/>
    <col min="11" max="11" width="10.5703125" customWidth="1"/>
    <col min="18" max="18" width="9.7109375" customWidth="1"/>
  </cols>
  <sheetData>
    <row r="2" spans="1:53" x14ac:dyDescent="0.25">
      <c r="A2" s="1906"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#REF!-#REF!</f>
        <v>#REF!</v>
      </c>
      <c r="AK2" t="e">
        <f>#REF!-#REF!</f>
        <v>#REF!</v>
      </c>
      <c r="AL2" t="e">
        <f>#REF!-#REF!</f>
        <v>#REF!</v>
      </c>
      <c r="AM2" t="e">
        <f>#REF!-#REF!</f>
        <v>#REF!</v>
      </c>
      <c r="AN2" t="e">
        <f>#REF!-#REF!</f>
        <v>#REF!</v>
      </c>
      <c r="AO2" t="e">
        <f>#REF!-#REF!</f>
        <v>#REF!</v>
      </c>
      <c r="AP2" t="e">
        <f>#REF!-#REF!</f>
        <v>#REF!</v>
      </c>
      <c r="AQ2" t="e">
        <f>#REF!-#REF!</f>
        <v>#REF!</v>
      </c>
      <c r="AR2" t="e">
        <f>#REF!-#REF!</f>
        <v>#REF!</v>
      </c>
      <c r="AS2" t="e">
        <f>#REF!-#REF!</f>
        <v>#REF!</v>
      </c>
      <c r="AT2" t="e">
        <f>#REF!-#REF!</f>
        <v>#REF!</v>
      </c>
      <c r="AU2" t="e">
        <f>#REF!-#REF!</f>
        <v>#REF!</v>
      </c>
      <c r="AV2" t="e">
        <f>#REF!-#REF!</f>
        <v>#REF!</v>
      </c>
      <c r="AW2" t="e">
        <f>#REF!-#REF!</f>
        <v>#REF!</v>
      </c>
      <c r="AX2" t="e">
        <f>#REF!-#REF!</f>
        <v>#REF!</v>
      </c>
      <c r="AY2" t="e">
        <f>#REF!-#REF!</f>
        <v>#REF!</v>
      </c>
      <c r="AZ2" t="e">
        <f>#REF!-#REF!</f>
        <v>#REF!</v>
      </c>
      <c r="BA2" t="e">
        <f>#REF!-#REF!</f>
        <v>#REF!</v>
      </c>
    </row>
    <row r="3" spans="1:53" x14ac:dyDescent="0.25">
      <c r="A3" s="1906" t="e">
        <f>#REF!</f>
        <v>#REF!</v>
      </c>
      <c r="B3" t="e">
        <f>#REF!</f>
        <v>#REF!</v>
      </c>
      <c r="C3" t="e">
        <f>#REF!-#REF!</f>
        <v>#REF!</v>
      </c>
    </row>
    <row r="4" spans="1:53" x14ac:dyDescent="0.25">
      <c r="A4" s="1906" t="e">
        <f>#REF!</f>
        <v>#REF!</v>
      </c>
      <c r="B4" t="e">
        <f>#REF!</f>
        <v>#REF!</v>
      </c>
      <c r="C4" t="e">
        <f>#REF!-#REF!</f>
        <v>#REF!</v>
      </c>
    </row>
    <row r="5" spans="1:53" x14ac:dyDescent="0.25">
      <c r="A5" s="1906"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row>
    <row r="6" spans="1:53" x14ac:dyDescent="0.25">
      <c r="A6" s="1906" t="e">
        <f>#REF!</f>
        <v>#REF!</v>
      </c>
      <c r="B6" t="e">
        <f>#REF!</f>
        <v>#REF!</v>
      </c>
      <c r="C6" t="e">
        <f>#REF!-#REF!</f>
        <v>#REF!</v>
      </c>
    </row>
    <row r="7" spans="1:53" x14ac:dyDescent="0.25">
      <c r="A7" s="1906" t="e">
        <f>#REF!</f>
        <v>#REF!</v>
      </c>
      <c r="B7" t="e">
        <f>#REF!</f>
        <v>#REF!</v>
      </c>
      <c r="C7" t="e">
        <f>#REF!-#REF!</f>
        <v>#REF!</v>
      </c>
    </row>
    <row r="8" spans="1:53" hidden="1" x14ac:dyDescent="0.25">
      <c r="A8" s="1906" t="e">
        <f>#REF!</f>
        <v>#REF!</v>
      </c>
      <c r="B8" t="e">
        <f>#REF!</f>
        <v>#REF!</v>
      </c>
      <c r="C8" t="e">
        <f>#REF!-#REF!</f>
        <v>#REF!</v>
      </c>
    </row>
    <row r="9" spans="1:53" hidden="1" x14ac:dyDescent="0.25">
      <c r="A9" s="1906" t="e">
        <f>#REF!</f>
        <v>#REF!</v>
      </c>
      <c r="B9" t="e">
        <f>#REF!</f>
        <v>#REF!</v>
      </c>
      <c r="C9" t="e">
        <f>#REF!-#REF!</f>
        <v>#REF!</v>
      </c>
    </row>
    <row r="10" spans="1:53" hidden="1" x14ac:dyDescent="0.25">
      <c r="A10" s="1906" t="e">
        <f>#REF!</f>
        <v>#REF!</v>
      </c>
      <c r="B10" t="e">
        <f>#REF!</f>
        <v>#REF!</v>
      </c>
      <c r="C10" t="e">
        <f>#REF!-#REF!</f>
        <v>#REF!</v>
      </c>
    </row>
    <row r="11" spans="1:53" hidden="1" x14ac:dyDescent="0.25">
      <c r="A11" s="1906" t="e">
        <f>#REF!</f>
        <v>#REF!</v>
      </c>
      <c r="B11" t="e">
        <f>#REF!</f>
        <v>#REF!</v>
      </c>
      <c r="C11" t="e">
        <f>#REF!-#REF!</f>
        <v>#REF!</v>
      </c>
    </row>
    <row r="12" spans="1:53" hidden="1" x14ac:dyDescent="0.25">
      <c r="A12" s="1906" t="e">
        <f>#REF!</f>
        <v>#REF!</v>
      </c>
      <c r="B12" t="e">
        <f>#REF!</f>
        <v>#REF!</v>
      </c>
      <c r="C12" t="e">
        <f>#REF!-#REF!</f>
        <v>#REF!</v>
      </c>
    </row>
    <row r="13" spans="1:53" hidden="1" x14ac:dyDescent="0.25">
      <c r="A13" s="1906" t="e">
        <f>#REF!</f>
        <v>#REF!</v>
      </c>
      <c r="B13" t="e">
        <f>#REF!</f>
        <v>#REF!</v>
      </c>
      <c r="C13" t="e">
        <f>#REF!-#REF!</f>
        <v>#REF!</v>
      </c>
    </row>
    <row r="14" spans="1:53" hidden="1" x14ac:dyDescent="0.25">
      <c r="A14" s="1906" t="e">
        <f>#REF!</f>
        <v>#REF!</v>
      </c>
      <c r="B14" t="e">
        <f>#REF!</f>
        <v>#REF!</v>
      </c>
      <c r="C14" t="e">
        <f>#REF!-#REF!</f>
        <v>#REF!</v>
      </c>
    </row>
    <row r="15" spans="1:53" hidden="1" x14ac:dyDescent="0.25">
      <c r="A15" s="1906" t="e">
        <f>#REF!</f>
        <v>#REF!</v>
      </c>
      <c r="B15" t="e">
        <f>#REF!</f>
        <v>#REF!</v>
      </c>
      <c r="C15" t="e">
        <f>#REF!-#REF!</f>
        <v>#REF!</v>
      </c>
    </row>
    <row r="16" spans="1:53" hidden="1" x14ac:dyDescent="0.25">
      <c r="A16" s="1906" t="e">
        <f>#REF!</f>
        <v>#REF!</v>
      </c>
      <c r="B16" t="e">
        <f>#REF!</f>
        <v>#REF!</v>
      </c>
      <c r="C16" t="e">
        <f>#REF!-#REF!</f>
        <v>#REF!</v>
      </c>
    </row>
    <row r="17" spans="1:43" hidden="1" x14ac:dyDescent="0.25">
      <c r="A17" s="1906" t="e">
        <f>#REF!</f>
        <v>#REF!</v>
      </c>
      <c r="B17" t="e">
        <f>#REF!</f>
        <v>#REF!</v>
      </c>
      <c r="C17" t="e">
        <f>#REF!-#REF!</f>
        <v>#REF!</v>
      </c>
    </row>
    <row r="18" spans="1:43" x14ac:dyDescent="0.25">
      <c r="A18" s="1906"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c r="AO18" t="e">
        <f>#REF!</f>
        <v>#REF!</v>
      </c>
      <c r="AP18" t="e">
        <f>#REF!</f>
        <v>#REF!</v>
      </c>
      <c r="AQ18" t="e">
        <f>#REF!</f>
        <v>#REF!</v>
      </c>
    </row>
    <row r="19" spans="1:43" hidden="1" x14ac:dyDescent="0.25">
      <c r="A19" s="1906" t="e">
        <f>#REF!</f>
        <v>#REF!</v>
      </c>
      <c r="B19" t="e">
        <f>#REF!</f>
        <v>#REF!</v>
      </c>
      <c r="C19" t="e">
        <f>#REF!-#REF!</f>
        <v>#REF!</v>
      </c>
    </row>
    <row r="20" spans="1:43" hidden="1" x14ac:dyDescent="0.25">
      <c r="A20" s="1906" t="e">
        <f>#REF!</f>
        <v>#REF!</v>
      </c>
      <c r="B20" t="e">
        <f>#REF!</f>
        <v>#REF!</v>
      </c>
      <c r="C20" t="e">
        <f>#REF!-#REF!</f>
        <v>#REF!</v>
      </c>
    </row>
    <row r="21" spans="1:43" hidden="1" x14ac:dyDescent="0.25">
      <c r="A21" s="1906" t="e">
        <f>#REF!</f>
        <v>#REF!</v>
      </c>
      <c r="B21" t="e">
        <f>#REF!</f>
        <v>#REF!</v>
      </c>
      <c r="C21" t="e">
        <f>#REF!-#REF!</f>
        <v>#REF!</v>
      </c>
    </row>
    <row r="22" spans="1:43" hidden="1" x14ac:dyDescent="0.25">
      <c r="A22" s="1906" t="e">
        <f>#REF!</f>
        <v>#REF!</v>
      </c>
      <c r="B22" t="e">
        <f>#REF!</f>
        <v>#REF!</v>
      </c>
      <c r="C22" t="e">
        <f>#REF!-#REF!</f>
        <v>#REF!</v>
      </c>
    </row>
    <row r="23" spans="1:43" hidden="1" x14ac:dyDescent="0.25">
      <c r="A23" s="1906" t="e">
        <f>#REF!</f>
        <v>#REF!</v>
      </c>
      <c r="B23" t="e">
        <f>#REF!</f>
        <v>#REF!</v>
      </c>
      <c r="C23" t="e">
        <f>#REF!-#REF!</f>
        <v>#REF!</v>
      </c>
    </row>
    <row r="24" spans="1:43" x14ac:dyDescent="0.25">
      <c r="A24" s="2287" t="e">
        <f>#REF!</f>
        <v>#REF!</v>
      </c>
      <c r="B24" t="e">
        <f>#REF!</f>
        <v>#REF!</v>
      </c>
      <c r="C24" t="e">
        <f>#REF!-#REF!</f>
        <v>#REF!</v>
      </c>
    </row>
    <row r="25" spans="1:43" x14ac:dyDescent="0.25">
      <c r="A25" s="1906" t="e">
        <f>#REF!</f>
        <v>#REF!</v>
      </c>
      <c r="B25" t="e">
        <f>#REF!</f>
        <v>#REF!</v>
      </c>
      <c r="C25" s="2289" t="e">
        <f>#REF!</f>
        <v>#REF!</v>
      </c>
      <c r="D25" s="2289" t="e">
        <f>#REF!/D$18</f>
        <v>#REF!</v>
      </c>
      <c r="E25" s="2289" t="e">
        <f>#REF!/E$5*1000/12</f>
        <v>#REF!</v>
      </c>
      <c r="F25" s="87"/>
      <c r="G25" s="87" t="e">
        <f>#REF!/G18</f>
        <v>#REF!</v>
      </c>
      <c r="H25" s="87" t="e">
        <f>#REF!/H$5*1000/12</f>
        <v>#REF!</v>
      </c>
      <c r="I25" s="2289" t="e">
        <f>#REF!</f>
        <v>#REF!</v>
      </c>
      <c r="J25" s="2289" t="e">
        <f>#REF!/J$18</f>
        <v>#REF!</v>
      </c>
      <c r="K25" s="2289" t="e">
        <f>#REF!/K$5*1000/12</f>
        <v>#REF!</v>
      </c>
      <c r="L25" s="87" t="e">
        <f>#REF!</f>
        <v>#REF!</v>
      </c>
      <c r="M25" s="87" t="e">
        <f>#REF!/M$18</f>
        <v>#REF!</v>
      </c>
      <c r="N25" s="87" t="e">
        <f>#REF!/N$5*1000/12</f>
        <v>#REF!</v>
      </c>
      <c r="O25" s="2289" t="e">
        <f>#REF!</f>
        <v>#REF!</v>
      </c>
      <c r="P25" s="2289" t="e">
        <f>#REF!/P$18</f>
        <v>#REF!</v>
      </c>
      <c r="Q25" s="2289" t="e">
        <f>#REF!/Q$5*1000/12</f>
        <v>#REF!</v>
      </c>
      <c r="R25" s="87"/>
      <c r="S25" s="87"/>
    </row>
    <row r="26" spans="1:43" x14ac:dyDescent="0.25">
      <c r="A26" s="1906" t="e">
        <f>#REF!</f>
        <v>#REF!</v>
      </c>
      <c r="B26" t="e">
        <f>#REF!</f>
        <v>#REF!</v>
      </c>
      <c r="C26" s="87" t="e">
        <f>#REF!</f>
        <v>#REF!</v>
      </c>
      <c r="D26" s="2289" t="e">
        <f>#REF!/D$18</f>
        <v>#REF!</v>
      </c>
      <c r="E26" s="2289" t="e">
        <f>#REF!/E$5*1000/12</f>
        <v>#REF!</v>
      </c>
      <c r="G26" s="2061" t="e">
        <f>#REF!/G$18</f>
        <v>#REF!</v>
      </c>
      <c r="H26" s="87" t="e">
        <f>#REF!/H$5*1000/12</f>
        <v>#REF!</v>
      </c>
      <c r="I26" t="e">
        <f>#REF!-#REF!</f>
        <v>#REF!</v>
      </c>
      <c r="J26" s="2289" t="e">
        <f>#REF!/J$18</f>
        <v>#REF!</v>
      </c>
      <c r="K26" s="2289" t="e">
        <f>#REF!/K$5*1000/12</f>
        <v>#REF!</v>
      </c>
      <c r="L26" t="e">
        <f>#REF!-#REF!</f>
        <v>#REF!</v>
      </c>
      <c r="M26" s="87" t="e">
        <f>#REF!/M$18</f>
        <v>#REF!</v>
      </c>
      <c r="N26" s="87" t="e">
        <f>#REF!/N$5*1000/12</f>
        <v>#REF!</v>
      </c>
      <c r="O26" t="e">
        <f>#REF!-#REF!</f>
        <v>#REF!</v>
      </c>
      <c r="P26" s="2289" t="e">
        <f>#REF!/P$18</f>
        <v>#REF!</v>
      </c>
      <c r="Q26" s="2289" t="e">
        <f>#REF!/Q$5*1000/12</f>
        <v>#REF!</v>
      </c>
    </row>
    <row r="27" spans="1:43" x14ac:dyDescent="0.25">
      <c r="A27" s="1906" t="e">
        <f>#REF!</f>
        <v>#REF!</v>
      </c>
      <c r="B27" t="e">
        <f>#REF!</f>
        <v>#REF!</v>
      </c>
      <c r="C27" s="87" t="e">
        <f>#REF!</f>
        <v>#REF!</v>
      </c>
      <c r="D27" s="2289" t="e">
        <f>#REF!/D$18</f>
        <v>#REF!</v>
      </c>
      <c r="E27" s="2289" t="e">
        <f>#REF!/E$5*1000/12</f>
        <v>#REF!</v>
      </c>
      <c r="G27" s="2061" t="e">
        <f>#REF!/G$18</f>
        <v>#REF!</v>
      </c>
      <c r="H27" s="87" t="e">
        <f>#REF!/H$5*1000/12</f>
        <v>#REF!</v>
      </c>
      <c r="I27" t="e">
        <f>#REF!-#REF!</f>
        <v>#REF!</v>
      </c>
      <c r="J27" s="2289" t="e">
        <f>#REF!/J$18</f>
        <v>#REF!</v>
      </c>
      <c r="K27" s="2289" t="e">
        <f>#REF!/K$5*1000/12</f>
        <v>#REF!</v>
      </c>
      <c r="L27" t="e">
        <f>#REF!-#REF!</f>
        <v>#REF!</v>
      </c>
      <c r="M27" s="87" t="e">
        <f>#REF!/M$18</f>
        <v>#REF!</v>
      </c>
      <c r="N27" s="87" t="e">
        <f>#REF!/N$5*1000/12</f>
        <v>#REF!</v>
      </c>
      <c r="O27" t="e">
        <f>#REF!-#REF!</f>
        <v>#REF!</v>
      </c>
      <c r="P27" s="2289" t="e">
        <f>#REF!/P$18</f>
        <v>#REF!</v>
      </c>
      <c r="Q27" s="2289" t="e">
        <f>#REF!/Q$5*1000/12</f>
        <v>#REF!</v>
      </c>
    </row>
    <row r="28" spans="1:43" x14ac:dyDescent="0.25">
      <c r="A28" s="1906" t="e">
        <f>#REF!</f>
        <v>#REF!</v>
      </c>
      <c r="B28" t="e">
        <f>#REF!</f>
        <v>#REF!</v>
      </c>
      <c r="C28" s="87" t="e">
        <f>#REF!</f>
        <v>#REF!</v>
      </c>
      <c r="D28" s="2289" t="e">
        <f>#REF!/D$18</f>
        <v>#REF!</v>
      </c>
      <c r="E28" s="2289" t="e">
        <f>#REF!/E$5*1000/12</f>
        <v>#REF!</v>
      </c>
      <c r="G28" s="2061" t="e">
        <f>#REF!/G$18</f>
        <v>#REF!</v>
      </c>
      <c r="H28" s="87" t="e">
        <f>#REF!/H$5*1000/12</f>
        <v>#REF!</v>
      </c>
      <c r="I28" t="e">
        <f>#REF!-#REF!</f>
        <v>#REF!</v>
      </c>
      <c r="J28" s="2289" t="e">
        <f>#REF!/J$18</f>
        <v>#REF!</v>
      </c>
      <c r="K28" s="2289" t="e">
        <f>#REF!/K$5*1000/12</f>
        <v>#REF!</v>
      </c>
      <c r="L28" t="e">
        <f>#REF!-#REF!</f>
        <v>#REF!</v>
      </c>
      <c r="M28" s="87" t="e">
        <f>#REF!/M$18</f>
        <v>#REF!</v>
      </c>
      <c r="N28" s="87" t="e">
        <f>#REF!/N$5*1000/12</f>
        <v>#REF!</v>
      </c>
      <c r="O28" t="e">
        <f>#REF!-#REF!</f>
        <v>#REF!</v>
      </c>
      <c r="P28" s="2289" t="e">
        <f>#REF!/P$18</f>
        <v>#REF!</v>
      </c>
      <c r="Q28" s="2289" t="e">
        <f>#REF!/Q$5*1000/12</f>
        <v>#REF!</v>
      </c>
    </row>
    <row r="29" spans="1:43" x14ac:dyDescent="0.25">
      <c r="A29" s="1906" t="e">
        <f>#REF!</f>
        <v>#REF!</v>
      </c>
      <c r="B29" t="e">
        <f>#REF!</f>
        <v>#REF!</v>
      </c>
      <c r="C29" s="87" t="e">
        <f>#REF!</f>
        <v>#REF!</v>
      </c>
      <c r="D29" s="2289" t="e">
        <f>#REF!/D$18</f>
        <v>#REF!</v>
      </c>
      <c r="E29" s="2289" t="e">
        <f>#REF!/E$5*1000/12</f>
        <v>#REF!</v>
      </c>
      <c r="G29" s="2061" t="e">
        <f>#REF!/G$18</f>
        <v>#REF!</v>
      </c>
      <c r="H29" s="87" t="e">
        <f>#REF!/H$5*1000/12</f>
        <v>#REF!</v>
      </c>
      <c r="I29" t="e">
        <f>#REF!-#REF!</f>
        <v>#REF!</v>
      </c>
      <c r="J29" s="2289" t="e">
        <f>#REF!/J$18</f>
        <v>#REF!</v>
      </c>
      <c r="K29" s="2289" t="e">
        <f>#REF!/K$5*1000/12</f>
        <v>#REF!</v>
      </c>
      <c r="L29" t="e">
        <f>#REF!-#REF!</f>
        <v>#REF!</v>
      </c>
      <c r="M29" s="87" t="e">
        <f>#REF!/M$18</f>
        <v>#REF!</v>
      </c>
      <c r="N29" s="87" t="e">
        <f>#REF!/N$5*1000/12</f>
        <v>#REF!</v>
      </c>
      <c r="O29" t="e">
        <f>#REF!-#REF!</f>
        <v>#REF!</v>
      </c>
      <c r="P29" s="2289" t="e">
        <f>#REF!/P$18</f>
        <v>#REF!</v>
      </c>
      <c r="Q29" s="2289" t="e">
        <f>#REF!/Q$5*1000/12</f>
        <v>#REF!</v>
      </c>
    </row>
    <row r="30" spans="1:43" x14ac:dyDescent="0.25">
      <c r="A30" s="1906" t="e">
        <f>#REF!</f>
        <v>#REF!</v>
      </c>
      <c r="B30" t="e">
        <f>#REF!</f>
        <v>#REF!</v>
      </c>
      <c r="C30" s="87" t="e">
        <f>#REF!</f>
        <v>#REF!</v>
      </c>
      <c r="D30" s="2289" t="e">
        <f>#REF!/D$18</f>
        <v>#REF!</v>
      </c>
      <c r="E30" s="2289" t="e">
        <f>#REF!/E$5*1000/12</f>
        <v>#REF!</v>
      </c>
      <c r="G30" s="2061" t="e">
        <f>#REF!/G$18</f>
        <v>#REF!</v>
      </c>
      <c r="H30" s="87" t="e">
        <f>#REF!/H$5*1000/12</f>
        <v>#REF!</v>
      </c>
      <c r="I30" t="e">
        <f>#REF!-#REF!</f>
        <v>#REF!</v>
      </c>
      <c r="J30" s="2289" t="e">
        <f>#REF!/J$18</f>
        <v>#REF!</v>
      </c>
      <c r="K30" s="2289" t="e">
        <f>#REF!/K$5*1000/12</f>
        <v>#REF!</v>
      </c>
      <c r="L30" t="e">
        <f>#REF!-#REF!</f>
        <v>#REF!</v>
      </c>
      <c r="M30" s="87" t="e">
        <f>#REF!/M$18</f>
        <v>#REF!</v>
      </c>
      <c r="N30" s="87" t="e">
        <f>#REF!/N$5*1000/12</f>
        <v>#REF!</v>
      </c>
      <c r="O30" t="e">
        <f>#REF!-#REF!</f>
        <v>#REF!</v>
      </c>
      <c r="P30" s="2289" t="e">
        <f>#REF!/P$18</f>
        <v>#REF!</v>
      </c>
      <c r="Q30" s="2289" t="e">
        <f>#REF!/Q$5*1000/12</f>
        <v>#REF!</v>
      </c>
    </row>
    <row r="31" spans="1:43" x14ac:dyDescent="0.25">
      <c r="A31" s="1906" t="e">
        <f>#REF!</f>
        <v>#REF!</v>
      </c>
      <c r="B31" t="e">
        <f>#REF!</f>
        <v>#REF!</v>
      </c>
      <c r="C31" s="87" t="e">
        <f>#REF!</f>
        <v>#REF!</v>
      </c>
      <c r="D31" s="2289" t="e">
        <f>#REF!/D$18</f>
        <v>#REF!</v>
      </c>
      <c r="E31" s="2289" t="e">
        <f>#REF!/E$5*1000/12</f>
        <v>#REF!</v>
      </c>
      <c r="G31" s="2061" t="e">
        <f>#REF!/G$18</f>
        <v>#REF!</v>
      </c>
      <c r="H31" s="87" t="e">
        <f>#REF!/H$5*1000/12</f>
        <v>#REF!</v>
      </c>
      <c r="I31" t="e">
        <f>#REF!-#REF!</f>
        <v>#REF!</v>
      </c>
      <c r="J31" s="2289" t="e">
        <f>#REF!/J$18</f>
        <v>#REF!</v>
      </c>
      <c r="K31" s="2289" t="e">
        <f>#REF!/K$5*1000/12</f>
        <v>#REF!</v>
      </c>
      <c r="L31" t="e">
        <f>#REF!-#REF!</f>
        <v>#REF!</v>
      </c>
      <c r="M31" s="87" t="e">
        <f>#REF!/M$18</f>
        <v>#REF!</v>
      </c>
      <c r="N31" s="87" t="e">
        <f>#REF!/N$5*1000/12</f>
        <v>#REF!</v>
      </c>
      <c r="O31" t="e">
        <f>#REF!-#REF!</f>
        <v>#REF!</v>
      </c>
      <c r="P31" s="2289" t="e">
        <f>#REF!/P$18</f>
        <v>#REF!</v>
      </c>
      <c r="Q31" s="2289" t="e">
        <f>#REF!/Q$5*1000/12</f>
        <v>#REF!</v>
      </c>
    </row>
    <row r="32" spans="1:43" x14ac:dyDescent="0.25">
      <c r="A32" s="1906" t="e">
        <f>#REF!</f>
        <v>#REF!</v>
      </c>
      <c r="B32" t="e">
        <f>#REF!</f>
        <v>#REF!</v>
      </c>
      <c r="C32" s="87" t="e">
        <f>#REF!</f>
        <v>#REF!</v>
      </c>
      <c r="D32" t="e">
        <f>#REF!-#REF!</f>
        <v>#REF!</v>
      </c>
      <c r="E32" s="2289" t="e">
        <f>#REF!/E$5*1000/12</f>
        <v>#REF!</v>
      </c>
      <c r="G32" t="e">
        <f>#REF!-#REF!</f>
        <v>#REF!</v>
      </c>
      <c r="H32" s="87" t="e">
        <f>#REF!/H$5*1000/12</f>
        <v>#REF!</v>
      </c>
      <c r="I32" t="e">
        <f>#REF!-#REF!</f>
        <v>#REF!</v>
      </c>
      <c r="J32" t="e">
        <f>#REF!-#REF!</f>
        <v>#REF!</v>
      </c>
      <c r="K32" s="2289" t="e">
        <f>#REF!/K$5*1000/12</f>
        <v>#REF!</v>
      </c>
      <c r="L32" t="e">
        <f>#REF!-#REF!</f>
        <v>#REF!</v>
      </c>
      <c r="M32" t="e">
        <f>#REF!-#REF!</f>
        <v>#REF!</v>
      </c>
      <c r="N32" s="87" t="e">
        <f>#REF!/N$5*1000/12</f>
        <v>#REF!</v>
      </c>
      <c r="O32" t="e">
        <f>#REF!-#REF!</f>
        <v>#REF!</v>
      </c>
      <c r="P32" t="e">
        <f>#REF!-#REF!</f>
        <v>#REF!</v>
      </c>
      <c r="Q32" s="2289" t="e">
        <f>#REF!/Q$5*1000/12</f>
        <v>#REF!</v>
      </c>
    </row>
    <row r="33" spans="1:17" x14ac:dyDescent="0.25">
      <c r="A33" s="1906" t="e">
        <f>#REF!</f>
        <v>#REF!</v>
      </c>
      <c r="B33" t="e">
        <f>#REF!</f>
        <v>#REF!</v>
      </c>
      <c r="C33" s="87" t="e">
        <f>#REF!</f>
        <v>#REF!</v>
      </c>
      <c r="D33" t="e">
        <f>#REF!-#REF!</f>
        <v>#REF!</v>
      </c>
      <c r="E33" s="2289" t="e">
        <f>#REF!/E$5*1000/12</f>
        <v>#REF!</v>
      </c>
      <c r="G33" t="e">
        <f>#REF!-#REF!</f>
        <v>#REF!</v>
      </c>
      <c r="H33" s="87" t="e">
        <f>#REF!/H$5*1000/12</f>
        <v>#REF!</v>
      </c>
      <c r="I33" t="e">
        <f>#REF!-#REF!</f>
        <v>#REF!</v>
      </c>
      <c r="J33" t="e">
        <f>#REF!-#REF!</f>
        <v>#REF!</v>
      </c>
      <c r="K33" s="2289" t="e">
        <f>#REF!/K$5*1000/12</f>
        <v>#REF!</v>
      </c>
      <c r="L33" t="e">
        <f>#REF!-#REF!</f>
        <v>#REF!</v>
      </c>
      <c r="M33" t="e">
        <f>#REF!-#REF!</f>
        <v>#REF!</v>
      </c>
      <c r="N33" s="87" t="e">
        <f>#REF!/N$5*1000/12</f>
        <v>#REF!</v>
      </c>
      <c r="O33" t="e">
        <f>#REF!-#REF!</f>
        <v>#REF!</v>
      </c>
      <c r="P33" t="e">
        <f>#REF!-#REF!</f>
        <v>#REF!</v>
      </c>
      <c r="Q33" s="2289" t="e">
        <f>#REF!/Q$5*1000/12</f>
        <v>#REF!</v>
      </c>
    </row>
    <row r="34" spans="1:17" x14ac:dyDescent="0.25">
      <c r="A34" s="1906" t="e">
        <f>#REF!</f>
        <v>#REF!</v>
      </c>
      <c r="B34" t="e">
        <f>#REF!</f>
        <v>#REF!</v>
      </c>
      <c r="C34" s="87" t="e">
        <f>#REF!</f>
        <v>#REF!</v>
      </c>
      <c r="D34" t="e">
        <f>#REF!-#REF!</f>
        <v>#REF!</v>
      </c>
      <c r="E34" s="2289" t="e">
        <f>#REF!/E$5*1000/12</f>
        <v>#REF!</v>
      </c>
      <c r="G34" t="e">
        <f>#REF!-#REF!</f>
        <v>#REF!</v>
      </c>
      <c r="H34" s="87" t="e">
        <f>#REF!/H$5*1000/12</f>
        <v>#REF!</v>
      </c>
      <c r="I34" t="e">
        <f>#REF!-#REF!</f>
        <v>#REF!</v>
      </c>
      <c r="J34" t="e">
        <f>#REF!-#REF!</f>
        <v>#REF!</v>
      </c>
      <c r="K34" s="2289" t="e">
        <f>#REF!/K$5*1000/12</f>
        <v>#REF!</v>
      </c>
      <c r="L34" t="e">
        <f>#REF!-#REF!</f>
        <v>#REF!</v>
      </c>
      <c r="M34" t="e">
        <f>#REF!-#REF!</f>
        <v>#REF!</v>
      </c>
      <c r="N34" s="87" t="e">
        <f>#REF!/N$5*1000/12</f>
        <v>#REF!</v>
      </c>
      <c r="O34" t="e">
        <f>#REF!-#REF!</f>
        <v>#REF!</v>
      </c>
      <c r="P34" t="e">
        <f>#REF!-#REF!</f>
        <v>#REF!</v>
      </c>
      <c r="Q34" s="2289" t="e">
        <f>#REF!/Q$5*1000/12</f>
        <v>#REF!</v>
      </c>
    </row>
    <row r="35" spans="1:17" x14ac:dyDescent="0.25">
      <c r="A35" s="1906" t="e">
        <f>#REF!</f>
        <v>#REF!</v>
      </c>
      <c r="B35" t="e">
        <f>#REF!</f>
        <v>#REF!</v>
      </c>
      <c r="C35" s="87" t="e">
        <f>#REF!</f>
        <v>#REF!</v>
      </c>
      <c r="D35" t="e">
        <f>#REF!-#REF!</f>
        <v>#REF!</v>
      </c>
      <c r="E35" s="2289" t="e">
        <f>#REF!/E$5*1000/12</f>
        <v>#REF!</v>
      </c>
      <c r="G35" t="e">
        <f>#REF!-#REF!</f>
        <v>#REF!</v>
      </c>
      <c r="H35" s="87" t="e">
        <f>#REF!/H$5*1000/12</f>
        <v>#REF!</v>
      </c>
      <c r="I35" t="e">
        <f>#REF!-#REF!</f>
        <v>#REF!</v>
      </c>
      <c r="J35" t="e">
        <f>#REF!-#REF!</f>
        <v>#REF!</v>
      </c>
      <c r="K35" s="2289" t="e">
        <f>#REF!/K$5*1000/12</f>
        <v>#REF!</v>
      </c>
      <c r="L35" t="e">
        <f>#REF!-#REF!</f>
        <v>#REF!</v>
      </c>
      <c r="M35" t="e">
        <f>#REF!-#REF!</f>
        <v>#REF!</v>
      </c>
      <c r="N35" s="87" t="e">
        <f>#REF!/N$5*1000/12</f>
        <v>#REF!</v>
      </c>
      <c r="O35" t="e">
        <f>#REF!-#REF!</f>
        <v>#REF!</v>
      </c>
      <c r="P35" t="e">
        <f>#REF!-#REF!</f>
        <v>#REF!</v>
      </c>
      <c r="Q35" s="2289" t="e">
        <f>#REF!/Q$5*1000/12</f>
        <v>#REF!</v>
      </c>
    </row>
    <row r="36" spans="1:17" x14ac:dyDescent="0.25">
      <c r="A36" s="1906" t="e">
        <f>#REF!</f>
        <v>#REF!</v>
      </c>
      <c r="B36" t="e">
        <f>#REF!</f>
        <v>#REF!</v>
      </c>
      <c r="C36" s="87" t="e">
        <f>#REF!</f>
        <v>#REF!</v>
      </c>
      <c r="D36" t="e">
        <f>#REF!-#REF!</f>
        <v>#REF!</v>
      </c>
      <c r="E36" s="2289" t="e">
        <f>#REF!/E$5*1000/12</f>
        <v>#REF!</v>
      </c>
      <c r="G36" t="e">
        <f>#REF!-#REF!</f>
        <v>#REF!</v>
      </c>
      <c r="H36" s="87" t="e">
        <f>#REF!/H$5*1000/12</f>
        <v>#REF!</v>
      </c>
      <c r="I36" t="e">
        <f>#REF!-#REF!</f>
        <v>#REF!</v>
      </c>
      <c r="J36" t="e">
        <f>#REF!-#REF!</f>
        <v>#REF!</v>
      </c>
      <c r="K36" s="2289" t="e">
        <f>#REF!/K$5*1000/12</f>
        <v>#REF!</v>
      </c>
      <c r="L36" t="e">
        <f>#REF!-#REF!</f>
        <v>#REF!</v>
      </c>
      <c r="M36" t="e">
        <f>#REF!-#REF!</f>
        <v>#REF!</v>
      </c>
      <c r="N36" s="87" t="e">
        <f>#REF!/N$5*1000/12</f>
        <v>#REF!</v>
      </c>
      <c r="O36" t="e">
        <f>#REF!-#REF!</f>
        <v>#REF!</v>
      </c>
      <c r="P36" t="e">
        <f>#REF!-#REF!</f>
        <v>#REF!</v>
      </c>
      <c r="Q36" s="2289" t="e">
        <f>#REF!/Q$5*1000/12</f>
        <v>#REF!</v>
      </c>
    </row>
    <row r="37" spans="1:17" x14ac:dyDescent="0.25">
      <c r="A37" s="1906" t="e">
        <f>#REF!</f>
        <v>#REF!</v>
      </c>
      <c r="B37" t="e">
        <f>#REF!</f>
        <v>#REF!</v>
      </c>
      <c r="C37" s="87" t="e">
        <f>#REF!</f>
        <v>#REF!</v>
      </c>
      <c r="D37" t="e">
        <f>#REF!-#REF!</f>
        <v>#REF!</v>
      </c>
      <c r="E37" s="2289" t="e">
        <f>#REF!/E$5*1000/12</f>
        <v>#REF!</v>
      </c>
      <c r="G37" t="e">
        <f>#REF!-#REF!</f>
        <v>#REF!</v>
      </c>
      <c r="H37" s="87" t="e">
        <f>#REF!/H$5*1000/12</f>
        <v>#REF!</v>
      </c>
      <c r="I37" t="e">
        <f>#REF!-#REF!</f>
        <v>#REF!</v>
      </c>
      <c r="J37" t="e">
        <f>#REF!-#REF!</f>
        <v>#REF!</v>
      </c>
      <c r="K37" s="2289" t="e">
        <f>#REF!/K$5*1000/12</f>
        <v>#REF!</v>
      </c>
      <c r="L37" t="e">
        <f>#REF!-#REF!</f>
        <v>#REF!</v>
      </c>
      <c r="M37" t="e">
        <f>#REF!-#REF!</f>
        <v>#REF!</v>
      </c>
      <c r="N37" s="87" t="e">
        <f>#REF!/N$5*1000/12</f>
        <v>#REF!</v>
      </c>
      <c r="O37" t="e">
        <f>#REF!-#REF!</f>
        <v>#REF!</v>
      </c>
      <c r="P37" t="e">
        <f>#REF!-#REF!</f>
        <v>#REF!</v>
      </c>
      <c r="Q37" s="2289" t="e">
        <f>#REF!/Q$5*1000/12</f>
        <v>#REF!</v>
      </c>
    </row>
    <row r="38" spans="1:17" x14ac:dyDescent="0.25">
      <c r="A38" s="1906" t="e">
        <f>#REF!</f>
        <v>#REF!</v>
      </c>
      <c r="B38" t="e">
        <f>#REF!</f>
        <v>#REF!</v>
      </c>
      <c r="C38" s="87" t="e">
        <f>#REF!</f>
        <v>#REF!</v>
      </c>
      <c r="D38" t="e">
        <f>#REF!-#REF!</f>
        <v>#REF!</v>
      </c>
      <c r="E38" s="2289" t="e">
        <f>#REF!/E$5*1000/12</f>
        <v>#REF!</v>
      </c>
      <c r="G38" t="e">
        <f>#REF!-#REF!</f>
        <v>#REF!</v>
      </c>
      <c r="H38" s="87" t="e">
        <f>#REF!/H$5*1000/12</f>
        <v>#REF!</v>
      </c>
      <c r="I38" t="e">
        <f>#REF!-#REF!</f>
        <v>#REF!</v>
      </c>
      <c r="J38" t="e">
        <f>#REF!-#REF!</f>
        <v>#REF!</v>
      </c>
      <c r="K38" s="2289" t="e">
        <f>#REF!/K$5*1000/12</f>
        <v>#REF!</v>
      </c>
      <c r="L38" t="e">
        <f>#REF!-#REF!</f>
        <v>#REF!</v>
      </c>
      <c r="M38" t="e">
        <f>#REF!-#REF!</f>
        <v>#REF!</v>
      </c>
      <c r="N38" s="87" t="e">
        <f>#REF!/N$5*1000/12</f>
        <v>#REF!</v>
      </c>
      <c r="O38" t="e">
        <f>#REF!-#REF!</f>
        <v>#REF!</v>
      </c>
      <c r="P38" t="e">
        <f>#REF!-#REF!</f>
        <v>#REF!</v>
      </c>
      <c r="Q38" s="2289" t="e">
        <f>#REF!/Q$5*1000/12</f>
        <v>#REF!</v>
      </c>
    </row>
    <row r="39" spans="1:17" x14ac:dyDescent="0.25">
      <c r="A39" s="1906" t="e">
        <f>#REF!</f>
        <v>#REF!</v>
      </c>
      <c r="B39" t="e">
        <f>#REF!</f>
        <v>#REF!</v>
      </c>
      <c r="C39" s="87" t="e">
        <f>#REF!</f>
        <v>#REF!</v>
      </c>
      <c r="D39" t="e">
        <f>#REF!-#REF!</f>
        <v>#REF!</v>
      </c>
      <c r="E39" s="2289" t="e">
        <f>#REF!/E$5*1000/12</f>
        <v>#REF!</v>
      </c>
      <c r="G39" t="e">
        <f>#REF!-#REF!</f>
        <v>#REF!</v>
      </c>
      <c r="H39" s="87" t="e">
        <f>#REF!/H$5*1000/12</f>
        <v>#REF!</v>
      </c>
      <c r="I39" t="e">
        <f>#REF!-#REF!</f>
        <v>#REF!</v>
      </c>
      <c r="J39" t="e">
        <f>#REF!-#REF!</f>
        <v>#REF!</v>
      </c>
      <c r="K39" s="2289" t="e">
        <f>#REF!/K$5*1000/12</f>
        <v>#REF!</v>
      </c>
      <c r="L39" t="e">
        <f>#REF!-#REF!</f>
        <v>#REF!</v>
      </c>
      <c r="M39" t="e">
        <f>#REF!-#REF!</f>
        <v>#REF!</v>
      </c>
      <c r="N39" s="87" t="e">
        <f>#REF!/N$5*1000/12</f>
        <v>#REF!</v>
      </c>
      <c r="O39" t="e">
        <f>#REF!-#REF!</f>
        <v>#REF!</v>
      </c>
      <c r="P39" t="e">
        <f>#REF!-#REF!</f>
        <v>#REF!</v>
      </c>
      <c r="Q39" s="2289" t="e">
        <f>#REF!/Q$5*1000/12</f>
        <v>#REF!</v>
      </c>
    </row>
    <row r="40" spans="1:17" x14ac:dyDescent="0.25">
      <c r="A40" s="1906" t="e">
        <f>#REF!</f>
        <v>#REF!</v>
      </c>
      <c r="B40" t="e">
        <f>#REF!</f>
        <v>#REF!</v>
      </c>
      <c r="C40" s="87" t="e">
        <f>#REF!</f>
        <v>#REF!</v>
      </c>
      <c r="D40" t="e">
        <f>#REF!-#REF!</f>
        <v>#REF!</v>
      </c>
      <c r="E40" s="2289" t="e">
        <f>#REF!/E$5*1000/12</f>
        <v>#REF!</v>
      </c>
      <c r="G40" t="e">
        <f>#REF!-#REF!</f>
        <v>#REF!</v>
      </c>
      <c r="H40" s="87" t="e">
        <f>#REF!/H$5*1000/12</f>
        <v>#REF!</v>
      </c>
      <c r="I40" t="e">
        <f>#REF!-#REF!</f>
        <v>#REF!</v>
      </c>
      <c r="J40" t="e">
        <f>#REF!-#REF!</f>
        <v>#REF!</v>
      </c>
      <c r="K40" s="2289" t="e">
        <f>#REF!/K$5*1000/12</f>
        <v>#REF!</v>
      </c>
      <c r="L40" t="e">
        <f>#REF!-#REF!</f>
        <v>#REF!</v>
      </c>
      <c r="M40" t="e">
        <f>#REF!-#REF!</f>
        <v>#REF!</v>
      </c>
      <c r="N40" s="87" t="e">
        <f>#REF!/N$5*1000/12</f>
        <v>#REF!</v>
      </c>
      <c r="O40" t="e">
        <f>#REF!-#REF!</f>
        <v>#REF!</v>
      </c>
      <c r="P40" t="e">
        <f>#REF!-#REF!</f>
        <v>#REF!</v>
      </c>
      <c r="Q40" s="2289" t="e">
        <f>#REF!/Q$5*1000/12</f>
        <v>#REF!</v>
      </c>
    </row>
    <row r="41" spans="1:17" x14ac:dyDescent="0.25">
      <c r="A41" s="1906" t="e">
        <f>#REF!</f>
        <v>#REF!</v>
      </c>
      <c r="B41" t="e">
        <f>#REF!</f>
        <v>#REF!</v>
      </c>
      <c r="C41" s="87" t="e">
        <f>#REF!</f>
        <v>#REF!</v>
      </c>
      <c r="D41" t="e">
        <f>#REF!-#REF!</f>
        <v>#REF!</v>
      </c>
      <c r="E41" s="2289" t="e">
        <f>#REF!/E$5*1000/12</f>
        <v>#REF!</v>
      </c>
      <c r="G41" t="e">
        <f>#REF!-#REF!</f>
        <v>#REF!</v>
      </c>
      <c r="H41" s="87" t="e">
        <f>#REF!/H$5*1000/12</f>
        <v>#REF!</v>
      </c>
      <c r="I41" t="e">
        <f>#REF!-#REF!</f>
        <v>#REF!</v>
      </c>
      <c r="J41" t="e">
        <f>#REF!-#REF!</f>
        <v>#REF!</v>
      </c>
      <c r="K41" s="2289" t="e">
        <f>#REF!/K$5*1000/12</f>
        <v>#REF!</v>
      </c>
      <c r="L41" t="e">
        <f>#REF!-#REF!</f>
        <v>#REF!</v>
      </c>
      <c r="M41" t="e">
        <f>#REF!-#REF!</f>
        <v>#REF!</v>
      </c>
      <c r="N41" s="87" t="e">
        <f>#REF!/N$5*1000/12</f>
        <v>#REF!</v>
      </c>
      <c r="O41" t="e">
        <f>#REF!-#REF!</f>
        <v>#REF!</v>
      </c>
      <c r="P41" t="e">
        <f>#REF!-#REF!</f>
        <v>#REF!</v>
      </c>
      <c r="Q41" s="2289" t="e">
        <f>#REF!/Q$5*1000/12</f>
        <v>#REF!</v>
      </c>
    </row>
    <row r="42" spans="1:17" x14ac:dyDescent="0.25">
      <c r="A42" s="1906" t="e">
        <f>#REF!</f>
        <v>#REF!</v>
      </c>
      <c r="B42" t="e">
        <f>#REF!</f>
        <v>#REF!</v>
      </c>
      <c r="C42" s="87" t="e">
        <f>#REF!</f>
        <v>#REF!</v>
      </c>
      <c r="D42" t="e">
        <f>#REF!-#REF!</f>
        <v>#REF!</v>
      </c>
      <c r="E42" s="2289" t="e">
        <f>#REF!/E$5*1000/12</f>
        <v>#REF!</v>
      </c>
      <c r="G42" t="e">
        <f>#REF!-#REF!</f>
        <v>#REF!</v>
      </c>
      <c r="H42" s="87" t="e">
        <f>#REF!/H$5*1000/12</f>
        <v>#REF!</v>
      </c>
      <c r="I42" t="e">
        <f>#REF!-#REF!</f>
        <v>#REF!</v>
      </c>
      <c r="J42" t="e">
        <f>#REF!-#REF!</f>
        <v>#REF!</v>
      </c>
      <c r="K42" s="2289" t="e">
        <f>#REF!/K$5*1000/12</f>
        <v>#REF!</v>
      </c>
      <c r="L42" t="e">
        <f>#REF!-#REF!</f>
        <v>#REF!</v>
      </c>
      <c r="M42" t="e">
        <f>#REF!-#REF!</f>
        <v>#REF!</v>
      </c>
      <c r="N42" s="87" t="e">
        <f>#REF!/N$5*1000/12</f>
        <v>#REF!</v>
      </c>
      <c r="O42" t="e">
        <f>#REF!-#REF!</f>
        <v>#REF!</v>
      </c>
      <c r="P42" t="e">
        <f>#REF!-#REF!</f>
        <v>#REF!</v>
      </c>
      <c r="Q42" s="2289" t="e">
        <f>#REF!/Q$5*1000/12</f>
        <v>#REF!</v>
      </c>
    </row>
    <row r="43" spans="1:17" x14ac:dyDescent="0.25">
      <c r="A43" s="1906" t="e">
        <f>#REF!</f>
        <v>#REF!</v>
      </c>
      <c r="B43" t="e">
        <f>#REF!</f>
        <v>#REF!</v>
      </c>
      <c r="C43" s="87" t="e">
        <f>#REF!</f>
        <v>#REF!</v>
      </c>
      <c r="D43" t="e">
        <f>#REF!-#REF!</f>
        <v>#REF!</v>
      </c>
      <c r="E43" s="2289" t="e">
        <f>#REF!/E$5*1000/12</f>
        <v>#REF!</v>
      </c>
      <c r="G43" t="e">
        <f>#REF!-#REF!</f>
        <v>#REF!</v>
      </c>
      <c r="H43" s="87" t="e">
        <f>#REF!/H$5*1000/12</f>
        <v>#REF!</v>
      </c>
      <c r="I43" t="e">
        <f>#REF!-#REF!</f>
        <v>#REF!</v>
      </c>
      <c r="J43" t="e">
        <f>#REF!-#REF!</f>
        <v>#REF!</v>
      </c>
      <c r="K43" s="2289" t="e">
        <f>#REF!/K$5*1000/12</f>
        <v>#REF!</v>
      </c>
      <c r="L43" t="e">
        <f>#REF!-#REF!</f>
        <v>#REF!</v>
      </c>
      <c r="M43" t="e">
        <f>#REF!-#REF!</f>
        <v>#REF!</v>
      </c>
      <c r="N43" s="87" t="e">
        <f>#REF!/N$5*1000/12</f>
        <v>#REF!</v>
      </c>
      <c r="O43" t="e">
        <f>#REF!-#REF!</f>
        <v>#REF!</v>
      </c>
      <c r="P43" t="e">
        <f>#REF!-#REF!</f>
        <v>#REF!</v>
      </c>
      <c r="Q43" s="2289" t="e">
        <f>#REF!/Q$5*1000/12</f>
        <v>#REF!</v>
      </c>
    </row>
    <row r="44" spans="1:17" x14ac:dyDescent="0.25">
      <c r="A44" s="1906" t="e">
        <f>#REF!</f>
        <v>#REF!</v>
      </c>
      <c r="B44" t="e">
        <f>#REF!</f>
        <v>#REF!</v>
      </c>
      <c r="C44" s="87" t="e">
        <f>#REF!</f>
        <v>#REF!</v>
      </c>
      <c r="D44" t="e">
        <f>#REF!-#REF!</f>
        <v>#REF!</v>
      </c>
      <c r="E44" s="2289" t="e">
        <f>#REF!/E$5*1000/12</f>
        <v>#REF!</v>
      </c>
      <c r="G44" t="e">
        <f>#REF!-#REF!</f>
        <v>#REF!</v>
      </c>
      <c r="H44" s="87" t="e">
        <f>#REF!/H$5*1000/12</f>
        <v>#REF!</v>
      </c>
      <c r="I44" t="e">
        <f>#REF!-#REF!</f>
        <v>#REF!</v>
      </c>
      <c r="J44" t="e">
        <f>#REF!-#REF!</f>
        <v>#REF!</v>
      </c>
      <c r="K44" s="2289" t="e">
        <f>#REF!/K$5*1000/12</f>
        <v>#REF!</v>
      </c>
      <c r="L44" t="e">
        <f>#REF!-#REF!</f>
        <v>#REF!</v>
      </c>
      <c r="M44" t="e">
        <f>#REF!-#REF!</f>
        <v>#REF!</v>
      </c>
      <c r="N44" s="87" t="e">
        <f>#REF!/N$5*1000/12</f>
        <v>#REF!</v>
      </c>
      <c r="O44" t="e">
        <f>#REF!-#REF!</f>
        <v>#REF!</v>
      </c>
      <c r="P44" t="e">
        <f>#REF!-#REF!</f>
        <v>#REF!</v>
      </c>
      <c r="Q44" s="2289" t="e">
        <f>#REF!/Q$5*1000/12</f>
        <v>#REF!</v>
      </c>
    </row>
    <row r="45" spans="1:17" x14ac:dyDescent="0.25">
      <c r="A45" s="1906" t="e">
        <f>#REF!</f>
        <v>#REF!</v>
      </c>
      <c r="B45" t="e">
        <f>#REF!</f>
        <v>#REF!</v>
      </c>
      <c r="C45" s="87" t="e">
        <f>#REF!</f>
        <v>#REF!</v>
      </c>
      <c r="D45" t="e">
        <f>#REF!-#REF!</f>
        <v>#REF!</v>
      </c>
      <c r="E45" s="2289" t="e">
        <f>#REF!/E$5*1000/12</f>
        <v>#REF!</v>
      </c>
      <c r="G45" t="e">
        <f>#REF!-#REF!</f>
        <v>#REF!</v>
      </c>
      <c r="H45" s="87" t="e">
        <f>#REF!/H$5*1000/12</f>
        <v>#REF!</v>
      </c>
      <c r="I45" t="e">
        <f>#REF!-#REF!</f>
        <v>#REF!</v>
      </c>
      <c r="J45" t="e">
        <f>#REF!-#REF!</f>
        <v>#REF!</v>
      </c>
      <c r="K45" s="2289" t="e">
        <f>#REF!/K$5*1000/12</f>
        <v>#REF!</v>
      </c>
      <c r="L45" t="e">
        <f>#REF!-#REF!</f>
        <v>#REF!</v>
      </c>
      <c r="M45" t="e">
        <f>#REF!-#REF!</f>
        <v>#REF!</v>
      </c>
      <c r="N45" s="87" t="e">
        <f>#REF!/N$5*1000/12</f>
        <v>#REF!</v>
      </c>
      <c r="O45" t="e">
        <f>#REF!-#REF!</f>
        <v>#REF!</v>
      </c>
      <c r="P45" t="e">
        <f>#REF!-#REF!</f>
        <v>#REF!</v>
      </c>
      <c r="Q45" s="2289" t="e">
        <f>#REF!/Q$5*1000/12</f>
        <v>#REF!</v>
      </c>
    </row>
    <row r="46" spans="1:17" x14ac:dyDescent="0.25">
      <c r="A46" s="1906" t="e">
        <f>#REF!</f>
        <v>#REF!</v>
      </c>
      <c r="B46" t="e">
        <f>#REF!</f>
        <v>#REF!</v>
      </c>
      <c r="C46" s="87" t="e">
        <f>#REF!</f>
        <v>#REF!</v>
      </c>
      <c r="D46" t="e">
        <f>#REF!-#REF!</f>
        <v>#REF!</v>
      </c>
      <c r="E46" s="2289" t="e">
        <f>#REF!/E$5*1000/12</f>
        <v>#REF!</v>
      </c>
      <c r="G46" t="e">
        <f>#REF!-#REF!</f>
        <v>#REF!</v>
      </c>
      <c r="H46" s="87" t="e">
        <f>#REF!/H$5*1000/12</f>
        <v>#REF!</v>
      </c>
      <c r="I46" t="e">
        <f>#REF!-#REF!</f>
        <v>#REF!</v>
      </c>
      <c r="J46" t="e">
        <f>#REF!-#REF!</f>
        <v>#REF!</v>
      </c>
      <c r="K46" s="2289" t="e">
        <f>#REF!/K$5*1000/12</f>
        <v>#REF!</v>
      </c>
      <c r="L46" t="e">
        <f>#REF!-#REF!</f>
        <v>#REF!</v>
      </c>
      <c r="M46" t="e">
        <f>#REF!-#REF!</f>
        <v>#REF!</v>
      </c>
      <c r="N46" s="87" t="e">
        <f>#REF!/N$5*1000/12</f>
        <v>#REF!</v>
      </c>
      <c r="O46" t="e">
        <f>#REF!-#REF!</f>
        <v>#REF!</v>
      </c>
      <c r="P46" t="e">
        <f>#REF!-#REF!</f>
        <v>#REF!</v>
      </c>
      <c r="Q46" s="2289" t="e">
        <f>#REF!/Q$5*1000/12</f>
        <v>#REF!</v>
      </c>
    </row>
    <row r="47" spans="1:17" x14ac:dyDescent="0.25">
      <c r="A47" s="1906" t="e">
        <f>#REF!</f>
        <v>#REF!</v>
      </c>
      <c r="B47" t="e">
        <f>#REF!</f>
        <v>#REF!</v>
      </c>
      <c r="C47" s="87" t="e">
        <f>#REF!</f>
        <v>#REF!</v>
      </c>
      <c r="D47" t="e">
        <f>#REF!-#REF!</f>
        <v>#REF!</v>
      </c>
      <c r="E47" s="2289" t="e">
        <f>#REF!/E$5*1000/12</f>
        <v>#REF!</v>
      </c>
      <c r="G47" t="e">
        <f>#REF!-#REF!</f>
        <v>#REF!</v>
      </c>
      <c r="H47" s="87" t="e">
        <f>#REF!/H$5*1000/12</f>
        <v>#REF!</v>
      </c>
      <c r="I47" t="e">
        <f>#REF!-#REF!</f>
        <v>#REF!</v>
      </c>
      <c r="J47" t="e">
        <f>#REF!-#REF!</f>
        <v>#REF!</v>
      </c>
      <c r="K47" s="2289" t="e">
        <f>#REF!/K$5*1000/12</f>
        <v>#REF!</v>
      </c>
      <c r="L47" t="e">
        <f>#REF!-#REF!</f>
        <v>#REF!</v>
      </c>
      <c r="M47" t="e">
        <f>#REF!-#REF!</f>
        <v>#REF!</v>
      </c>
      <c r="N47" s="87" t="e">
        <f>#REF!/N$5*1000/12</f>
        <v>#REF!</v>
      </c>
      <c r="O47" t="e">
        <f>#REF!-#REF!</f>
        <v>#REF!</v>
      </c>
      <c r="P47" t="e">
        <f>#REF!-#REF!</f>
        <v>#REF!</v>
      </c>
      <c r="Q47" s="2289" t="e">
        <f>#REF!/Q$5*1000/12</f>
        <v>#REF!</v>
      </c>
    </row>
    <row r="48" spans="1:17" x14ac:dyDescent="0.25">
      <c r="A48" s="1906" t="e">
        <f>#REF!</f>
        <v>#REF!</v>
      </c>
      <c r="B48" t="e">
        <f>#REF!</f>
        <v>#REF!</v>
      </c>
      <c r="C48" s="87" t="e">
        <f>#REF!</f>
        <v>#REF!</v>
      </c>
      <c r="D48" t="e">
        <f>#REF!-#REF!</f>
        <v>#REF!</v>
      </c>
      <c r="E48" s="2289" t="e">
        <f>#REF!/E$5*1000/12</f>
        <v>#REF!</v>
      </c>
      <c r="G48" t="e">
        <f>#REF!-#REF!</f>
        <v>#REF!</v>
      </c>
      <c r="H48" s="87" t="e">
        <f>#REF!/H$5*1000/12</f>
        <v>#REF!</v>
      </c>
      <c r="I48" t="e">
        <f>#REF!-#REF!</f>
        <v>#REF!</v>
      </c>
      <c r="J48" t="e">
        <f>#REF!-#REF!</f>
        <v>#REF!</v>
      </c>
      <c r="K48" s="2289" t="e">
        <f>#REF!/K$5*1000/12</f>
        <v>#REF!</v>
      </c>
      <c r="L48" t="e">
        <f>#REF!-#REF!</f>
        <v>#REF!</v>
      </c>
      <c r="M48" t="e">
        <f>#REF!-#REF!</f>
        <v>#REF!</v>
      </c>
      <c r="N48" s="87" t="e">
        <f>#REF!/N$5*1000/12</f>
        <v>#REF!</v>
      </c>
      <c r="O48" t="e">
        <f>#REF!-#REF!</f>
        <v>#REF!</v>
      </c>
      <c r="P48" t="e">
        <f>#REF!-#REF!</f>
        <v>#REF!</v>
      </c>
      <c r="Q48" s="2289" t="e">
        <f>#REF!/Q$5*1000/12</f>
        <v>#REF!</v>
      </c>
    </row>
    <row r="49" spans="1:17" x14ac:dyDescent="0.25">
      <c r="A49" s="1906" t="e">
        <f>#REF!</f>
        <v>#REF!</v>
      </c>
      <c r="B49" t="e">
        <f>#REF!</f>
        <v>#REF!</v>
      </c>
      <c r="C49" s="87" t="e">
        <f>#REF!</f>
        <v>#REF!</v>
      </c>
      <c r="D49" t="e">
        <f>#REF!-#REF!</f>
        <v>#REF!</v>
      </c>
      <c r="E49" s="2289" t="e">
        <f>#REF!/E$5*1000/12</f>
        <v>#REF!</v>
      </c>
      <c r="G49" t="e">
        <f>#REF!-#REF!</f>
        <v>#REF!</v>
      </c>
      <c r="H49" s="87" t="e">
        <f>#REF!/H$5*1000/12</f>
        <v>#REF!</v>
      </c>
      <c r="I49" t="e">
        <f>#REF!-#REF!</f>
        <v>#REF!</v>
      </c>
      <c r="J49" t="e">
        <f>#REF!-#REF!</f>
        <v>#REF!</v>
      </c>
      <c r="K49" s="2289" t="e">
        <f>#REF!/K$5*1000/12</f>
        <v>#REF!</v>
      </c>
      <c r="L49" t="e">
        <f>#REF!-#REF!</f>
        <v>#REF!</v>
      </c>
      <c r="M49" t="e">
        <f>#REF!-#REF!</f>
        <v>#REF!</v>
      </c>
      <c r="N49" s="87" t="e">
        <f>#REF!/N$5*1000/12</f>
        <v>#REF!</v>
      </c>
      <c r="O49" t="e">
        <f>#REF!-#REF!</f>
        <v>#REF!</v>
      </c>
      <c r="P49" t="e">
        <f>#REF!-#REF!</f>
        <v>#REF!</v>
      </c>
      <c r="Q49" s="2289" t="e">
        <f>#REF!/Q$5*1000/12</f>
        <v>#REF!</v>
      </c>
    </row>
    <row r="50" spans="1:17" x14ac:dyDescent="0.25">
      <c r="A50" s="1906" t="e">
        <f>#REF!</f>
        <v>#REF!</v>
      </c>
      <c r="B50" t="e">
        <f>#REF!</f>
        <v>#REF!</v>
      </c>
      <c r="C50" s="87" t="e">
        <f>#REF!</f>
        <v>#REF!</v>
      </c>
      <c r="D50" t="e">
        <f>#REF!-#REF!</f>
        <v>#REF!</v>
      </c>
      <c r="E50" s="2289" t="e">
        <f>#REF!/E$5*1000/12</f>
        <v>#REF!</v>
      </c>
      <c r="G50" t="e">
        <f>#REF!-#REF!</f>
        <v>#REF!</v>
      </c>
      <c r="H50" s="87" t="e">
        <f>#REF!/H$5*1000/12</f>
        <v>#REF!</v>
      </c>
      <c r="I50" t="e">
        <f>#REF!-#REF!</f>
        <v>#REF!</v>
      </c>
      <c r="J50" t="e">
        <f>#REF!-#REF!</f>
        <v>#REF!</v>
      </c>
      <c r="K50" s="2289" t="e">
        <f>#REF!/K$5*1000/12</f>
        <v>#REF!</v>
      </c>
      <c r="L50" t="e">
        <f>#REF!-#REF!</f>
        <v>#REF!</v>
      </c>
      <c r="M50" t="e">
        <f>#REF!-#REF!</f>
        <v>#REF!</v>
      </c>
      <c r="N50" s="87" t="e">
        <f>#REF!/N$5*1000/12</f>
        <v>#REF!</v>
      </c>
      <c r="O50" t="e">
        <f>#REF!-#REF!</f>
        <v>#REF!</v>
      </c>
      <c r="P50" t="e">
        <f>#REF!-#REF!</f>
        <v>#REF!</v>
      </c>
      <c r="Q50" s="2289" t="e">
        <f>#REF!/Q$5*1000/12</f>
        <v>#REF!</v>
      </c>
    </row>
    <row r="51" spans="1:17" x14ac:dyDescent="0.25">
      <c r="A51" s="1906" t="e">
        <f>#REF!</f>
        <v>#REF!</v>
      </c>
      <c r="B51" t="e">
        <f>#REF!</f>
        <v>#REF!</v>
      </c>
      <c r="C51" s="87" t="e">
        <f>#REF!</f>
        <v>#REF!</v>
      </c>
      <c r="D51" t="e">
        <f>#REF!-#REF!</f>
        <v>#REF!</v>
      </c>
      <c r="E51" s="2289" t="e">
        <f>#REF!/E$5*1000/12</f>
        <v>#REF!</v>
      </c>
      <c r="G51" t="e">
        <f>#REF!-#REF!</f>
        <v>#REF!</v>
      </c>
      <c r="H51" s="87" t="e">
        <f>#REF!/H$5*1000/12</f>
        <v>#REF!</v>
      </c>
      <c r="I51" t="e">
        <f>#REF!-#REF!</f>
        <v>#REF!</v>
      </c>
      <c r="J51" t="e">
        <f>#REF!-#REF!</f>
        <v>#REF!</v>
      </c>
      <c r="K51" s="2289" t="e">
        <f>#REF!/K$5*1000/12</f>
        <v>#REF!</v>
      </c>
      <c r="L51" t="e">
        <f>#REF!-#REF!</f>
        <v>#REF!</v>
      </c>
      <c r="M51" t="e">
        <f>#REF!-#REF!</f>
        <v>#REF!</v>
      </c>
      <c r="N51" s="87" t="e">
        <f>#REF!/N$5*1000/12</f>
        <v>#REF!</v>
      </c>
      <c r="O51" t="e">
        <f>#REF!-#REF!</f>
        <v>#REF!</v>
      </c>
      <c r="P51" t="e">
        <f>#REF!-#REF!</f>
        <v>#REF!</v>
      </c>
      <c r="Q51" s="2289" t="e">
        <f>#REF!/Q$5*1000/12</f>
        <v>#REF!</v>
      </c>
    </row>
    <row r="52" spans="1:17" x14ac:dyDescent="0.25">
      <c r="A52" s="1906" t="e">
        <f>#REF!</f>
        <v>#REF!</v>
      </c>
      <c r="B52" t="e">
        <f>#REF!</f>
        <v>#REF!</v>
      </c>
      <c r="C52" s="87" t="e">
        <f>#REF!</f>
        <v>#REF!</v>
      </c>
      <c r="D52" t="e">
        <f>#REF!-#REF!</f>
        <v>#REF!</v>
      </c>
      <c r="E52" s="2289" t="e">
        <f>#REF!/E$5*1000/12</f>
        <v>#REF!</v>
      </c>
      <c r="G52" t="e">
        <f>#REF!-#REF!</f>
        <v>#REF!</v>
      </c>
      <c r="H52" s="87" t="e">
        <f>#REF!/H$5*1000/12</f>
        <v>#REF!</v>
      </c>
      <c r="I52" t="e">
        <f>#REF!-#REF!</f>
        <v>#REF!</v>
      </c>
      <c r="J52" t="e">
        <f>#REF!-#REF!</f>
        <v>#REF!</v>
      </c>
      <c r="K52" s="2289" t="e">
        <f>#REF!/K$5*1000/12</f>
        <v>#REF!</v>
      </c>
      <c r="L52" t="e">
        <f>#REF!-#REF!</f>
        <v>#REF!</v>
      </c>
      <c r="M52" t="e">
        <f>#REF!-#REF!</f>
        <v>#REF!</v>
      </c>
      <c r="N52" s="87" t="e">
        <f>#REF!/N$5*1000/12</f>
        <v>#REF!</v>
      </c>
      <c r="O52" t="e">
        <f>#REF!-#REF!</f>
        <v>#REF!</v>
      </c>
      <c r="P52" t="e">
        <f>#REF!-#REF!</f>
        <v>#REF!</v>
      </c>
      <c r="Q52" s="2289" t="e">
        <f>#REF!/Q$5*1000/12</f>
        <v>#REF!</v>
      </c>
    </row>
    <row r="53" spans="1:17" x14ac:dyDescent="0.25">
      <c r="A53" s="1906" t="e">
        <f>#REF!</f>
        <v>#REF!</v>
      </c>
      <c r="B53" t="e">
        <f>#REF!</f>
        <v>#REF!</v>
      </c>
      <c r="C53" s="87" t="e">
        <f>#REF!</f>
        <v>#REF!</v>
      </c>
      <c r="D53" t="e">
        <f>#REF!-#REF!</f>
        <v>#REF!</v>
      </c>
      <c r="E53" s="2289" t="e">
        <f>#REF!/E$5*1000/12</f>
        <v>#REF!</v>
      </c>
      <c r="H53" s="87" t="e">
        <f>#REF!/H$5*1000/12</f>
        <v>#REF!</v>
      </c>
      <c r="K53" s="2289" t="e">
        <f>#REF!/K$5*1000/12</f>
        <v>#REF!</v>
      </c>
      <c r="N53" s="87" t="e">
        <f>#REF!/N$5*1000/12</f>
        <v>#REF!</v>
      </c>
      <c r="Q53" s="2289" t="e">
        <f>#REF!/Q$5*1000/12</f>
        <v>#REF!</v>
      </c>
    </row>
    <row r="54" spans="1:17" x14ac:dyDescent="0.25">
      <c r="A54" s="1906" t="e">
        <f>#REF!</f>
        <v>#REF!</v>
      </c>
      <c r="B54" t="e">
        <f>#REF!</f>
        <v>#REF!</v>
      </c>
      <c r="C54" s="87" t="e">
        <f>#REF!</f>
        <v>#REF!</v>
      </c>
      <c r="D54" t="e">
        <f>#REF!-#REF!</f>
        <v>#REF!</v>
      </c>
      <c r="E54" s="2289" t="e">
        <f>#REF!/E$5*1000/12</f>
        <v>#REF!</v>
      </c>
      <c r="H54" s="87" t="e">
        <f>#REF!/H$5*1000/12</f>
        <v>#REF!</v>
      </c>
      <c r="K54" s="2289" t="e">
        <f>#REF!/K$5*1000/12</f>
        <v>#REF!</v>
      </c>
      <c r="N54" s="87" t="e">
        <f>#REF!/N$5*1000/12</f>
        <v>#REF!</v>
      </c>
      <c r="Q54" s="2289" t="e">
        <f>#REF!/Q$5*1000/12</f>
        <v>#REF!</v>
      </c>
    </row>
    <row r="55" spans="1:17" x14ac:dyDescent="0.25">
      <c r="A55" s="1906" t="e">
        <f>#REF!</f>
        <v>#REF!</v>
      </c>
      <c r="B55" t="e">
        <f>#REF!</f>
        <v>#REF!</v>
      </c>
      <c r="C55" s="87" t="e">
        <f>#REF!</f>
        <v>#REF!</v>
      </c>
      <c r="D55" t="e">
        <f>#REF!-#REF!</f>
        <v>#REF!</v>
      </c>
      <c r="E55" s="2289" t="e">
        <f>#REF!/E$5*1000/12</f>
        <v>#REF!</v>
      </c>
      <c r="H55" s="87" t="e">
        <f>#REF!/H$5*1000/12</f>
        <v>#REF!</v>
      </c>
      <c r="K55" s="2289" t="e">
        <f>#REF!/K$5*1000/12</f>
        <v>#REF!</v>
      </c>
      <c r="N55" s="87" t="e">
        <f>#REF!/N$5*1000/12</f>
        <v>#REF!</v>
      </c>
      <c r="Q55" s="2289" t="e">
        <f>#REF!/Q$5*1000/12</f>
        <v>#REF!</v>
      </c>
    </row>
    <row r="56" spans="1:17" x14ac:dyDescent="0.25">
      <c r="A56" s="1906" t="e">
        <f>#REF!</f>
        <v>#REF!</v>
      </c>
      <c r="B56" t="e">
        <f>#REF!</f>
        <v>#REF!</v>
      </c>
      <c r="C56" s="87" t="e">
        <f>#REF!</f>
        <v>#REF!</v>
      </c>
      <c r="D56" t="e">
        <f>#REF!-#REF!</f>
        <v>#REF!</v>
      </c>
      <c r="E56" s="2289" t="e">
        <f>#REF!/E$5*1000/12</f>
        <v>#REF!</v>
      </c>
      <c r="H56" s="87" t="e">
        <f>#REF!/H$5*1000/12</f>
        <v>#REF!</v>
      </c>
      <c r="K56" s="2289" t="e">
        <f>#REF!/K$5*1000/12</f>
        <v>#REF!</v>
      </c>
      <c r="N56" s="87" t="e">
        <f>#REF!/N$5*1000/12</f>
        <v>#REF!</v>
      </c>
      <c r="Q56" s="2289" t="e">
        <f>#REF!/Q$5*1000/12</f>
        <v>#REF!</v>
      </c>
    </row>
    <row r="57" spans="1:17" x14ac:dyDescent="0.25">
      <c r="A57" s="1906" t="e">
        <f>#REF!</f>
        <v>#REF!</v>
      </c>
      <c r="B57" t="e">
        <f>#REF!</f>
        <v>#REF!</v>
      </c>
      <c r="C57" s="87" t="e">
        <f>#REF!</f>
        <v>#REF!</v>
      </c>
      <c r="D57" t="e">
        <f>#REF!-#REF!</f>
        <v>#REF!</v>
      </c>
      <c r="E57" s="2289" t="e">
        <f>#REF!/E$5*1000/12</f>
        <v>#REF!</v>
      </c>
      <c r="H57" s="87" t="e">
        <f>#REF!/H$5*1000/12</f>
        <v>#REF!</v>
      </c>
      <c r="K57" s="2289" t="e">
        <f>#REF!/K$5*1000/12</f>
        <v>#REF!</v>
      </c>
      <c r="N57" s="87" t="e">
        <f>#REF!/N$5*1000/12</f>
        <v>#REF!</v>
      </c>
      <c r="Q57" s="2289" t="e">
        <f>#REF!/Q$5*1000/12</f>
        <v>#REF!</v>
      </c>
    </row>
    <row r="58" spans="1:17" x14ac:dyDescent="0.25">
      <c r="A58" s="1906" t="e">
        <f>#REF!</f>
        <v>#REF!</v>
      </c>
      <c r="B58" t="e">
        <f>#REF!</f>
        <v>#REF!</v>
      </c>
      <c r="C58" s="87" t="e">
        <f>#REF!</f>
        <v>#REF!</v>
      </c>
      <c r="D58" t="e">
        <f>#REF!-#REF!</f>
        <v>#REF!</v>
      </c>
      <c r="E58" s="2289" t="e">
        <f>#REF!/E$5*1000/12</f>
        <v>#REF!</v>
      </c>
      <c r="H58" s="87" t="e">
        <f>#REF!/H$5*1000/12</f>
        <v>#REF!</v>
      </c>
      <c r="K58" s="2289" t="e">
        <f>#REF!/K$5*1000/12</f>
        <v>#REF!</v>
      </c>
      <c r="N58" s="87" t="e">
        <f>#REF!/N$5*1000/12</f>
        <v>#REF!</v>
      </c>
      <c r="Q58" s="2289" t="e">
        <f>#REF!/Q$5*1000/12</f>
        <v>#REF!</v>
      </c>
    </row>
    <row r="59" spans="1:17" x14ac:dyDescent="0.25">
      <c r="A59" s="1906" t="e">
        <f>#REF!</f>
        <v>#REF!</v>
      </c>
      <c r="B59" t="e">
        <f>#REF!</f>
        <v>#REF!</v>
      </c>
      <c r="C59" s="87" t="e">
        <f>#REF!</f>
        <v>#REF!</v>
      </c>
      <c r="D59" t="e">
        <f>#REF!-#REF!</f>
        <v>#REF!</v>
      </c>
      <c r="E59" s="2289" t="e">
        <f>#REF!/E$5*1000/12</f>
        <v>#REF!</v>
      </c>
      <c r="H59" s="87" t="e">
        <f>#REF!/H$5*1000/12</f>
        <v>#REF!</v>
      </c>
      <c r="K59" s="2289" t="e">
        <f>#REF!/K$5*1000/12</f>
        <v>#REF!</v>
      </c>
      <c r="N59" s="87" t="e">
        <f>#REF!/N$5*1000/12</f>
        <v>#REF!</v>
      </c>
      <c r="Q59" s="2289" t="e">
        <f>#REF!/Q$5*1000/12</f>
        <v>#REF!</v>
      </c>
    </row>
    <row r="60" spans="1:17" x14ac:dyDescent="0.25">
      <c r="A60" s="1906" t="e">
        <f>#REF!</f>
        <v>#REF!</v>
      </c>
      <c r="B60" t="e">
        <f>#REF!</f>
        <v>#REF!</v>
      </c>
      <c r="C60" s="87" t="e">
        <f>#REF!</f>
        <v>#REF!</v>
      </c>
      <c r="D60" t="e">
        <f>#REF!-#REF!</f>
        <v>#REF!</v>
      </c>
      <c r="E60" s="2289" t="e">
        <f>#REF!/E$5*1000/12</f>
        <v>#REF!</v>
      </c>
      <c r="H60" s="87" t="e">
        <f>#REF!/H$5*1000/12</f>
        <v>#REF!</v>
      </c>
      <c r="K60" s="2289" t="e">
        <f>#REF!/K$5*1000/12</f>
        <v>#REF!</v>
      </c>
      <c r="N60" s="87" t="e">
        <f>#REF!/N$5*1000/12</f>
        <v>#REF!</v>
      </c>
      <c r="Q60" s="2289" t="e">
        <f>#REF!/Q$5*1000/12</f>
        <v>#REF!</v>
      </c>
    </row>
    <row r="61" spans="1:17" x14ac:dyDescent="0.25">
      <c r="A61" s="1906" t="e">
        <f>#REF!</f>
        <v>#REF!</v>
      </c>
      <c r="B61" t="e">
        <f>#REF!</f>
        <v>#REF!</v>
      </c>
      <c r="C61" s="87" t="e">
        <f>#REF!</f>
        <v>#REF!</v>
      </c>
      <c r="D61" t="e">
        <f>#REF!-#REF!</f>
        <v>#REF!</v>
      </c>
      <c r="E61" s="2289" t="e">
        <f>#REF!/E$5*1000/12</f>
        <v>#REF!</v>
      </c>
      <c r="H61" s="87" t="e">
        <f>#REF!/H$5*1000/12</f>
        <v>#REF!</v>
      </c>
      <c r="K61" s="2289" t="e">
        <f>#REF!/K$5*1000/12</f>
        <v>#REF!</v>
      </c>
      <c r="N61" s="87" t="e">
        <f>#REF!/N$5*1000/12</f>
        <v>#REF!</v>
      </c>
      <c r="Q61" s="2289" t="e">
        <f>#REF!/Q$5*1000/12</f>
        <v>#REF!</v>
      </c>
    </row>
    <row r="62" spans="1:17" x14ac:dyDescent="0.25">
      <c r="A62" s="1906" t="e">
        <f>#REF!</f>
        <v>#REF!</v>
      </c>
      <c r="B62" t="e">
        <f>#REF!</f>
        <v>#REF!</v>
      </c>
      <c r="C62" s="87" t="e">
        <f>#REF!</f>
        <v>#REF!</v>
      </c>
      <c r="D62" t="e">
        <f>#REF!-#REF!</f>
        <v>#REF!</v>
      </c>
      <c r="E62" s="2289" t="e">
        <f>#REF!/E$5*1000/12</f>
        <v>#REF!</v>
      </c>
      <c r="H62" s="87" t="e">
        <f>#REF!/H$5*1000/12</f>
        <v>#REF!</v>
      </c>
      <c r="K62" s="2289" t="e">
        <f>#REF!/K$5*1000/12</f>
        <v>#REF!</v>
      </c>
      <c r="N62" s="87" t="e">
        <f>#REF!/N$5*1000/12</f>
        <v>#REF!</v>
      </c>
      <c r="Q62" s="2289" t="e">
        <f>#REF!/Q$5*1000/12</f>
        <v>#REF!</v>
      </c>
    </row>
    <row r="63" spans="1:17" x14ac:dyDescent="0.25">
      <c r="A63" s="1906" t="e">
        <f>#REF!</f>
        <v>#REF!</v>
      </c>
      <c r="B63" t="e">
        <f>#REF!</f>
        <v>#REF!</v>
      </c>
      <c r="C63" s="87" t="e">
        <f>#REF!</f>
        <v>#REF!</v>
      </c>
      <c r="D63" t="e">
        <f>#REF!-#REF!</f>
        <v>#REF!</v>
      </c>
      <c r="E63" s="2289" t="e">
        <f>#REF!/E$5*1000/12</f>
        <v>#REF!</v>
      </c>
      <c r="H63" s="87" t="e">
        <f>#REF!/H$5*1000/12</f>
        <v>#REF!</v>
      </c>
      <c r="K63" s="2289" t="e">
        <f>#REF!/K$5*1000/12</f>
        <v>#REF!</v>
      </c>
      <c r="N63" s="87" t="e">
        <f>#REF!/N$5*1000/12</f>
        <v>#REF!</v>
      </c>
      <c r="Q63" s="2289" t="e">
        <f>#REF!/Q$5*1000/12</f>
        <v>#REF!</v>
      </c>
    </row>
    <row r="64" spans="1:17" x14ac:dyDescent="0.25">
      <c r="A64" s="1906" t="e">
        <f>#REF!</f>
        <v>#REF!</v>
      </c>
      <c r="B64" t="e">
        <f>#REF!</f>
        <v>#REF!</v>
      </c>
      <c r="C64" s="87" t="e">
        <f>#REF!</f>
        <v>#REF!</v>
      </c>
      <c r="D64" t="e">
        <f>#REF!-#REF!</f>
        <v>#REF!</v>
      </c>
      <c r="E64" s="2289" t="e">
        <f>#REF!/E$5*1000/12</f>
        <v>#REF!</v>
      </c>
      <c r="H64" s="87" t="e">
        <f>#REF!/H$5*1000/12</f>
        <v>#REF!</v>
      </c>
      <c r="K64" s="2289" t="e">
        <f>#REF!/K$5*1000/12</f>
        <v>#REF!</v>
      </c>
      <c r="N64" s="87" t="e">
        <f>#REF!/N$5*1000/12</f>
        <v>#REF!</v>
      </c>
      <c r="Q64" s="2289" t="e">
        <f>#REF!/Q$5*1000/12</f>
        <v>#REF!</v>
      </c>
    </row>
    <row r="65" spans="1:17" x14ac:dyDescent="0.25">
      <c r="A65" s="1906" t="e">
        <f>#REF!</f>
        <v>#REF!</v>
      </c>
      <c r="B65" t="e">
        <f>#REF!</f>
        <v>#REF!</v>
      </c>
      <c r="C65" t="e">
        <f>#REF!-#REF!</f>
        <v>#REF!</v>
      </c>
      <c r="D65" t="e">
        <f>#REF!-#REF!</f>
        <v>#REF!</v>
      </c>
      <c r="E65" s="2289"/>
      <c r="H65" s="87"/>
    </row>
    <row r="66" spans="1:17" x14ac:dyDescent="0.25">
      <c r="A66" s="1906" t="e">
        <f>#REF!</f>
        <v>#REF!</v>
      </c>
      <c r="B66" t="e">
        <f>#REF!</f>
        <v>#REF!</v>
      </c>
      <c r="C66" t="e">
        <f>#REF!-#REF!</f>
        <v>#REF!</v>
      </c>
      <c r="D66" t="e">
        <f>#REF!-#REF!</f>
        <v>#REF!</v>
      </c>
      <c r="E66" s="2289"/>
      <c r="H66" s="87"/>
    </row>
    <row r="67" spans="1:17" x14ac:dyDescent="0.25">
      <c r="A67" s="1906" t="e">
        <f>#REF!</f>
        <v>#REF!</v>
      </c>
      <c r="B67" t="e">
        <f>#REF!</f>
        <v>#REF!</v>
      </c>
      <c r="E67" s="2289"/>
    </row>
    <row r="68" spans="1:17" s="1821" customFormat="1" x14ac:dyDescent="0.25">
      <c r="A68" s="2165" t="e">
        <f>#REF!</f>
        <v>#REF!</v>
      </c>
      <c r="B68" s="1821" t="e">
        <f>#REF!</f>
        <v>#REF!</v>
      </c>
      <c r="C68" s="2174" t="e">
        <f>#REF!</f>
        <v>#REF!</v>
      </c>
      <c r="D68" s="2290"/>
      <c r="E68" s="2290"/>
      <c r="F68" s="2174"/>
      <c r="G68" s="2174" t="e">
        <f>#REF!</f>
        <v>#REF!</v>
      </c>
      <c r="H68" s="2174"/>
      <c r="I68" s="2174"/>
      <c r="J68" s="2174" t="e">
        <f>#REF!</f>
        <v>#REF!</v>
      </c>
      <c r="K68" s="2174"/>
      <c r="L68" s="2174"/>
      <c r="M68" s="2174" t="e">
        <f>#REF!</f>
        <v>#REF!</v>
      </c>
      <c r="N68" s="2174"/>
      <c r="O68" s="2174"/>
      <c r="P68" s="2174" t="e">
        <f>#REF!</f>
        <v>#REF!</v>
      </c>
      <c r="Q68" s="2174"/>
    </row>
    <row r="69" spans="1:17" s="1821" customFormat="1" x14ac:dyDescent="0.25">
      <c r="A69" s="2165" t="e">
        <f>#REF!</f>
        <v>#REF!</v>
      </c>
      <c r="B69" s="1821" t="e">
        <f>#REF!</f>
        <v>#REF!</v>
      </c>
      <c r="C69" s="2174" t="e">
        <f>#REF!</f>
        <v>#REF!</v>
      </c>
      <c r="E69" s="2290" t="e">
        <f>#REF!/12</f>
        <v>#REF!</v>
      </c>
      <c r="F69" s="2174"/>
      <c r="G69" s="2174"/>
      <c r="H69" s="2174" t="e">
        <f>#REF!/12</f>
        <v>#REF!</v>
      </c>
      <c r="I69" s="2174"/>
      <c r="J69" s="2174"/>
      <c r="K69" s="2174" t="e">
        <f>#REF!/12</f>
        <v>#REF!</v>
      </c>
      <c r="L69" s="2174"/>
      <c r="M69" s="2174"/>
      <c r="N69" s="2174" t="e">
        <f>#REF!/12</f>
        <v>#REF!</v>
      </c>
      <c r="O69" s="2174"/>
      <c r="P69" s="2174"/>
      <c r="Q69" s="2174" t="e">
        <f>#REF!/12</f>
        <v>#REF!</v>
      </c>
    </row>
    <row r="70" spans="1:17" x14ac:dyDescent="0.25">
      <c r="A70" s="1906" t="e">
        <f>#REF!</f>
        <v>#REF!</v>
      </c>
      <c r="B70" t="e">
        <f>#REF!</f>
        <v>#REF!</v>
      </c>
      <c r="C70" t="e">
        <f>#REF!-#REF!</f>
        <v>#REF!</v>
      </c>
      <c r="E70" s="2289"/>
    </row>
    <row r="71" spans="1:17" x14ac:dyDescent="0.25">
      <c r="A71" s="1906" t="e">
        <f>#REF!</f>
        <v>#REF!</v>
      </c>
      <c r="B71" t="e">
        <f>#REF!</f>
        <v>#REF!</v>
      </c>
      <c r="C71" t="e">
        <f>#REF!-#REF!</f>
        <v>#REF!</v>
      </c>
      <c r="E71" s="2289"/>
    </row>
    <row r="72" spans="1:17" x14ac:dyDescent="0.25">
      <c r="A72" s="1906" t="e">
        <f>#REF!</f>
        <v>#REF!</v>
      </c>
      <c r="B72" t="e">
        <f>#REF!</f>
        <v>#REF!</v>
      </c>
      <c r="C72" t="e">
        <f>#REF!-#REF!</f>
        <v>#REF!</v>
      </c>
      <c r="E72" s="2289" t="e">
        <f>#REF!</f>
        <v>#REF!</v>
      </c>
    </row>
    <row r="73" spans="1:17" x14ac:dyDescent="0.25">
      <c r="A73" s="1906" t="e">
        <f>#REF!</f>
        <v>#REF!</v>
      </c>
      <c r="B73" t="e">
        <f>#REF!</f>
        <v>#REF!</v>
      </c>
      <c r="C73" t="e">
        <f>#REF!-#REF!</f>
        <v>#REF!</v>
      </c>
    </row>
    <row r="74" spans="1:17" x14ac:dyDescent="0.25">
      <c r="A74" s="1906" t="e">
        <f>#REF!</f>
        <v>#REF!</v>
      </c>
      <c r="B74" t="e">
        <f>#REF!</f>
        <v>#REF!</v>
      </c>
      <c r="C74" t="e">
        <f>#REF!-#REF!</f>
        <v>#REF!</v>
      </c>
    </row>
    <row r="75" spans="1:17" x14ac:dyDescent="0.25">
      <c r="A75" s="1906" t="e">
        <f>#REF!</f>
        <v>#REF!</v>
      </c>
      <c r="B75" t="e">
        <f>#REF!</f>
        <v>#REF!</v>
      </c>
      <c r="C75" t="e">
        <f>#REF!-#REF!</f>
        <v>#REF!</v>
      </c>
    </row>
    <row r="76" spans="1:17" x14ac:dyDescent="0.25">
      <c r="A76" s="1906" t="e">
        <f>#REF!</f>
        <v>#REF!</v>
      </c>
      <c r="B76" t="e">
        <f>#REF!</f>
        <v>#REF!</v>
      </c>
      <c r="C76" t="e">
        <f>#REF!-#REF!</f>
        <v>#REF!</v>
      </c>
    </row>
    <row r="77" spans="1:17" x14ac:dyDescent="0.25">
      <c r="A77" s="1906" t="e">
        <f>#REF!</f>
        <v>#REF!</v>
      </c>
      <c r="B77" t="e">
        <f>#REF!</f>
        <v>#REF!</v>
      </c>
      <c r="C77" t="e">
        <f>#REF!-#REF!</f>
        <v>#REF!</v>
      </c>
    </row>
    <row r="78" spans="1:17" x14ac:dyDescent="0.25">
      <c r="A78" s="1906" t="e">
        <f>#REF!</f>
        <v>#REF!</v>
      </c>
      <c r="B78" t="e">
        <f>#REF!</f>
        <v>#REF!</v>
      </c>
      <c r="C78" t="e">
        <f>#REF!-#REF!</f>
        <v>#REF!</v>
      </c>
    </row>
    <row r="79" spans="1:17" x14ac:dyDescent="0.25">
      <c r="A79" s="1906" t="e">
        <f>#REF!</f>
        <v>#REF!</v>
      </c>
      <c r="B79" t="e">
        <f>#REF!</f>
        <v>#REF!</v>
      </c>
      <c r="C79" t="e">
        <f>#REF!-#REF!</f>
        <v>#REF!</v>
      </c>
    </row>
    <row r="80" spans="1:17" x14ac:dyDescent="0.25">
      <c r="A80" s="1906" t="e">
        <f>#REF!</f>
        <v>#REF!</v>
      </c>
      <c r="B80" t="e">
        <f>#REF!</f>
        <v>#REF!</v>
      </c>
      <c r="C80" t="e">
        <f>#REF!-#REF!</f>
        <v>#REF!</v>
      </c>
    </row>
    <row r="81" spans="1:3" x14ac:dyDescent="0.25">
      <c r="A81" s="1906" t="e">
        <f>#REF!</f>
        <v>#REF!</v>
      </c>
      <c r="B81" t="e">
        <f>#REF!</f>
        <v>#REF!</v>
      </c>
      <c r="C81" t="e">
        <f>#REF!-#REF!</f>
        <v>#REF!</v>
      </c>
    </row>
    <row r="82" spans="1:3" x14ac:dyDescent="0.25">
      <c r="A82" s="1906" t="e">
        <f>#REF!</f>
        <v>#REF!</v>
      </c>
      <c r="B82" t="e">
        <f>#REF!</f>
        <v>#REF!</v>
      </c>
      <c r="C82" t="e">
        <f>#REF!-#REF!</f>
        <v>#REF!</v>
      </c>
    </row>
    <row r="83" spans="1:3" x14ac:dyDescent="0.25">
      <c r="A83" s="1906" t="e">
        <f>#REF!</f>
        <v>#REF!</v>
      </c>
      <c r="B83" t="e">
        <f>#REF!</f>
        <v>#REF!</v>
      </c>
      <c r="C83" t="e">
        <f>#REF!-#REF!</f>
        <v>#REF!</v>
      </c>
    </row>
    <row r="84" spans="1:3" x14ac:dyDescent="0.25">
      <c r="A84" s="1906" t="e">
        <f>#REF!</f>
        <v>#REF!</v>
      </c>
      <c r="B84" t="e">
        <f>#REF!</f>
        <v>#REF!</v>
      </c>
      <c r="C84" t="e">
        <f>#REF!-#REF!</f>
        <v>#REF!</v>
      </c>
    </row>
    <row r="85" spans="1:3" x14ac:dyDescent="0.25">
      <c r="A85" s="1906" t="e">
        <f>#REF!</f>
        <v>#REF!</v>
      </c>
      <c r="B85" t="e">
        <f>#REF!</f>
        <v>#REF!</v>
      </c>
      <c r="C85" t="e">
        <f>#REF!-#REF!</f>
        <v>#REF!</v>
      </c>
    </row>
    <row r="86" spans="1:3" x14ac:dyDescent="0.25">
      <c r="A86" s="1906" t="e">
        <f>#REF!</f>
        <v>#REF!</v>
      </c>
      <c r="B86" t="e">
        <f>#REF!</f>
        <v>#REF!</v>
      </c>
      <c r="C86" t="e">
        <f>#REF!-#REF!</f>
        <v>#REF!</v>
      </c>
    </row>
    <row r="87" spans="1:3" x14ac:dyDescent="0.25">
      <c r="A87" s="1906" t="e">
        <f>#REF!</f>
        <v>#REF!</v>
      </c>
      <c r="B87" t="e">
        <f>#REF!</f>
        <v>#REF!</v>
      </c>
      <c r="C87" t="e">
        <f>#REF!-#REF!</f>
        <v>#REF!</v>
      </c>
    </row>
    <row r="88" spans="1:3" x14ac:dyDescent="0.25">
      <c r="A88" s="1906" t="e">
        <f>#REF!</f>
        <v>#REF!</v>
      </c>
      <c r="B88" t="e">
        <f>#REF!</f>
        <v>#REF!</v>
      </c>
      <c r="C88" t="e">
        <f>#REF!-#REF!</f>
        <v>#REF!</v>
      </c>
    </row>
    <row r="89" spans="1:3" x14ac:dyDescent="0.25">
      <c r="A89" s="1906" t="e">
        <f>#REF!</f>
        <v>#REF!</v>
      </c>
      <c r="B89" t="e">
        <f>#REF!</f>
        <v>#REF!</v>
      </c>
      <c r="C89" t="e">
        <f>#REF!-#REF!</f>
        <v>#REF!</v>
      </c>
    </row>
    <row r="90" spans="1:3" x14ac:dyDescent="0.25">
      <c r="A90" s="1906" t="e">
        <f>#REF!</f>
        <v>#REF!</v>
      </c>
      <c r="B90" t="e">
        <f>#REF!</f>
        <v>#REF!</v>
      </c>
      <c r="C90" t="e">
        <f>#REF!-#REF!</f>
        <v>#REF!</v>
      </c>
    </row>
    <row r="91" spans="1:3" x14ac:dyDescent="0.25">
      <c r="A91" s="1906" t="e">
        <f>#REF!</f>
        <v>#REF!</v>
      </c>
      <c r="B91" t="e">
        <f>#REF!</f>
        <v>#REF!</v>
      </c>
      <c r="C91" t="e">
        <f>#REF!-#REF!</f>
        <v>#REF!</v>
      </c>
    </row>
    <row r="92" spans="1:3" x14ac:dyDescent="0.25">
      <c r="A92" s="1906" t="e">
        <f>#REF!</f>
        <v>#REF!</v>
      </c>
      <c r="B92" t="e">
        <f>#REF!</f>
        <v>#REF!</v>
      </c>
      <c r="C92" t="e">
        <f>#REF!-#REF!</f>
        <v>#REF!</v>
      </c>
    </row>
    <row r="93" spans="1:3" x14ac:dyDescent="0.25">
      <c r="A93" s="1906" t="e">
        <f>#REF!</f>
        <v>#REF!</v>
      </c>
      <c r="B93" t="e">
        <f>#REF!</f>
        <v>#REF!</v>
      </c>
      <c r="C93" t="e">
        <f>#REF!-#REF!</f>
        <v>#REF!</v>
      </c>
    </row>
    <row r="94" spans="1:3" x14ac:dyDescent="0.25">
      <c r="A94" s="1906" t="e">
        <f>#REF!</f>
        <v>#REF!</v>
      </c>
      <c r="B94" t="e">
        <f>#REF!</f>
        <v>#REF!</v>
      </c>
      <c r="C94" t="e">
        <f>#REF!-#REF!</f>
        <v>#REF!</v>
      </c>
    </row>
    <row r="95" spans="1:3" x14ac:dyDescent="0.25">
      <c r="A95" s="1906" t="e">
        <f>#REF!</f>
        <v>#REF!</v>
      </c>
      <c r="B95" t="e">
        <f>#REF!</f>
        <v>#REF!</v>
      </c>
      <c r="C95" t="e">
        <f>#REF!-#REF!</f>
        <v>#REF!</v>
      </c>
    </row>
    <row r="96" spans="1:3" x14ac:dyDescent="0.25">
      <c r="A96" s="1906" t="e">
        <f>#REF!</f>
        <v>#REF!</v>
      </c>
      <c r="B96" t="e">
        <f>#REF!</f>
        <v>#REF!</v>
      </c>
      <c r="C96" t="e">
        <f>#REF!-#REF!</f>
        <v>#REF!</v>
      </c>
    </row>
    <row r="97" spans="1:3" x14ac:dyDescent="0.25">
      <c r="A97" s="1906" t="e">
        <f>#REF!</f>
        <v>#REF!</v>
      </c>
      <c r="B97" t="e">
        <f>#REF!</f>
        <v>#REF!</v>
      </c>
      <c r="C97" t="e">
        <f>#REF!-#REF!</f>
        <v>#REF!</v>
      </c>
    </row>
    <row r="98" spans="1:3" x14ac:dyDescent="0.25">
      <c r="A98" s="1906" t="e">
        <f>#REF!</f>
        <v>#REF!</v>
      </c>
      <c r="B98" t="e">
        <f>#REF!</f>
        <v>#REF!</v>
      </c>
      <c r="C98" t="e">
        <f>#REF!-#REF!</f>
        <v>#REF!</v>
      </c>
    </row>
    <row r="99" spans="1:3" x14ac:dyDescent="0.25">
      <c r="A99" s="1906" t="e">
        <f>#REF!</f>
        <v>#REF!</v>
      </c>
      <c r="B99" t="e">
        <f>#REF!</f>
        <v>#REF!</v>
      </c>
      <c r="C99" t="e">
        <f>#REF!-#REF!</f>
        <v>#REF!</v>
      </c>
    </row>
    <row r="100" spans="1:3" x14ac:dyDescent="0.25">
      <c r="A100" s="1906" t="e">
        <f>#REF!</f>
        <v>#REF!</v>
      </c>
      <c r="B100" t="e">
        <f>#REF!</f>
        <v>#REF!</v>
      </c>
      <c r="C100" t="e">
        <f>#REF!-#REF!</f>
        <v>#REF!</v>
      </c>
    </row>
    <row r="101" spans="1:3" x14ac:dyDescent="0.25">
      <c r="A101" s="1906" t="e">
        <f>#REF!</f>
        <v>#REF!</v>
      </c>
      <c r="B101" t="e">
        <f>#REF!</f>
        <v>#REF!</v>
      </c>
      <c r="C101" t="e">
        <f>#REF!-#REF!</f>
        <v>#REF!</v>
      </c>
    </row>
    <row r="102" spans="1:3" x14ac:dyDescent="0.25">
      <c r="A102" s="1906" t="e">
        <f>#REF!</f>
        <v>#REF!</v>
      </c>
      <c r="B102" t="e">
        <f>#REF!</f>
        <v>#REF!</v>
      </c>
      <c r="C102" t="e">
        <f>#REF!-#REF!</f>
        <v>#REF!</v>
      </c>
    </row>
    <row r="103" spans="1:3" x14ac:dyDescent="0.25">
      <c r="A103" s="1906" t="e">
        <f>#REF!</f>
        <v>#REF!</v>
      </c>
      <c r="B103" t="e">
        <f>#REF!</f>
        <v>#REF!</v>
      </c>
      <c r="C103" t="e">
        <f>#REF!-#REF!</f>
        <v>#REF!</v>
      </c>
    </row>
    <row r="104" spans="1:3" x14ac:dyDescent="0.25">
      <c r="A104" s="1906" t="e">
        <f>#REF!</f>
        <v>#REF!</v>
      </c>
      <c r="B104" t="e">
        <f>#REF!</f>
        <v>#REF!</v>
      </c>
      <c r="C104" t="e">
        <f>#REF!-#REF!</f>
        <v>#REF!</v>
      </c>
    </row>
    <row r="105" spans="1:3" x14ac:dyDescent="0.25">
      <c r="A105" s="1906" t="e">
        <f>#REF!</f>
        <v>#REF!</v>
      </c>
      <c r="B105" t="e">
        <f>#REF!</f>
        <v>#REF!</v>
      </c>
      <c r="C105" t="e">
        <f>#REF!-#REF!</f>
        <v>#REF!</v>
      </c>
    </row>
    <row r="106" spans="1:3" x14ac:dyDescent="0.25">
      <c r="A106" s="1906" t="e">
        <f>#REF!</f>
        <v>#REF!</v>
      </c>
      <c r="B106" t="e">
        <f>#REF!</f>
        <v>#REF!</v>
      </c>
      <c r="C106" t="e">
        <f>#REF!-#REF!</f>
        <v>#REF!</v>
      </c>
    </row>
    <row r="107" spans="1:3" x14ac:dyDescent="0.25">
      <c r="A107" s="1906" t="e">
        <f>#REF!</f>
        <v>#REF!</v>
      </c>
      <c r="B107" t="e">
        <f>#REF!</f>
        <v>#REF!</v>
      </c>
      <c r="C107" t="e">
        <f>#REF!-#REF!</f>
        <v>#REF!</v>
      </c>
    </row>
    <row r="108" spans="1:3" x14ac:dyDescent="0.25">
      <c r="A108" s="1906" t="e">
        <f>#REF!</f>
        <v>#REF!</v>
      </c>
      <c r="B108" t="e">
        <f>#REF!</f>
        <v>#REF!</v>
      </c>
      <c r="C108" t="e">
        <f>#REF!-#REF!</f>
        <v>#REF!</v>
      </c>
    </row>
    <row r="109" spans="1:3" x14ac:dyDescent="0.25">
      <c r="A109" s="1906" t="e">
        <f>#REF!</f>
        <v>#REF!</v>
      </c>
      <c r="B109" t="e">
        <f>#REF!</f>
        <v>#REF!</v>
      </c>
      <c r="C109" t="e">
        <f>#REF!-#REF!</f>
        <v>#REF!</v>
      </c>
    </row>
    <row r="110" spans="1:3" x14ac:dyDescent="0.25">
      <c r="A110" s="1906" t="e">
        <f>#REF!</f>
        <v>#REF!</v>
      </c>
      <c r="B110" t="e">
        <f>#REF!</f>
        <v>#REF!</v>
      </c>
      <c r="C110" t="e">
        <f>#REF!-#REF!</f>
        <v>#REF!</v>
      </c>
    </row>
    <row r="111" spans="1:3" x14ac:dyDescent="0.25">
      <c r="A111" s="1906" t="e">
        <f>#REF!</f>
        <v>#REF!</v>
      </c>
      <c r="B111" t="e">
        <f>#REF!</f>
        <v>#REF!</v>
      </c>
      <c r="C111" t="e">
        <f>#REF!-#REF!</f>
        <v>#REF!</v>
      </c>
    </row>
    <row r="112" spans="1:3" x14ac:dyDescent="0.25">
      <c r="A112" s="1906" t="e">
        <f>#REF!</f>
        <v>#REF!</v>
      </c>
      <c r="B112" t="e">
        <f>#REF!</f>
        <v>#REF!</v>
      </c>
      <c r="C112" t="e">
        <f>#REF!-#REF!</f>
        <v>#REF!</v>
      </c>
    </row>
    <row r="113" spans="1:3" x14ac:dyDescent="0.25">
      <c r="A113" s="1906" t="e">
        <f>#REF!</f>
        <v>#REF!</v>
      </c>
      <c r="B113" t="e">
        <f>#REF!</f>
        <v>#REF!</v>
      </c>
      <c r="C113" t="e">
        <f>#REF!-#REF!</f>
        <v>#REF!</v>
      </c>
    </row>
    <row r="114" spans="1:3" x14ac:dyDescent="0.25">
      <c r="A114" s="1906" t="e">
        <f>#REF!</f>
        <v>#REF!</v>
      </c>
      <c r="B114" t="e">
        <f>#REF!</f>
        <v>#REF!</v>
      </c>
      <c r="C114" t="e">
        <f>#REF!-#REF!</f>
        <v>#REF!</v>
      </c>
    </row>
    <row r="115" spans="1:3" x14ac:dyDescent="0.25">
      <c r="A115" s="1906" t="e">
        <f>#REF!</f>
        <v>#REF!</v>
      </c>
      <c r="B115" t="e">
        <f>#REF!</f>
        <v>#REF!</v>
      </c>
      <c r="C115" t="e">
        <f>#REF!-#REF!</f>
        <v>#REF!</v>
      </c>
    </row>
    <row r="116" spans="1:3" x14ac:dyDescent="0.25">
      <c r="A116" s="1906" t="e">
        <f>#REF!</f>
        <v>#REF!</v>
      </c>
      <c r="B116" t="e">
        <f>#REF!</f>
        <v>#REF!</v>
      </c>
      <c r="C116" t="e">
        <f>#REF!-#REF!</f>
        <v>#REF!</v>
      </c>
    </row>
    <row r="117" spans="1:3" x14ac:dyDescent="0.25">
      <c r="A117" s="1906" t="e">
        <f>#REF!</f>
        <v>#REF!</v>
      </c>
      <c r="B117" t="e">
        <f>#REF!</f>
        <v>#REF!</v>
      </c>
      <c r="C117" t="e">
        <f>#REF!-#REF!</f>
        <v>#REF!</v>
      </c>
    </row>
    <row r="118" spans="1:3" x14ac:dyDescent="0.25">
      <c r="A118" s="1906" t="e">
        <f>#REF!</f>
        <v>#REF!</v>
      </c>
      <c r="B118" t="e">
        <f>#REF!</f>
        <v>#REF!</v>
      </c>
      <c r="C118" t="e">
        <f>#REF!-#REF!</f>
        <v>#REF!</v>
      </c>
    </row>
    <row r="119" spans="1:3" x14ac:dyDescent="0.25">
      <c r="A119" s="1906" t="e">
        <f>#REF!</f>
        <v>#REF!</v>
      </c>
      <c r="B119" t="e">
        <f>#REF!</f>
        <v>#REF!</v>
      </c>
      <c r="C119" t="e">
        <f>#REF!-#REF!</f>
        <v>#REF!</v>
      </c>
    </row>
    <row r="120" spans="1:3" x14ac:dyDescent="0.25">
      <c r="A120" s="1906" t="e">
        <f>#REF!</f>
        <v>#REF!</v>
      </c>
      <c r="B120" t="e">
        <f>#REF!</f>
        <v>#REF!</v>
      </c>
      <c r="C120" t="e">
        <f>#REF!-#REF!</f>
        <v>#REF!</v>
      </c>
    </row>
    <row r="121" spans="1:3" x14ac:dyDescent="0.25">
      <c r="A121" s="1906" t="e">
        <f>#REF!</f>
        <v>#REF!</v>
      </c>
      <c r="B121" t="e">
        <f>#REF!</f>
        <v>#REF!</v>
      </c>
      <c r="C121" t="e">
        <f>#REF!-#REF!</f>
        <v>#REF!</v>
      </c>
    </row>
    <row r="122" spans="1:3" x14ac:dyDescent="0.25">
      <c r="A122" s="1906" t="e">
        <f>#REF!</f>
        <v>#REF!</v>
      </c>
      <c r="B122" t="e">
        <f>#REF!</f>
        <v>#REF!</v>
      </c>
      <c r="C122" t="e">
        <f>#REF!-#REF!</f>
        <v>#REF!</v>
      </c>
    </row>
    <row r="123" spans="1:3" x14ac:dyDescent="0.25">
      <c r="A123" s="1906" t="e">
        <f>#REF!</f>
        <v>#REF!</v>
      </c>
      <c r="B123" t="e">
        <f>#REF!</f>
        <v>#REF!</v>
      </c>
      <c r="C123" t="e">
        <f>#REF!-#REF!</f>
        <v>#REF!</v>
      </c>
    </row>
    <row r="124" spans="1:3" x14ac:dyDescent="0.25">
      <c r="A124" s="1906" t="e">
        <f>#REF!</f>
        <v>#REF!</v>
      </c>
      <c r="B124" t="e">
        <f>#REF!</f>
        <v>#REF!</v>
      </c>
      <c r="C124" t="e">
        <f>#REF!-#REF!</f>
        <v>#REF!</v>
      </c>
    </row>
    <row r="125" spans="1:3" x14ac:dyDescent="0.25">
      <c r="A125" s="1906" t="e">
        <f>#REF!</f>
        <v>#REF!</v>
      </c>
      <c r="B125" t="e">
        <f>#REF!</f>
        <v>#REF!</v>
      </c>
      <c r="C125" t="e">
        <f>#REF!-#REF!</f>
        <v>#REF!</v>
      </c>
    </row>
    <row r="126" spans="1:3" x14ac:dyDescent="0.25">
      <c r="A126" s="1906" t="e">
        <f>#REF!</f>
        <v>#REF!</v>
      </c>
      <c r="B126" t="e">
        <f>#REF!</f>
        <v>#REF!</v>
      </c>
      <c r="C126" t="e">
        <f>#REF!-#REF!</f>
        <v>#REF!</v>
      </c>
    </row>
    <row r="127" spans="1:3" x14ac:dyDescent="0.25">
      <c r="A127" s="1906" t="e">
        <f>#REF!</f>
        <v>#REF!</v>
      </c>
      <c r="B127" t="e">
        <f>#REF!</f>
        <v>#REF!</v>
      </c>
      <c r="C127" t="e">
        <f>#REF!-#REF!</f>
        <v>#REF!</v>
      </c>
    </row>
    <row r="128" spans="1:3" x14ac:dyDescent="0.25">
      <c r="A128" s="1906" t="e">
        <f>#REF!</f>
        <v>#REF!</v>
      </c>
      <c r="B128" t="e">
        <f>#REF!</f>
        <v>#REF!</v>
      </c>
      <c r="C128" t="e">
        <f>#REF!-#REF!</f>
        <v>#REF!</v>
      </c>
    </row>
    <row r="129" spans="1:3" x14ac:dyDescent="0.25">
      <c r="A129" s="1906" t="e">
        <f>#REF!</f>
        <v>#REF!</v>
      </c>
      <c r="B129" t="e">
        <f>#REF!</f>
        <v>#REF!</v>
      </c>
      <c r="C129" t="e">
        <f>#REF!-#REF!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W74"/>
  <sheetViews>
    <sheetView workbookViewId="0">
      <selection activeCell="C14" sqref="C14"/>
    </sheetView>
  </sheetViews>
  <sheetFormatPr defaultRowHeight="15" x14ac:dyDescent="0.25"/>
  <cols>
    <col min="1" max="1" width="18.28515625" customWidth="1"/>
    <col min="2" max="5" width="9.85546875" customWidth="1"/>
    <col min="6" max="6" width="9.7109375" customWidth="1"/>
    <col min="7" max="7" width="10.85546875" customWidth="1"/>
    <col min="8" max="8" width="9.7109375" customWidth="1"/>
    <col min="9" max="9" width="9.85546875" customWidth="1"/>
    <col min="10" max="10" width="12.7109375" style="1935" customWidth="1"/>
    <col min="11" max="11" width="12.42578125" customWidth="1"/>
    <col min="12" max="12" width="9.42578125" bestFit="1" customWidth="1"/>
    <col min="13" max="13" width="10.28515625" bestFit="1" customWidth="1"/>
    <col min="15" max="16" width="9.42578125" bestFit="1" customWidth="1"/>
  </cols>
  <sheetData>
    <row r="1" spans="1:23" ht="15.75" thickBot="1" x14ac:dyDescent="0.3">
      <c r="G1" t="str">
        <f>'Вхідні дані'!F1</f>
        <v>станом на 01.06.2022 року</v>
      </c>
    </row>
    <row r="2" spans="1:23" x14ac:dyDescent="0.25">
      <c r="A2" s="3671" t="s">
        <v>2248</v>
      </c>
      <c r="B2" s="3668">
        <f>'Вхідні дані'!F8</f>
        <v>2020</v>
      </c>
      <c r="C2" s="3668"/>
      <c r="D2" s="3668">
        <f>'Вхідні дані'!F7</f>
        <v>2021</v>
      </c>
      <c r="E2" s="3668"/>
      <c r="F2" s="3673" t="str">
        <f>'Вхідні дані'!F9</f>
        <v xml:space="preserve">Рішення виконавчого комітету Чорноморської міської ради Одеського району Одеської області № 381 від 27.12.2018 </v>
      </c>
      <c r="G2" s="3673"/>
      <c r="H2" s="3668" t="str">
        <f>'Вхідні дані'!F6</f>
        <v>2022-2023</v>
      </c>
      <c r="I2" s="3669"/>
    </row>
    <row r="3" spans="1:23" ht="27.6" customHeight="1" x14ac:dyDescent="0.25">
      <c r="A3" s="3672"/>
      <c r="B3" s="1410" t="s">
        <v>2260</v>
      </c>
      <c r="C3" s="1411" t="s">
        <v>2259</v>
      </c>
      <c r="D3" s="1410" t="s">
        <v>2260</v>
      </c>
      <c r="E3" s="1411" t="s">
        <v>2259</v>
      </c>
      <c r="F3" s="1410" t="s">
        <v>2260</v>
      </c>
      <c r="G3" s="1411" t="s">
        <v>2259</v>
      </c>
      <c r="H3" s="1410" t="s">
        <v>2260</v>
      </c>
      <c r="I3" s="1411" t="s">
        <v>2259</v>
      </c>
      <c r="J3" s="2090" t="s">
        <v>2700</v>
      </c>
    </row>
    <row r="4" spans="1:23" x14ac:dyDescent="0.25">
      <c r="A4" s="1389" t="s">
        <v>1822</v>
      </c>
      <c r="B4" s="1388">
        <f>Виробництво_Транспортування_1ст!C9</f>
        <v>17540.38</v>
      </c>
      <c r="C4" s="1388">
        <v>0</v>
      </c>
      <c r="D4" s="1388">
        <f>Виробництво_Транспортування_1ст!D9</f>
        <v>37690.85</v>
      </c>
      <c r="E4" s="1388">
        <v>0</v>
      </c>
      <c r="F4" s="1388">
        <f>Виробництво_Транспортування_1ст!E9</f>
        <v>35013.699999999997</v>
      </c>
      <c r="G4" s="1388"/>
      <c r="H4" s="1388">
        <f>Виробництво_Транспортування_1ст!F9</f>
        <v>67516.94</v>
      </c>
      <c r="I4" s="1390"/>
      <c r="J4" s="2091">
        <f>H4-I4</f>
        <v>67516.94</v>
      </c>
    </row>
    <row r="5" spans="1:23" x14ac:dyDescent="0.25">
      <c r="A5" s="1389" t="s">
        <v>1823</v>
      </c>
      <c r="B5" s="1388">
        <f>Виробництво_Транспортування_1ст!C103</f>
        <v>7481.71</v>
      </c>
      <c r="C5" s="1388">
        <v>0</v>
      </c>
      <c r="D5" s="1388">
        <f>Виробництво_Транспортування_1ст!D103</f>
        <v>8279.9599999999991</v>
      </c>
      <c r="E5" s="1388">
        <v>0</v>
      </c>
      <c r="F5" s="1388">
        <f>Виробництво_Транспортування_1ст!E103</f>
        <v>5258.1</v>
      </c>
      <c r="G5" s="1388"/>
      <c r="H5" s="1388">
        <f>Виробництво_Транспортування_1ст!F103</f>
        <v>17900.45</v>
      </c>
      <c r="I5" s="1390"/>
      <c r="J5" s="2091">
        <f t="shared" ref="J5:J9" si="0">H5-I5</f>
        <v>17900.45</v>
      </c>
    </row>
    <row r="6" spans="1:23" x14ac:dyDescent="0.25">
      <c r="A6" s="1389" t="s">
        <v>2117</v>
      </c>
      <c r="B6" s="1388">
        <f>Постачання_1ст!C9</f>
        <v>795.08</v>
      </c>
      <c r="C6" s="1388">
        <v>0</v>
      </c>
      <c r="D6" s="1388">
        <f>Постачання_1ст!D9</f>
        <v>922.66</v>
      </c>
      <c r="E6" s="1388">
        <v>0</v>
      </c>
      <c r="F6" s="1388">
        <f>Постачання_1ст!E9</f>
        <v>362.6</v>
      </c>
      <c r="G6" s="1388"/>
      <c r="H6" s="1388">
        <f>Постачання_1ст!F9</f>
        <v>914.12</v>
      </c>
      <c r="I6" s="1390"/>
      <c r="J6" s="2091">
        <f t="shared" si="0"/>
        <v>914.12</v>
      </c>
    </row>
    <row r="7" spans="1:23" x14ac:dyDescent="0.25">
      <c r="A7" s="1389" t="s">
        <v>1824</v>
      </c>
      <c r="B7" s="1388">
        <f>ЗВВ_1ст!C8</f>
        <v>5011.51</v>
      </c>
      <c r="C7" s="1388">
        <v>0</v>
      </c>
      <c r="D7" s="1388">
        <f>ЗВВ_1ст!D8</f>
        <v>5040.05</v>
      </c>
      <c r="E7" s="1388">
        <v>0</v>
      </c>
      <c r="F7" s="1388">
        <f>ЗВВ_1ст!E8</f>
        <v>4797.8</v>
      </c>
      <c r="G7" s="1388"/>
      <c r="H7" s="2417">
        <f>ЗВВ_1ст!F8</f>
        <v>3933.66</v>
      </c>
      <c r="I7" s="2418"/>
      <c r="J7" s="2091">
        <f t="shared" si="0"/>
        <v>3933.66</v>
      </c>
      <c r="L7" s="2419" t="s">
        <v>3114</v>
      </c>
    </row>
    <row r="8" spans="1:23" x14ac:dyDescent="0.25">
      <c r="A8" s="1389" t="s">
        <v>1825</v>
      </c>
      <c r="B8" s="1388">
        <f>Адміністративні_1ст!C8</f>
        <v>1261.71</v>
      </c>
      <c r="C8" s="1388">
        <v>0</v>
      </c>
      <c r="D8" s="1388">
        <f>Адміністративні_1ст!D8</f>
        <v>1348.19</v>
      </c>
      <c r="E8" s="1388">
        <v>0</v>
      </c>
      <c r="F8" s="1388">
        <f>Адміністративні_1ст!E8</f>
        <v>983.26</v>
      </c>
      <c r="G8" s="1388"/>
      <c r="H8" s="2417">
        <f>Адміністративні_1ст!F8</f>
        <v>1568.36</v>
      </c>
      <c r="I8" s="2418"/>
      <c r="J8" s="2091">
        <f t="shared" si="0"/>
        <v>1568.36</v>
      </c>
    </row>
    <row r="9" spans="1:23" ht="15.75" thickBot="1" x14ac:dyDescent="0.3">
      <c r="A9" s="1391" t="s">
        <v>998</v>
      </c>
      <c r="B9" s="1392">
        <f>SUM(B4:B8)</f>
        <v>32090.39</v>
      </c>
      <c r="C9" s="1392">
        <v>0</v>
      </c>
      <c r="D9" s="1392">
        <f t="shared" ref="D9:H9" si="1">SUM(D4:D8)</f>
        <v>53281.71</v>
      </c>
      <c r="E9" s="1392">
        <v>0</v>
      </c>
      <c r="F9" s="1392">
        <f t="shared" si="1"/>
        <v>46415.46</v>
      </c>
      <c r="G9" s="1392"/>
      <c r="H9" s="1392">
        <f t="shared" si="1"/>
        <v>91833.53</v>
      </c>
      <c r="I9" s="1393"/>
      <c r="J9" s="2092">
        <f t="shared" si="0"/>
        <v>91833.53</v>
      </c>
    </row>
    <row r="10" spans="1:23" ht="15.75" thickBot="1" x14ac:dyDescent="0.3">
      <c r="H10" s="87">
        <f>H9-ЗВВ_1ст!L8-Адміністративні_1ст!L8</f>
        <v>91833.53</v>
      </c>
    </row>
    <row r="11" spans="1:23" x14ac:dyDescent="0.25">
      <c r="A11" s="3674" t="s">
        <v>2365</v>
      </c>
      <c r="B11" s="3670" t="s">
        <v>3236</v>
      </c>
      <c r="C11" s="3670"/>
      <c r="D11" s="3676" t="s">
        <v>2187</v>
      </c>
      <c r="H11" s="87">
        <f>сведено!G8</f>
        <v>91834.06</v>
      </c>
    </row>
    <row r="12" spans="1:23" ht="15.75" thickBot="1" x14ac:dyDescent="0.3">
      <c r="A12" s="3675"/>
      <c r="B12" s="1769" t="s">
        <v>2366</v>
      </c>
      <c r="C12" s="1769" t="s">
        <v>2365</v>
      </c>
      <c r="D12" s="3676"/>
      <c r="H12" s="87">
        <f>H11-H10</f>
        <v>0.53</v>
      </c>
      <c r="I12" t="s">
        <v>3023</v>
      </c>
    </row>
    <row r="13" spans="1:23" x14ac:dyDescent="0.25">
      <c r="A13" s="1766" t="s">
        <v>1822</v>
      </c>
      <c r="B13" s="1388">
        <f>Виробництво_Транспортування_1ст!F16+Виробництво_Транспортування_1ст!F36</f>
        <v>44.08</v>
      </c>
      <c r="C13" s="1372">
        <f>ВОДА!J88+ВОДА!K88</f>
        <v>50.78</v>
      </c>
      <c r="D13" s="1770">
        <f>B13-C13</f>
        <v>-6.7</v>
      </c>
    </row>
    <row r="14" spans="1:23" x14ac:dyDescent="0.25">
      <c r="A14" s="1767" t="s">
        <v>1823</v>
      </c>
      <c r="B14" s="1388">
        <f>Виробництво_Транспортування_1ст!F106+Виробництво_Транспортування_1ст!F126</f>
        <v>474.75</v>
      </c>
      <c r="C14" s="1372">
        <f>ВОДА!L107</f>
        <v>807.57</v>
      </c>
      <c r="D14" s="1770">
        <f t="shared" ref="D14:D20" si="2">B14-C14</f>
        <v>-332.82</v>
      </c>
    </row>
    <row r="15" spans="1:23" x14ac:dyDescent="0.25">
      <c r="A15" s="1767" t="s">
        <v>2117</v>
      </c>
      <c r="B15" s="1388">
        <f>Постачання_1ст!F29</f>
        <v>0.28000000000000003</v>
      </c>
      <c r="C15" s="1372">
        <f>ВОДА!N88+ВОДА!O88</f>
        <v>0.24</v>
      </c>
      <c r="D15" s="1770">
        <f t="shared" si="2"/>
        <v>0.04</v>
      </c>
      <c r="N15" s="2061">
        <f>N25*1.2</f>
        <v>0</v>
      </c>
      <c r="O15" s="2061">
        <f t="shared" ref="O15:W15" si="3">O25*1.2</f>
        <v>0</v>
      </c>
      <c r="P15" s="2061">
        <f t="shared" si="3"/>
        <v>0</v>
      </c>
      <c r="Q15" s="2061">
        <f t="shared" si="3"/>
        <v>0</v>
      </c>
      <c r="R15" s="2061">
        <f t="shared" si="3"/>
        <v>0</v>
      </c>
      <c r="S15" s="2061">
        <f t="shared" si="3"/>
        <v>0</v>
      </c>
      <c r="T15" s="2061">
        <f t="shared" si="3"/>
        <v>0</v>
      </c>
      <c r="U15" s="2061">
        <f t="shared" si="3"/>
        <v>0</v>
      </c>
      <c r="V15" s="2061">
        <f t="shared" si="3"/>
        <v>0</v>
      </c>
      <c r="W15" s="2061">
        <f t="shared" si="3"/>
        <v>0</v>
      </c>
    </row>
    <row r="16" spans="1:23" x14ac:dyDescent="0.25">
      <c r="A16" s="1767" t="s">
        <v>1365</v>
      </c>
      <c r="B16" s="35"/>
      <c r="C16" s="1372">
        <f>ВОДА!T88+ВОДА!U88</f>
        <v>2.13</v>
      </c>
      <c r="D16" s="1770">
        <f t="shared" si="2"/>
        <v>-2.13</v>
      </c>
      <c r="N16" s="2061">
        <f t="shared" ref="N16:S18" si="4">N26*1.2</f>
        <v>0</v>
      </c>
      <c r="O16" s="2061">
        <f t="shared" si="4"/>
        <v>0</v>
      </c>
      <c r="P16" s="2061">
        <f t="shared" si="4"/>
        <v>0</v>
      </c>
      <c r="Q16" s="2061">
        <f t="shared" si="4"/>
        <v>0</v>
      </c>
      <c r="R16" s="2061">
        <f t="shared" si="4"/>
        <v>0</v>
      </c>
      <c r="S16" s="2061">
        <f t="shared" si="4"/>
        <v>0</v>
      </c>
      <c r="T16" s="2061"/>
      <c r="U16" s="2061"/>
      <c r="V16" s="2061"/>
      <c r="W16" s="2061"/>
    </row>
    <row r="17" spans="1:23" x14ac:dyDescent="0.25">
      <c r="A17" s="1767" t="s">
        <v>956</v>
      </c>
      <c r="B17" s="35"/>
      <c r="C17" s="1372">
        <f>ВОДА!V88+ВОДА!W88</f>
        <v>1.45</v>
      </c>
      <c r="D17" s="1770">
        <f t="shared" si="2"/>
        <v>-1.45</v>
      </c>
      <c r="N17" s="2061">
        <f t="shared" si="4"/>
        <v>0</v>
      </c>
      <c r="O17" s="2061">
        <f t="shared" si="4"/>
        <v>0</v>
      </c>
      <c r="P17" s="2061">
        <f t="shared" si="4"/>
        <v>0</v>
      </c>
      <c r="Q17" s="2061">
        <f t="shared" si="4"/>
        <v>0</v>
      </c>
      <c r="R17" s="2061">
        <f t="shared" si="4"/>
        <v>0</v>
      </c>
      <c r="S17" s="2061">
        <f t="shared" si="4"/>
        <v>0</v>
      </c>
      <c r="T17" s="2061"/>
      <c r="U17" s="2061"/>
      <c r="V17" s="2061"/>
      <c r="W17" s="2061"/>
    </row>
    <row r="18" spans="1:23" x14ac:dyDescent="0.25">
      <c r="A18" s="1767" t="s">
        <v>1824</v>
      </c>
      <c r="B18" s="1388">
        <f>ЗВВ_1ст!F27</f>
        <v>0.56000000000000005</v>
      </c>
      <c r="C18" s="1372">
        <f>ВОДА!P88+ВОДА!Q88</f>
        <v>3</v>
      </c>
      <c r="D18" s="1770">
        <f t="shared" si="2"/>
        <v>-2.44</v>
      </c>
      <c r="N18" s="2061">
        <f t="shared" si="4"/>
        <v>11928.22</v>
      </c>
      <c r="O18" s="2061">
        <f t="shared" si="4"/>
        <v>11112.04</v>
      </c>
      <c r="P18" s="2061">
        <f t="shared" si="4"/>
        <v>8595.92</v>
      </c>
      <c r="Q18" s="2061">
        <f t="shared" si="4"/>
        <v>3201</v>
      </c>
      <c r="R18" s="2061">
        <f t="shared" si="4"/>
        <v>2384.8200000000002</v>
      </c>
      <c r="S18" s="2061">
        <f t="shared" si="4"/>
        <v>131.29</v>
      </c>
      <c r="T18" s="2061"/>
      <c r="U18" s="2061"/>
      <c r="V18" s="2061"/>
      <c r="W18" s="2061"/>
    </row>
    <row r="19" spans="1:23" x14ac:dyDescent="0.25">
      <c r="A19" s="1767" t="s">
        <v>1825</v>
      </c>
      <c r="B19" s="1388">
        <f>Адміністративні_1ст!F27</f>
        <v>1.22</v>
      </c>
      <c r="C19" s="1372">
        <f>ВОДА!R88+ВОДА!S88</f>
        <v>1.78</v>
      </c>
      <c r="D19" s="1770">
        <f t="shared" si="2"/>
        <v>-0.56000000000000005</v>
      </c>
    </row>
    <row r="20" spans="1:23" ht="15.75" thickBot="1" x14ac:dyDescent="0.3">
      <c r="A20" s="1768" t="s">
        <v>998</v>
      </c>
      <c r="B20" s="1388">
        <f>SUM(B13:B19)</f>
        <v>520.89</v>
      </c>
      <c r="C20" s="1388">
        <f>SUM(C13:C19)</f>
        <v>866.95</v>
      </c>
      <c r="D20" s="1770">
        <f t="shared" si="2"/>
        <v>-346.06</v>
      </c>
    </row>
    <row r="21" spans="1:23" ht="15.75" thickBot="1" x14ac:dyDescent="0.3">
      <c r="N21" t="s">
        <v>3123</v>
      </c>
      <c r="O21" t="s">
        <v>3122</v>
      </c>
      <c r="P21" t="s">
        <v>2855</v>
      </c>
      <c r="Q21" t="s">
        <v>3124</v>
      </c>
      <c r="R21" t="s">
        <v>3125</v>
      </c>
      <c r="S21" t="s">
        <v>3126</v>
      </c>
      <c r="T21" t="s">
        <v>3127</v>
      </c>
      <c r="U21" t="s">
        <v>3128</v>
      </c>
      <c r="V21" t="s">
        <v>3129</v>
      </c>
      <c r="W21" t="s">
        <v>3130</v>
      </c>
    </row>
    <row r="22" spans="1:23" s="1892" customFormat="1" ht="33" customHeight="1" x14ac:dyDescent="0.25">
      <c r="A22" s="3662" t="s">
        <v>2131</v>
      </c>
      <c r="B22" s="3664" t="s">
        <v>1822</v>
      </c>
      <c r="C22" s="3664"/>
      <c r="D22" s="3665"/>
      <c r="E22" s="3666" t="s">
        <v>2706</v>
      </c>
      <c r="F22" s="3666"/>
      <c r="G22" s="3667" t="s">
        <v>2135</v>
      </c>
      <c r="H22" s="3667"/>
      <c r="I22" s="3667" t="s">
        <v>2117</v>
      </c>
      <c r="J22" s="3667"/>
      <c r="K22" s="2099"/>
      <c r="N22" s="1769" t="s">
        <v>3116</v>
      </c>
      <c r="O22" s="1769" t="s">
        <v>2103</v>
      </c>
      <c r="P22" s="1769" t="s">
        <v>2104</v>
      </c>
      <c r="Q22" s="1769" t="s">
        <v>2105</v>
      </c>
      <c r="R22" s="1769" t="s">
        <v>3117</v>
      </c>
      <c r="S22" s="1769" t="s">
        <v>3118</v>
      </c>
      <c r="T22" s="1769" t="s">
        <v>860</v>
      </c>
      <c r="U22" s="1769" t="s">
        <v>3119</v>
      </c>
      <c r="V22" s="1769" t="s">
        <v>3120</v>
      </c>
      <c r="W22" s="1769" t="s">
        <v>3121</v>
      </c>
    </row>
    <row r="23" spans="1:23" ht="45.75" thickBot="1" x14ac:dyDescent="0.3">
      <c r="A23" s="3663"/>
      <c r="B23" s="2168" t="s">
        <v>2260</v>
      </c>
      <c r="C23" s="1411" t="s">
        <v>2259</v>
      </c>
      <c r="D23" s="1411" t="s">
        <v>2700</v>
      </c>
      <c r="E23" s="1410" t="s">
        <v>2260</v>
      </c>
      <c r="F23" s="1411" t="s">
        <v>2259</v>
      </c>
      <c r="G23" s="1410" t="s">
        <v>2260</v>
      </c>
      <c r="H23" s="1411" t="s">
        <v>2259</v>
      </c>
      <c r="I23" s="1410" t="s">
        <v>2260</v>
      </c>
      <c r="J23" s="1411" t="s">
        <v>2259</v>
      </c>
      <c r="K23" s="1935"/>
      <c r="N23" s="35"/>
      <c r="O23" s="35"/>
      <c r="P23" s="35"/>
      <c r="Q23" s="35"/>
      <c r="R23" s="35"/>
      <c r="S23" s="35"/>
      <c r="T23" s="35"/>
      <c r="U23" s="35"/>
      <c r="V23" s="35"/>
      <c r="W23" s="35"/>
    </row>
    <row r="24" spans="1:23" x14ac:dyDescent="0.25">
      <c r="A24" s="2169" t="s">
        <v>2132</v>
      </c>
      <c r="B24" s="1388">
        <f>'Д 2_Т на В'!H52</f>
        <v>7163.27</v>
      </c>
      <c r="C24" s="1388">
        <v>0</v>
      </c>
      <c r="D24" s="1388">
        <f>B24-C24</f>
        <v>7163.27</v>
      </c>
      <c r="E24" s="1388">
        <f>'Д 3_Т на Т з ЦТП'!G46</f>
        <v>2667.51</v>
      </c>
      <c r="F24" s="1388">
        <v>0</v>
      </c>
      <c r="G24" s="1388">
        <f>'Д 3.1_Т на Т без ЦТП'!G46</f>
        <v>1987.24</v>
      </c>
      <c r="H24" s="1388">
        <v>0</v>
      </c>
      <c r="I24" s="1388">
        <f>'Д 4_Т на П'!G43</f>
        <v>109.4</v>
      </c>
      <c r="J24" s="1390">
        <v>0</v>
      </c>
      <c r="K24" s="1388"/>
      <c r="N24" s="1388"/>
      <c r="O24" s="35"/>
      <c r="P24" s="35"/>
      <c r="Q24" s="35"/>
      <c r="R24" s="35"/>
      <c r="S24" s="35"/>
      <c r="T24" s="35"/>
      <c r="U24" s="35"/>
      <c r="V24" s="35"/>
      <c r="W24" s="35"/>
    </row>
    <row r="25" spans="1:23" x14ac:dyDescent="0.25">
      <c r="A25" s="1389" t="s">
        <v>3</v>
      </c>
      <c r="B25" s="1388">
        <f>'Д 2_Т на В'!L52</f>
        <v>0</v>
      </c>
      <c r="C25" s="1388">
        <v>0</v>
      </c>
      <c r="D25" s="1388">
        <f t="shared" ref="D25:D28" si="5">B25-C25</f>
        <v>0</v>
      </c>
      <c r="E25" s="1388">
        <f>'Д 3_Т на Т з ЦТП'!H46</f>
        <v>0</v>
      </c>
      <c r="F25" s="1388">
        <v>0</v>
      </c>
      <c r="G25" s="1388">
        <f>'Д 3.1_Т на Т без ЦТП'!H46</f>
        <v>0</v>
      </c>
      <c r="H25" s="1388">
        <v>0</v>
      </c>
      <c r="I25" s="1388"/>
      <c r="J25" s="1390"/>
      <c r="K25" s="1388"/>
      <c r="M25" s="87"/>
      <c r="N25" s="1388">
        <f>'Додаток 1 до рішення'!D9</f>
        <v>0</v>
      </c>
      <c r="O25" s="1388">
        <f>'Додаток 2 до рішення'!D9</f>
        <v>0</v>
      </c>
      <c r="P25" s="1388">
        <f>'Додаток 3 до рішення'!D8</f>
        <v>0</v>
      </c>
      <c r="Q25" s="1388">
        <f>'Додаток 4 до рішення'!D8</f>
        <v>0</v>
      </c>
      <c r="R25" s="1388">
        <f>'Додаток 5 до рішення'!D8</f>
        <v>0</v>
      </c>
      <c r="S25" s="1388">
        <f>'Додаток 6 до рішення'!D8</f>
        <v>0</v>
      </c>
      <c r="T25" s="35"/>
      <c r="U25" s="35"/>
      <c r="V25" s="35"/>
      <c r="W25" s="35"/>
    </row>
    <row r="26" spans="1:23" x14ac:dyDescent="0.25">
      <c r="A26" s="1389" t="s">
        <v>2707</v>
      </c>
      <c r="B26" s="1388">
        <f>'Д 2_Т на В'!P52</f>
        <v>0</v>
      </c>
      <c r="C26" s="1388">
        <v>0</v>
      </c>
      <c r="D26" s="1388">
        <f t="shared" si="5"/>
        <v>0</v>
      </c>
      <c r="E26" s="1388">
        <f>'Д 3_Т на Т з ЦТП'!I46</f>
        <v>0</v>
      </c>
      <c r="F26" s="1388">
        <v>0</v>
      </c>
      <c r="G26" s="1388">
        <f>'Д 3.1_Т на Т без ЦТП'!I46</f>
        <v>0</v>
      </c>
      <c r="H26" s="1388">
        <v>0</v>
      </c>
      <c r="I26" s="1388"/>
      <c r="J26" s="1390"/>
      <c r="K26" s="1388"/>
      <c r="M26" s="87"/>
      <c r="N26" s="1388">
        <f>'Додаток 1 до рішення'!E9</f>
        <v>0</v>
      </c>
      <c r="O26" s="1388">
        <f>'Додаток 2 до рішення'!E9</f>
        <v>0</v>
      </c>
      <c r="P26" s="1388">
        <f>'Додаток 3 до рішення'!E8</f>
        <v>0</v>
      </c>
      <c r="Q26" s="1388">
        <f>'Додаток 4 до рішення'!E8</f>
        <v>0</v>
      </c>
      <c r="R26" s="1388">
        <f>'Додаток 5 до рішення'!E8</f>
        <v>0</v>
      </c>
      <c r="S26" s="1388">
        <f>'Додаток 6 до рішення'!E8</f>
        <v>0</v>
      </c>
      <c r="T26" s="35"/>
      <c r="U26" s="35"/>
      <c r="V26" s="35"/>
      <c r="W26" s="35"/>
    </row>
    <row r="27" spans="1:23" s="2102" customFormat="1" x14ac:dyDescent="0.25">
      <c r="A27" s="2104" t="s">
        <v>1095</v>
      </c>
      <c r="B27" s="2100">
        <f>'Д 2_Т на В'!T52</f>
        <v>0</v>
      </c>
      <c r="C27" s="2100">
        <v>0</v>
      </c>
      <c r="D27" s="1388">
        <f t="shared" si="5"/>
        <v>0</v>
      </c>
      <c r="E27" s="1388">
        <f>'Д 3_Т на Т з ЦТП'!J46</f>
        <v>0</v>
      </c>
      <c r="F27" s="2100">
        <v>0</v>
      </c>
      <c r="G27" s="2100">
        <f>'Д 3.1_Т на Т без ЦТП'!J46</f>
        <v>0</v>
      </c>
      <c r="H27" s="2100">
        <v>0</v>
      </c>
      <c r="I27" s="2100"/>
      <c r="J27" s="2101"/>
      <c r="K27" s="2100"/>
      <c r="L27"/>
      <c r="M27" s="87"/>
      <c r="N27" s="2100">
        <f>'Додаток 1 до рішення'!F9</f>
        <v>0</v>
      </c>
      <c r="O27" s="2100">
        <f>'Додаток 2 до рішення'!F9</f>
        <v>0</v>
      </c>
      <c r="P27" s="1388">
        <f>'Додаток 3 до рішення'!F8</f>
        <v>0</v>
      </c>
      <c r="Q27" s="1388">
        <f>'Додаток 4 до рішення'!F8</f>
        <v>0</v>
      </c>
      <c r="R27" s="1388">
        <f>'Додаток 5 до рішення'!F8</f>
        <v>0</v>
      </c>
      <c r="S27" s="1388">
        <f>'Додаток 6 до рішення'!F8</f>
        <v>0</v>
      </c>
      <c r="T27" s="2104"/>
      <c r="U27" s="2104"/>
      <c r="V27" s="2104"/>
      <c r="W27" s="2104"/>
    </row>
    <row r="28" spans="1:23" x14ac:dyDescent="0.25">
      <c r="A28" s="35" t="s">
        <v>2179</v>
      </c>
      <c r="B28" s="1388">
        <f>'Д 2_Т на В'!X52</f>
        <v>7163.27</v>
      </c>
      <c r="C28" s="1388">
        <v>0</v>
      </c>
      <c r="D28" s="1388">
        <f t="shared" si="5"/>
        <v>7163.27</v>
      </c>
      <c r="E28" s="1388">
        <f>'Д 3_Т на Т з ЦТП'!K46</f>
        <v>2667.51</v>
      </c>
      <c r="F28" s="1388">
        <v>0</v>
      </c>
      <c r="G28" s="1388">
        <f>'Д 3.1_Т на Т без ЦТП'!K46</f>
        <v>1987.24</v>
      </c>
      <c r="H28" s="1388">
        <v>0</v>
      </c>
      <c r="I28" s="1388"/>
      <c r="J28" s="1390"/>
      <c r="K28" s="1388"/>
      <c r="M28" s="87"/>
      <c r="N28" s="1388">
        <f>'Додаток 1 до рішення'!G9</f>
        <v>9940.18</v>
      </c>
      <c r="O28" s="1388">
        <f>'Додаток 2 до рішення'!G9</f>
        <v>9260.0300000000007</v>
      </c>
      <c r="P28" s="1388">
        <f>'Додаток 3 до рішення'!G8</f>
        <v>7163.27</v>
      </c>
      <c r="Q28" s="1388">
        <f>'Додаток 4 до рішення'!G8</f>
        <v>2667.5</v>
      </c>
      <c r="R28" s="1388">
        <f>'Додаток 5 до рішення'!G8</f>
        <v>1987.35</v>
      </c>
      <c r="S28" s="1388">
        <f>'Додаток 6 до рішення'!G8</f>
        <v>109.41</v>
      </c>
      <c r="T28" s="35"/>
      <c r="U28" s="35"/>
      <c r="V28" s="35"/>
      <c r="W28" s="35"/>
    </row>
    <row r="29" spans="1:23" ht="15.75" thickBot="1" x14ac:dyDescent="0.3">
      <c r="B29" s="1392"/>
      <c r="C29" s="1392"/>
      <c r="D29" s="1392"/>
      <c r="E29" s="1392"/>
      <c r="F29" s="1392"/>
      <c r="G29" s="1392"/>
      <c r="H29" s="1392"/>
      <c r="I29" s="1392"/>
      <c r="J29" s="1393"/>
      <c r="K29" s="1935"/>
      <c r="N29" s="35"/>
      <c r="O29" s="35"/>
      <c r="P29" s="35"/>
      <c r="Q29" s="35"/>
      <c r="R29" s="35"/>
      <c r="S29" s="35"/>
      <c r="T29" s="35"/>
      <c r="U29" s="35"/>
      <c r="V29" s="35"/>
      <c r="W29" s="35"/>
    </row>
    <row r="30" spans="1:23" ht="15.75" thickBot="1" x14ac:dyDescent="0.3"/>
    <row r="31" spans="1:23" x14ac:dyDescent="0.25">
      <c r="A31" s="3662" t="s">
        <v>2760</v>
      </c>
      <c r="B31" s="3664" t="s">
        <v>1822</v>
      </c>
      <c r="C31" s="3664"/>
      <c r="D31" s="3665"/>
      <c r="E31" s="3666" t="s">
        <v>2706</v>
      </c>
      <c r="F31" s="3666"/>
      <c r="G31" s="3667" t="s">
        <v>2135</v>
      </c>
      <c r="H31" s="3667"/>
      <c r="I31" s="3667" t="s">
        <v>2117</v>
      </c>
      <c r="J31" s="3667"/>
      <c r="N31" s="87">
        <f>'Додаток 1 до рішення'!C45</f>
        <v>13321.83</v>
      </c>
      <c r="O31" s="87">
        <f>'Додаток 2 до рішення'!C45</f>
        <v>83750.39</v>
      </c>
      <c r="P31" s="87">
        <f>'Додаток 3 до рішення'!C40</f>
        <v>76423.81</v>
      </c>
      <c r="Q31" s="87">
        <f>'Додаток 4 до рішення'!C8</f>
        <v>3197.63</v>
      </c>
      <c r="R31" s="87">
        <f>'Додаток 5 до рішення'!C8</f>
        <v>16415.900000000001</v>
      </c>
      <c r="S31" s="87">
        <f>'Додаток 6 до рішення'!C8</f>
        <v>1034.8800000000001</v>
      </c>
    </row>
    <row r="32" spans="1:23" ht="45.75" thickBot="1" x14ac:dyDescent="0.3">
      <c r="A32" s="3663"/>
      <c r="B32" s="2168" t="s">
        <v>2260</v>
      </c>
      <c r="C32" s="1411" t="s">
        <v>2259</v>
      </c>
      <c r="D32" s="1411" t="s">
        <v>2700</v>
      </c>
      <c r="E32" s="1410" t="s">
        <v>2260</v>
      </c>
      <c r="F32" s="1411" t="s">
        <v>2259</v>
      </c>
      <c r="G32" s="1410" t="s">
        <v>2260</v>
      </c>
      <c r="H32" s="1411" t="s">
        <v>2259</v>
      </c>
      <c r="I32" s="1410" t="s">
        <v>2260</v>
      </c>
      <c r="J32" s="1411" t="s">
        <v>2259</v>
      </c>
      <c r="O32" s="87">
        <f>N31+O31</f>
        <v>97072.22</v>
      </c>
      <c r="P32" s="87">
        <f>SUM(P31:S31)</f>
        <v>97072.22</v>
      </c>
    </row>
    <row r="33" spans="1:13" x14ac:dyDescent="0.25">
      <c r="A33" s="2169" t="s">
        <v>1814</v>
      </c>
      <c r="B33" s="1388">
        <f>'Д 2_Т на В'!H43</f>
        <v>72299.83</v>
      </c>
      <c r="C33" s="1388">
        <v>0</v>
      </c>
      <c r="D33" s="2167">
        <f>B33-C33</f>
        <v>72299.83</v>
      </c>
      <c r="E33" s="1388">
        <f>'Д 3_Т на Т з ЦТП'!G37</f>
        <v>3025.08</v>
      </c>
      <c r="F33" s="1388">
        <v>0</v>
      </c>
      <c r="G33" s="1388">
        <f>'Д 3.1_Т на Т без ЦТП'!G37</f>
        <v>15530.07</v>
      </c>
      <c r="H33" s="1388">
        <v>0</v>
      </c>
      <c r="I33" s="1388">
        <f>'Д 4_Т на П'!G34</f>
        <v>979.04</v>
      </c>
      <c r="J33" s="1390">
        <v>0</v>
      </c>
      <c r="L33" s="87">
        <f>B33+E33+G33+I33</f>
        <v>91834.02</v>
      </c>
    </row>
    <row r="34" spans="1:13" x14ac:dyDescent="0.25">
      <c r="A34" s="1389" t="s">
        <v>3</v>
      </c>
      <c r="B34" s="1388">
        <f>'Д 2_Т на В'!L43</f>
        <v>0</v>
      </c>
      <c r="C34" s="1388">
        <v>0</v>
      </c>
      <c r="D34" s="2167">
        <f t="shared" ref="D34:D37" si="6">B34-C34</f>
        <v>0</v>
      </c>
      <c r="E34" s="1388">
        <f>'Д 3_Т на Т з ЦТП'!H37</f>
        <v>0</v>
      </c>
      <c r="F34" s="1388">
        <v>0</v>
      </c>
      <c r="G34" s="1388">
        <f>'Д 3.1_Т на Т без ЦТП'!H37</f>
        <v>0</v>
      </c>
      <c r="H34" s="1388">
        <v>0</v>
      </c>
      <c r="I34" s="1388"/>
      <c r="J34" s="1390"/>
    </row>
    <row r="35" spans="1:13" x14ac:dyDescent="0.25">
      <c r="A35" s="1389" t="s">
        <v>2707</v>
      </c>
      <c r="B35" s="1388">
        <f>'Д 2_Т на В'!P43</f>
        <v>0</v>
      </c>
      <c r="C35" s="1388">
        <v>0</v>
      </c>
      <c r="D35" s="2167">
        <f t="shared" si="6"/>
        <v>0</v>
      </c>
      <c r="E35" s="1388">
        <f>'Д 3_Т на Т з ЦТП'!I37</f>
        <v>0</v>
      </c>
      <c r="F35" s="1388">
        <v>0</v>
      </c>
      <c r="G35" s="1388">
        <f>'Д 3.1_Т на Т без ЦТП'!I37</f>
        <v>0</v>
      </c>
      <c r="H35" s="1388">
        <v>0</v>
      </c>
      <c r="I35" s="1388"/>
      <c r="J35" s="1390"/>
    </row>
    <row r="36" spans="1:13" x14ac:dyDescent="0.25">
      <c r="A36" s="2104" t="s">
        <v>1095</v>
      </c>
      <c r="B36" s="2100">
        <f>'Д 2_Т на В'!T43</f>
        <v>0</v>
      </c>
      <c r="C36" s="2100">
        <v>0</v>
      </c>
      <c r="D36" s="2167">
        <f t="shared" si="6"/>
        <v>0</v>
      </c>
      <c r="E36" s="1388">
        <f>'Д 3_Т на Т з ЦТП'!J37</f>
        <v>0</v>
      </c>
      <c r="F36" s="1388">
        <v>0</v>
      </c>
      <c r="G36" s="2100">
        <f>'Д 3.1_Т на Т без ЦТП'!J37</f>
        <v>0</v>
      </c>
      <c r="H36" s="1388">
        <v>0</v>
      </c>
      <c r="I36" s="2100"/>
      <c r="J36" s="2101"/>
    </row>
    <row r="37" spans="1:13" x14ac:dyDescent="0.25">
      <c r="A37" s="35" t="s">
        <v>2179</v>
      </c>
      <c r="B37" s="1388">
        <f>'Д 2_Т на В'!X43</f>
        <v>72299.83</v>
      </c>
      <c r="C37" s="1388">
        <v>0</v>
      </c>
      <c r="D37" s="2167">
        <f t="shared" si="6"/>
        <v>72299.83</v>
      </c>
      <c r="E37" s="1388">
        <f>'Д 3_Т на Т з ЦТП'!K37</f>
        <v>3025.08</v>
      </c>
      <c r="F37" s="1388">
        <v>0</v>
      </c>
      <c r="G37" s="1388">
        <f>'Д 3.1_Т на Т без ЦТП'!K37</f>
        <v>15530.07</v>
      </c>
      <c r="H37" s="1388">
        <v>0</v>
      </c>
      <c r="I37" s="1388"/>
      <c r="J37" s="1390"/>
    </row>
    <row r="38" spans="1:13" s="1935" customFormat="1" ht="15.75" thickBot="1" x14ac:dyDescent="0.3">
      <c r="B38" s="2166">
        <f>B33-B34-B35-B36-B37</f>
        <v>0</v>
      </c>
      <c r="C38" s="2166">
        <v>0</v>
      </c>
      <c r="D38" s="2166">
        <f t="shared" ref="D38:J38" si="7">D33-D34-D35-D36-D37</f>
        <v>0</v>
      </c>
      <c r="E38" s="2166">
        <f t="shared" si="7"/>
        <v>0</v>
      </c>
      <c r="F38" s="1388">
        <v>0</v>
      </c>
      <c r="G38" s="2166">
        <f t="shared" si="7"/>
        <v>0</v>
      </c>
      <c r="H38" s="1388">
        <v>0</v>
      </c>
      <c r="I38" s="2166">
        <f t="shared" si="7"/>
        <v>979.04</v>
      </c>
      <c r="J38" s="2166">
        <f t="shared" si="7"/>
        <v>0</v>
      </c>
    </row>
    <row r="39" spans="1:13" ht="15.75" thickBot="1" x14ac:dyDescent="0.3"/>
    <row r="40" spans="1:13" x14ac:dyDescent="0.25">
      <c r="A40" s="3662" t="s">
        <v>22</v>
      </c>
      <c r="B40" s="3664" t="s">
        <v>1822</v>
      </c>
      <c r="C40" s="3664"/>
      <c r="D40" s="3665"/>
      <c r="E40" s="3666" t="s">
        <v>2706</v>
      </c>
      <c r="F40" s="3666"/>
      <c r="G40" s="3667" t="s">
        <v>2135</v>
      </c>
      <c r="H40" s="3667"/>
      <c r="I40" s="3667" t="s">
        <v>2117</v>
      </c>
      <c r="J40" s="3667"/>
    </row>
    <row r="41" spans="1:13" ht="45.75" thickBot="1" x14ac:dyDescent="0.3">
      <c r="A41" s="3663"/>
      <c r="B41" s="2168" t="s">
        <v>2260</v>
      </c>
      <c r="C41" s="1411" t="s">
        <v>2259</v>
      </c>
      <c r="D41" s="1411" t="s">
        <v>2700</v>
      </c>
      <c r="E41" s="1410" t="s">
        <v>2260</v>
      </c>
      <c r="F41" s="1411" t="s">
        <v>2259</v>
      </c>
      <c r="G41" s="1410" t="s">
        <v>2260</v>
      </c>
      <c r="H41" s="1411" t="s">
        <v>2259</v>
      </c>
      <c r="I41" s="1410" t="s">
        <v>2260</v>
      </c>
      <c r="J41" s="1411" t="s">
        <v>2259</v>
      </c>
      <c r="K41" s="2172" t="s">
        <v>2763</v>
      </c>
      <c r="L41" s="2172" t="s">
        <v>2853</v>
      </c>
      <c r="M41" s="2172" t="s">
        <v>2853</v>
      </c>
    </row>
    <row r="42" spans="1:13" x14ac:dyDescent="0.25">
      <c r="A42" s="2169" t="s">
        <v>2132</v>
      </c>
      <c r="B42" s="1388">
        <f>'Д 2_Т на В'!H58</f>
        <v>10668.84</v>
      </c>
      <c r="C42" s="1388">
        <v>0</v>
      </c>
      <c r="D42" s="2167">
        <f>B42-C42</f>
        <v>10668.84</v>
      </c>
      <c r="E42" s="1388">
        <f>'Д 3_Т на Т з ЦТП'!G56</f>
        <v>1198.73</v>
      </c>
      <c r="F42" s="1388"/>
      <c r="G42" s="1388">
        <f>'Д 3.1_Т на Т без ЦТП'!G56</f>
        <v>8260.65</v>
      </c>
      <c r="H42" s="1388"/>
      <c r="I42" s="1388"/>
      <c r="J42" s="1390"/>
      <c r="K42" s="2173">
        <v>0</v>
      </c>
      <c r="L42" s="2236">
        <f>SUM(L43:L46)</f>
        <v>1</v>
      </c>
      <c r="M42" s="2236">
        <f>SUM(M43:M46)</f>
        <v>1</v>
      </c>
    </row>
    <row r="43" spans="1:13" x14ac:dyDescent="0.25">
      <c r="A43" s="1389" t="s">
        <v>3</v>
      </c>
      <c r="B43" s="1388">
        <f>'Д 2_Т на В'!L58</f>
        <v>0</v>
      </c>
      <c r="C43" s="1388">
        <v>0</v>
      </c>
      <c r="D43" s="2167">
        <f t="shared" ref="D43:D46" si="8">B43-C43</f>
        <v>0</v>
      </c>
      <c r="E43" s="1388">
        <f>'Д 3_Т на Т з ЦТП'!G57</f>
        <v>0</v>
      </c>
      <c r="F43" s="1388"/>
      <c r="G43" s="1388">
        <f>'Д 3.1_Т на Т без ЦТП'!G57</f>
        <v>0</v>
      </c>
      <c r="H43" s="1388"/>
      <c r="I43" s="1388"/>
      <c r="J43" s="1390"/>
      <c r="K43" s="2173">
        <v>0</v>
      </c>
      <c r="L43" s="2236">
        <f>E43/E$42</f>
        <v>0</v>
      </c>
      <c r="M43" s="2236">
        <f>G43/G$42</f>
        <v>0</v>
      </c>
    </row>
    <row r="44" spans="1:13" x14ac:dyDescent="0.25">
      <c r="A44" s="1389" t="s">
        <v>2707</v>
      </c>
      <c r="B44" s="1388">
        <f>'Д 2_Т на В'!P58</f>
        <v>0</v>
      </c>
      <c r="C44" s="1388">
        <v>0</v>
      </c>
      <c r="D44" s="2167">
        <f t="shared" si="8"/>
        <v>0</v>
      </c>
      <c r="E44" s="1388">
        <f>'Д 3_Т на Т з ЦТП'!G58</f>
        <v>0</v>
      </c>
      <c r="F44" s="1388"/>
      <c r="G44" s="1388">
        <f>'Д 3.1_Т на Т без ЦТП'!G58</f>
        <v>0</v>
      </c>
      <c r="H44" s="1388"/>
      <c r="I44" s="1388"/>
      <c r="J44" s="1390"/>
      <c r="K44" s="2173">
        <v>0</v>
      </c>
      <c r="L44" s="2236">
        <f t="shared" ref="L44:L46" si="9">E44/E$42</f>
        <v>0</v>
      </c>
      <c r="M44" s="2236">
        <f t="shared" ref="M44:M46" si="10">G44/G$42</f>
        <v>0</v>
      </c>
    </row>
    <row r="45" spans="1:13" x14ac:dyDescent="0.25">
      <c r="A45" s="2104" t="s">
        <v>1095</v>
      </c>
      <c r="B45" s="2100">
        <f>'Д 2_Т на В'!T58</f>
        <v>0</v>
      </c>
      <c r="C45" s="2100">
        <v>0</v>
      </c>
      <c r="D45" s="2167">
        <f t="shared" si="8"/>
        <v>0</v>
      </c>
      <c r="E45" s="1388">
        <f>'Д 3_Т на Т з ЦТП'!G59</f>
        <v>0</v>
      </c>
      <c r="F45" s="2100"/>
      <c r="G45" s="1388">
        <f>'Д 3.1_Т на Т без ЦТП'!G59</f>
        <v>0</v>
      </c>
      <c r="H45" s="2100"/>
      <c r="I45" s="2100"/>
      <c r="J45" s="2101"/>
      <c r="K45" s="2578">
        <f>B45/B42</f>
        <v>0</v>
      </c>
      <c r="L45" s="2236">
        <f t="shared" si="9"/>
        <v>0</v>
      </c>
      <c r="M45" s="2236">
        <f>G45/G$42</f>
        <v>0</v>
      </c>
    </row>
    <row r="46" spans="1:13" x14ac:dyDescent="0.25">
      <c r="A46" s="35" t="s">
        <v>2179</v>
      </c>
      <c r="B46" s="1388">
        <f>'Д 2_Т на В'!X58</f>
        <v>10668.84</v>
      </c>
      <c r="C46" s="1388">
        <v>0</v>
      </c>
      <c r="D46" s="2167">
        <f t="shared" si="8"/>
        <v>10668.84</v>
      </c>
      <c r="E46" s="1388">
        <f>'Д 3_Т на Т з ЦТП'!G60</f>
        <v>1198.73</v>
      </c>
      <c r="F46" s="1388"/>
      <c r="G46" s="1388">
        <f>'Д 3.1_Т на Т без ЦТП'!G60</f>
        <v>8260.65</v>
      </c>
      <c r="H46" s="1388"/>
      <c r="I46" s="1388"/>
      <c r="J46" s="1390"/>
      <c r="K46" s="2578">
        <f>B46/B42</f>
        <v>1</v>
      </c>
      <c r="L46" s="2236">
        <f t="shared" si="9"/>
        <v>1</v>
      </c>
      <c r="M46" s="2236">
        <f t="shared" si="10"/>
        <v>1</v>
      </c>
    </row>
    <row r="47" spans="1:13" ht="15.75" thickBot="1" x14ac:dyDescent="0.3">
      <c r="A47" s="1935"/>
      <c r="B47" s="2166">
        <f>B42-B43-B44-B45-B46</f>
        <v>0</v>
      </c>
      <c r="C47" s="2166">
        <f t="shared" ref="C47" si="11">C42-C43-C44-C45-C46</f>
        <v>0</v>
      </c>
      <c r="D47" s="2166">
        <f t="shared" ref="D47" si="12">D42-D43-D44-D45-D46</f>
        <v>0</v>
      </c>
      <c r="E47" s="2166">
        <f t="shared" ref="E47" si="13">E42-E43-E44-E45-E46</f>
        <v>0</v>
      </c>
      <c r="F47" s="2166">
        <f t="shared" ref="F47" si="14">F42-F43-F44-F45-F46</f>
        <v>0</v>
      </c>
      <c r="G47" s="2166">
        <f t="shared" ref="G47" si="15">G42-G43-G44-G45-G46</f>
        <v>0</v>
      </c>
      <c r="H47" s="2166">
        <f t="shared" ref="H47" si="16">H42-H43-H44-H45-H46</f>
        <v>0</v>
      </c>
      <c r="I47" s="2166">
        <f t="shared" ref="I47" si="17">I42-I43-I44-I45-I46</f>
        <v>0</v>
      </c>
      <c r="J47" s="2166">
        <f t="shared" ref="J47" si="18">J42-J43-J44-J45-J46</f>
        <v>0</v>
      </c>
    </row>
    <row r="48" spans="1:13" ht="15.75" thickBot="1" x14ac:dyDescent="0.3"/>
    <row r="49" spans="1:15" x14ac:dyDescent="0.25">
      <c r="A49" s="3662" t="s">
        <v>2762</v>
      </c>
      <c r="B49" s="3664" t="s">
        <v>1822</v>
      </c>
      <c r="C49" s="3664"/>
      <c r="D49" s="3665"/>
      <c r="E49" s="3666" t="s">
        <v>2706</v>
      </c>
      <c r="F49" s="3666"/>
      <c r="G49" s="3667" t="s">
        <v>2135</v>
      </c>
      <c r="H49" s="3667"/>
      <c r="I49" s="3667" t="s">
        <v>2117</v>
      </c>
      <c r="J49" s="3667"/>
    </row>
    <row r="50" spans="1:15" ht="45.75" thickBot="1" x14ac:dyDescent="0.3">
      <c r="A50" s="3663"/>
      <c r="B50" s="2168" t="s">
        <v>2260</v>
      </c>
      <c r="C50" s="1411" t="s">
        <v>2259</v>
      </c>
      <c r="D50" s="1411" t="s">
        <v>2700</v>
      </c>
      <c r="E50" s="1410" t="s">
        <v>2260</v>
      </c>
      <c r="F50" s="1411" t="s">
        <v>2259</v>
      </c>
      <c r="G50" s="1410" t="s">
        <v>2260</v>
      </c>
      <c r="H50" s="1411" t="s">
        <v>2259</v>
      </c>
      <c r="I50" s="1410" t="s">
        <v>2260</v>
      </c>
      <c r="J50" s="1411" t="s">
        <v>2259</v>
      </c>
      <c r="K50" s="2172" t="s">
        <v>2763</v>
      </c>
      <c r="L50" s="2172" t="s">
        <v>2853</v>
      </c>
      <c r="M50" s="2172" t="s">
        <v>2853</v>
      </c>
    </row>
    <row r="51" spans="1:15" x14ac:dyDescent="0.25">
      <c r="A51" s="2169" t="s">
        <v>1814</v>
      </c>
      <c r="B51" s="1388">
        <f>'Д 7_РП'!G95-'Д 7_РП'!G112</f>
        <v>8.7200000000000006</v>
      </c>
      <c r="C51" s="1388" t="e">
        <f>#REF!</f>
        <v>#REF!</v>
      </c>
      <c r="D51" s="2167" t="e">
        <f>B51-C51</f>
        <v>#REF!</v>
      </c>
      <c r="E51" s="1388">
        <f>SUM(E52:E55)</f>
        <v>1.24</v>
      </c>
      <c r="F51" s="1388" t="e">
        <f>#REF!</f>
        <v>#REF!</v>
      </c>
      <c r="G51" s="1388">
        <f>SUM(G52:G55)</f>
        <v>7.48</v>
      </c>
      <c r="H51" s="1388" t="e">
        <f>#REF!</f>
        <v>#REF!</v>
      </c>
      <c r="I51" s="1388"/>
      <c r="J51" s="1390"/>
      <c r="K51" s="2173" t="e">
        <f>SUM(K52:K55)</f>
        <v>#REF!</v>
      </c>
      <c r="L51" s="2236">
        <f>SUM(L52:L55)</f>
        <v>1</v>
      </c>
      <c r="M51" s="2236">
        <f>SUM(M52:M55)</f>
        <v>1</v>
      </c>
      <c r="O51" s="87">
        <f>G51+E51-B51</f>
        <v>0</v>
      </c>
    </row>
    <row r="52" spans="1:15" x14ac:dyDescent="0.25">
      <c r="A52" s="1389" t="s">
        <v>3</v>
      </c>
      <c r="B52" s="1388">
        <f>'Д 7_РП'!G96</f>
        <v>0</v>
      </c>
      <c r="C52" s="1388" t="e">
        <f>#REF!</f>
        <v>#REF!</v>
      </c>
      <c r="D52" s="2167" t="e">
        <f t="shared" ref="D52:D55" si="19">B52-C52</f>
        <v>#REF!</v>
      </c>
      <c r="E52" s="1388">
        <f>'Д 7_РП'!G97</f>
        <v>0</v>
      </c>
      <c r="F52" s="1388" t="e">
        <f>#REF!</f>
        <v>#REF!</v>
      </c>
      <c r="G52" s="1388">
        <f>'Д 7_РП'!G100</f>
        <v>0</v>
      </c>
      <c r="H52" s="1388" t="e">
        <f>#REF!</f>
        <v>#REF!</v>
      </c>
      <c r="I52" s="1388"/>
      <c r="J52" s="1390"/>
      <c r="K52" s="2173" t="e">
        <f>C52/C51</f>
        <v>#REF!</v>
      </c>
      <c r="L52" s="2236">
        <f>E52/E$51</f>
        <v>0</v>
      </c>
      <c r="M52" s="2236">
        <f>G52/G$51</f>
        <v>0</v>
      </c>
    </row>
    <row r="53" spans="1:15" x14ac:dyDescent="0.25">
      <c r="A53" s="1389" t="s">
        <v>2707</v>
      </c>
      <c r="B53" s="1388">
        <f>'Д 7_РП'!G103</f>
        <v>0</v>
      </c>
      <c r="C53" s="1388" t="e">
        <f>#REF!</f>
        <v>#REF!</v>
      </c>
      <c r="D53" s="2167" t="e">
        <f t="shared" si="19"/>
        <v>#REF!</v>
      </c>
      <c r="E53" s="1388">
        <f>'Д 7_РП'!G104</f>
        <v>0</v>
      </c>
      <c r="F53" s="1388" t="e">
        <f>#REF!</f>
        <v>#REF!</v>
      </c>
      <c r="G53" s="1388">
        <f>'Д 7_РП'!G105</f>
        <v>0</v>
      </c>
      <c r="H53" s="1388" t="e">
        <f>#REF!</f>
        <v>#REF!</v>
      </c>
      <c r="I53" s="1388"/>
      <c r="J53" s="1390"/>
      <c r="K53" s="2173" t="e">
        <f>C53/C51</f>
        <v>#REF!</v>
      </c>
      <c r="L53" s="2236">
        <f t="shared" ref="L53:L55" si="20">E53/E$51</f>
        <v>0</v>
      </c>
      <c r="M53" s="2236">
        <f t="shared" ref="M53:M55" si="21">G53/G$51</f>
        <v>0</v>
      </c>
    </row>
    <row r="54" spans="1:15" x14ac:dyDescent="0.25">
      <c r="A54" s="2104" t="s">
        <v>1095</v>
      </c>
      <c r="B54" s="2100">
        <f>'Д 7_РП'!G106</f>
        <v>0</v>
      </c>
      <c r="C54" s="2100" t="e">
        <f>#REF!</f>
        <v>#REF!</v>
      </c>
      <c r="D54" s="2167" t="e">
        <f t="shared" si="19"/>
        <v>#REF!</v>
      </c>
      <c r="E54" s="1388">
        <f>'Д 7_РП'!G107</f>
        <v>0</v>
      </c>
      <c r="F54" s="2100" t="e">
        <f>#REF!</f>
        <v>#REF!</v>
      </c>
      <c r="G54" s="2100">
        <f>'Д 7_РП'!G108</f>
        <v>0</v>
      </c>
      <c r="H54" s="2100" t="e">
        <f>#REF!</f>
        <v>#REF!</v>
      </c>
      <c r="I54" s="2100"/>
      <c r="J54" s="2101"/>
      <c r="K54" s="2173" t="e">
        <f>C54/C51</f>
        <v>#REF!</v>
      </c>
      <c r="L54" s="2236">
        <f t="shared" si="20"/>
        <v>0</v>
      </c>
      <c r="M54" s="2236">
        <f t="shared" si="21"/>
        <v>0</v>
      </c>
    </row>
    <row r="55" spans="1:15" x14ac:dyDescent="0.25">
      <c r="A55" s="35" t="s">
        <v>2179</v>
      </c>
      <c r="B55" s="1388">
        <f>'Д 7_РП'!G109</f>
        <v>8.7200000000000006</v>
      </c>
      <c r="C55" s="1388" t="e">
        <f>#REF!</f>
        <v>#REF!</v>
      </c>
      <c r="D55" s="2167" t="e">
        <f t="shared" si="19"/>
        <v>#REF!</v>
      </c>
      <c r="E55" s="1388">
        <f>'Д 7_РП'!G110</f>
        <v>1.24</v>
      </c>
      <c r="F55" s="1388" t="e">
        <f>#REF!</f>
        <v>#REF!</v>
      </c>
      <c r="G55" s="1388">
        <f>'Д 7_РП'!G111</f>
        <v>7.48</v>
      </c>
      <c r="H55" s="1388" t="e">
        <f>#REF!</f>
        <v>#REF!</v>
      </c>
      <c r="I55" s="1388"/>
      <c r="J55" s="1390"/>
      <c r="K55" s="2173" t="e">
        <f>C55/C51</f>
        <v>#REF!</v>
      </c>
      <c r="L55" s="2236">
        <f t="shared" si="20"/>
        <v>1</v>
      </c>
      <c r="M55" s="2236">
        <f t="shared" si="21"/>
        <v>1</v>
      </c>
    </row>
    <row r="56" spans="1:15" ht="15.75" thickBot="1" x14ac:dyDescent="0.3">
      <c r="A56" s="1935"/>
      <c r="B56" s="2166">
        <f>B51-B52-B53-B54-B55</f>
        <v>0</v>
      </c>
      <c r="C56" s="2166" t="e">
        <f t="shared" ref="C56" si="22">C51-C52-C53-C54-C55</f>
        <v>#REF!</v>
      </c>
      <c r="D56" s="2166" t="e">
        <f t="shared" ref="D56" si="23">D51-D52-D53-D54-D55</f>
        <v>#REF!</v>
      </c>
      <c r="E56" s="2166">
        <f t="shared" ref="E56" si="24">E51-E52-E53-E54-E55</f>
        <v>0</v>
      </c>
      <c r="F56" s="2166" t="e">
        <f t="shared" ref="F56" si="25">F51-F52-F53-F54-F55</f>
        <v>#REF!</v>
      </c>
      <c r="G56" s="2166">
        <f t="shared" ref="G56" si="26">G51-G52-G53-G54-G55</f>
        <v>0</v>
      </c>
      <c r="H56" s="2166" t="e">
        <f t="shared" ref="H56" si="27">H51-H52-H53-H54-H55</f>
        <v>#REF!</v>
      </c>
      <c r="I56" s="2166">
        <f t="shared" ref="I56" si="28">I51-I52-I53-I54-I55</f>
        <v>0</v>
      </c>
      <c r="J56" s="2166">
        <f t="shared" ref="J56" si="29">J51-J52-J53-J54-J55</f>
        <v>0</v>
      </c>
    </row>
    <row r="57" spans="1:15" ht="15.75" thickBot="1" x14ac:dyDescent="0.3"/>
    <row r="58" spans="1:15" x14ac:dyDescent="0.25">
      <c r="A58" s="3662" t="s">
        <v>2183</v>
      </c>
      <c r="B58" s="3664" t="s">
        <v>1822</v>
      </c>
      <c r="C58" s="3664"/>
      <c r="D58" s="3665"/>
      <c r="E58" s="3666" t="s">
        <v>2706</v>
      </c>
      <c r="F58" s="3666"/>
      <c r="G58" s="3667" t="s">
        <v>2135</v>
      </c>
      <c r="H58" s="3667"/>
      <c r="I58" s="3667" t="s">
        <v>2117</v>
      </c>
      <c r="J58" s="3667"/>
    </row>
    <row r="59" spans="1:15" ht="45.75" thickBot="1" x14ac:dyDescent="0.3">
      <c r="A59" s="3663"/>
      <c r="B59" s="2168" t="s">
        <v>2260</v>
      </c>
      <c r="C59" s="1411" t="s">
        <v>2259</v>
      </c>
      <c r="D59" s="1411" t="s">
        <v>2700</v>
      </c>
      <c r="E59" s="1410" t="s">
        <v>2260</v>
      </c>
      <c r="F59" s="1411" t="s">
        <v>2259</v>
      </c>
      <c r="G59" s="1410" t="s">
        <v>2260</v>
      </c>
      <c r="H59" s="1411" t="s">
        <v>2259</v>
      </c>
      <c r="I59" s="1410" t="s">
        <v>2260</v>
      </c>
      <c r="J59" s="1411" t="s">
        <v>2259</v>
      </c>
    </row>
    <row r="60" spans="1:15" x14ac:dyDescent="0.25">
      <c r="A60" s="2169" t="s">
        <v>1814</v>
      </c>
      <c r="B60" s="1388">
        <f>'Д 2_Т на В'!H45</f>
        <v>4123.9799999999996</v>
      </c>
      <c r="C60" s="1388">
        <v>0</v>
      </c>
      <c r="D60" s="2167">
        <f>B60-C60</f>
        <v>4123.9799999999996</v>
      </c>
      <c r="E60" s="1388">
        <f>'Д 3_Т на Т з ЦТП'!G39</f>
        <v>172.55</v>
      </c>
      <c r="F60" s="1388">
        <v>0</v>
      </c>
      <c r="G60" s="1388">
        <f>'Д 3.1_Т на Т без ЦТП'!G39</f>
        <v>885.83</v>
      </c>
      <c r="H60" s="1388">
        <v>0</v>
      </c>
      <c r="I60" s="1388"/>
      <c r="J60" s="1390"/>
    </row>
    <row r="61" spans="1:15" x14ac:dyDescent="0.25">
      <c r="A61" s="1389" t="s">
        <v>3</v>
      </c>
      <c r="B61" s="1388">
        <f>'Д 2_Т на В'!L45</f>
        <v>0</v>
      </c>
      <c r="C61" s="1388" t="e">
        <f>#REF!</f>
        <v>#REF!</v>
      </c>
      <c r="D61" s="2167" t="e">
        <f t="shared" ref="D61:D64" si="30">B61-C61</f>
        <v>#REF!</v>
      </c>
      <c r="E61" s="1388">
        <f>'Д 3_Т на Т з ЦТП'!H39</f>
        <v>0</v>
      </c>
      <c r="F61" s="1388" t="e">
        <f>#REF!</f>
        <v>#REF!</v>
      </c>
      <c r="G61" s="1388">
        <f>'Д 3.1_Т на Т без ЦТП'!H39</f>
        <v>0</v>
      </c>
      <c r="H61" s="1388" t="e">
        <f>#REF!</f>
        <v>#REF!</v>
      </c>
      <c r="I61" s="1388"/>
      <c r="J61" s="1390"/>
    </row>
    <row r="62" spans="1:15" x14ac:dyDescent="0.25">
      <c r="A62" s="1389" t="s">
        <v>2707</v>
      </c>
      <c r="B62" s="1388">
        <f>'Д 2_Т на В'!P45</f>
        <v>0</v>
      </c>
      <c r="C62" s="1388" t="e">
        <f>#REF!</f>
        <v>#REF!</v>
      </c>
      <c r="D62" s="2167" t="e">
        <f t="shared" si="30"/>
        <v>#REF!</v>
      </c>
      <c r="E62" s="1388">
        <f>'Д 3_Т на Т з ЦТП'!I39</f>
        <v>0</v>
      </c>
      <c r="F62" s="1388" t="e">
        <f>#REF!</f>
        <v>#REF!</v>
      </c>
      <c r="G62" s="1388">
        <f>'Д 3.1_Т на Т без ЦТП'!I39</f>
        <v>0</v>
      </c>
      <c r="H62" s="1388" t="e">
        <f>#REF!</f>
        <v>#REF!</v>
      </c>
      <c r="I62" s="1388"/>
      <c r="J62" s="1390"/>
    </row>
    <row r="63" spans="1:15" x14ac:dyDescent="0.25">
      <c r="A63" s="2104" t="s">
        <v>1095</v>
      </c>
      <c r="B63" s="2100">
        <f>'Д 2_Т на В'!T45</f>
        <v>0</v>
      </c>
      <c r="C63" s="2100">
        <v>0</v>
      </c>
      <c r="D63" s="2167">
        <f t="shared" si="30"/>
        <v>0</v>
      </c>
      <c r="E63" s="1388">
        <f>'Д 3_Т на Т з ЦТП'!J39</f>
        <v>0</v>
      </c>
      <c r="F63" s="2100" t="e">
        <f>#REF!</f>
        <v>#REF!</v>
      </c>
      <c r="G63" s="1388">
        <f>'Д 3.1_Т на Т без ЦТП'!J39</f>
        <v>0</v>
      </c>
      <c r="H63" s="2100">
        <v>0</v>
      </c>
      <c r="I63" s="2100"/>
      <c r="J63" s="2101"/>
    </row>
    <row r="64" spans="1:15" x14ac:dyDescent="0.25">
      <c r="A64" s="35" t="s">
        <v>2179</v>
      </c>
      <c r="B64" s="1388">
        <f>'Д 2_Т на В'!X45</f>
        <v>4123.9799999999996</v>
      </c>
      <c r="C64" s="1388">
        <v>0</v>
      </c>
      <c r="D64" s="2167">
        <f t="shared" si="30"/>
        <v>4123.9799999999996</v>
      </c>
      <c r="E64" s="1388">
        <f>'Д 3_Т на Т з ЦТП'!K39</f>
        <v>172.55</v>
      </c>
      <c r="F64" s="1388">
        <v>0</v>
      </c>
      <c r="G64" s="1388">
        <f>'Д 3.1_Т на Т без ЦТП'!K39</f>
        <v>885.83</v>
      </c>
      <c r="H64" s="1388">
        <v>0</v>
      </c>
      <c r="I64" s="1388"/>
      <c r="J64" s="1390"/>
    </row>
    <row r="65" spans="1:10" ht="15.75" thickBot="1" x14ac:dyDescent="0.3">
      <c r="A65" s="1935"/>
      <c r="B65" s="2166">
        <f>B60-B61-B62-B63-B64</f>
        <v>0</v>
      </c>
      <c r="C65" s="2166" t="e">
        <f t="shared" ref="C65:J65" si="31">C60-C61-C62-C63-C64</f>
        <v>#REF!</v>
      </c>
      <c r="D65" s="2166" t="e">
        <f t="shared" si="31"/>
        <v>#REF!</v>
      </c>
      <c r="E65" s="2166">
        <f t="shared" si="31"/>
        <v>0</v>
      </c>
      <c r="F65" s="2166" t="e">
        <f t="shared" si="31"/>
        <v>#REF!</v>
      </c>
      <c r="G65" s="2166">
        <f t="shared" si="31"/>
        <v>0</v>
      </c>
      <c r="H65" s="2166" t="e">
        <f t="shared" si="31"/>
        <v>#REF!</v>
      </c>
      <c r="I65" s="2166">
        <f t="shared" si="31"/>
        <v>0</v>
      </c>
      <c r="J65" s="2166">
        <f t="shared" si="31"/>
        <v>0</v>
      </c>
    </row>
    <row r="67" spans="1:10" x14ac:dyDescent="0.25">
      <c r="A67" s="3661"/>
      <c r="B67" s="3661"/>
      <c r="C67" s="3661"/>
      <c r="D67" s="3661"/>
      <c r="E67" s="3661"/>
      <c r="F67" s="3661"/>
      <c r="G67" s="3661"/>
    </row>
    <row r="68" spans="1:10" x14ac:dyDescent="0.25">
      <c r="A68" s="3661"/>
      <c r="B68" s="2617"/>
      <c r="C68" s="2617"/>
      <c r="D68" s="2617"/>
      <c r="E68" s="2617"/>
      <c r="F68" s="2617"/>
      <c r="G68" s="2617"/>
    </row>
    <row r="69" spans="1:10" x14ac:dyDescent="0.25">
      <c r="A69" s="2618"/>
      <c r="B69" s="2619"/>
      <c r="C69" s="2619"/>
      <c r="D69" s="2620"/>
      <c r="E69" s="2619"/>
      <c r="F69" s="2619"/>
      <c r="G69" s="2620"/>
    </row>
    <row r="70" spans="1:10" x14ac:dyDescent="0.25">
      <c r="A70" s="2618"/>
      <c r="B70" s="2619"/>
      <c r="C70" s="2619"/>
      <c r="D70" s="2620"/>
      <c r="E70" s="2619"/>
      <c r="F70" s="2619"/>
      <c r="G70" s="2620"/>
    </row>
    <row r="71" spans="1:10" x14ac:dyDescent="0.25">
      <c r="A71" s="2618"/>
      <c r="B71" s="2619"/>
      <c r="C71" s="2619"/>
      <c r="D71" s="2620"/>
      <c r="E71" s="2619"/>
      <c r="F71" s="2619"/>
      <c r="G71" s="2620"/>
    </row>
    <row r="72" spans="1:10" x14ac:dyDescent="0.25">
      <c r="A72" s="2621"/>
      <c r="B72" s="2622"/>
      <c r="C72" s="2622"/>
      <c r="D72" s="2620"/>
      <c r="E72" s="2619"/>
      <c r="F72" s="2622"/>
      <c r="G72" s="2620"/>
    </row>
    <row r="73" spans="1:10" x14ac:dyDescent="0.25">
      <c r="A73" s="2618"/>
      <c r="B73" s="2619"/>
      <c r="C73" s="2619"/>
      <c r="D73" s="2620"/>
      <c r="E73" s="2619"/>
      <c r="F73" s="2619"/>
      <c r="G73" s="2620"/>
    </row>
    <row r="74" spans="1:10" x14ac:dyDescent="0.25">
      <c r="A74" s="2623"/>
      <c r="B74" s="2624"/>
      <c r="C74" s="2624"/>
      <c r="D74" s="2624"/>
      <c r="E74" s="2624"/>
      <c r="F74" s="2624"/>
      <c r="G74" s="2624"/>
    </row>
  </sheetData>
  <mergeCells count="35">
    <mergeCell ref="H2:I2"/>
    <mergeCell ref="B11:C11"/>
    <mergeCell ref="G31:H31"/>
    <mergeCell ref="A40:A41"/>
    <mergeCell ref="B40:D40"/>
    <mergeCell ref="E40:F40"/>
    <mergeCell ref="A2:A3"/>
    <mergeCell ref="B2:C2"/>
    <mergeCell ref="D2:E2"/>
    <mergeCell ref="F2:G2"/>
    <mergeCell ref="A31:A32"/>
    <mergeCell ref="A11:A12"/>
    <mergeCell ref="D11:D12"/>
    <mergeCell ref="E22:F22"/>
    <mergeCell ref="G22:H22"/>
    <mergeCell ref="B22:D22"/>
    <mergeCell ref="A22:A23"/>
    <mergeCell ref="B31:D31"/>
    <mergeCell ref="E31:F31"/>
    <mergeCell ref="A49:A50"/>
    <mergeCell ref="B49:D49"/>
    <mergeCell ref="E49:F49"/>
    <mergeCell ref="G49:H49"/>
    <mergeCell ref="I49:J49"/>
    <mergeCell ref="I58:J58"/>
    <mergeCell ref="I31:J31"/>
    <mergeCell ref="I22:J22"/>
    <mergeCell ref="G40:H40"/>
    <mergeCell ref="I40:J40"/>
    <mergeCell ref="A67:A68"/>
    <mergeCell ref="B67:G67"/>
    <mergeCell ref="A58:A59"/>
    <mergeCell ref="B58:D58"/>
    <mergeCell ref="E58:F58"/>
    <mergeCell ref="G58:H58"/>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54"/>
  <sheetViews>
    <sheetView workbookViewId="0">
      <selection activeCell="B5" sqref="B5"/>
    </sheetView>
  </sheetViews>
  <sheetFormatPr defaultColWidth="8.85546875" defaultRowHeight="15.75" x14ac:dyDescent="0.25"/>
  <cols>
    <col min="1" max="1" width="19.28515625" style="58" customWidth="1"/>
    <col min="2" max="2" width="14" style="58" customWidth="1"/>
    <col min="3" max="3" width="10.28515625" style="58" customWidth="1"/>
    <col min="4" max="4" width="10.7109375" style="58" customWidth="1"/>
    <col min="5" max="5" width="2" style="58" customWidth="1"/>
    <col min="6" max="6" width="19.5703125" style="58" customWidth="1"/>
    <col min="7" max="7" width="12.85546875" style="58" customWidth="1"/>
    <col min="8" max="8" width="9.7109375" style="58" customWidth="1"/>
    <col min="9" max="9" width="10.28515625" style="58" customWidth="1"/>
    <col min="10" max="10" width="3.140625" style="58" customWidth="1"/>
    <col min="11" max="11" width="12.85546875" style="58" customWidth="1"/>
    <col min="12" max="12" width="8.85546875" style="58"/>
    <col min="13" max="13" width="10" style="58" customWidth="1"/>
    <col min="14" max="16384" width="8.85546875" style="58"/>
  </cols>
  <sheetData>
    <row r="1" spans="1:14" x14ac:dyDescent="0.25">
      <c r="A1" s="58" t="s">
        <v>3106</v>
      </c>
      <c r="F1" s="58" t="s">
        <v>2998</v>
      </c>
    </row>
    <row r="2" spans="1:14" s="53" customFormat="1" ht="47.25" x14ac:dyDescent="0.25">
      <c r="A2" s="1524" t="s">
        <v>1877</v>
      </c>
      <c r="B2" s="15" t="s">
        <v>2999</v>
      </c>
      <c r="C2" s="1524" t="s">
        <v>3000</v>
      </c>
      <c r="D2" s="1524" t="s">
        <v>3001</v>
      </c>
      <c r="F2" s="15" t="s">
        <v>1877</v>
      </c>
      <c r="G2" s="15" t="s">
        <v>2999</v>
      </c>
      <c r="H2" s="15" t="s">
        <v>3000</v>
      </c>
      <c r="I2" s="15" t="s">
        <v>3001</v>
      </c>
      <c r="K2" s="15" t="s">
        <v>3006</v>
      </c>
    </row>
    <row r="3" spans="1:14" s="57" customFormat="1" ht="31.5" x14ac:dyDescent="0.25">
      <c r="A3" s="1536" t="s">
        <v>3002</v>
      </c>
      <c r="B3" s="1773" t="e">
        <f>B4+B5</f>
        <v>#REF!</v>
      </c>
      <c r="C3" s="1810"/>
      <c r="D3" s="1810"/>
      <c r="E3" s="2323"/>
      <c r="F3" s="1536" t="s">
        <v>3002</v>
      </c>
      <c r="G3" s="1773">
        <f>SUM(G4:G5)</f>
        <v>158304.56</v>
      </c>
      <c r="H3" s="1810"/>
      <c r="I3" s="1810"/>
      <c r="J3" s="2323"/>
      <c r="K3" s="1773" t="e">
        <f>B3-G3</f>
        <v>#REF!</v>
      </c>
    </row>
    <row r="4" spans="1:14" x14ac:dyDescent="0.25">
      <c r="A4" s="1353" t="s">
        <v>2130</v>
      </c>
      <c r="B4" s="1774" t="e">
        <f>#REF!</f>
        <v>#REF!</v>
      </c>
      <c r="C4" s="1524"/>
      <c r="D4" s="1524"/>
      <c r="E4" s="53"/>
      <c r="F4" s="1353" t="s">
        <v>2130</v>
      </c>
      <c r="G4" s="1774">
        <v>50980.69</v>
      </c>
      <c r="H4" s="1524"/>
      <c r="I4" s="1524"/>
      <c r="J4" s="53"/>
      <c r="K4" s="1774" t="e">
        <f t="shared" ref="K4:K14" si="0">B4-G4</f>
        <v>#REF!</v>
      </c>
    </row>
    <row r="5" spans="1:14" x14ac:dyDescent="0.25">
      <c r="A5" s="1353" t="s">
        <v>2129</v>
      </c>
      <c r="B5" s="1774" t="e">
        <f>#REF!</f>
        <v>#REF!</v>
      </c>
      <c r="C5" s="1524"/>
      <c r="D5" s="1524"/>
      <c r="E5" s="53"/>
      <c r="F5" s="1353" t="s">
        <v>2129</v>
      </c>
      <c r="G5" s="1774">
        <v>107323.87</v>
      </c>
      <c r="H5" s="1524"/>
      <c r="I5" s="1524"/>
      <c r="J5" s="53"/>
      <c r="K5" s="1774" t="e">
        <f t="shared" si="0"/>
        <v>#REF!</v>
      </c>
    </row>
    <row r="6" spans="1:14" s="57" customFormat="1" ht="31.5" x14ac:dyDescent="0.25">
      <c r="A6" s="1536" t="s">
        <v>3003</v>
      </c>
      <c r="B6" s="1773" t="e">
        <f>B7+B8</f>
        <v>#REF!</v>
      </c>
      <c r="C6" s="1773" t="e">
        <f>C7+C8</f>
        <v>#REF!</v>
      </c>
      <c r="D6" s="1773" t="e">
        <f>D7+D8</f>
        <v>#REF!</v>
      </c>
      <c r="E6" s="2323"/>
      <c r="F6" s="1536" t="s">
        <v>3003</v>
      </c>
      <c r="G6" s="1773">
        <f>SUM(G7:G8)</f>
        <v>42774.49</v>
      </c>
      <c r="H6" s="1773">
        <f t="shared" ref="H6:I6" si="1">SUM(H7:H8)</f>
        <v>11111.03</v>
      </c>
      <c r="I6" s="1773">
        <f t="shared" si="1"/>
        <v>31663.46</v>
      </c>
      <c r="J6" s="2323"/>
      <c r="K6" s="1773" t="e">
        <f t="shared" si="0"/>
        <v>#REF!</v>
      </c>
    </row>
    <row r="7" spans="1:14" x14ac:dyDescent="0.25">
      <c r="A7" s="1353" t="s">
        <v>2130</v>
      </c>
      <c r="B7" s="1774" t="e">
        <f>C7+D7</f>
        <v>#REF!</v>
      </c>
      <c r="C7" s="1774" t="e">
        <f>#REF!</f>
        <v>#REF!</v>
      </c>
      <c r="D7" s="1774" t="e">
        <f>#REF!</f>
        <v>#REF!</v>
      </c>
      <c r="E7" s="53"/>
      <c r="F7" s="1353" t="s">
        <v>2130</v>
      </c>
      <c r="G7" s="1774">
        <f>H7+I7</f>
        <v>35889.64</v>
      </c>
      <c r="H7" s="2325">
        <v>9213.4263666406496</v>
      </c>
      <c r="I7" s="2326">
        <v>26676.216097894001</v>
      </c>
      <c r="J7" s="53"/>
      <c r="K7" s="1774" t="e">
        <f t="shared" si="0"/>
        <v>#REF!</v>
      </c>
    </row>
    <row r="8" spans="1:14" x14ac:dyDescent="0.25">
      <c r="A8" s="1353" t="s">
        <v>2129</v>
      </c>
      <c r="B8" s="1774" t="e">
        <f>C8+D8</f>
        <v>#REF!</v>
      </c>
      <c r="C8" s="1774" t="e">
        <f>#REF!</f>
        <v>#REF!</v>
      </c>
      <c r="D8" s="1774" t="e">
        <f>#REF!</f>
        <v>#REF!</v>
      </c>
      <c r="E8" s="53"/>
      <c r="F8" s="1353" t="s">
        <v>2129</v>
      </c>
      <c r="G8" s="1774">
        <f>H8+I8</f>
        <v>6884.85</v>
      </c>
      <c r="H8" s="2325">
        <v>1897.6069000395701</v>
      </c>
      <c r="I8" s="2326">
        <v>4987.2449985875701</v>
      </c>
      <c r="J8" s="53"/>
      <c r="K8" s="1774" t="e">
        <f t="shared" si="0"/>
        <v>#REF!</v>
      </c>
    </row>
    <row r="9" spans="1:14" s="57" customFormat="1" ht="31.5" x14ac:dyDescent="0.25">
      <c r="A9" s="1536" t="s">
        <v>3004</v>
      </c>
      <c r="B9" s="1773" t="e">
        <f>B10+B11</f>
        <v>#REF!</v>
      </c>
      <c r="C9" s="1810"/>
      <c r="D9" s="1810"/>
      <c r="E9" s="2323"/>
      <c r="F9" s="1536" t="s">
        <v>3004</v>
      </c>
      <c r="G9" s="1773">
        <f>SUM(G10:G11)</f>
        <v>1877.09</v>
      </c>
      <c r="H9" s="1810"/>
      <c r="I9" s="1810"/>
      <c r="J9" s="2323"/>
      <c r="K9" s="1773" t="e">
        <f t="shared" si="0"/>
        <v>#REF!</v>
      </c>
    </row>
    <row r="10" spans="1:14" x14ac:dyDescent="0.25">
      <c r="A10" s="1353" t="s">
        <v>2130</v>
      </c>
      <c r="B10" s="1774" t="e">
        <f>#REF!</f>
        <v>#REF!</v>
      </c>
      <c r="C10" s="1524"/>
      <c r="D10" s="1524"/>
      <c r="E10" s="53"/>
      <c r="F10" s="1353" t="s">
        <v>2130</v>
      </c>
      <c r="G10" s="1774">
        <v>1877.09</v>
      </c>
      <c r="H10" s="1524"/>
      <c r="I10" s="1524"/>
      <c r="J10" s="53"/>
      <c r="K10" s="1774" t="e">
        <f t="shared" si="0"/>
        <v>#REF!</v>
      </c>
    </row>
    <row r="11" spans="1:14" x14ac:dyDescent="0.25">
      <c r="A11" s="1353" t="s">
        <v>2129</v>
      </c>
      <c r="B11" s="1774">
        <v>0</v>
      </c>
      <c r="C11" s="1524"/>
      <c r="D11" s="1524"/>
      <c r="E11" s="53"/>
      <c r="F11" s="1353" t="s">
        <v>2129</v>
      </c>
      <c r="G11" s="1774">
        <v>0</v>
      </c>
      <c r="H11" s="1524"/>
      <c r="I11" s="1524"/>
      <c r="J11" s="53"/>
      <c r="K11" s="1774">
        <f t="shared" si="0"/>
        <v>0</v>
      </c>
    </row>
    <row r="12" spans="1:14" s="57" customFormat="1" ht="31.5" x14ac:dyDescent="0.25">
      <c r="A12" s="1536" t="s">
        <v>3005</v>
      </c>
      <c r="B12" s="1773" t="e">
        <f>B13+B14</f>
        <v>#REF!</v>
      </c>
      <c r="C12" s="1810"/>
      <c r="D12" s="1810"/>
      <c r="E12" s="2323"/>
      <c r="F12" s="1536" t="s">
        <v>3005</v>
      </c>
      <c r="G12" s="1773">
        <f>G13+G14</f>
        <v>202956.14</v>
      </c>
      <c r="H12" s="1810"/>
      <c r="I12" s="1810"/>
      <c r="J12" s="2323"/>
      <c r="K12" s="1773" t="e">
        <f t="shared" si="0"/>
        <v>#REF!</v>
      </c>
    </row>
    <row r="13" spans="1:14" s="57" customFormat="1" x14ac:dyDescent="0.25">
      <c r="A13" s="1353" t="s">
        <v>2130</v>
      </c>
      <c r="B13" s="1773" t="e">
        <f>B4+B7+B10</f>
        <v>#REF!</v>
      </c>
      <c r="C13" s="1810"/>
      <c r="D13" s="1810"/>
      <c r="E13" s="2323"/>
      <c r="F13" s="1353" t="s">
        <v>2130</v>
      </c>
      <c r="G13" s="1773">
        <f>G4+G7+G10</f>
        <v>88747.42</v>
      </c>
      <c r="H13" s="1810"/>
      <c r="I13" s="1810"/>
      <c r="J13" s="2323"/>
      <c r="K13" s="1773" t="e">
        <f t="shared" si="0"/>
        <v>#REF!</v>
      </c>
      <c r="M13" s="2329" t="e">
        <f>B13/B12</f>
        <v>#REF!</v>
      </c>
      <c r="N13" s="2329">
        <f>G13/G12</f>
        <v>0.44</v>
      </c>
    </row>
    <row r="14" spans="1:14" s="57" customFormat="1" x14ac:dyDescent="0.25">
      <c r="A14" s="1353" t="s">
        <v>2129</v>
      </c>
      <c r="B14" s="1773" t="e">
        <f>B5+B8+B11</f>
        <v>#REF!</v>
      </c>
      <c r="C14" s="1810"/>
      <c r="D14" s="1810"/>
      <c r="E14" s="2323"/>
      <c r="F14" s="1353" t="s">
        <v>2129</v>
      </c>
      <c r="G14" s="1773">
        <f>G5+G8+G11</f>
        <v>114208.72</v>
      </c>
      <c r="H14" s="1810"/>
      <c r="I14" s="1810"/>
      <c r="J14" s="2323"/>
      <c r="K14" s="1773" t="e">
        <f t="shared" si="0"/>
        <v>#REF!</v>
      </c>
      <c r="M14" s="2329" t="e">
        <f>B14/B12</f>
        <v>#REF!</v>
      </c>
      <c r="N14" s="2329">
        <f>G14/G12</f>
        <v>0.56000000000000005</v>
      </c>
    </row>
    <row r="15" spans="1:14" x14ac:dyDescent="0.25">
      <c r="A15" s="53"/>
      <c r="B15" s="53"/>
      <c r="C15" s="53"/>
      <c r="D15" s="53"/>
      <c r="E15" s="53"/>
      <c r="F15" s="53"/>
      <c r="G15" s="53"/>
      <c r="H15" s="53"/>
      <c r="I15" s="53" t="s">
        <v>1956</v>
      </c>
      <c r="J15" s="53"/>
      <c r="K15" s="2324" t="e">
        <f>K12*1.2</f>
        <v>#REF!</v>
      </c>
    </row>
    <row r="16" spans="1:14" x14ac:dyDescent="0.25">
      <c r="A16" s="58" t="s">
        <v>3007</v>
      </c>
    </row>
    <row r="17" spans="1:13" x14ac:dyDescent="0.25">
      <c r="A17" s="58" t="s">
        <v>3008</v>
      </c>
      <c r="B17" s="2253">
        <f>сведено!G14</f>
        <v>97072.26</v>
      </c>
      <c r="C17" s="2253" t="e">
        <f>B12-B17</f>
        <v>#REF!</v>
      </c>
    </row>
    <row r="18" spans="1:13" x14ac:dyDescent="0.25">
      <c r="A18" s="58" t="s">
        <v>3009</v>
      </c>
      <c r="B18" s="2327">
        <f>сведено!C14</f>
        <v>76423.81</v>
      </c>
      <c r="C18" s="2327" t="e">
        <f>B3-B18</f>
        <v>#REF!</v>
      </c>
    </row>
    <row r="19" spans="1:13" x14ac:dyDescent="0.25">
      <c r="A19" s="58" t="s">
        <v>3010</v>
      </c>
      <c r="B19" s="2253">
        <f>сведено!D14</f>
        <v>3197.64</v>
      </c>
      <c r="C19" s="2253" t="e">
        <f>C6-B19</f>
        <v>#REF!</v>
      </c>
    </row>
    <row r="20" spans="1:13" x14ac:dyDescent="0.25">
      <c r="A20" s="58" t="s">
        <v>3011</v>
      </c>
      <c r="B20" s="2253">
        <f>сведено!E14</f>
        <v>16415.919999999998</v>
      </c>
      <c r="C20" s="2253" t="e">
        <f>D6-B20</f>
        <v>#REF!</v>
      </c>
    </row>
    <row r="21" spans="1:13" x14ac:dyDescent="0.25">
      <c r="A21" s="58" t="s">
        <v>3012</v>
      </c>
      <c r="B21" s="2327">
        <f>сведено!F14</f>
        <v>1034.8900000000001</v>
      </c>
      <c r="C21" s="2327" t="e">
        <f>B9-B21</f>
        <v>#REF!</v>
      </c>
      <c r="F21" s="2414" t="s">
        <v>3028</v>
      </c>
      <c r="G21" s="4019" t="s">
        <v>2395</v>
      </c>
      <c r="H21" s="4019"/>
      <c r="I21" s="4019"/>
      <c r="J21" s="4019"/>
      <c r="K21" s="4019"/>
    </row>
    <row r="22" spans="1:13" x14ac:dyDescent="0.25">
      <c r="A22" s="2412"/>
      <c r="B22" s="2413" t="s">
        <v>2855</v>
      </c>
      <c r="C22" s="2413" t="s">
        <v>2856</v>
      </c>
      <c r="D22" s="2412" t="s">
        <v>2857</v>
      </c>
      <c r="E22" s="2412"/>
      <c r="F22" s="2412" t="s">
        <v>3026</v>
      </c>
      <c r="G22" s="2333" t="s">
        <v>2855</v>
      </c>
      <c r="H22" s="2333" t="s">
        <v>3107</v>
      </c>
      <c r="I22" s="2334" t="s">
        <v>3108</v>
      </c>
      <c r="J22" s="2334"/>
      <c r="K22" s="2334" t="s">
        <v>3026</v>
      </c>
    </row>
    <row r="23" spans="1:13" x14ac:dyDescent="0.25">
      <c r="A23" s="2330" t="s">
        <v>3024</v>
      </c>
      <c r="B23" s="2331" t="e">
        <f>B5</f>
        <v>#REF!</v>
      </c>
      <c r="C23" s="2331" t="e">
        <f>B8</f>
        <v>#REF!</v>
      </c>
      <c r="D23" s="2331">
        <f>B11</f>
        <v>0</v>
      </c>
      <c r="E23" s="921"/>
      <c r="F23" s="2331" t="e">
        <f>SUM(B23:E23)</f>
        <v>#REF!</v>
      </c>
      <c r="G23" s="2335">
        <v>72619.58</v>
      </c>
      <c r="H23" s="2335">
        <v>6300.7</v>
      </c>
      <c r="I23" s="2335">
        <v>0</v>
      </c>
      <c r="J23" s="2336"/>
      <c r="K23" s="2335">
        <v>78920.28</v>
      </c>
      <c r="M23" s="2328" t="e">
        <f>F23-K23</f>
        <v>#REF!</v>
      </c>
    </row>
    <row r="24" spans="1:13" x14ac:dyDescent="0.25">
      <c r="A24" s="921" t="s">
        <v>3025</v>
      </c>
      <c r="B24" s="1525" t="e">
        <f>#REF!</f>
        <v>#REF!</v>
      </c>
      <c r="C24" s="1525"/>
      <c r="D24" s="921"/>
      <c r="E24" s="921"/>
      <c r="F24" s="2331" t="e">
        <f t="shared" ref="F24:F25" si="2">SUM(B24:E24)</f>
        <v>#REF!</v>
      </c>
      <c r="G24" s="2337">
        <v>70053.55</v>
      </c>
      <c r="H24" s="2337"/>
      <c r="I24" s="2336"/>
      <c r="J24" s="2336"/>
      <c r="K24" s="2335">
        <v>70053.55</v>
      </c>
      <c r="M24" s="2253" t="e">
        <f t="shared" ref="M24:M25" si="3">F24-K24</f>
        <v>#REF!</v>
      </c>
    </row>
    <row r="25" spans="1:13" x14ac:dyDescent="0.25">
      <c r="A25" s="921" t="s">
        <v>43</v>
      </c>
      <c r="B25" s="1525" t="e">
        <f>#REF!</f>
        <v>#REF!</v>
      </c>
      <c r="C25" s="1525" t="e">
        <f>#REF!+#REF!</f>
        <v>#REF!</v>
      </c>
      <c r="D25" s="921"/>
      <c r="E25" s="921"/>
      <c r="F25" s="2331" t="e">
        <f t="shared" si="2"/>
        <v>#REF!</v>
      </c>
      <c r="G25" s="2337">
        <v>2566.0300000000002</v>
      </c>
      <c r="H25" s="2337">
        <v>6300.7</v>
      </c>
      <c r="I25" s="2336"/>
      <c r="J25" s="2336"/>
      <c r="K25" s="2335">
        <v>8866.74</v>
      </c>
      <c r="M25" s="2253" t="e">
        <f t="shared" si="3"/>
        <v>#REF!</v>
      </c>
    </row>
    <row r="26" spans="1:13" x14ac:dyDescent="0.25">
      <c r="F26" s="58" t="s">
        <v>3026</v>
      </c>
      <c r="G26" s="2334"/>
      <c r="H26" s="2334"/>
      <c r="I26" s="2334"/>
      <c r="J26" s="2334"/>
      <c r="K26" s="2334" t="s">
        <v>3026</v>
      </c>
    </row>
    <row r="27" spans="1:13" x14ac:dyDescent="0.25">
      <c r="A27" s="2330" t="s">
        <v>3013</v>
      </c>
      <c r="B27" s="2331" t="e">
        <f>B4</f>
        <v>#REF!</v>
      </c>
      <c r="C27" s="2331" t="e">
        <f>B7</f>
        <v>#REF!</v>
      </c>
      <c r="D27" s="2331" t="e">
        <f>B10</f>
        <v>#REF!</v>
      </c>
      <c r="E27" s="921"/>
      <c r="F27" s="2331" t="e">
        <f>B13</f>
        <v>#REF!</v>
      </c>
      <c r="G27" s="2335">
        <v>35000.19</v>
      </c>
      <c r="H27" s="2335">
        <v>30114.53</v>
      </c>
      <c r="I27" s="2335">
        <v>667.99</v>
      </c>
      <c r="J27" s="2336"/>
      <c r="K27" s="2335">
        <v>65782.710000000006</v>
      </c>
      <c r="M27" s="2328" t="e">
        <f>F27-K27</f>
        <v>#REF!</v>
      </c>
    </row>
    <row r="28" spans="1:13" x14ac:dyDescent="0.25">
      <c r="A28" s="921" t="s">
        <v>3025</v>
      </c>
      <c r="B28" s="1525" t="e">
        <f>#REF!</f>
        <v>#REF!</v>
      </c>
      <c r="C28" s="2331"/>
      <c r="D28" s="2331"/>
      <c r="E28" s="921"/>
      <c r="F28" s="1525" t="e">
        <f>SUM(B28:D28)</f>
        <v>#REF!</v>
      </c>
      <c r="G28" s="2337">
        <v>9795.61</v>
      </c>
      <c r="H28" s="2335"/>
      <c r="I28" s="2335"/>
      <c r="J28" s="2336"/>
      <c r="K28" s="2337">
        <v>9795.61</v>
      </c>
      <c r="M28" s="2253" t="e">
        <f t="shared" ref="M28:M51" si="4">F28-K28</f>
        <v>#REF!</v>
      </c>
    </row>
    <row r="29" spans="1:13" x14ac:dyDescent="0.25">
      <c r="A29" s="921" t="s">
        <v>459</v>
      </c>
      <c r="B29" s="1812" t="e">
        <f>#REF!</f>
        <v>#REF!</v>
      </c>
      <c r="C29" s="1812" t="e">
        <f>#REF!+#REF!</f>
        <v>#REF!</v>
      </c>
      <c r="D29" s="1525" t="e">
        <f>#REF!</f>
        <v>#REF!</v>
      </c>
      <c r="E29" s="921"/>
      <c r="F29" s="1525" t="e">
        <f t="shared" ref="F29:F51" si="5">SUM(B29:D29)</f>
        <v>#REF!</v>
      </c>
      <c r="G29" s="2338">
        <v>2066.8000000000002</v>
      </c>
      <c r="H29" s="2338">
        <v>3668.31</v>
      </c>
      <c r="I29" s="2337">
        <v>7.13</v>
      </c>
      <c r="J29" s="2336"/>
      <c r="K29" s="2337">
        <v>5742.24</v>
      </c>
      <c r="M29" s="2253" t="e">
        <f t="shared" si="4"/>
        <v>#REF!</v>
      </c>
    </row>
    <row r="30" spans="1:13" x14ac:dyDescent="0.25">
      <c r="A30" s="921" t="s">
        <v>3014</v>
      </c>
      <c r="B30" s="1812" t="e">
        <f>#REF!</f>
        <v>#REF!</v>
      </c>
      <c r="C30" s="1812" t="e">
        <f>#REF!-#REF!+#REF!-#REF!</f>
        <v>#REF!</v>
      </c>
      <c r="D30" s="1525" t="e">
        <f>#REF!</f>
        <v>#REF!</v>
      </c>
      <c r="E30" s="921"/>
      <c r="F30" s="1525" t="e">
        <f t="shared" si="5"/>
        <v>#REF!</v>
      </c>
      <c r="G30" s="2338">
        <v>427.16</v>
      </c>
      <c r="H30" s="2338">
        <v>510.7</v>
      </c>
      <c r="I30" s="2337">
        <v>20.010000000000002</v>
      </c>
      <c r="J30" s="2336"/>
      <c r="K30" s="2337">
        <v>957.86</v>
      </c>
      <c r="M30" s="2253" t="e">
        <f t="shared" si="4"/>
        <v>#REF!</v>
      </c>
    </row>
    <row r="31" spans="1:13" x14ac:dyDescent="0.25">
      <c r="A31" s="921" t="s">
        <v>3020</v>
      </c>
      <c r="B31" s="1812" t="e">
        <f>#REF!</f>
        <v>#REF!</v>
      </c>
      <c r="C31" s="1812" t="e">
        <f>#REF!+#REF!</f>
        <v>#REF!</v>
      </c>
      <c r="D31" s="921"/>
      <c r="E31" s="921"/>
      <c r="F31" s="1525" t="e">
        <f t="shared" si="5"/>
        <v>#REF!</v>
      </c>
      <c r="G31" s="2338">
        <v>33.68</v>
      </c>
      <c r="H31" s="2338">
        <v>661.82</v>
      </c>
      <c r="I31" s="2336"/>
      <c r="J31" s="2336"/>
      <c r="K31" s="2337">
        <v>695.5</v>
      </c>
      <c r="M31" s="2253" t="e">
        <f t="shared" si="4"/>
        <v>#REF!</v>
      </c>
    </row>
    <row r="32" spans="1:13" x14ac:dyDescent="0.25">
      <c r="A32" s="921" t="s">
        <v>3015</v>
      </c>
      <c r="B32" s="1812" t="e">
        <f>#REF!</f>
        <v>#REF!</v>
      </c>
      <c r="C32" s="1812" t="e">
        <f>#REF!+#REF!</f>
        <v>#REF!</v>
      </c>
      <c r="D32" s="1525" t="e">
        <f>#REF!</f>
        <v>#REF!</v>
      </c>
      <c r="E32" s="921"/>
      <c r="F32" s="1525" t="e">
        <f t="shared" si="5"/>
        <v>#REF!</v>
      </c>
      <c r="G32" s="2338">
        <v>7498.07</v>
      </c>
      <c r="H32" s="2338">
        <v>9303.1200000000008</v>
      </c>
      <c r="I32" s="2337">
        <v>464.58</v>
      </c>
      <c r="J32" s="2336"/>
      <c r="K32" s="2337">
        <v>17265.77</v>
      </c>
      <c r="M32" s="2253" t="e">
        <f t="shared" si="4"/>
        <v>#REF!</v>
      </c>
    </row>
    <row r="33" spans="1:13" x14ac:dyDescent="0.25">
      <c r="A33" s="921" t="s">
        <v>3016</v>
      </c>
      <c r="B33" s="1812" t="e">
        <f>#REF!</f>
        <v>#REF!</v>
      </c>
      <c r="C33" s="1812" t="e">
        <f>#REF!+#REF!</f>
        <v>#REF!</v>
      </c>
      <c r="D33" s="1525" t="e">
        <f>#REF!</f>
        <v>#REF!</v>
      </c>
      <c r="E33" s="921"/>
      <c r="F33" s="1525" t="e">
        <f t="shared" si="5"/>
        <v>#REF!</v>
      </c>
      <c r="G33" s="2338">
        <v>1622.57</v>
      </c>
      <c r="H33" s="2338">
        <v>2002.08</v>
      </c>
      <c r="I33" s="2337">
        <v>102.21</v>
      </c>
      <c r="J33" s="2336"/>
      <c r="K33" s="2337">
        <v>3726.86</v>
      </c>
      <c r="M33" s="2253" t="e">
        <f t="shared" si="4"/>
        <v>#REF!</v>
      </c>
    </row>
    <row r="34" spans="1:13" x14ac:dyDescent="0.25">
      <c r="A34" s="921" t="s">
        <v>3017</v>
      </c>
      <c r="B34" s="1812" t="e">
        <f>#REF!+#REF!</f>
        <v>#REF!</v>
      </c>
      <c r="C34" s="1812" t="e">
        <f>#REF!+#REF!</f>
        <v>#REF!</v>
      </c>
      <c r="D34" s="921"/>
      <c r="E34" s="921"/>
      <c r="F34" s="1525" t="e">
        <f t="shared" si="5"/>
        <v>#REF!</v>
      </c>
      <c r="G34" s="2338">
        <v>1331.94</v>
      </c>
      <c r="H34" s="2338">
        <v>1376.46</v>
      </c>
      <c r="I34" s="2336"/>
      <c r="J34" s="2336"/>
      <c r="K34" s="2337">
        <v>2708.4</v>
      </c>
      <c r="M34" s="2253" t="e">
        <f t="shared" si="4"/>
        <v>#REF!</v>
      </c>
    </row>
    <row r="35" spans="1:13" x14ac:dyDescent="0.25">
      <c r="A35" s="921" t="s">
        <v>2751</v>
      </c>
      <c r="B35" s="921"/>
      <c r="C35" s="1812" t="e">
        <f>#REF!</f>
        <v>#REF!</v>
      </c>
      <c r="D35" s="921"/>
      <c r="E35" s="921"/>
      <c r="F35" s="1525" t="e">
        <f t="shared" si="5"/>
        <v>#REF!</v>
      </c>
      <c r="G35" s="2336"/>
      <c r="H35" s="2338">
        <v>9517.23</v>
      </c>
      <c r="I35" s="2336"/>
      <c r="J35" s="2336"/>
      <c r="K35" s="2337">
        <v>9517.23</v>
      </c>
      <c r="M35" s="2253" t="e">
        <f t="shared" si="4"/>
        <v>#REF!</v>
      </c>
    </row>
    <row r="36" spans="1:13" x14ac:dyDescent="0.25">
      <c r="A36" s="921" t="s">
        <v>58</v>
      </c>
      <c r="B36" s="1812" t="e">
        <f>#REF!-B34</f>
        <v>#REF!</v>
      </c>
      <c r="C36" s="1812" t="e">
        <f>#REF!+#REF!-C34</f>
        <v>#REF!</v>
      </c>
      <c r="D36" s="1525" t="e">
        <f>#REF!</f>
        <v>#REF!</v>
      </c>
      <c r="E36" s="921"/>
      <c r="F36" s="1525" t="e">
        <f t="shared" si="5"/>
        <v>#REF!</v>
      </c>
      <c r="G36" s="2338">
        <v>876.8</v>
      </c>
      <c r="H36" s="2338">
        <v>265.38</v>
      </c>
      <c r="I36" s="2337">
        <v>10.43</v>
      </c>
      <c r="J36" s="2336"/>
      <c r="K36" s="2337">
        <v>1152.6099999999999</v>
      </c>
      <c r="M36" s="2253" t="e">
        <f t="shared" si="4"/>
        <v>#REF!</v>
      </c>
    </row>
    <row r="37" spans="1:13" ht="31.5" x14ac:dyDescent="0.25">
      <c r="A37" s="842" t="s">
        <v>3018</v>
      </c>
      <c r="B37" s="1812" t="e">
        <f>#REF!</f>
        <v>#REF!</v>
      </c>
      <c r="C37" s="1812" t="e">
        <f>#REF!+#REF!</f>
        <v>#REF!</v>
      </c>
      <c r="D37" s="1525" t="e">
        <f>#REF!</f>
        <v>#REF!</v>
      </c>
      <c r="E37" s="921"/>
      <c r="F37" s="1525" t="e">
        <f t="shared" si="5"/>
        <v>#REF!</v>
      </c>
      <c r="G37" s="2338">
        <v>3236.1</v>
      </c>
      <c r="H37" s="2338">
        <v>809.71</v>
      </c>
      <c r="I37" s="2337">
        <v>20.309999999999999</v>
      </c>
      <c r="J37" s="2336"/>
      <c r="K37" s="2337">
        <v>4066.13</v>
      </c>
      <c r="M37" s="2253" t="e">
        <f t="shared" si="4"/>
        <v>#REF!</v>
      </c>
    </row>
    <row r="38" spans="1:13" x14ac:dyDescent="0.25">
      <c r="A38" s="921" t="s">
        <v>3015</v>
      </c>
      <c r="B38" s="1812" t="e">
        <f>#REF!</f>
        <v>#REF!</v>
      </c>
      <c r="C38" s="1812" t="e">
        <f>#REF!+#REF!</f>
        <v>#REF!</v>
      </c>
      <c r="D38" s="1525" t="e">
        <f>#REF!</f>
        <v>#REF!</v>
      </c>
      <c r="E38" s="921"/>
      <c r="F38" s="1525" t="e">
        <f t="shared" si="5"/>
        <v>#REF!</v>
      </c>
      <c r="G38" s="2338">
        <v>2341.5300000000002</v>
      </c>
      <c r="H38" s="2338">
        <v>585.88</v>
      </c>
      <c r="I38" s="2337">
        <v>14.7</v>
      </c>
      <c r="J38" s="2336"/>
      <c r="K38" s="2337">
        <v>2942.11</v>
      </c>
      <c r="M38" s="2253" t="e">
        <f t="shared" si="4"/>
        <v>#REF!</v>
      </c>
    </row>
    <row r="39" spans="1:13" x14ac:dyDescent="0.25">
      <c r="A39" s="921" t="s">
        <v>3016</v>
      </c>
      <c r="B39" s="1812" t="e">
        <f>#REF!</f>
        <v>#REF!</v>
      </c>
      <c r="C39" s="1812" t="e">
        <f>#REF!+#REF!</f>
        <v>#REF!</v>
      </c>
      <c r="D39" s="1525" t="e">
        <f>#REF!</f>
        <v>#REF!</v>
      </c>
      <c r="E39" s="921"/>
      <c r="F39" s="1525" t="e">
        <f t="shared" si="5"/>
        <v>#REF!</v>
      </c>
      <c r="G39" s="2338">
        <v>497.79</v>
      </c>
      <c r="H39" s="2338">
        <v>124.55</v>
      </c>
      <c r="I39" s="2337">
        <v>3.12</v>
      </c>
      <c r="J39" s="2336"/>
      <c r="K39" s="2337">
        <v>625.47</v>
      </c>
      <c r="M39" s="2253" t="e">
        <f t="shared" si="4"/>
        <v>#REF!</v>
      </c>
    </row>
    <row r="40" spans="1:13" x14ac:dyDescent="0.25">
      <c r="A40" s="921" t="s">
        <v>58</v>
      </c>
      <c r="B40" s="1812" t="e">
        <f>#REF!</f>
        <v>#REF!</v>
      </c>
      <c r="C40" s="1812" t="e">
        <f>#REF!+#REF!</f>
        <v>#REF!</v>
      </c>
      <c r="D40" s="1525" t="e">
        <f>#REF!</f>
        <v>#REF!</v>
      </c>
      <c r="E40" s="921"/>
      <c r="F40" s="1525" t="e">
        <f t="shared" si="5"/>
        <v>#REF!</v>
      </c>
      <c r="G40" s="2338">
        <v>396.78</v>
      </c>
      <c r="H40" s="2338">
        <v>99.28</v>
      </c>
      <c r="I40" s="2337">
        <v>2.4900000000000002</v>
      </c>
      <c r="J40" s="2336"/>
      <c r="K40" s="2337">
        <v>498.55</v>
      </c>
      <c r="M40" s="2253" t="e">
        <f t="shared" si="4"/>
        <v>#REF!</v>
      </c>
    </row>
    <row r="41" spans="1:13" ht="31.5" x14ac:dyDescent="0.25">
      <c r="A41" s="842" t="s">
        <v>3019</v>
      </c>
      <c r="B41" s="1812" t="e">
        <f>#REF!</f>
        <v>#REF!</v>
      </c>
      <c r="C41" s="1812" t="e">
        <f>#REF!+#REF!</f>
        <v>#REF!</v>
      </c>
      <c r="D41" s="1525" t="e">
        <f>#REF!</f>
        <v>#REF!</v>
      </c>
      <c r="E41" s="921"/>
      <c r="F41" s="1525" t="e">
        <f t="shared" si="5"/>
        <v>#REF!</v>
      </c>
      <c r="G41" s="2338">
        <v>3932.44</v>
      </c>
      <c r="H41" s="2338">
        <v>983.95</v>
      </c>
      <c r="I41" s="2337">
        <v>24.69</v>
      </c>
      <c r="J41" s="2336"/>
      <c r="K41" s="2337">
        <v>4941.08</v>
      </c>
      <c r="M41" s="2253" t="e">
        <f t="shared" si="4"/>
        <v>#REF!</v>
      </c>
    </row>
    <row r="42" spans="1:13" x14ac:dyDescent="0.25">
      <c r="A42" s="921" t="s">
        <v>3015</v>
      </c>
      <c r="B42" s="1812" t="e">
        <f>#REF!</f>
        <v>#REF!</v>
      </c>
      <c r="C42" s="1812" t="e">
        <f>#REF!+#REF!</f>
        <v>#REF!</v>
      </c>
      <c r="D42" s="1525" t="e">
        <f>#REF!</f>
        <v>#REF!</v>
      </c>
      <c r="E42" s="921"/>
      <c r="F42" s="1525" t="e">
        <f t="shared" si="5"/>
        <v>#REF!</v>
      </c>
      <c r="G42" s="2338">
        <v>2859.01</v>
      </c>
      <c r="H42" s="2338">
        <v>715.36</v>
      </c>
      <c r="I42" s="2337">
        <v>17.95</v>
      </c>
      <c r="J42" s="2336"/>
      <c r="K42" s="2337">
        <v>3592.32</v>
      </c>
      <c r="M42" s="2253" t="e">
        <f t="shared" si="4"/>
        <v>#REF!</v>
      </c>
    </row>
    <row r="43" spans="1:13" x14ac:dyDescent="0.25">
      <c r="A43" s="921" t="s">
        <v>3016</v>
      </c>
      <c r="B43" s="1812" t="e">
        <f>#REF!</f>
        <v>#REF!</v>
      </c>
      <c r="C43" s="1812" t="e">
        <f>#REF!+#REF!</f>
        <v>#REF!</v>
      </c>
      <c r="D43" s="1525" t="e">
        <f>#REF!</f>
        <v>#REF!</v>
      </c>
      <c r="E43" s="921"/>
      <c r="F43" s="1525" t="e">
        <f t="shared" si="5"/>
        <v>#REF!</v>
      </c>
      <c r="G43" s="2338">
        <v>628.98</v>
      </c>
      <c r="H43" s="2338">
        <v>157.38</v>
      </c>
      <c r="I43" s="2337">
        <v>3.95</v>
      </c>
      <c r="J43" s="2336"/>
      <c r="K43" s="2337">
        <v>790.31</v>
      </c>
      <c r="M43" s="2253" t="e">
        <f t="shared" si="4"/>
        <v>#REF!</v>
      </c>
    </row>
    <row r="44" spans="1:13" x14ac:dyDescent="0.25">
      <c r="A44" s="921" t="s">
        <v>58</v>
      </c>
      <c r="B44" s="1812" t="e">
        <f>#REF!</f>
        <v>#REF!</v>
      </c>
      <c r="C44" s="1812" t="e">
        <f>#REF!+#REF!</f>
        <v>#REF!</v>
      </c>
      <c r="D44" s="1525" t="e">
        <f>#REF!</f>
        <v>#REF!</v>
      </c>
      <c r="E44" s="921"/>
      <c r="F44" s="1525" t="e">
        <f t="shared" si="5"/>
        <v>#REF!</v>
      </c>
      <c r="G44" s="2338">
        <v>444.45</v>
      </c>
      <c r="H44" s="2338">
        <v>111.21</v>
      </c>
      <c r="I44" s="2337">
        <v>2.79</v>
      </c>
      <c r="J44" s="2336"/>
      <c r="K44" s="2337">
        <v>558.44000000000005</v>
      </c>
      <c r="M44" s="2253" t="e">
        <f t="shared" si="4"/>
        <v>#REF!</v>
      </c>
    </row>
    <row r="45" spans="1:13" x14ac:dyDescent="0.25">
      <c r="A45" s="921" t="s">
        <v>3023</v>
      </c>
      <c r="B45" s="1812" t="e">
        <f>#REF!</f>
        <v>#REF!</v>
      </c>
      <c r="C45" s="1812" t="e">
        <f>#REF!+#REF!</f>
        <v>#REF!</v>
      </c>
      <c r="D45" s="1525" t="e">
        <f>#REF!</f>
        <v>#REF!</v>
      </c>
      <c r="E45" s="921"/>
      <c r="F45" s="1525" t="e">
        <f t="shared" si="5"/>
        <v>#REF!</v>
      </c>
      <c r="G45" s="2338">
        <v>78.430000000000007</v>
      </c>
      <c r="H45" s="2338">
        <v>0</v>
      </c>
      <c r="I45" s="2337">
        <v>0</v>
      </c>
      <c r="J45" s="2336"/>
      <c r="K45" s="2337">
        <v>78.430000000000007</v>
      </c>
      <c r="M45" s="2253" t="e">
        <f t="shared" si="4"/>
        <v>#REF!</v>
      </c>
    </row>
    <row r="46" spans="1:13" x14ac:dyDescent="0.25">
      <c r="A46" s="921" t="s">
        <v>3022</v>
      </c>
      <c r="B46" s="1812" t="e">
        <f>#REF!</f>
        <v>#REF!</v>
      </c>
      <c r="C46" s="1812" t="e">
        <f>#REF!+#REF!</f>
        <v>#REF!</v>
      </c>
      <c r="D46" s="1525" t="e">
        <f>#REF!</f>
        <v>#REF!</v>
      </c>
      <c r="E46" s="921"/>
      <c r="F46" s="1525" t="e">
        <f t="shared" si="5"/>
        <v>#REF!</v>
      </c>
      <c r="G46" s="2338">
        <v>0</v>
      </c>
      <c r="H46" s="2338">
        <v>0</v>
      </c>
      <c r="I46" s="2337">
        <v>0</v>
      </c>
      <c r="J46" s="2336"/>
      <c r="K46" s="2337">
        <v>0</v>
      </c>
      <c r="M46" s="2253" t="e">
        <f t="shared" si="4"/>
        <v>#REF!</v>
      </c>
    </row>
    <row r="47" spans="1:13" x14ac:dyDescent="0.25">
      <c r="A47" s="921" t="s">
        <v>2183</v>
      </c>
      <c r="B47" s="1812" t="e">
        <f>#REF!</f>
        <v>#REF!</v>
      </c>
      <c r="C47" s="1812" t="e">
        <f>#REF!+#REF!</f>
        <v>#REF!</v>
      </c>
      <c r="D47" s="1525" t="e">
        <f>#REF!</f>
        <v>#REF!</v>
      </c>
      <c r="E47" s="921"/>
      <c r="F47" s="1525" t="e">
        <f t="shared" si="5"/>
        <v>#REF!</v>
      </c>
      <c r="G47" s="2338">
        <v>4100.59</v>
      </c>
      <c r="H47" s="2338">
        <v>1015.77</v>
      </c>
      <c r="I47" s="2337">
        <v>18.63</v>
      </c>
      <c r="J47" s="2336"/>
      <c r="K47" s="2337">
        <v>5134.99</v>
      </c>
      <c r="M47" s="2253" t="e">
        <f t="shared" si="4"/>
        <v>#REF!</v>
      </c>
    </row>
    <row r="48" spans="1:13" x14ac:dyDescent="0.25">
      <c r="A48" s="150" t="s">
        <v>65</v>
      </c>
      <c r="B48" s="1812" t="e">
        <f>#REF!</f>
        <v>#REF!</v>
      </c>
      <c r="C48" s="1812" t="e">
        <f>#REF!+#REF!</f>
        <v>#REF!</v>
      </c>
      <c r="D48" s="1525" t="e">
        <f>#REF!</f>
        <v>#REF!</v>
      </c>
      <c r="E48" s="921"/>
      <c r="F48" s="1525" t="e">
        <f t="shared" si="5"/>
        <v>#REF!</v>
      </c>
      <c r="G48" s="2338">
        <v>738.11</v>
      </c>
      <c r="H48" s="2338">
        <v>182.84</v>
      </c>
      <c r="I48" s="2337">
        <v>3.35</v>
      </c>
      <c r="J48" s="2336"/>
      <c r="K48" s="2337">
        <v>924.3</v>
      </c>
      <c r="M48" s="2253" t="e">
        <f t="shared" si="4"/>
        <v>#REF!</v>
      </c>
    </row>
    <row r="49" spans="1:13" x14ac:dyDescent="0.25">
      <c r="A49" s="150" t="s">
        <v>85</v>
      </c>
      <c r="B49" s="1812" t="e">
        <f>#REF!</f>
        <v>#REF!</v>
      </c>
      <c r="C49" s="1812" t="e">
        <f>#REF!+#REF!</f>
        <v>#REF!</v>
      </c>
      <c r="D49" s="1525" t="e">
        <f>#REF!</f>
        <v>#REF!</v>
      </c>
      <c r="E49" s="921"/>
      <c r="F49" s="1525" t="e">
        <f t="shared" si="5"/>
        <v>#REF!</v>
      </c>
      <c r="G49" s="2338">
        <v>504.37</v>
      </c>
      <c r="H49" s="2338">
        <v>124.94</v>
      </c>
      <c r="I49" s="2337">
        <v>2.29</v>
      </c>
      <c r="J49" s="2336"/>
      <c r="K49" s="2337">
        <v>631.6</v>
      </c>
      <c r="M49" s="2253" t="e">
        <f t="shared" si="4"/>
        <v>#REF!</v>
      </c>
    </row>
    <row r="50" spans="1:13" ht="38.25" x14ac:dyDescent="0.25">
      <c r="A50" s="150" t="s">
        <v>71</v>
      </c>
      <c r="B50" s="1812" t="e">
        <f>#REF!</f>
        <v>#REF!</v>
      </c>
      <c r="C50" s="1812" t="e">
        <f>#REF!+#REF!</f>
        <v>#REF!</v>
      </c>
      <c r="D50" s="1525" t="e">
        <f>#REF!</f>
        <v>#REF!</v>
      </c>
      <c r="E50" s="921"/>
      <c r="F50" s="1525" t="e">
        <f t="shared" si="5"/>
        <v>#REF!</v>
      </c>
      <c r="G50" s="2338">
        <v>787.73</v>
      </c>
      <c r="H50" s="2338">
        <v>0</v>
      </c>
      <c r="I50" s="2337">
        <v>0</v>
      </c>
      <c r="J50" s="2336"/>
      <c r="K50" s="2337">
        <v>787.73</v>
      </c>
      <c r="M50" s="2253" t="e">
        <f t="shared" si="4"/>
        <v>#REF!</v>
      </c>
    </row>
    <row r="51" spans="1:13" ht="25.5" x14ac:dyDescent="0.25">
      <c r="A51" s="150" t="s">
        <v>87</v>
      </c>
      <c r="B51" s="1812" t="e">
        <f>#REF!</f>
        <v>#REF!</v>
      </c>
      <c r="C51" s="1812" t="e">
        <f>#REF!+#REF!</f>
        <v>#REF!</v>
      </c>
      <c r="D51" s="1525" t="e">
        <f>#REF!</f>
        <v>#REF!</v>
      </c>
      <c r="E51" s="921"/>
      <c r="F51" s="1525" t="e">
        <f t="shared" si="5"/>
        <v>#REF!</v>
      </c>
      <c r="G51" s="2338">
        <v>2070.38</v>
      </c>
      <c r="H51" s="2338">
        <v>707.99</v>
      </c>
      <c r="I51" s="2337">
        <v>12.99</v>
      </c>
      <c r="J51" s="2336"/>
      <c r="K51" s="2337">
        <v>2791.36</v>
      </c>
      <c r="M51" s="2253" t="e">
        <f t="shared" si="4"/>
        <v>#REF!</v>
      </c>
    </row>
    <row r="52" spans="1:13" s="1898" customFormat="1" x14ac:dyDescent="0.25">
      <c r="A52" s="1898" t="s">
        <v>3021</v>
      </c>
      <c r="B52" s="2332" t="e">
        <f>B28+B29+B30+B31+B32+B33+B34+B35+B36+B37+B41+B47+B46+B45</f>
        <v>#REF!</v>
      </c>
      <c r="C52" s="2332" t="e">
        <f t="shared" ref="C52:F52" si="6">C28+C29+C30+C31+C32+C33+C34+C35+C36+C37+C41+C47+C46+C45</f>
        <v>#REF!</v>
      </c>
      <c r="D52" s="2332" t="e">
        <f t="shared" si="6"/>
        <v>#REF!</v>
      </c>
      <c r="E52" s="2332"/>
      <c r="F52" s="2332" t="e">
        <f t="shared" si="6"/>
        <v>#REF!</v>
      </c>
      <c r="G52" s="2339">
        <v>35000.19</v>
      </c>
      <c r="H52" s="2339">
        <v>30114.53</v>
      </c>
      <c r="I52" s="2339">
        <v>667.99</v>
      </c>
      <c r="J52" s="2339"/>
      <c r="K52" s="2339">
        <v>65782.710000000006</v>
      </c>
      <c r="M52" s="58"/>
    </row>
    <row r="53" spans="1:13" x14ac:dyDescent="0.25">
      <c r="B53" s="2253" t="e">
        <f>B27-B52</f>
        <v>#REF!</v>
      </c>
      <c r="C53" s="2253" t="e">
        <f t="shared" ref="C53:F53" si="7">C27-C52</f>
        <v>#REF!</v>
      </c>
      <c r="D53" s="2253" t="e">
        <f t="shared" si="7"/>
        <v>#REF!</v>
      </c>
      <c r="E53" s="2253"/>
      <c r="F53" s="2253" t="e">
        <f t="shared" si="7"/>
        <v>#REF!</v>
      </c>
      <c r="G53" s="2333">
        <v>0</v>
      </c>
      <c r="H53" s="2333">
        <v>0</v>
      </c>
      <c r="I53" s="2333">
        <v>0</v>
      </c>
      <c r="J53" s="2333"/>
      <c r="K53" s="2333">
        <v>0</v>
      </c>
    </row>
    <row r="54" spans="1:13" x14ac:dyDescent="0.25">
      <c r="A54" s="58" t="s">
        <v>3027</v>
      </c>
      <c r="B54" s="1541" t="e">
        <f>B28+B29+B30+B31+B32+B33+B34+B35+B36+B37</f>
        <v>#REF!</v>
      </c>
      <c r="C54" s="1541" t="e">
        <f t="shared" ref="C54:F54" si="8">C28+C29+C30+C31+C32+C33+C34+C35+C36+C37</f>
        <v>#REF!</v>
      </c>
      <c r="D54" s="1541" t="e">
        <f t="shared" si="8"/>
        <v>#REF!</v>
      </c>
      <c r="E54" s="1541"/>
      <c r="F54" s="1541" t="e">
        <f t="shared" si="8"/>
        <v>#REF!</v>
      </c>
      <c r="G54" s="2340">
        <v>26888.73</v>
      </c>
      <c r="H54" s="2340">
        <v>28114.81</v>
      </c>
      <c r="I54" s="2340">
        <v>624.66999999999996</v>
      </c>
      <c r="J54" s="2340"/>
      <c r="K54" s="2340">
        <v>55628.21</v>
      </c>
    </row>
  </sheetData>
  <mergeCells count="1">
    <mergeCell ref="G21:K21"/>
  </mergeCells>
  <pageMargins left="0.7" right="0.7" top="0.75" bottom="0.75" header="0.3" footer="0.3"/>
  <pageSetup paperSize="9"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sheetPr>
  <dimension ref="A1:L143"/>
  <sheetViews>
    <sheetView topLeftCell="A34" workbookViewId="0">
      <selection activeCell="C48" sqref="C48"/>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85.9" customHeight="1" x14ac:dyDescent="0.25">
      <c r="F1" s="4020" t="s">
        <v>2765</v>
      </c>
      <c r="G1" s="4020"/>
    </row>
    <row r="2" spans="1:12" ht="45.75" customHeight="1" x14ac:dyDescent="0.25">
      <c r="A2" s="18"/>
      <c r="B2" s="4021" t="s">
        <v>3085</v>
      </c>
      <c r="C2" s="4021"/>
      <c r="D2" s="4021"/>
      <c r="E2" s="4021"/>
      <c r="F2" s="4021"/>
      <c r="G2" s="1876"/>
    </row>
    <row r="3" spans="1:12" ht="15.75" thickBot="1" x14ac:dyDescent="0.3">
      <c r="G3" s="18" t="s">
        <v>1649</v>
      </c>
    </row>
    <row r="4" spans="1:12" ht="30" customHeight="1" thickBot="1" x14ac:dyDescent="0.3">
      <c r="A4" s="4022" t="s">
        <v>7</v>
      </c>
      <c r="B4" s="4022" t="s">
        <v>619</v>
      </c>
      <c r="C4" s="4022" t="s">
        <v>2766</v>
      </c>
      <c r="D4" s="4025" t="s">
        <v>2767</v>
      </c>
      <c r="E4" s="4026"/>
      <c r="F4" s="4026"/>
      <c r="G4" s="4027"/>
      <c r="H4" s="108"/>
      <c r="I4" s="108"/>
    </row>
    <row r="5" spans="1:12" ht="75" customHeight="1" thickBot="1" x14ac:dyDescent="0.3">
      <c r="A5" s="4023"/>
      <c r="B5" s="4024"/>
      <c r="C5" s="4024"/>
      <c r="D5" s="2176" t="s">
        <v>2768</v>
      </c>
      <c r="E5" s="2176" t="s">
        <v>2769</v>
      </c>
      <c r="F5" s="2176" t="s">
        <v>2770</v>
      </c>
      <c r="G5" s="2176" t="s">
        <v>2771</v>
      </c>
      <c r="H5" s="108"/>
      <c r="I5" s="108"/>
    </row>
    <row r="6" spans="1:12" ht="15.75" thickBot="1" x14ac:dyDescent="0.3">
      <c r="A6" s="2177">
        <v>1</v>
      </c>
      <c r="B6" s="2178">
        <v>2</v>
      </c>
      <c r="C6" s="2163">
        <v>3</v>
      </c>
      <c r="D6" s="2177">
        <v>4</v>
      </c>
      <c r="E6" s="2163">
        <v>5</v>
      </c>
      <c r="F6" s="2178">
        <v>6</v>
      </c>
      <c r="G6" s="2164">
        <v>7</v>
      </c>
    </row>
    <row r="7" spans="1:12" ht="15.75" thickBot="1" x14ac:dyDescent="0.3">
      <c r="A7" s="2205" t="s">
        <v>3060</v>
      </c>
      <c r="B7" s="4028" t="s">
        <v>2772</v>
      </c>
      <c r="C7" s="4029"/>
      <c r="D7" s="4029"/>
      <c r="E7" s="4029"/>
      <c r="F7" s="4029"/>
      <c r="G7" s="4030"/>
    </row>
    <row r="8" spans="1:12" ht="35.25" customHeight="1" x14ac:dyDescent="0.25">
      <c r="A8" s="2180" t="s">
        <v>2773</v>
      </c>
      <c r="B8" s="2181" t="s">
        <v>2774</v>
      </c>
      <c r="C8" s="2180" t="s">
        <v>233</v>
      </c>
      <c r="D8" s="2180">
        <f>SUM(D9:D11)</f>
        <v>0</v>
      </c>
      <c r="E8" s="2182">
        <f t="shared" ref="E8:G8" si="0">SUM(E9:E11)</f>
        <v>0</v>
      </c>
      <c r="F8" s="2180">
        <f t="shared" si="0"/>
        <v>0</v>
      </c>
      <c r="G8" s="2183">
        <f t="shared" si="0"/>
        <v>9940.18</v>
      </c>
      <c r="H8" s="863"/>
      <c r="I8" s="863"/>
      <c r="J8" s="863"/>
      <c r="K8" s="863"/>
      <c r="L8" s="863"/>
    </row>
    <row r="9" spans="1:12" ht="35.25" customHeight="1" x14ac:dyDescent="0.25">
      <c r="A9" s="2184" t="s">
        <v>1672</v>
      </c>
      <c r="B9" s="2185" t="s">
        <v>2775</v>
      </c>
      <c r="C9" s="2184" t="s">
        <v>233</v>
      </c>
      <c r="D9" s="2184">
        <f>'Додаток 3 до рішення'!D8</f>
        <v>0</v>
      </c>
      <c r="E9" s="2184">
        <f>IF(E10=0,0,'Додаток 3 до рішення'!E8)</f>
        <v>0</v>
      </c>
      <c r="F9" s="2184">
        <f>'Додаток 3 до рішення'!F8</f>
        <v>0</v>
      </c>
      <c r="G9" s="2184">
        <f>'Додаток 3 до рішення'!G8</f>
        <v>7163.27</v>
      </c>
      <c r="H9" s="863"/>
      <c r="I9" s="863"/>
      <c r="J9" s="863"/>
      <c r="K9" s="863"/>
      <c r="L9" s="863"/>
    </row>
    <row r="10" spans="1:12" ht="50.25" customHeight="1" x14ac:dyDescent="0.25">
      <c r="A10" s="2184" t="s">
        <v>1674</v>
      </c>
      <c r="B10" s="2186" t="s">
        <v>2776</v>
      </c>
      <c r="C10" s="2184" t="s">
        <v>233</v>
      </c>
      <c r="D10" s="2184">
        <f>'Додаток 4 до рішення'!D8</f>
        <v>0</v>
      </c>
      <c r="E10" s="2184">
        <f>'Додаток 4 до рішення'!E8</f>
        <v>0</v>
      </c>
      <c r="F10" s="2184">
        <f>'Додаток 4 до рішення'!F8</f>
        <v>0</v>
      </c>
      <c r="G10" s="2184">
        <f>'Додаток 4 до рішення'!G8</f>
        <v>2667.5</v>
      </c>
      <c r="H10" s="863"/>
      <c r="I10" s="863"/>
      <c r="J10" s="863"/>
      <c r="K10" s="863"/>
      <c r="L10" s="863"/>
    </row>
    <row r="11" spans="1:12" ht="35.25" customHeight="1" thickBot="1" x14ac:dyDescent="0.3">
      <c r="A11" s="2187" t="s">
        <v>1677</v>
      </c>
      <c r="B11" s="2188" t="s">
        <v>2777</v>
      </c>
      <c r="C11" s="2187" t="s">
        <v>233</v>
      </c>
      <c r="D11" s="2187">
        <f>'Додаток 6 до рішення'!D8</f>
        <v>0</v>
      </c>
      <c r="E11" s="2187">
        <f>IF(E10=0,0,'Додаток 6 до рішення'!E8)</f>
        <v>0</v>
      </c>
      <c r="F11" s="2187">
        <f>'Додаток 6 до рішення'!F8</f>
        <v>0</v>
      </c>
      <c r="G11" s="2187">
        <f>'Додаток 6 до рішення'!G8</f>
        <v>109.41</v>
      </c>
      <c r="H11" s="863"/>
      <c r="I11" s="863"/>
      <c r="J11" s="863"/>
      <c r="K11" s="863"/>
      <c r="L11" s="863"/>
    </row>
    <row r="12" spans="1:12" ht="18.75" customHeight="1" thickBot="1" x14ac:dyDescent="0.3">
      <c r="A12" s="2189" t="s">
        <v>2778</v>
      </c>
      <c r="B12" s="4028" t="s">
        <v>3062</v>
      </c>
      <c r="C12" s="4031"/>
      <c r="D12" s="4031"/>
      <c r="E12" s="4031"/>
      <c r="F12" s="4031"/>
      <c r="G12" s="4032"/>
      <c r="H12" s="2145"/>
    </row>
    <row r="13" spans="1:12" s="23" customFormat="1" ht="14.25" x14ac:dyDescent="0.2">
      <c r="A13" s="2190" t="s">
        <v>1670</v>
      </c>
      <c r="B13" s="2191" t="s">
        <v>2780</v>
      </c>
      <c r="C13" s="2184">
        <f>C14+C19+C20+C24</f>
        <v>10985.54</v>
      </c>
      <c r="D13" s="2184">
        <f t="shared" ref="D13:G13" si="1">D14+D19+D20+D24</f>
        <v>0</v>
      </c>
      <c r="E13" s="2184">
        <f t="shared" si="1"/>
        <v>0</v>
      </c>
      <c r="F13" s="2184">
        <f t="shared" si="1"/>
        <v>0</v>
      </c>
      <c r="G13" s="2184">
        <f t="shared" si="1"/>
        <v>8075.46</v>
      </c>
      <c r="H13" s="2145"/>
    </row>
    <row r="14" spans="1:12" x14ac:dyDescent="0.25">
      <c r="A14" s="2192" t="s">
        <v>1672</v>
      </c>
      <c r="B14" s="90" t="s">
        <v>2781</v>
      </c>
      <c r="C14" s="2193">
        <f>SUM(C15:C18)</f>
        <v>7614.83</v>
      </c>
      <c r="D14" s="2193">
        <f t="shared" ref="D14:G14" si="2">SUM(D15:D18)</f>
        <v>0</v>
      </c>
      <c r="E14" s="2193">
        <f t="shared" si="2"/>
        <v>0</v>
      </c>
      <c r="F14" s="2193">
        <f t="shared" si="2"/>
        <v>0</v>
      </c>
      <c r="G14" s="2193">
        <f t="shared" si="2"/>
        <v>5502.29</v>
      </c>
      <c r="H14" s="2145"/>
      <c r="I14" s="863"/>
    </row>
    <row r="15" spans="1:12" x14ac:dyDescent="0.25">
      <c r="A15" s="2192" t="s">
        <v>2782</v>
      </c>
      <c r="B15" s="90" t="s">
        <v>2783</v>
      </c>
      <c r="C15" s="2193">
        <f>'Додаток 3 до рішення'!I12</f>
        <v>7143.47</v>
      </c>
      <c r="D15" s="2193">
        <f>'Додаток 3 до рішення'!D12</f>
        <v>0</v>
      </c>
      <c r="E15" s="2193">
        <f>IF(E10=0,0,'Додаток 3 до рішення'!E12)</f>
        <v>0</v>
      </c>
      <c r="F15" s="2193">
        <f>'Додаток 3 до рішення'!F12</f>
        <v>0</v>
      </c>
      <c r="G15" s="2193">
        <f>'Додаток 3 до рішення'!G12</f>
        <v>5120.62</v>
      </c>
      <c r="H15" s="2145"/>
    </row>
    <row r="16" spans="1:12" x14ac:dyDescent="0.25">
      <c r="A16" s="2192" t="s">
        <v>2784</v>
      </c>
      <c r="B16" s="90" t="s">
        <v>2785</v>
      </c>
      <c r="C16" s="2193">
        <f>'Додаток 3 до рішення'!I13+'Додаток 4 до рішення'!C12</f>
        <v>351</v>
      </c>
      <c r="D16" s="2193">
        <f>'Додаток 3 до рішення'!D13+'Додаток 4 до рішення'!D12</f>
        <v>0</v>
      </c>
      <c r="E16" s="2193">
        <f>IF(E10=0,0,'Додаток 3 до рішення'!E13+'Додаток 4 до рішення'!E12)</f>
        <v>0</v>
      </c>
      <c r="F16" s="2193">
        <f>'Додаток 3 до рішення'!F13+'Додаток 4 до рішення'!F12</f>
        <v>0</v>
      </c>
      <c r="G16" s="2193">
        <f>'Додаток 3 до рішення'!G13+'Додаток 4 до рішення'!G12</f>
        <v>285.64999999999998</v>
      </c>
      <c r="H16" s="2145"/>
    </row>
    <row r="17" spans="1:8" x14ac:dyDescent="0.25">
      <c r="A17" s="2192" t="s">
        <v>2786</v>
      </c>
      <c r="B17" s="90" t="s">
        <v>2787</v>
      </c>
      <c r="C17" s="2193">
        <f>'Додаток 3 до рішення'!I14+'Додаток 4 до рішення'!C13</f>
        <v>65.12</v>
      </c>
      <c r="D17" s="2193">
        <f>'Додаток 3 до рішення'!D14+'Додаток 4 до рішення'!D13</f>
        <v>0</v>
      </c>
      <c r="E17" s="2193">
        <f>IF(E10=0,0,'Додаток 3 до рішення'!E14+'Додаток 4 до рішення'!E13)</f>
        <v>0</v>
      </c>
      <c r="F17" s="2193">
        <f>'Додаток 3 до рішення'!F14+'Додаток 4 до рішення'!F13</f>
        <v>0</v>
      </c>
      <c r="G17" s="2193">
        <f>'Додаток 3 до рішення'!G14+'Додаток 4 до рішення'!G13</f>
        <v>53.73</v>
      </c>
      <c r="H17" s="2145"/>
    </row>
    <row r="18" spans="1:8" x14ac:dyDescent="0.25">
      <c r="A18" s="2192" t="s">
        <v>2788</v>
      </c>
      <c r="B18" s="90" t="s">
        <v>2151</v>
      </c>
      <c r="C18" s="2193">
        <f>'Додаток 3 до рішення'!I15+'Додаток 4 до рішення'!C14+'Додаток 6 до рішення'!I11</f>
        <v>55.24</v>
      </c>
      <c r="D18" s="2193">
        <f>'Додаток 3 до рішення'!D15+'Додаток 4 до рішення'!D14+'Додаток 6 до рішення'!D11</f>
        <v>0</v>
      </c>
      <c r="E18" s="2193">
        <f>IF(E10=0,0,'Додаток 3 до рішення'!E15+'Додаток 4 до рішення'!E14+'Додаток 6 до рішення'!E11)</f>
        <v>0</v>
      </c>
      <c r="F18" s="2193">
        <f>'Додаток 3 до рішення'!F15+'Додаток 4 до рішення'!F14+'Додаток 6 до рішення'!F11</f>
        <v>0</v>
      </c>
      <c r="G18" s="2193">
        <f>'Додаток 3 до рішення'!G15+'Додаток 4 до рішення'!G14+'Додаток 6 до рішення'!G11</f>
        <v>42.29</v>
      </c>
      <c r="H18" s="2145"/>
    </row>
    <row r="19" spans="1:8" x14ac:dyDescent="0.25">
      <c r="A19" s="2194" t="s">
        <v>1674</v>
      </c>
      <c r="B19" s="174" t="s">
        <v>2789</v>
      </c>
      <c r="C19" s="2184">
        <f>'Додаток 3 до рішення'!I16+'Додаток 4 до рішення'!C15+'Додаток 6 до рішення'!I12</f>
        <v>1329.16</v>
      </c>
      <c r="D19" s="2184">
        <f>'Додаток 3 до рішення'!D16+'Додаток 4 до рішення'!D15+'Додаток 6 до рішення'!D12</f>
        <v>0</v>
      </c>
      <c r="E19" s="2184">
        <f>IF(E10=0,0,'Додаток 3 до рішення'!E16+'Додаток 4 до рішення'!E15+'Додаток 6 до рішення'!E12)</f>
        <v>0</v>
      </c>
      <c r="F19" s="2184">
        <f>'Додаток 3 до рішення'!F16+'Додаток 4 до рішення'!F15+'Додаток 6 до рішення'!F12</f>
        <v>0</v>
      </c>
      <c r="G19" s="2184">
        <f>'Додаток 3 до рішення'!G16+'Додаток 4 до рішення'!G15+'Додаток 6 до рішення'!G12</f>
        <v>1031.6099999999999</v>
      </c>
      <c r="H19" s="2145"/>
    </row>
    <row r="20" spans="1:8" x14ac:dyDescent="0.25">
      <c r="A20" s="2194" t="s">
        <v>1677</v>
      </c>
      <c r="B20" s="174" t="s">
        <v>2790</v>
      </c>
      <c r="C20" s="2184">
        <f>C21+C22+C23</f>
        <v>1511.84</v>
      </c>
      <c r="D20" s="2184">
        <f t="shared" ref="D20:G20" si="3">D21+D22+D23</f>
        <v>0</v>
      </c>
      <c r="E20" s="2184">
        <f t="shared" si="3"/>
        <v>0</v>
      </c>
      <c r="F20" s="2184">
        <f t="shared" si="3"/>
        <v>0</v>
      </c>
      <c r="G20" s="2184">
        <f t="shared" si="3"/>
        <v>1152.1500000000001</v>
      </c>
      <c r="H20" s="2145"/>
    </row>
    <row r="21" spans="1:8" x14ac:dyDescent="0.25">
      <c r="A21" s="2192" t="s">
        <v>2791</v>
      </c>
      <c r="B21" s="90" t="s">
        <v>2792</v>
      </c>
      <c r="C21" s="2193">
        <f>'Додаток 3 до рішення'!I18+'Додаток 4 до рішення'!C17+'Додаток 6 до рішення'!I14</f>
        <v>292.41000000000003</v>
      </c>
      <c r="D21" s="2193">
        <f>'Додаток 3 до рішення'!D18+'Додаток 4 до рішення'!D17+'Додаток 6 до рішення'!D14</f>
        <v>0</v>
      </c>
      <c r="E21" s="2193">
        <f>IF(E10=0,0,'Додаток 3 до рішення'!E18+'Додаток 4 до рішення'!E17+'Додаток 6 до рішення'!E14)</f>
        <v>0</v>
      </c>
      <c r="F21" s="2193">
        <f>'Додаток 3 до рішення'!F18+'Додаток 4 до рішення'!F17+'Додаток 6 до рішення'!F14</f>
        <v>0</v>
      </c>
      <c r="G21" s="2193">
        <f>'Додаток 3 до рішення'!G18+'Додаток 4 до рішення'!G17+'Додаток 6 до рішення'!G14</f>
        <v>226.95</v>
      </c>
      <c r="H21" s="2145"/>
    </row>
    <row r="22" spans="1:8" x14ac:dyDescent="0.25">
      <c r="A22" s="2192" t="s">
        <v>2793</v>
      </c>
      <c r="B22" s="90" t="s">
        <v>2794</v>
      </c>
      <c r="C22" s="2193">
        <f>'Додаток 3 до рішення'!I19+'Додаток 4 до рішення'!C18+'Додаток 6 до рішення'!I15</f>
        <v>327.42</v>
      </c>
      <c r="D22" s="2193">
        <f>'Додаток 3 до рішення'!D19+'Додаток 4 до рішення'!D18+'Додаток 6 до рішення'!D15</f>
        <v>0</v>
      </c>
      <c r="E22" s="2193">
        <f>IF(E10=0,0,'Додаток 3 до рішення'!E19+'Додаток 4 до рішення'!E18+'Додаток 6 до рішення'!E15)</f>
        <v>0</v>
      </c>
      <c r="F22" s="2193">
        <f>'Додаток 3 до рішення'!F19+'Додаток 4 до рішення'!F18+'Додаток 6 до рішення'!F15</f>
        <v>0</v>
      </c>
      <c r="G22" s="2193">
        <f>'Додаток 3 до рішення'!G19+'Додаток 4 до рішення'!G18+'Додаток 6 до рішення'!G15</f>
        <v>238.52</v>
      </c>
      <c r="H22" s="2145"/>
    </row>
    <row r="23" spans="1:8" x14ac:dyDescent="0.25">
      <c r="A23" s="2192" t="s">
        <v>2795</v>
      </c>
      <c r="B23" s="90" t="s">
        <v>82</v>
      </c>
      <c r="C23" s="2193">
        <f>'Додаток 3 до рішення'!I20+'Додаток 4 до рішення'!C19+'Додаток 6 до рішення'!I16</f>
        <v>892.01</v>
      </c>
      <c r="D23" s="2193">
        <f>'Додаток 3 до рішення'!D20+'Додаток 4 до рішення'!D19+'Додаток 6 до рішення'!D16</f>
        <v>0</v>
      </c>
      <c r="E23" s="2193">
        <f>IF(E10=0,0,'Додаток 3 до рішення'!E20+'Додаток 4 до рішення'!E19+'Додаток 6 до рішення'!E16)</f>
        <v>0</v>
      </c>
      <c r="F23" s="2193">
        <f>'Додаток 3 до рішення'!F20+'Додаток 4 до рішення'!F19+'Додаток 6 до рішення'!F16</f>
        <v>0</v>
      </c>
      <c r="G23" s="2193">
        <f>'Додаток 3 до рішення'!G20+'Додаток 4 до рішення'!G19+'Додаток 6 до рішення'!G16</f>
        <v>686.68</v>
      </c>
      <c r="H23" s="2145"/>
    </row>
    <row r="24" spans="1:8" s="23" customFormat="1" ht="14.25" x14ac:dyDescent="0.2">
      <c r="A24" s="2194" t="s">
        <v>1679</v>
      </c>
      <c r="B24" s="174" t="s">
        <v>2796</v>
      </c>
      <c r="C24" s="2184">
        <f>C25+C26+C27+C28</f>
        <v>529.71</v>
      </c>
      <c r="D24" s="2184">
        <f t="shared" ref="D24:G24" si="4">D25+D26+D27+D28</f>
        <v>0</v>
      </c>
      <c r="E24" s="2184">
        <f t="shared" si="4"/>
        <v>0</v>
      </c>
      <c r="F24" s="2184">
        <f t="shared" si="4"/>
        <v>0</v>
      </c>
      <c r="G24" s="2184">
        <f t="shared" si="4"/>
        <v>389.41</v>
      </c>
      <c r="H24" s="2145"/>
    </row>
    <row r="25" spans="1:8" x14ac:dyDescent="0.25">
      <c r="A25" s="2195" t="s">
        <v>2797</v>
      </c>
      <c r="B25" s="90" t="s">
        <v>2798</v>
      </c>
      <c r="C25" s="2193">
        <f>'Додаток 3 до рішення'!I22+'Додаток 4 до рішення'!C21+'Додаток 6 до рішення'!I18</f>
        <v>352.79</v>
      </c>
      <c r="D25" s="2193">
        <f>'Додаток 3 до рішення'!D22+'Додаток 4 до рішення'!D21+'Додаток 6 до рішення'!D18</f>
        <v>0</v>
      </c>
      <c r="E25" s="2193">
        <f>IF(E10=0,0,'Додаток 3 до рішення'!E22+'Додаток 4 до рішення'!E21+'Додаток 6 до рішення'!E18)</f>
        <v>0</v>
      </c>
      <c r="F25" s="2193">
        <f>'Додаток 3 до рішення'!F22+'Додаток 4 до рішення'!F21+'Додаток 6 до рішення'!F18</f>
        <v>0</v>
      </c>
      <c r="G25" s="2193">
        <f>'Додаток 3 до рішення'!G22+'Додаток 4 до рішення'!G21+'Додаток 6 до рішення'!G18</f>
        <v>259.35000000000002</v>
      </c>
      <c r="H25" s="2145"/>
    </row>
    <row r="26" spans="1:8" x14ac:dyDescent="0.25">
      <c r="A26" s="2195" t="s">
        <v>2799</v>
      </c>
      <c r="B26" s="90" t="s">
        <v>2153</v>
      </c>
      <c r="C26" s="2193">
        <f>'Додаток 3 до рішення'!I23+'Додаток 4 до рішення'!C22+'Додаток 6 до рішення'!I19</f>
        <v>77.61</v>
      </c>
      <c r="D26" s="2193">
        <f>'Додаток 3 до рішення'!D23+'Додаток 4 до рішення'!D22+'Додаток 6 до рішення'!D19</f>
        <v>0</v>
      </c>
      <c r="E26" s="2193">
        <f>IF(E10=0,0,'Додаток 3 до рішення'!E23+'Додаток 4 до рішення'!E22+'Додаток 6 до рішення'!E19)</f>
        <v>0</v>
      </c>
      <c r="F26" s="2193">
        <f>'Додаток 3 до рішення'!F23+'Додаток 4 до рішення'!F22+'Додаток 6 до рішення'!F19</f>
        <v>0</v>
      </c>
      <c r="G26" s="2193">
        <f>'Додаток 3 до рішення'!G23+'Додаток 4 до рішення'!G22+'Додаток 6 до рішення'!G19</f>
        <v>57.06</v>
      </c>
      <c r="H26" s="2145"/>
    </row>
    <row r="27" spans="1:8" x14ac:dyDescent="0.25">
      <c r="A27" s="2195" t="s">
        <v>2800</v>
      </c>
      <c r="B27" s="90" t="s">
        <v>2794</v>
      </c>
      <c r="C27" s="2193">
        <f>'Додаток 3 до рішення'!I24+'Додаток 4 до рішення'!C23+'Додаток 6 до рішення'!I20</f>
        <v>4.8099999999999996</v>
      </c>
      <c r="D27" s="2193">
        <f>'Додаток 3 до рішення'!D24+'Додаток 4 до рішення'!D23+'Додаток 6 до рішення'!D20</f>
        <v>0</v>
      </c>
      <c r="E27" s="2193">
        <f>IF(E10=0,0,'Додаток 3 до рішення'!E24+'Додаток 4 до рішення'!E23+'Додаток 6 до рішення'!E20)</f>
        <v>0</v>
      </c>
      <c r="F27" s="2193">
        <f>'Додаток 3 до рішення'!F24+'Додаток 4 до рішення'!F23+'Додаток 6 до рішення'!F20</f>
        <v>0</v>
      </c>
      <c r="G27" s="2193">
        <f>'Додаток 3 до рішення'!G24+'Додаток 4 до рішення'!G23+'Додаток 6 до рішення'!G20</f>
        <v>3.53</v>
      </c>
      <c r="H27" s="2145"/>
    </row>
    <row r="28" spans="1:8" x14ac:dyDescent="0.25">
      <c r="A28" s="2195" t="s">
        <v>2801</v>
      </c>
      <c r="B28" s="90" t="s">
        <v>58</v>
      </c>
      <c r="C28" s="2193">
        <f>'Додаток 3 до рішення'!I25+'Додаток 4 до рішення'!C24+'Додаток 6 до рішення'!I21</f>
        <v>94.5</v>
      </c>
      <c r="D28" s="2193">
        <f>'Додаток 3 до рішення'!D25+'Додаток 4 до рішення'!D24+'Додаток 6 до рішення'!D21</f>
        <v>0</v>
      </c>
      <c r="E28" s="2193">
        <f>IF(E10=0,0,'Додаток 3 до рішення'!E25+'Додаток 4 до рішення'!E24+'Додаток 6 до рішення'!E21)</f>
        <v>0</v>
      </c>
      <c r="F28" s="2193">
        <f>'Додаток 3 до рішення'!F25+'Додаток 4 до рішення'!F24+'Додаток 6 до рішення'!F21</f>
        <v>0</v>
      </c>
      <c r="G28" s="2193">
        <f>'Додаток 3 до рішення'!G25+'Додаток 4 до рішення'!G24+'Додаток 6 до рішення'!G21</f>
        <v>69.47</v>
      </c>
      <c r="H28" s="2145"/>
    </row>
    <row r="29" spans="1:8" s="23" customFormat="1" ht="14.25" x14ac:dyDescent="0.2">
      <c r="A29" s="2190" t="s">
        <v>1692</v>
      </c>
      <c r="B29" s="174" t="s">
        <v>2802</v>
      </c>
      <c r="C29" s="2184">
        <f>C30+C31+C32+C33</f>
        <v>211.2</v>
      </c>
      <c r="D29" s="2184">
        <f t="shared" ref="D29:G29" si="5">D30+D31+D32+D33</f>
        <v>0</v>
      </c>
      <c r="E29" s="2184">
        <f t="shared" si="5"/>
        <v>0</v>
      </c>
      <c r="F29" s="2184">
        <f t="shared" si="5"/>
        <v>0</v>
      </c>
      <c r="G29" s="2184">
        <f t="shared" si="5"/>
        <v>155.26</v>
      </c>
      <c r="H29" s="2145"/>
    </row>
    <row r="30" spans="1:8" x14ac:dyDescent="0.25">
      <c r="A30" s="2195" t="s">
        <v>2803</v>
      </c>
      <c r="B30" s="90" t="s">
        <v>55</v>
      </c>
      <c r="C30" s="2193">
        <f>'Додаток 3 до рішення'!I27+'Додаток 4 до рішення'!C26+'Додаток 6 до рішення'!I23</f>
        <v>131.5</v>
      </c>
      <c r="D30" s="2193">
        <f>'Додаток 3 до рішення'!D27+'Додаток 4 до рішення'!D26+'Додаток 6 до рішення'!D23</f>
        <v>0</v>
      </c>
      <c r="E30" s="2193">
        <f>IF(E10=0,0,'Додаток 3 до рішення'!E27+'Додаток 4 до рішення'!E26+'Додаток 6 до рішення'!E23)</f>
        <v>0</v>
      </c>
      <c r="F30" s="2193">
        <f>'Додаток 3 до рішення'!F27+'Додаток 4 до рішення'!F26+'Додаток 6 до рішення'!F23</f>
        <v>0</v>
      </c>
      <c r="G30" s="2193">
        <f>'Додаток 3 до рішення'!G27+'Додаток 4 до рішення'!G26+'Додаток 6 до рішення'!G23</f>
        <v>96.67</v>
      </c>
      <c r="H30" s="2145"/>
    </row>
    <row r="31" spans="1:8" x14ac:dyDescent="0.25">
      <c r="A31" s="2195" t="s">
        <v>2804</v>
      </c>
      <c r="B31" s="90" t="s">
        <v>2805</v>
      </c>
      <c r="C31" s="2193">
        <f>'Додаток 3 до рішення'!I28+'Додаток 4 до рішення'!C27+'Додаток 6 до рішення'!I24</f>
        <v>28.93</v>
      </c>
      <c r="D31" s="2193">
        <f>'Додаток 3 до рішення'!D28+'Додаток 4 до рішення'!D27+'Додаток 6 до рішення'!D24</f>
        <v>0</v>
      </c>
      <c r="E31" s="2193">
        <f>IF(E10=0,0,'Додаток 3 до рішення'!E28+'Додаток 4 до рішення'!E27+'Додаток 6 до рішення'!E24)</f>
        <v>0</v>
      </c>
      <c r="F31" s="2193">
        <f>'Додаток 3 до рішення'!F28+'Додаток 4 до рішення'!F27+'Додаток 6 до рішення'!F24</f>
        <v>0</v>
      </c>
      <c r="G31" s="2193">
        <f>'Додаток 3 до рішення'!G28+'Додаток 4 до рішення'!G27+'Додаток 6 до рішення'!G24</f>
        <v>21.28</v>
      </c>
      <c r="H31" s="2145"/>
    </row>
    <row r="32" spans="1:8" x14ac:dyDescent="0.25">
      <c r="A32" s="2195" t="s">
        <v>2806</v>
      </c>
      <c r="B32" s="90" t="s">
        <v>2794</v>
      </c>
      <c r="C32" s="2193">
        <f>'Додаток 3 до рішення'!I29+'Додаток 4 до рішення'!C28+'Додаток 6 до рішення'!I25</f>
        <v>3.34</v>
      </c>
      <c r="D32" s="2193">
        <f>'Додаток 3 до рішення'!D29+'Додаток 4 до рішення'!D28+'Додаток 6 до рішення'!D25</f>
        <v>0</v>
      </c>
      <c r="E32" s="2193">
        <f>IF(E10=0,0,'Додаток 3 до рішення'!E29+'Додаток 4 до рішення'!E28+'Додаток 6 до рішення'!E25)</f>
        <v>0</v>
      </c>
      <c r="F32" s="2193">
        <f>'Додаток 3 до рішення'!F29+'Додаток 4 до рішення'!F28+'Додаток 6 до рішення'!F25</f>
        <v>0</v>
      </c>
      <c r="G32" s="2193">
        <f>'Додаток 3 до рішення'!G29+'Додаток 4 до рішення'!G28+'Додаток 6 до рішення'!G25</f>
        <v>2.4500000000000002</v>
      </c>
      <c r="H32" s="2145"/>
    </row>
    <row r="33" spans="1:8" x14ac:dyDescent="0.25">
      <c r="A33" s="2195" t="s">
        <v>2807</v>
      </c>
      <c r="B33" s="90" t="s">
        <v>2808</v>
      </c>
      <c r="C33" s="2193">
        <f>'Додаток 3 до рішення'!I30+'Додаток 4 до рішення'!C29+'Додаток 6 до рішення'!I26</f>
        <v>47.43</v>
      </c>
      <c r="D33" s="2193">
        <f>'Додаток 3 до рішення'!D30+'Додаток 4 до рішення'!D29+'Додаток 6 до рішення'!D26</f>
        <v>0</v>
      </c>
      <c r="E33" s="2193">
        <f>IF(E10=0,0,'Додаток 3 до рішення'!E30+'Додаток 4 до рішення'!E29+'Додаток 6 до рішення'!E26)</f>
        <v>0</v>
      </c>
      <c r="F33" s="2193">
        <f>'Додаток 3 до рішення'!F30+'Додаток 4 до рішення'!F29+'Додаток 6 до рішення'!F26</f>
        <v>0</v>
      </c>
      <c r="G33" s="2193">
        <f>'Додаток 3 до рішення'!G30+'Додаток 4 до рішення'!G29+'Додаток 6 до рішення'!G26</f>
        <v>34.86</v>
      </c>
      <c r="H33" s="2145"/>
    </row>
    <row r="34" spans="1:8" s="23" customFormat="1" ht="14.25" x14ac:dyDescent="0.2">
      <c r="A34" s="2190" t="s">
        <v>1694</v>
      </c>
      <c r="B34" s="174" t="s">
        <v>2809</v>
      </c>
      <c r="C34" s="2190">
        <v>0</v>
      </c>
      <c r="D34" s="2190">
        <v>0</v>
      </c>
      <c r="E34" s="2190">
        <v>0</v>
      </c>
      <c r="F34" s="2190">
        <v>0</v>
      </c>
      <c r="G34" s="2190">
        <v>0</v>
      </c>
      <c r="H34" s="2145"/>
    </row>
    <row r="35" spans="1:8" s="23" customFormat="1" ht="42.75" x14ac:dyDescent="0.2">
      <c r="A35" s="2190" t="s">
        <v>1697</v>
      </c>
      <c r="B35" s="2196" t="s">
        <v>2810</v>
      </c>
      <c r="C35" s="2184">
        <f>'Додаток 4 до рішення'!C32</f>
        <v>1406.22</v>
      </c>
      <c r="D35" s="2184">
        <f>'Додаток 4 до рішення'!D32</f>
        <v>0</v>
      </c>
      <c r="E35" s="2184">
        <f>IF(E10=0,0,'Додаток 4 до рішення'!E32)</f>
        <v>0</v>
      </c>
      <c r="F35" s="2184">
        <f>'Додаток 4 до рішення'!F32</f>
        <v>0</v>
      </c>
      <c r="G35" s="2184">
        <f>'Додаток 4 до рішення'!G32</f>
        <v>1173.0899999999999</v>
      </c>
      <c r="H35" s="2145"/>
    </row>
    <row r="36" spans="1:8" s="23" customFormat="1" ht="14.25" x14ac:dyDescent="0.2">
      <c r="A36" s="2190" t="s">
        <v>1769</v>
      </c>
      <c r="B36" s="174" t="s">
        <v>2811</v>
      </c>
      <c r="C36" s="2184">
        <f>'Додаток 3 до рішення'!I32+'Додаток 4 до рішення'!C33+'Додаток 6 до рішення'!I28</f>
        <v>0</v>
      </c>
      <c r="D36" s="2184">
        <f>'Додаток 3 до рішення'!D32+'Додаток 4 до рішення'!D33+'Додаток 6 до рішення'!D28</f>
        <v>0</v>
      </c>
      <c r="E36" s="2184">
        <f>IF(E10=0,0,'Додаток 3 до рішення'!E32+'Додаток 4 до рішення'!E33+'Додаток 6 до рішення'!E28)</f>
        <v>0</v>
      </c>
      <c r="F36" s="2184">
        <f>'Додаток 3 до рішення'!F32+'Додаток 4 до рішення'!F33+'Додаток 6 до рішення'!F28</f>
        <v>0</v>
      </c>
      <c r="G36" s="2184">
        <f>'Додаток 3 до рішення'!G32+'Додаток 4 до рішення'!G33+'Додаток 6 до рішення'!G28</f>
        <v>0</v>
      </c>
      <c r="H36" s="2145"/>
    </row>
    <row r="37" spans="1:8" s="23" customFormat="1" ht="14.25" x14ac:dyDescent="0.2">
      <c r="A37" s="2190" t="s">
        <v>1775</v>
      </c>
      <c r="B37" s="174" t="s">
        <v>2812</v>
      </c>
      <c r="C37" s="2190">
        <v>0</v>
      </c>
      <c r="D37" s="2190">
        <v>0</v>
      </c>
      <c r="E37" s="2190">
        <v>0</v>
      </c>
      <c r="F37" s="2190">
        <v>0</v>
      </c>
      <c r="G37" s="2190">
        <v>0</v>
      </c>
      <c r="H37" s="2145"/>
    </row>
    <row r="38" spans="1:8" s="2224" customFormat="1" ht="14.25" x14ac:dyDescent="0.2">
      <c r="A38" s="2220" t="s">
        <v>1781</v>
      </c>
      <c r="B38" s="2221" t="s">
        <v>2813</v>
      </c>
      <c r="C38" s="2222">
        <f>'Додаток 3 до рішення'!I34</f>
        <v>0</v>
      </c>
      <c r="D38" s="2222">
        <f>'Додаток 3 до рішення'!D34</f>
        <v>0</v>
      </c>
      <c r="E38" s="2222">
        <f>IF(E10=0,0,'Додаток 3 до рішення'!E34)</f>
        <v>0</v>
      </c>
      <c r="F38" s="2222">
        <f>'Додаток 3 до рішення'!F34</f>
        <v>0</v>
      </c>
      <c r="G38" s="2222">
        <f>'Додаток 3 до рішення'!G34</f>
        <v>0</v>
      </c>
      <c r="H38" s="2223"/>
    </row>
    <row r="39" spans="1:8" s="23" customFormat="1" ht="14.25" x14ac:dyDescent="0.2">
      <c r="A39" s="2190" t="s">
        <v>1783</v>
      </c>
      <c r="B39" s="174" t="s">
        <v>2814</v>
      </c>
      <c r="C39" s="2184">
        <f>SUM(C40:C43)</f>
        <v>718.87</v>
      </c>
      <c r="D39" s="2184">
        <f t="shared" ref="D39:G39" si="6">SUM(D40:D43)</f>
        <v>0</v>
      </c>
      <c r="E39" s="2184">
        <f t="shared" si="6"/>
        <v>0</v>
      </c>
      <c r="F39" s="2184">
        <f t="shared" si="6"/>
        <v>0</v>
      </c>
      <c r="G39" s="2184">
        <f t="shared" si="6"/>
        <v>536.39</v>
      </c>
      <c r="H39" s="2145"/>
    </row>
    <row r="40" spans="1:8" x14ac:dyDescent="0.25">
      <c r="A40" s="2195" t="s">
        <v>1098</v>
      </c>
      <c r="B40" s="90" t="s">
        <v>65</v>
      </c>
      <c r="C40" s="2193">
        <f>'Додаток 3 до рішення'!I36+'Додаток 4 до рішення'!C37+'Додаток 6 до рішення'!I32</f>
        <v>90.74</v>
      </c>
      <c r="D40" s="2193">
        <f>'Додаток 3 до рішення'!D36+'Додаток 4 до рішення'!D37+'Додаток 6 до рішення'!D32</f>
        <v>0</v>
      </c>
      <c r="E40" s="2193">
        <f>IF(E10=0,0,'Додаток 3 до рішення'!E36+'Додаток 4 до рішення'!E37+'Додаток 6 до рішення'!E32)</f>
        <v>0</v>
      </c>
      <c r="F40" s="2193">
        <f>'Додаток 3 до рішення'!F36+'Додаток 4 до рішення'!F37+'Додаток 6 до рішення'!F32</f>
        <v>0</v>
      </c>
      <c r="G40" s="2193">
        <f>'Додаток 3 до рішення'!G36+'Додаток 4 до рішення'!G37+'Додаток 6 до рішення'!G32</f>
        <v>67.709999999999994</v>
      </c>
      <c r="H40" s="2145"/>
    </row>
    <row r="41" spans="1:8" x14ac:dyDescent="0.25">
      <c r="A41" s="2195" t="s">
        <v>2815</v>
      </c>
      <c r="B41" s="90" t="s">
        <v>85</v>
      </c>
      <c r="C41" s="2193">
        <f>'Додаток 3 до рішення'!I37+'Додаток 4 до рішення'!C38+'Додаток 6 до рішення'!I33</f>
        <v>124.02</v>
      </c>
      <c r="D41" s="2193">
        <f>'Додаток 3 до рішення'!D37+'Додаток 4 до рішення'!D38+'Додаток 6 до рішення'!D33</f>
        <v>0</v>
      </c>
      <c r="E41" s="2193">
        <f>IF(E10=0,0,'Додаток 3 до рішення'!E37+'Додаток 4 до рішення'!E38+'Додаток 6 до рішення'!E33)</f>
        <v>0</v>
      </c>
      <c r="F41" s="2193">
        <f>'Додаток 3 до рішення'!F37+'Додаток 4 до рішення'!F38+'Додаток 6 до рішення'!F33</f>
        <v>0</v>
      </c>
      <c r="G41" s="2193">
        <f>'Додаток 3 до рішення'!G37+'Додаток 4 до рішення'!G38+'Додаток 6 до рішення'!G33</f>
        <v>92.53</v>
      </c>
      <c r="H41" s="2145"/>
    </row>
    <row r="42" spans="1:8" x14ac:dyDescent="0.25">
      <c r="A42" s="2195" t="s">
        <v>2816</v>
      </c>
      <c r="B42" s="90" t="s">
        <v>71</v>
      </c>
      <c r="C42" s="2193">
        <f>'Додаток 3 до рішення'!I38+'Додаток 4 до рішення'!C39+'Додаток 6 до рішення'!I34</f>
        <v>0</v>
      </c>
      <c r="D42" s="2193">
        <f>'Додаток 3 до рішення'!D38+'Додаток 4 до рішення'!D39+'Додаток 6 до рішення'!D34</f>
        <v>0</v>
      </c>
      <c r="E42" s="2193">
        <f>IF(E10=0,0,'Додаток 3 до рішення'!E38+'Додаток 4 до рішення'!E39+'Додаток 6 до рішення'!E34)</f>
        <v>0</v>
      </c>
      <c r="F42" s="2193">
        <f>'Додаток 3 до рішення'!F38+'Додаток 4 до рішення'!F39+'Додаток 6 до рішення'!F34</f>
        <v>0</v>
      </c>
      <c r="G42" s="2193">
        <f>'Додаток 3 до рішення'!G38+'Додаток 4 до рішення'!G39+'Додаток 6 до рішення'!G34</f>
        <v>0</v>
      </c>
      <c r="H42" s="2145"/>
    </row>
    <row r="43" spans="1:8" ht="15.75" thickBot="1" x14ac:dyDescent="0.3">
      <c r="A43" s="2197" t="s">
        <v>2817</v>
      </c>
      <c r="B43" s="2198" t="s">
        <v>2375</v>
      </c>
      <c r="C43" s="2199">
        <f>'Додаток 3 до рішення'!I39+'Додаток 4 до рішення'!C40+'Додаток 6 до рішення'!I35</f>
        <v>504.11</v>
      </c>
      <c r="D43" s="2199">
        <f>'Додаток 3 до рішення'!D39+'Додаток 4 до рішення'!D40+'Додаток 6 до рішення'!D35</f>
        <v>0</v>
      </c>
      <c r="E43" s="2199">
        <f>IF(E10=0,0,'Додаток 3 до рішення'!E39+'Додаток 4 до рішення'!E40+'Додаток 6 до рішення'!E35)</f>
        <v>0</v>
      </c>
      <c r="F43" s="2199">
        <f>'Додаток 3 до рішення'!F39+'Додаток 4 до рішення'!F40+'Додаток 6 до рішення'!F35</f>
        <v>0</v>
      </c>
      <c r="G43" s="2199">
        <f>'Додаток 3 до рішення'!G39+'Додаток 4 до рішення'!G40+'Додаток 6 до рішення'!G35</f>
        <v>376.15</v>
      </c>
      <c r="H43" s="2145"/>
    </row>
    <row r="44" spans="1:8" ht="15.75" thickBot="1" x14ac:dyDescent="0.3">
      <c r="A44" s="2189" t="s">
        <v>1785</v>
      </c>
      <c r="B44" s="2200" t="s">
        <v>2818</v>
      </c>
      <c r="C44" s="2201">
        <f>C13+C29+C34+C35+C36+C37+C38+C39</f>
        <v>13321.83</v>
      </c>
      <c r="D44" s="2201">
        <f t="shared" ref="D44:G44" si="7">D13+D29+D34+D35+D36+D37+D38+D39</f>
        <v>0</v>
      </c>
      <c r="E44" s="2201">
        <f t="shared" si="7"/>
        <v>0</v>
      </c>
      <c r="F44" s="2201">
        <f t="shared" si="7"/>
        <v>0</v>
      </c>
      <c r="G44" s="2201">
        <f t="shared" si="7"/>
        <v>9940.2000000000007</v>
      </c>
      <c r="H44" s="2145"/>
    </row>
    <row r="45" spans="1:8" s="23" customFormat="1" ht="32.25" thickBot="1" x14ac:dyDescent="0.25">
      <c r="A45" s="2189" t="s">
        <v>1789</v>
      </c>
      <c r="B45" s="1218" t="s">
        <v>2819</v>
      </c>
      <c r="C45" s="2201">
        <f>'Додаток 3 до рішення'!I8</f>
        <v>1.4</v>
      </c>
      <c r="D45" s="2201">
        <f>'Додаток 3 до рішення'!J8</f>
        <v>0</v>
      </c>
      <c r="E45" s="2201">
        <f>'Додаток 3 до рішення'!K8</f>
        <v>0</v>
      </c>
      <c r="F45" s="2201">
        <f>'Додаток 3 до рішення'!L8</f>
        <v>0</v>
      </c>
      <c r="G45" s="2201">
        <f>'Додаток 3 до рішення'!M8</f>
        <v>1.4</v>
      </c>
      <c r="H45" s="2145"/>
    </row>
    <row r="46" spans="1:8" s="23" customFormat="1" ht="32.25" thickBot="1" x14ac:dyDescent="0.3">
      <c r="A46" s="2189" t="s">
        <v>1791</v>
      </c>
      <c r="B46" s="63" t="s">
        <v>2820</v>
      </c>
      <c r="C46" s="2201">
        <f>'Додаток 6 до рішення'!I8</f>
        <v>1.2</v>
      </c>
      <c r="D46" s="2201">
        <f>'Додаток 6 до рішення'!J8</f>
        <v>0</v>
      </c>
      <c r="E46" s="2201">
        <f>'Додаток 6 до рішення'!K8</f>
        <v>0</v>
      </c>
      <c r="F46" s="2201">
        <f>'Додаток 6 до рішення'!L8</f>
        <v>0</v>
      </c>
      <c r="G46" s="2201">
        <f>'Додаток 6 до рішення'!M8</f>
        <v>1.2</v>
      </c>
      <c r="H46" s="2145"/>
    </row>
    <row r="47" spans="1:8" x14ac:dyDescent="0.25">
      <c r="B47" s="863"/>
      <c r="C47" s="2365">
        <f>C13+C29+C35+C36+C38+C39</f>
        <v>13321.83</v>
      </c>
      <c r="D47" s="2202"/>
      <c r="E47" s="2202"/>
      <c r="F47" s="2202"/>
      <c r="G47" s="2202"/>
    </row>
    <row r="48" spans="1:8" x14ac:dyDescent="0.25">
      <c r="C48" s="2366">
        <f>'Додаток 3 до рішення'!I40+'Додаток 4 до рішення'!C44+'Додаток 6 до рішення'!I38</f>
        <v>10124.200000000001</v>
      </c>
      <c r="D48" s="2204"/>
      <c r="E48" s="2202"/>
      <c r="F48" s="2202"/>
      <c r="G48" s="2202"/>
    </row>
    <row r="49" spans="1:7" ht="15.75" thickBot="1" x14ac:dyDescent="0.3">
      <c r="C49" s="2365">
        <f>C47-C48</f>
        <v>3197.63</v>
      </c>
      <c r="D49" s="2202"/>
      <c r="E49" s="2202"/>
      <c r="F49" s="2202"/>
      <c r="G49" s="2202"/>
    </row>
    <row r="50" spans="1:7" ht="15.75" thickBot="1" x14ac:dyDescent="0.3">
      <c r="A50" s="2189" t="s">
        <v>3061</v>
      </c>
      <c r="B50" s="4028" t="s">
        <v>3057</v>
      </c>
      <c r="C50" s="4033"/>
      <c r="D50" s="4033"/>
      <c r="E50" s="4033"/>
      <c r="F50" s="4033"/>
      <c r="G50" s="4034"/>
    </row>
    <row r="51" spans="1:7" ht="29.25" x14ac:dyDescent="0.25">
      <c r="A51" s="2190" t="s">
        <v>1670</v>
      </c>
      <c r="B51" s="2385" t="s">
        <v>2824</v>
      </c>
      <c r="C51" s="2180">
        <f>C52+C57+C58+C62</f>
        <v>70936.5</v>
      </c>
      <c r="D51" s="2389">
        <f>D52+D57+D58+D62</f>
        <v>0</v>
      </c>
      <c r="E51" s="2180">
        <f>E52+E57+E58+E62</f>
        <v>0</v>
      </c>
      <c r="F51" s="2389">
        <f>F52+F57+F58+F62</f>
        <v>0</v>
      </c>
      <c r="G51" s="2180">
        <f>G52+G57+G58+G62</f>
        <v>6648.95</v>
      </c>
    </row>
    <row r="52" spans="1:7" x14ac:dyDescent="0.25">
      <c r="A52" s="2192" t="s">
        <v>1672</v>
      </c>
      <c r="B52" s="2386" t="s">
        <v>2781</v>
      </c>
      <c r="C52" s="2193">
        <f>SUM(C53:C56)</f>
        <v>55382.93</v>
      </c>
      <c r="D52" s="2390">
        <f>SUM(D53:D56)</f>
        <v>0</v>
      </c>
      <c r="E52" s="2193">
        <f t="shared" ref="E52:G52" si="8">SUM(E53:E56)</f>
        <v>0</v>
      </c>
      <c r="F52" s="2390">
        <f t="shared" si="8"/>
        <v>0</v>
      </c>
      <c r="G52" s="2193">
        <f t="shared" si="8"/>
        <v>5191.1000000000004</v>
      </c>
    </row>
    <row r="53" spans="1:7" x14ac:dyDescent="0.25">
      <c r="A53" s="2192" t="s">
        <v>2782</v>
      </c>
      <c r="B53" s="2386" t="s">
        <v>2783</v>
      </c>
      <c r="C53" s="2193">
        <f>'Додаток 3 до рішення'!C12</f>
        <v>54631.040000000001</v>
      </c>
      <c r="D53" s="2390">
        <f>'Додаток 3 до рішення'!D12</f>
        <v>0</v>
      </c>
      <c r="E53" s="2193">
        <f>'Додаток 3 до рішення'!E12</f>
        <v>0</v>
      </c>
      <c r="F53" s="2390">
        <f>'Додаток 3 до рішення'!F12</f>
        <v>0</v>
      </c>
      <c r="G53" s="2193">
        <f>'Додаток 3 до рішення'!G12</f>
        <v>5120.62</v>
      </c>
    </row>
    <row r="54" spans="1:7" x14ac:dyDescent="0.25">
      <c r="A54" s="2192" t="s">
        <v>2784</v>
      </c>
      <c r="B54" s="2386" t="s">
        <v>2785</v>
      </c>
      <c r="C54" s="2193">
        <f>'Додаток 3 до рішення'!C13</f>
        <v>466.11</v>
      </c>
      <c r="D54" s="2390">
        <f>'Додаток 3 до рішення'!D13</f>
        <v>0</v>
      </c>
      <c r="E54" s="2193">
        <f>'Додаток 3 до рішення'!E13</f>
        <v>0</v>
      </c>
      <c r="F54" s="2390">
        <f>'Додаток 3 до рішення'!F13</f>
        <v>0</v>
      </c>
      <c r="G54" s="2193">
        <f>'Додаток 3 до рішення'!G13</f>
        <v>43.69</v>
      </c>
    </row>
    <row r="55" spans="1:7" ht="30" x14ac:dyDescent="0.25">
      <c r="A55" s="2192" t="s">
        <v>2786</v>
      </c>
      <c r="B55" s="2386" t="s">
        <v>2787</v>
      </c>
      <c r="C55" s="2193">
        <f>'Додаток 3 до рішення'!C14</f>
        <v>38.79</v>
      </c>
      <c r="D55" s="2390">
        <f>'Додаток 3 до рішення'!D14</f>
        <v>0</v>
      </c>
      <c r="E55" s="2193">
        <f>'Додаток 3 до рішення'!E14</f>
        <v>0</v>
      </c>
      <c r="F55" s="2390">
        <f>'Додаток 3 до рішення'!F14</f>
        <v>0</v>
      </c>
      <c r="G55" s="2193">
        <f>'Додаток 3 до рішення'!G14</f>
        <v>3.64</v>
      </c>
    </row>
    <row r="56" spans="1:7" x14ac:dyDescent="0.25">
      <c r="A56" s="2192" t="s">
        <v>2788</v>
      </c>
      <c r="B56" s="2386" t="s">
        <v>2151</v>
      </c>
      <c r="C56" s="2193">
        <f>'Додаток 3 до рішення'!C15</f>
        <v>246.99</v>
      </c>
      <c r="D56" s="2390">
        <f>'Додаток 3 до рішення'!D15</f>
        <v>0</v>
      </c>
      <c r="E56" s="2193">
        <f>'Додаток 3 до рішення'!E15</f>
        <v>0</v>
      </c>
      <c r="F56" s="2390">
        <f>'Додаток 3 до рішення'!F15</f>
        <v>0</v>
      </c>
      <c r="G56" s="2193">
        <f>'Додаток 3 до рішення'!G15</f>
        <v>23.15</v>
      </c>
    </row>
    <row r="57" spans="1:7" x14ac:dyDescent="0.25">
      <c r="A57" s="2192" t="s">
        <v>1674</v>
      </c>
      <c r="B57" s="2386" t="s">
        <v>2789</v>
      </c>
      <c r="C57" s="2193">
        <f>'Додаток 3 до рішення'!C16</f>
        <v>5029.51</v>
      </c>
      <c r="D57" s="2390">
        <f>'Додаток 3 до рішення'!D16</f>
        <v>0</v>
      </c>
      <c r="E57" s="2193">
        <f>'Додаток 3 до рішення'!E16</f>
        <v>0</v>
      </c>
      <c r="F57" s="2390">
        <f>'Додаток 3 до рішення'!F16</f>
        <v>0</v>
      </c>
      <c r="G57" s="2193">
        <f>'Додаток 3 до рішення'!G16</f>
        <v>471.42</v>
      </c>
    </row>
    <row r="58" spans="1:7" x14ac:dyDescent="0.25">
      <c r="A58" s="2192" t="s">
        <v>1677</v>
      </c>
      <c r="B58" s="2386" t="s">
        <v>2790</v>
      </c>
      <c r="C58" s="2193">
        <f>'Додаток 3 до рішення'!C17</f>
        <v>7104.5</v>
      </c>
      <c r="D58" s="2390">
        <f>'Додаток 3 до рішення'!D17</f>
        <v>0</v>
      </c>
      <c r="E58" s="2193">
        <f>'Додаток 3 до рішення'!E17</f>
        <v>0</v>
      </c>
      <c r="F58" s="2390">
        <f>'Додаток 3 до рішення'!F17</f>
        <v>0</v>
      </c>
      <c r="G58" s="2193">
        <f>'Додаток 3 до рішення'!G17</f>
        <v>665.91</v>
      </c>
    </row>
    <row r="59" spans="1:7" x14ac:dyDescent="0.25">
      <c r="A59" s="2192" t="s">
        <v>2791</v>
      </c>
      <c r="B59" s="2386" t="s">
        <v>2792</v>
      </c>
      <c r="C59" s="2193">
        <f>'Додаток 3 до рішення'!C18</f>
        <v>1106.49</v>
      </c>
      <c r="D59" s="2390">
        <f>'Додаток 3 до рішення'!D18</f>
        <v>0</v>
      </c>
      <c r="E59" s="2193">
        <f>'Додаток 3 до рішення'!E18</f>
        <v>0</v>
      </c>
      <c r="F59" s="2390">
        <f>'Додаток 3 до рішення'!F18</f>
        <v>0</v>
      </c>
      <c r="G59" s="2193">
        <f>'Додаток 3 до рішення'!G18</f>
        <v>103.71</v>
      </c>
    </row>
    <row r="60" spans="1:7" x14ac:dyDescent="0.25">
      <c r="A60" s="2192" t="s">
        <v>2793</v>
      </c>
      <c r="B60" s="2386" t="s">
        <v>2794</v>
      </c>
      <c r="C60" s="2193">
        <f>'Додаток 3 до рішення'!C19</f>
        <v>2255</v>
      </c>
      <c r="D60" s="2390">
        <f>'Додаток 3 до рішення'!D19</f>
        <v>0</v>
      </c>
      <c r="E60" s="2193">
        <f>'Додаток 3 до рішення'!E19</f>
        <v>0</v>
      </c>
      <c r="F60" s="2390">
        <f>'Додаток 3 до рішення'!F19</f>
        <v>0</v>
      </c>
      <c r="G60" s="2193">
        <f>'Додаток 3 до рішення'!G19</f>
        <v>211.36</v>
      </c>
    </row>
    <row r="61" spans="1:7" x14ac:dyDescent="0.25">
      <c r="A61" s="2192" t="s">
        <v>2795</v>
      </c>
      <c r="B61" s="2386" t="s">
        <v>82</v>
      </c>
      <c r="C61" s="2193">
        <f>'Додаток 3 до рішення'!C20</f>
        <v>3743.01</v>
      </c>
      <c r="D61" s="2390">
        <f>'Додаток 3 до рішення'!D20</f>
        <v>0</v>
      </c>
      <c r="E61" s="2193">
        <f>'Додаток 3 до рішення'!E20</f>
        <v>0</v>
      </c>
      <c r="F61" s="2390">
        <f>'Додаток 3 до рішення'!F20</f>
        <v>0</v>
      </c>
      <c r="G61" s="2193">
        <f>'Додаток 3 до рішення'!G20</f>
        <v>350.84</v>
      </c>
    </row>
    <row r="62" spans="1:7" x14ac:dyDescent="0.25">
      <c r="A62" s="2194" t="s">
        <v>1679</v>
      </c>
      <c r="B62" s="2385" t="s">
        <v>2796</v>
      </c>
      <c r="C62" s="2184">
        <f>C63+C64+C65+C66</f>
        <v>3419.56</v>
      </c>
      <c r="D62" s="2391">
        <f t="shared" ref="D62:G62" si="9">D63+D64+D65+D66</f>
        <v>0</v>
      </c>
      <c r="E62" s="177">
        <f t="shared" si="9"/>
        <v>0</v>
      </c>
      <c r="F62" s="2391">
        <f t="shared" si="9"/>
        <v>0</v>
      </c>
      <c r="G62" s="177">
        <f t="shared" si="9"/>
        <v>320.52</v>
      </c>
    </row>
    <row r="63" spans="1:7" x14ac:dyDescent="0.25">
      <c r="A63" s="2195" t="s">
        <v>2797</v>
      </c>
      <c r="B63" s="2386" t="s">
        <v>2798</v>
      </c>
      <c r="C63" s="2193">
        <f>'Додаток 3 до рішення'!C22</f>
        <v>2277.36</v>
      </c>
      <c r="D63" s="2390">
        <f>'Додаток 3 до рішення'!D22</f>
        <v>0</v>
      </c>
      <c r="E63" s="2193">
        <f>'Додаток 3 до рішення'!E22</f>
        <v>0</v>
      </c>
      <c r="F63" s="2390">
        <f>'Додаток 3 до рішення'!F22</f>
        <v>0</v>
      </c>
      <c r="G63" s="2193">
        <f>'Додаток 3 до рішення'!G22</f>
        <v>213.46</v>
      </c>
    </row>
    <row r="64" spans="1:7" x14ac:dyDescent="0.25">
      <c r="A64" s="2195" t="s">
        <v>2799</v>
      </c>
      <c r="B64" s="2386" t="s">
        <v>2153</v>
      </c>
      <c r="C64" s="2193">
        <f>'Додаток 3 до рішення'!C23</f>
        <v>501.02</v>
      </c>
      <c r="D64" s="2390">
        <f>'Додаток 3 до рішення'!D23</f>
        <v>0</v>
      </c>
      <c r="E64" s="2193">
        <f>'Додаток 3 до рішення'!E23</f>
        <v>0</v>
      </c>
      <c r="F64" s="2390">
        <f>'Додаток 3 до рішення'!F23</f>
        <v>0</v>
      </c>
      <c r="G64" s="2193">
        <f>'Додаток 3 до рішення'!G23</f>
        <v>46.96</v>
      </c>
    </row>
    <row r="65" spans="1:7" x14ac:dyDescent="0.25">
      <c r="A65" s="2195" t="s">
        <v>2800</v>
      </c>
      <c r="B65" s="2386" t="s">
        <v>2794</v>
      </c>
      <c r="C65" s="2193">
        <f>'Додаток 3 до рішення'!C24</f>
        <v>31.07</v>
      </c>
      <c r="D65" s="2390">
        <f>'Додаток 3 до рішення'!D24</f>
        <v>0</v>
      </c>
      <c r="E65" s="2193">
        <f>'Додаток 3 до рішення'!E24</f>
        <v>0</v>
      </c>
      <c r="F65" s="2390">
        <f>'Додаток 3 до рішення'!F24</f>
        <v>0</v>
      </c>
      <c r="G65" s="2193">
        <f>'Додаток 3 до рішення'!G24</f>
        <v>2.91</v>
      </c>
    </row>
    <row r="66" spans="1:7" x14ac:dyDescent="0.25">
      <c r="A66" s="2195" t="s">
        <v>2801</v>
      </c>
      <c r="B66" s="2386" t="s">
        <v>58</v>
      </c>
      <c r="C66" s="2193">
        <f>'Додаток 3 до рішення'!C25</f>
        <v>610.11</v>
      </c>
      <c r="D66" s="2390">
        <f>'Додаток 3 до рішення'!D25</f>
        <v>0</v>
      </c>
      <c r="E66" s="2193">
        <f>'Додаток 3 до рішення'!E25</f>
        <v>0</v>
      </c>
      <c r="F66" s="2390">
        <f>'Додаток 3 до рішення'!F25</f>
        <v>0</v>
      </c>
      <c r="G66" s="2193">
        <f>'Додаток 3 до рішення'!G25</f>
        <v>57.19</v>
      </c>
    </row>
    <row r="67" spans="1:7" x14ac:dyDescent="0.25">
      <c r="A67" s="2190" t="s">
        <v>1692</v>
      </c>
      <c r="B67" s="2385" t="s">
        <v>2802</v>
      </c>
      <c r="C67" s="2184">
        <f>C68+C69+C70+C71</f>
        <v>1363.33</v>
      </c>
      <c r="D67" s="2391">
        <f t="shared" ref="D67:E67" si="10">D68+D69+D70+D71</f>
        <v>0</v>
      </c>
      <c r="E67" s="177">
        <f t="shared" si="10"/>
        <v>0</v>
      </c>
      <c r="F67" s="2391">
        <f>F68+F69+F70+F71</f>
        <v>0</v>
      </c>
      <c r="G67" s="177">
        <f t="shared" ref="G67" si="11">G68+G69+G70+G71</f>
        <v>127.79</v>
      </c>
    </row>
    <row r="68" spans="1:7" x14ac:dyDescent="0.25">
      <c r="A68" s="2195" t="s">
        <v>2803</v>
      </c>
      <c r="B68" s="2386" t="s">
        <v>55</v>
      </c>
      <c r="C68" s="2193">
        <f>'Додаток 3 до рішення'!C27</f>
        <v>848.97</v>
      </c>
      <c r="D68" s="2390">
        <f>'Додаток 3 до рішення'!D27</f>
        <v>0</v>
      </c>
      <c r="E68" s="2193">
        <f>'Додаток 3 до рішення'!E27</f>
        <v>0</v>
      </c>
      <c r="F68" s="2390">
        <f>'Додаток 3 до рішення'!F27</f>
        <v>0</v>
      </c>
      <c r="G68" s="2193">
        <f>'Додаток 3 до рішення'!G27</f>
        <v>79.569999999999993</v>
      </c>
    </row>
    <row r="69" spans="1:7" x14ac:dyDescent="0.25">
      <c r="A69" s="2195" t="s">
        <v>2804</v>
      </c>
      <c r="B69" s="2386" t="s">
        <v>2805</v>
      </c>
      <c r="C69" s="2193">
        <f>'Додаток 3 до рішення'!C28</f>
        <v>186.77</v>
      </c>
      <c r="D69" s="2390">
        <f>'Додаток 3 до рішення'!D28</f>
        <v>0</v>
      </c>
      <c r="E69" s="2193">
        <f>'Додаток 3 до рішення'!E28</f>
        <v>0</v>
      </c>
      <c r="F69" s="2390">
        <f>'Додаток 3 до рішення'!F28</f>
        <v>0</v>
      </c>
      <c r="G69" s="2193">
        <f>'Додаток 3 до рішення'!G28</f>
        <v>17.510000000000002</v>
      </c>
    </row>
    <row r="70" spans="1:7" x14ac:dyDescent="0.25">
      <c r="A70" s="2195" t="s">
        <v>2806</v>
      </c>
      <c r="B70" s="2386" t="s">
        <v>2794</v>
      </c>
      <c r="C70" s="2193">
        <f>'Додаток 3 до рішення'!C29</f>
        <v>21.54</v>
      </c>
      <c r="D70" s="2390">
        <f>'Додаток 3 до рішення'!D29</f>
        <v>0</v>
      </c>
      <c r="E70" s="2193">
        <f>'Додаток 3 до рішення'!E29</f>
        <v>0</v>
      </c>
      <c r="F70" s="2390">
        <f>'Додаток 3 до рішення'!F29</f>
        <v>0</v>
      </c>
      <c r="G70" s="2193">
        <f>'Додаток 3 до рішення'!G29</f>
        <v>2.02</v>
      </c>
    </row>
    <row r="71" spans="1:7" x14ac:dyDescent="0.25">
      <c r="A71" s="2195" t="s">
        <v>2807</v>
      </c>
      <c r="B71" s="2386" t="s">
        <v>2808</v>
      </c>
      <c r="C71" s="2193">
        <f>'Додаток 3 до рішення'!C30</f>
        <v>306.05</v>
      </c>
      <c r="D71" s="2390">
        <f>'Додаток 3 до рішення'!D30</f>
        <v>0</v>
      </c>
      <c r="E71" s="2193">
        <f>'Додаток 3 до рішення'!E30</f>
        <v>0</v>
      </c>
      <c r="F71" s="2390">
        <f>'Додаток 3 до рішення'!F30</f>
        <v>0</v>
      </c>
      <c r="G71" s="2193">
        <f>'Додаток 3 до рішення'!G30</f>
        <v>28.69</v>
      </c>
    </row>
    <row r="72" spans="1:7" x14ac:dyDescent="0.25">
      <c r="A72" s="2190" t="s">
        <v>1694</v>
      </c>
      <c r="B72" s="2385" t="s">
        <v>2809</v>
      </c>
      <c r="C72" s="2184">
        <f>'Додаток 3 до рішення'!C31</f>
        <v>0</v>
      </c>
      <c r="D72" s="2389">
        <v>0</v>
      </c>
      <c r="E72" s="2184">
        <v>0</v>
      </c>
      <c r="F72" s="2389">
        <v>0</v>
      </c>
      <c r="G72" s="2184">
        <v>0</v>
      </c>
    </row>
    <row r="73" spans="1:7" x14ac:dyDescent="0.25">
      <c r="A73" s="2190" t="s">
        <v>1697</v>
      </c>
      <c r="B73" s="2385" t="s">
        <v>2811</v>
      </c>
      <c r="C73" s="2184">
        <f>'Додаток 3 до рішення'!C32</f>
        <v>0</v>
      </c>
      <c r="D73" s="2389">
        <f t="shared" ref="D73:D75" si="12">C73/$C$40</f>
        <v>0</v>
      </c>
      <c r="E73" s="2184">
        <f t="shared" ref="E73:E75" si="13">C73/$C$40</f>
        <v>0</v>
      </c>
      <c r="F73" s="2389">
        <f t="shared" ref="F73:F75" si="14">C73/$C$40</f>
        <v>0</v>
      </c>
      <c r="G73" s="2184">
        <f t="shared" ref="G73:G75" si="15">C73/$C$40</f>
        <v>0</v>
      </c>
    </row>
    <row r="74" spans="1:7" x14ac:dyDescent="0.25">
      <c r="A74" s="2190" t="s">
        <v>1769</v>
      </c>
      <c r="B74" s="2385" t="s">
        <v>2812</v>
      </c>
      <c r="C74" s="2184">
        <f>'Додаток 3 до рішення'!C33</f>
        <v>0</v>
      </c>
      <c r="D74" s="2389">
        <f t="shared" si="12"/>
        <v>0</v>
      </c>
      <c r="E74" s="2184">
        <f t="shared" si="13"/>
        <v>0</v>
      </c>
      <c r="F74" s="2389">
        <f t="shared" si="14"/>
        <v>0</v>
      </c>
      <c r="G74" s="2184">
        <f t="shared" si="15"/>
        <v>0</v>
      </c>
    </row>
    <row r="75" spans="1:7" x14ac:dyDescent="0.25">
      <c r="A75" s="2190" t="s">
        <v>1775</v>
      </c>
      <c r="B75" s="2385" t="s">
        <v>2813</v>
      </c>
      <c r="C75" s="2184">
        <f>'Додаток 3 до рішення'!C34</f>
        <v>0</v>
      </c>
      <c r="D75" s="2392">
        <f t="shared" si="12"/>
        <v>0</v>
      </c>
      <c r="E75" s="2208">
        <f t="shared" si="13"/>
        <v>0</v>
      </c>
      <c r="F75" s="2392">
        <f t="shared" si="14"/>
        <v>0</v>
      </c>
      <c r="G75" s="2208">
        <f t="shared" si="15"/>
        <v>0</v>
      </c>
    </row>
    <row r="76" spans="1:7" x14ac:dyDescent="0.25">
      <c r="A76" s="2190" t="s">
        <v>1781</v>
      </c>
      <c r="B76" s="2385" t="s">
        <v>2814</v>
      </c>
      <c r="C76" s="2184">
        <f>SUM(C77:C80)</f>
        <v>4123.9799999999996</v>
      </c>
      <c r="D76" s="2389">
        <f t="shared" ref="D76:G76" si="16">SUM(D77:D80)</f>
        <v>0</v>
      </c>
      <c r="E76" s="2184">
        <f t="shared" si="16"/>
        <v>0</v>
      </c>
      <c r="F76" s="2389">
        <f t="shared" si="16"/>
        <v>0</v>
      </c>
      <c r="G76" s="2184">
        <f t="shared" si="16"/>
        <v>386.54</v>
      </c>
    </row>
    <row r="77" spans="1:7" x14ac:dyDescent="0.25">
      <c r="A77" s="2195" t="s">
        <v>1097</v>
      </c>
      <c r="B77" s="2386" t="s">
        <v>65</v>
      </c>
      <c r="C77" s="2193">
        <f>'Додаток 3 до рішення'!C36</f>
        <v>520.55999999999995</v>
      </c>
      <c r="D77" s="2390">
        <f>'Додаток 3 до рішення'!D36</f>
        <v>0</v>
      </c>
      <c r="E77" s="2193">
        <f>'Додаток 3 до рішення'!E36</f>
        <v>0</v>
      </c>
      <c r="F77" s="2390">
        <f>'Додаток 3 до рішення'!F36</f>
        <v>0</v>
      </c>
      <c r="G77" s="2193">
        <f>'Додаток 3 до рішення'!G36</f>
        <v>48.79</v>
      </c>
    </row>
    <row r="78" spans="1:7" x14ac:dyDescent="0.25">
      <c r="A78" s="2195" t="s">
        <v>2825</v>
      </c>
      <c r="B78" s="2386" t="s">
        <v>85</v>
      </c>
      <c r="C78" s="2193">
        <f>'Додаток 3 до рішення'!C37</f>
        <v>711.43</v>
      </c>
      <c r="D78" s="2390">
        <f>'Додаток 3 до рішення'!D37</f>
        <v>0</v>
      </c>
      <c r="E78" s="2193">
        <f>'Додаток 3 до рішення'!E37</f>
        <v>0</v>
      </c>
      <c r="F78" s="2390">
        <f>'Додаток 3 до рішення'!F37</f>
        <v>0</v>
      </c>
      <c r="G78" s="2193">
        <f>'Додаток 3 до рішення'!G37</f>
        <v>66.680000000000007</v>
      </c>
    </row>
    <row r="79" spans="1:7" x14ac:dyDescent="0.25">
      <c r="A79" s="2195" t="s">
        <v>2826</v>
      </c>
      <c r="B79" s="2386" t="s">
        <v>71</v>
      </c>
      <c r="C79" s="2193">
        <f>'Додаток 3 до рішення'!C38</f>
        <v>0</v>
      </c>
      <c r="D79" s="2390">
        <f>'Додаток 3 до рішення'!D38</f>
        <v>0</v>
      </c>
      <c r="E79" s="2193">
        <f>'Додаток 3 до рішення'!E38</f>
        <v>0</v>
      </c>
      <c r="F79" s="2390">
        <f>'Додаток 3 до рішення'!F38</f>
        <v>0</v>
      </c>
      <c r="G79" s="2193">
        <f>'Додаток 3 до рішення'!G38</f>
        <v>0</v>
      </c>
    </row>
    <row r="80" spans="1:7" x14ac:dyDescent="0.25">
      <c r="A80" s="2195" t="s">
        <v>2827</v>
      </c>
      <c r="B80" s="2386" t="s">
        <v>2375</v>
      </c>
      <c r="C80" s="2193">
        <f>'Додаток 3 до рішення'!C39</f>
        <v>2891.99</v>
      </c>
      <c r="D80" s="2390">
        <f>'Додаток 3 до рішення'!D39</f>
        <v>0</v>
      </c>
      <c r="E80" s="2193">
        <f>'Додаток 3 до рішення'!E39</f>
        <v>0</v>
      </c>
      <c r="F80" s="2390">
        <f>'Додаток 3 до рішення'!F39</f>
        <v>0</v>
      </c>
      <c r="G80" s="2193">
        <f>'Додаток 3 до рішення'!G39</f>
        <v>271.07</v>
      </c>
    </row>
    <row r="81" spans="1:7" ht="30" thickBot="1" x14ac:dyDescent="0.3">
      <c r="A81" s="2209" t="s">
        <v>1783</v>
      </c>
      <c r="B81" s="2387" t="s">
        <v>2828</v>
      </c>
      <c r="C81" s="2187">
        <f>'Додаток 3 до рішення'!C40</f>
        <v>76423.81</v>
      </c>
      <c r="D81" s="2212">
        <f>'Додаток 3 до рішення'!D40</f>
        <v>0</v>
      </c>
      <c r="E81" s="2187">
        <f>'Додаток 3 до рішення'!E40</f>
        <v>0</v>
      </c>
      <c r="F81" s="2212">
        <f>'Додаток 3 до рішення'!F40</f>
        <v>0</v>
      </c>
      <c r="G81" s="2187">
        <f>'Додаток 3 до рішення'!G40</f>
        <v>7163.27</v>
      </c>
    </row>
    <row r="82" spans="1:7" ht="32.25" thickBot="1" x14ac:dyDescent="0.3">
      <c r="A82" s="2211" t="s">
        <v>1785</v>
      </c>
      <c r="B82" s="2388" t="s">
        <v>3091</v>
      </c>
      <c r="C82" s="2187">
        <f>'Додаток 3 до рішення'!C41</f>
        <v>10.67</v>
      </c>
      <c r="D82" s="2212">
        <f>'Додаток 3 до рішення'!D41</f>
        <v>0</v>
      </c>
      <c r="E82" s="2187">
        <f>'Додаток 3 до рішення'!E41</f>
        <v>0</v>
      </c>
      <c r="F82" s="2212">
        <f>'Додаток 3 до рішення'!F41</f>
        <v>0</v>
      </c>
      <c r="G82" s="2187">
        <f>'Додаток 3 до рішення'!G41</f>
        <v>10.67</v>
      </c>
    </row>
    <row r="83" spans="1:7" ht="15.75" thickBot="1" x14ac:dyDescent="0.3">
      <c r="A83" s="2189" t="s">
        <v>2778</v>
      </c>
      <c r="B83" s="4035" t="s">
        <v>2832</v>
      </c>
      <c r="C83" s="4036"/>
      <c r="D83" s="4036"/>
      <c r="E83" s="4036"/>
      <c r="F83" s="4036"/>
      <c r="G83" s="4037"/>
    </row>
    <row r="84" spans="1:7" x14ac:dyDescent="0.25">
      <c r="A84" s="2190" t="s">
        <v>1670</v>
      </c>
      <c r="B84" s="174" t="s">
        <v>2780</v>
      </c>
      <c r="C84" s="2184">
        <f>C85+C89+C90+C94</f>
        <v>1588.28</v>
      </c>
      <c r="D84" s="177">
        <f>D85+D89+D90+D94</f>
        <v>0</v>
      </c>
      <c r="E84" s="177">
        <f t="shared" ref="E84:G84" si="17">E85+E89+E90+E94</f>
        <v>0</v>
      </c>
      <c r="F84" s="177">
        <f t="shared" si="17"/>
        <v>0</v>
      </c>
      <c r="G84" s="177">
        <f t="shared" si="17"/>
        <v>1324.96</v>
      </c>
    </row>
    <row r="85" spans="1:7" x14ac:dyDescent="0.25">
      <c r="A85" s="2192" t="s">
        <v>1672</v>
      </c>
      <c r="B85" s="90" t="s">
        <v>2829</v>
      </c>
      <c r="C85" s="2193">
        <f>SUM(C86:C88)</f>
        <v>371.81</v>
      </c>
      <c r="D85" s="2193">
        <f t="shared" ref="D85:G85" si="18">SUM(D86:D88)</f>
        <v>0</v>
      </c>
      <c r="E85" s="2193">
        <f t="shared" si="18"/>
        <v>0</v>
      </c>
      <c r="F85" s="2193">
        <f t="shared" si="18"/>
        <v>0</v>
      </c>
      <c r="G85" s="2193">
        <f t="shared" si="18"/>
        <v>310.16000000000003</v>
      </c>
    </row>
    <row r="86" spans="1:7" x14ac:dyDescent="0.25">
      <c r="A86" s="2192" t="s">
        <v>2782</v>
      </c>
      <c r="B86" s="90" t="s">
        <v>2785</v>
      </c>
      <c r="C86" s="2193">
        <f>'Додаток 4 до рішення'!C12</f>
        <v>290.05</v>
      </c>
      <c r="D86" s="2193">
        <f>'Додаток 4 до рішення'!D12</f>
        <v>0</v>
      </c>
      <c r="E86" s="2193">
        <f>'Додаток 4 до рішення'!E12</f>
        <v>0</v>
      </c>
      <c r="F86" s="2193">
        <f>'Додаток 4 до рішення'!F12</f>
        <v>0</v>
      </c>
      <c r="G86" s="2193">
        <f>'Додаток 4 до рішення'!G12</f>
        <v>241.96</v>
      </c>
    </row>
    <row r="87" spans="1:7" x14ac:dyDescent="0.25">
      <c r="A87" s="2192" t="s">
        <v>2784</v>
      </c>
      <c r="B87" s="90" t="s">
        <v>2787</v>
      </c>
      <c r="C87" s="2193">
        <f>'Додаток 4 до рішення'!C13</f>
        <v>60.05</v>
      </c>
      <c r="D87" s="2193">
        <f>'Додаток 4 до рішення'!D13</f>
        <v>0</v>
      </c>
      <c r="E87" s="2193">
        <f>'Додаток 4 до рішення'!E13</f>
        <v>0</v>
      </c>
      <c r="F87" s="2193">
        <f>'Додаток 4 до рішення'!F13</f>
        <v>0</v>
      </c>
      <c r="G87" s="2193">
        <f>'Додаток 4 до рішення'!G13</f>
        <v>50.09</v>
      </c>
    </row>
    <row r="88" spans="1:7" x14ac:dyDescent="0.25">
      <c r="A88" s="2192" t="s">
        <v>2786</v>
      </c>
      <c r="B88" s="90" t="s">
        <v>2151</v>
      </c>
      <c r="C88" s="2193">
        <f>'Додаток 4 до рішення'!C14</f>
        <v>21.71</v>
      </c>
      <c r="D88" s="2193">
        <f>'Додаток 4 до рішення'!D14</f>
        <v>0</v>
      </c>
      <c r="E88" s="2193">
        <f>'Додаток 4 до рішення'!E14</f>
        <v>0</v>
      </c>
      <c r="F88" s="2193">
        <f>'Додаток 4 до рішення'!F14</f>
        <v>0</v>
      </c>
      <c r="G88" s="2193">
        <f>'Додаток 4 до рішення'!G14</f>
        <v>18.11</v>
      </c>
    </row>
    <row r="89" spans="1:7" x14ac:dyDescent="0.25">
      <c r="A89" s="2192" t="s">
        <v>1674</v>
      </c>
      <c r="B89" s="90" t="s">
        <v>2789</v>
      </c>
      <c r="C89" s="2193">
        <f>'Додаток 4 до рішення'!C15</f>
        <v>593.91999999999996</v>
      </c>
      <c r="D89" s="2193">
        <f>'Додаток 4 до рішення'!D15</f>
        <v>0</v>
      </c>
      <c r="E89" s="2193">
        <f>'Додаток 4 до рішення'!E15</f>
        <v>0</v>
      </c>
      <c r="F89" s="2193">
        <f>'Додаток 4 до рішення'!F15</f>
        <v>0</v>
      </c>
      <c r="G89" s="2193">
        <f>'Додаток 4 до рішення'!G15</f>
        <v>495.46</v>
      </c>
    </row>
    <row r="90" spans="1:7" x14ac:dyDescent="0.25">
      <c r="A90" s="2192" t="s">
        <v>1677</v>
      </c>
      <c r="B90" s="90" t="s">
        <v>2790</v>
      </c>
      <c r="C90" s="2193">
        <f>'Додаток 4 до рішення'!C16</f>
        <v>545.85</v>
      </c>
      <c r="D90" s="2193">
        <f>'Додаток 4 до рішення'!D16</f>
        <v>0</v>
      </c>
      <c r="E90" s="2193">
        <f>'Додаток 4 до рішення'!E16</f>
        <v>0</v>
      </c>
      <c r="F90" s="2193">
        <f>'Додаток 4 до рішення'!F16</f>
        <v>0</v>
      </c>
      <c r="G90" s="2193">
        <f>'Додаток 4 до рішення'!G16</f>
        <v>455.36</v>
      </c>
    </row>
    <row r="91" spans="1:7" x14ac:dyDescent="0.25">
      <c r="A91" s="2192" t="s">
        <v>2791</v>
      </c>
      <c r="B91" s="90" t="s">
        <v>2792</v>
      </c>
      <c r="C91" s="2193">
        <f>'Додаток 4 до рішення'!C17</f>
        <v>130.66</v>
      </c>
      <c r="D91" s="2193">
        <f>'Додаток 4 до рішення'!D17</f>
        <v>0</v>
      </c>
      <c r="E91" s="2193">
        <f>'Додаток 4 до рішення'!E17</f>
        <v>0</v>
      </c>
      <c r="F91" s="2193">
        <f>'Додаток 4 до рішення'!F17</f>
        <v>0</v>
      </c>
      <c r="G91" s="2193">
        <f>'Додаток 4 до рішення'!G17</f>
        <v>109</v>
      </c>
    </row>
    <row r="92" spans="1:7" x14ac:dyDescent="0.25">
      <c r="A92" s="2192" t="s">
        <v>2793</v>
      </c>
      <c r="B92" s="90" t="s">
        <v>2794</v>
      </c>
      <c r="C92" s="2193">
        <f>'Додаток 4 до рішення'!C18</f>
        <v>32.56</v>
      </c>
      <c r="D92" s="2193">
        <f>'Додаток 4 до рішення'!D18</f>
        <v>0</v>
      </c>
      <c r="E92" s="2193">
        <f>'Додаток 4 до рішення'!E18</f>
        <v>0</v>
      </c>
      <c r="F92" s="2193">
        <f>'Додаток 4 до рішення'!F18</f>
        <v>0</v>
      </c>
      <c r="G92" s="2193">
        <f>'Додаток 4 до рішення'!G18</f>
        <v>27.16</v>
      </c>
    </row>
    <row r="93" spans="1:7" x14ac:dyDescent="0.25">
      <c r="A93" s="2192" t="s">
        <v>2795</v>
      </c>
      <c r="B93" s="90" t="s">
        <v>82</v>
      </c>
      <c r="C93" s="2193">
        <f>'Додаток 4 до рішення'!C19</f>
        <v>382.63</v>
      </c>
      <c r="D93" s="2193">
        <f>'Додаток 4 до рішення'!D19</f>
        <v>0</v>
      </c>
      <c r="E93" s="2193">
        <f>'Додаток 4 до рішення'!E19</f>
        <v>0</v>
      </c>
      <c r="F93" s="2193">
        <f>'Додаток 4 до рішення'!F19</f>
        <v>0</v>
      </c>
      <c r="G93" s="2193">
        <f>'Додаток 4 до рішення'!G19</f>
        <v>319.2</v>
      </c>
    </row>
    <row r="94" spans="1:7" x14ac:dyDescent="0.25">
      <c r="A94" s="2194" t="s">
        <v>1679</v>
      </c>
      <c r="B94" s="174" t="s">
        <v>2796</v>
      </c>
      <c r="C94" s="2184">
        <f>C95+C96+C97+C98</f>
        <v>76.7</v>
      </c>
      <c r="D94" s="2184">
        <f t="shared" ref="D94:G94" si="19">D95+D96+D97+D98</f>
        <v>0</v>
      </c>
      <c r="E94" s="2184">
        <f t="shared" si="19"/>
        <v>0</v>
      </c>
      <c r="F94" s="2184">
        <f t="shared" si="19"/>
        <v>0</v>
      </c>
      <c r="G94" s="2184">
        <f t="shared" si="19"/>
        <v>63.98</v>
      </c>
    </row>
    <row r="95" spans="1:7" x14ac:dyDescent="0.25">
      <c r="A95" s="2195" t="s">
        <v>2797</v>
      </c>
      <c r="B95" s="90" t="s">
        <v>2798</v>
      </c>
      <c r="C95" s="2193">
        <f>'Додаток 4 до рішення'!C21</f>
        <v>51.09</v>
      </c>
      <c r="D95" s="2193">
        <f>'Додаток 4 до рішення'!D21</f>
        <v>0</v>
      </c>
      <c r="E95" s="2193">
        <f>'Додаток 4 до рішення'!E21</f>
        <v>0</v>
      </c>
      <c r="F95" s="2193">
        <f>'Додаток 4 до рішення'!F21</f>
        <v>0</v>
      </c>
      <c r="G95" s="2193">
        <f>'Додаток 4 до рішення'!G21</f>
        <v>42.62</v>
      </c>
    </row>
    <row r="96" spans="1:7" x14ac:dyDescent="0.25">
      <c r="A96" s="2195" t="s">
        <v>2799</v>
      </c>
      <c r="B96" s="90" t="s">
        <v>2153</v>
      </c>
      <c r="C96" s="2193">
        <f>'Додаток 4 до рішення'!C22</f>
        <v>11.24</v>
      </c>
      <c r="D96" s="2193">
        <f>'Додаток 4 до рішення'!D22</f>
        <v>0</v>
      </c>
      <c r="E96" s="2193">
        <f>'Додаток 4 до рішення'!E22</f>
        <v>0</v>
      </c>
      <c r="F96" s="2193">
        <f>'Додаток 4 до рішення'!F22</f>
        <v>0</v>
      </c>
      <c r="G96" s="2193">
        <f>'Додаток 4 до рішення'!G22</f>
        <v>9.3800000000000008</v>
      </c>
    </row>
    <row r="97" spans="1:7" x14ac:dyDescent="0.25">
      <c r="A97" s="2195" t="s">
        <v>2800</v>
      </c>
      <c r="B97" s="90" t="s">
        <v>2794</v>
      </c>
      <c r="C97" s="2193">
        <f>'Додаток 4 до рішення'!C23</f>
        <v>0.7</v>
      </c>
      <c r="D97" s="2193">
        <f>'Додаток 4 до рішення'!D23</f>
        <v>0</v>
      </c>
      <c r="E97" s="2193">
        <f>'Додаток 4 до рішення'!E23</f>
        <v>0</v>
      </c>
      <c r="F97" s="2193">
        <f>'Додаток 4 до рішення'!F23</f>
        <v>0</v>
      </c>
      <c r="G97" s="2193">
        <f>'Додаток 4 до рішення'!G23</f>
        <v>0.57999999999999996</v>
      </c>
    </row>
    <row r="98" spans="1:7" x14ac:dyDescent="0.25">
      <c r="A98" s="2195" t="s">
        <v>2801</v>
      </c>
      <c r="B98" s="90" t="s">
        <v>58</v>
      </c>
      <c r="C98" s="2193">
        <f>'Додаток 4 до рішення'!C24</f>
        <v>13.67</v>
      </c>
      <c r="D98" s="2193">
        <f>'Додаток 4 до рішення'!D24</f>
        <v>0</v>
      </c>
      <c r="E98" s="2193">
        <f>'Додаток 4 до рішення'!E24</f>
        <v>0</v>
      </c>
      <c r="F98" s="2193">
        <f>'Додаток 4 до рішення'!F24</f>
        <v>0</v>
      </c>
      <c r="G98" s="2193">
        <f>'Додаток 4 до рішення'!G24</f>
        <v>11.4</v>
      </c>
    </row>
    <row r="99" spans="1:7" x14ac:dyDescent="0.25">
      <c r="A99" s="2190" t="s">
        <v>1692</v>
      </c>
      <c r="B99" s="174" t="s">
        <v>2802</v>
      </c>
      <c r="C99" s="2184">
        <f>C100+C101+C102+C103</f>
        <v>30.58</v>
      </c>
      <c r="D99" s="2184">
        <f t="shared" ref="D99:G99" si="20">D100+D101+D102+D103</f>
        <v>0</v>
      </c>
      <c r="E99" s="2184">
        <f t="shared" si="20"/>
        <v>0</v>
      </c>
      <c r="F99" s="2184">
        <f t="shared" si="20"/>
        <v>0</v>
      </c>
      <c r="G99" s="2184">
        <f t="shared" si="20"/>
        <v>25.52</v>
      </c>
    </row>
    <row r="100" spans="1:7" x14ac:dyDescent="0.25">
      <c r="A100" s="2195" t="s">
        <v>2803</v>
      </c>
      <c r="B100" s="90" t="s">
        <v>55</v>
      </c>
      <c r="C100" s="2193">
        <f>'Додаток 4 до рішення'!C26</f>
        <v>19.03</v>
      </c>
      <c r="D100" s="2193">
        <f>'Додаток 4 до рішення'!D26</f>
        <v>0</v>
      </c>
      <c r="E100" s="2193">
        <f>'Додаток 4 до рішення'!E26</f>
        <v>0</v>
      </c>
      <c r="F100" s="2193">
        <f>'Додаток 4 до рішення'!F26</f>
        <v>0</v>
      </c>
      <c r="G100" s="2193">
        <f>'Додаток 4 до рішення'!G26</f>
        <v>15.88</v>
      </c>
    </row>
    <row r="101" spans="1:7" x14ac:dyDescent="0.25">
      <c r="A101" s="2195" t="s">
        <v>2804</v>
      </c>
      <c r="B101" s="90" t="s">
        <v>2805</v>
      </c>
      <c r="C101" s="2193">
        <f>'Додаток 4 до рішення'!C27</f>
        <v>4.1900000000000004</v>
      </c>
      <c r="D101" s="2193">
        <f>'Додаток 4 до рішення'!D27</f>
        <v>0</v>
      </c>
      <c r="E101" s="2193">
        <f>'Додаток 4 до рішення'!E27</f>
        <v>0</v>
      </c>
      <c r="F101" s="2193">
        <f>'Додаток 4 до рішення'!F27</f>
        <v>0</v>
      </c>
      <c r="G101" s="2193">
        <f>'Додаток 4 до рішення'!G27</f>
        <v>3.5</v>
      </c>
    </row>
    <row r="102" spans="1:7" x14ac:dyDescent="0.25">
      <c r="A102" s="2195" t="s">
        <v>2806</v>
      </c>
      <c r="B102" s="90" t="s">
        <v>2794</v>
      </c>
      <c r="C102" s="2193">
        <f>'Додаток 4 до рішення'!C28</f>
        <v>0.48</v>
      </c>
      <c r="D102" s="2193">
        <f>'Додаток 4 до рішення'!D28</f>
        <v>0</v>
      </c>
      <c r="E102" s="2193">
        <f>'Додаток 4 до рішення'!E28</f>
        <v>0</v>
      </c>
      <c r="F102" s="2193">
        <f>'Додаток 4 до рішення'!F28</f>
        <v>0</v>
      </c>
      <c r="G102" s="2193">
        <f>'Додаток 4 до рішення'!G28</f>
        <v>0.4</v>
      </c>
    </row>
    <row r="103" spans="1:7" x14ac:dyDescent="0.25">
      <c r="A103" s="2195" t="s">
        <v>2807</v>
      </c>
      <c r="B103" s="90" t="s">
        <v>2808</v>
      </c>
      <c r="C103" s="2193">
        <f>'Додаток 4 до рішення'!C29</f>
        <v>6.88</v>
      </c>
      <c r="D103" s="2193">
        <f>'Додаток 4 до рішення'!D29</f>
        <v>0</v>
      </c>
      <c r="E103" s="2193">
        <f>'Додаток 4 до рішення'!E29</f>
        <v>0</v>
      </c>
      <c r="F103" s="2193">
        <f>'Додаток 4 до рішення'!F29</f>
        <v>0</v>
      </c>
      <c r="G103" s="2193">
        <f>'Додаток 4 до рішення'!G29</f>
        <v>5.74</v>
      </c>
    </row>
    <row r="104" spans="1:7" x14ac:dyDescent="0.25">
      <c r="A104" s="2190" t="s">
        <v>1694</v>
      </c>
      <c r="B104" s="174" t="s">
        <v>2809</v>
      </c>
      <c r="C104" s="2190">
        <f>'Додаток 4 до рішення'!C30</f>
        <v>0</v>
      </c>
      <c r="D104" s="2190">
        <f>'Додаток 4 до рішення'!D30</f>
        <v>0</v>
      </c>
      <c r="E104" s="2190">
        <f>'Додаток 4 до рішення'!E30</f>
        <v>0</v>
      </c>
      <c r="F104" s="2190">
        <f>'Додаток 4 до рішення'!F30</f>
        <v>0</v>
      </c>
      <c r="G104" s="2190">
        <f>'Додаток 4 до рішення'!G30</f>
        <v>0</v>
      </c>
    </row>
    <row r="105" spans="1:7" ht="29.25" x14ac:dyDescent="0.25">
      <c r="A105" s="2190" t="s">
        <v>1697</v>
      </c>
      <c r="B105" s="2191" t="s">
        <v>2830</v>
      </c>
      <c r="C105" s="2184">
        <f>C84+C99+C104</f>
        <v>1618.86</v>
      </c>
      <c r="D105" s="2184">
        <f t="shared" ref="D105:G105" si="21">D84+D99+D104</f>
        <v>0</v>
      </c>
      <c r="E105" s="2184">
        <f t="shared" si="21"/>
        <v>0</v>
      </c>
      <c r="F105" s="2184">
        <f t="shared" si="21"/>
        <v>0</v>
      </c>
      <c r="G105" s="2184">
        <f t="shared" si="21"/>
        <v>1350.48</v>
      </c>
    </row>
    <row r="106" spans="1:7" ht="43.5" x14ac:dyDescent="0.25">
      <c r="A106" s="2190">
        <v>5</v>
      </c>
      <c r="B106" s="2191" t="s">
        <v>2810</v>
      </c>
      <c r="C106" s="2184">
        <f>'Додаток 4 до рішення'!C32</f>
        <v>1406.22</v>
      </c>
      <c r="D106" s="2184">
        <f>'Додаток 4 до рішення'!D32</f>
        <v>0</v>
      </c>
      <c r="E106" s="2184">
        <f>'Додаток 4 до рішення'!E32</f>
        <v>0</v>
      </c>
      <c r="F106" s="2184">
        <f>'Додаток 4 до рішення'!F32</f>
        <v>0</v>
      </c>
      <c r="G106" s="2184">
        <f>'Додаток 4 до рішення'!G32</f>
        <v>1173.0899999999999</v>
      </c>
    </row>
    <row r="107" spans="1:7" x14ac:dyDescent="0.25">
      <c r="A107" s="2190">
        <v>6</v>
      </c>
      <c r="B107" s="174" t="s">
        <v>2811</v>
      </c>
      <c r="C107" s="2184">
        <f>'Додаток 4 до рішення'!C33</f>
        <v>0</v>
      </c>
      <c r="D107" s="2184">
        <f>'Додаток 4 до рішення'!D33</f>
        <v>0</v>
      </c>
      <c r="E107" s="2184">
        <f>'Додаток 4 до рішення'!E33</f>
        <v>0</v>
      </c>
      <c r="F107" s="2184">
        <f>'Додаток 4 до рішення'!F33</f>
        <v>0</v>
      </c>
      <c r="G107" s="2184">
        <f>'Додаток 4 до рішення'!G33</f>
        <v>0</v>
      </c>
    </row>
    <row r="108" spans="1:7" x14ac:dyDescent="0.25">
      <c r="A108" s="2190">
        <v>7</v>
      </c>
      <c r="B108" s="174" t="s">
        <v>2812</v>
      </c>
      <c r="C108" s="2184">
        <f>'Додаток 4 до рішення'!C34</f>
        <v>0</v>
      </c>
      <c r="D108" s="2184">
        <f>'Додаток 4 до рішення'!D34</f>
        <v>0</v>
      </c>
      <c r="E108" s="2184">
        <f>'Додаток 4 до рішення'!E34</f>
        <v>0</v>
      </c>
      <c r="F108" s="2184">
        <f>'Додаток 4 до рішення'!F34</f>
        <v>0</v>
      </c>
      <c r="G108" s="2184">
        <f>'Додаток 4 до рішення'!G34</f>
        <v>0</v>
      </c>
    </row>
    <row r="109" spans="1:7" x14ac:dyDescent="0.25">
      <c r="A109" s="2190">
        <v>8</v>
      </c>
      <c r="B109" s="174" t="s">
        <v>2813</v>
      </c>
      <c r="C109" s="2184">
        <f>'Додаток 4 до рішення'!C35</f>
        <v>0</v>
      </c>
      <c r="D109" s="2184">
        <f>'Додаток 4 до рішення'!D35</f>
        <v>0</v>
      </c>
      <c r="E109" s="2184">
        <f>'Додаток 4 до рішення'!E35</f>
        <v>0</v>
      </c>
      <c r="F109" s="2184">
        <f>'Додаток 4 до рішення'!F35</f>
        <v>0</v>
      </c>
      <c r="G109" s="2184">
        <f>'Додаток 4 до рішення'!G35</f>
        <v>0</v>
      </c>
    </row>
    <row r="110" spans="1:7" x14ac:dyDescent="0.25">
      <c r="A110" s="2190">
        <v>9</v>
      </c>
      <c r="B110" s="174" t="s">
        <v>2814</v>
      </c>
      <c r="C110" s="2184">
        <f>SUM(C111:C114)</f>
        <v>172.55</v>
      </c>
      <c r="D110" s="2184">
        <f t="shared" ref="D110:G110" si="22">SUM(D111:D114)</f>
        <v>0</v>
      </c>
      <c r="E110" s="2184">
        <f t="shared" si="22"/>
        <v>0</v>
      </c>
      <c r="F110" s="2184">
        <f t="shared" si="22"/>
        <v>0</v>
      </c>
      <c r="G110" s="2184">
        <f t="shared" si="22"/>
        <v>143.94</v>
      </c>
    </row>
    <row r="111" spans="1:7" x14ac:dyDescent="0.25">
      <c r="A111" s="2195" t="s">
        <v>1099</v>
      </c>
      <c r="B111" s="90" t="s">
        <v>65</v>
      </c>
      <c r="C111" s="2193">
        <f>'Додаток 4 до рішення'!C37</f>
        <v>21.78</v>
      </c>
      <c r="D111" s="2193">
        <f>'Додаток 4 до рішення'!D37</f>
        <v>0</v>
      </c>
      <c r="E111" s="2193">
        <f>'Додаток 4 до рішення'!E37</f>
        <v>0</v>
      </c>
      <c r="F111" s="2193">
        <f>'Додаток 4 до рішення'!F37</f>
        <v>0</v>
      </c>
      <c r="G111" s="2193">
        <f>'Додаток 4 до рішення'!G37</f>
        <v>18.170000000000002</v>
      </c>
    </row>
    <row r="112" spans="1:7" x14ac:dyDescent="0.25">
      <c r="A112" s="2195" t="s">
        <v>1100</v>
      </c>
      <c r="B112" s="90" t="s">
        <v>85</v>
      </c>
      <c r="C112" s="2193">
        <f>'Додаток 4 до рішення'!C38</f>
        <v>29.77</v>
      </c>
      <c r="D112" s="2193">
        <f>'Додаток 4 до рішення'!D38</f>
        <v>0</v>
      </c>
      <c r="E112" s="2193">
        <f>'Додаток 4 до рішення'!E38</f>
        <v>0</v>
      </c>
      <c r="F112" s="2193">
        <f>'Додаток 4 до рішення'!F38</f>
        <v>0</v>
      </c>
      <c r="G112" s="2193">
        <f>'Додаток 4 до рішення'!G38</f>
        <v>24.83</v>
      </c>
    </row>
    <row r="113" spans="1:7" x14ac:dyDescent="0.25">
      <c r="A113" s="2195" t="s">
        <v>1101</v>
      </c>
      <c r="B113" s="90" t="s">
        <v>71</v>
      </c>
      <c r="C113" s="2193">
        <f>'Додаток 4 до рішення'!C39</f>
        <v>0</v>
      </c>
      <c r="D113" s="2193">
        <f>'Додаток 4 до рішення'!D39</f>
        <v>0</v>
      </c>
      <c r="E113" s="2193">
        <f>'Додаток 4 до рішення'!E39</f>
        <v>0</v>
      </c>
      <c r="F113" s="2193">
        <f>'Додаток 4 до рішення'!F39</f>
        <v>0</v>
      </c>
      <c r="G113" s="2193">
        <f>'Додаток 4 до рішення'!G39</f>
        <v>0</v>
      </c>
    </row>
    <row r="114" spans="1:7" x14ac:dyDescent="0.25">
      <c r="A114" s="2195" t="s">
        <v>1951</v>
      </c>
      <c r="B114" s="90" t="s">
        <v>2375</v>
      </c>
      <c r="C114" s="2193">
        <f>'Додаток 4 до рішення'!C40</f>
        <v>121</v>
      </c>
      <c r="D114" s="2193">
        <f>'Додаток 4 до рішення'!D40</f>
        <v>0</v>
      </c>
      <c r="E114" s="2193">
        <f>'Додаток 4 до рішення'!E40</f>
        <v>0</v>
      </c>
      <c r="F114" s="2193">
        <f>'Додаток 4 до рішення'!F40</f>
        <v>0</v>
      </c>
      <c r="G114" s="2193">
        <f>'Додаток 4 до рішення'!G40</f>
        <v>100.94</v>
      </c>
    </row>
    <row r="115" spans="1:7" ht="30" thickBot="1" x14ac:dyDescent="0.3">
      <c r="A115" s="2211" t="s">
        <v>1789</v>
      </c>
      <c r="B115" s="2213" t="s">
        <v>3090</v>
      </c>
      <c r="C115" s="2184">
        <f>'Додаток 4 до рішення'!C41</f>
        <v>1.2</v>
      </c>
      <c r="D115" s="2184">
        <f>'Додаток 4 до рішення'!D41</f>
        <v>0</v>
      </c>
      <c r="E115" s="2184">
        <f>'Додаток 4 до рішення'!E41</f>
        <v>0</v>
      </c>
      <c r="F115" s="2184">
        <f>'Додаток 4 до рішення'!F41</f>
        <v>0</v>
      </c>
      <c r="G115" s="2184">
        <f>'Додаток 4 до рішення'!G41</f>
        <v>1.2</v>
      </c>
    </row>
    <row r="116" spans="1:7" ht="15.75" thickBot="1" x14ac:dyDescent="0.3">
      <c r="A116" s="2189" t="s">
        <v>2778</v>
      </c>
      <c r="B116" s="4028" t="s">
        <v>2834</v>
      </c>
      <c r="C116" s="4033"/>
      <c r="D116" s="4033"/>
      <c r="E116" s="4033"/>
      <c r="F116" s="4033"/>
      <c r="G116" s="4034"/>
    </row>
    <row r="117" spans="1:7" x14ac:dyDescent="0.25">
      <c r="A117" s="2190" t="s">
        <v>1670</v>
      </c>
      <c r="B117" s="174" t="s">
        <v>2780</v>
      </c>
      <c r="C117" s="2184">
        <f>C118+C119+C120+C124</f>
        <v>960.53</v>
      </c>
      <c r="D117" s="177">
        <f>D118+D119+D120+D124</f>
        <v>0</v>
      </c>
      <c r="E117" s="177">
        <f t="shared" ref="E117:G117" si="23">E118+E119+E120+E124</f>
        <v>0</v>
      </c>
      <c r="F117" s="177">
        <f t="shared" si="23"/>
        <v>0</v>
      </c>
      <c r="G117" s="177">
        <f t="shared" si="23"/>
        <v>101.55</v>
      </c>
    </row>
    <row r="118" spans="1:7" x14ac:dyDescent="0.25">
      <c r="A118" s="2192" t="s">
        <v>1672</v>
      </c>
      <c r="B118" s="90" t="s">
        <v>2829</v>
      </c>
      <c r="C118" s="2193">
        <f>'Додаток 6 до рішення'!C11</f>
        <v>9.7100000000000009</v>
      </c>
      <c r="D118" s="2193">
        <f>'Додаток 6 до рішення'!D11</f>
        <v>0</v>
      </c>
      <c r="E118" s="2193">
        <f>'Додаток 6 до рішення'!E11</f>
        <v>0</v>
      </c>
      <c r="F118" s="2193">
        <f>'Додаток 6 до рішення'!F11</f>
        <v>0</v>
      </c>
      <c r="G118" s="2193">
        <f>'Додаток 6 до рішення'!G11</f>
        <v>1.03</v>
      </c>
    </row>
    <row r="119" spans="1:7" x14ac:dyDescent="0.25">
      <c r="A119" s="2192" t="s">
        <v>1674</v>
      </c>
      <c r="B119" s="90" t="s">
        <v>2789</v>
      </c>
      <c r="C119" s="2193">
        <f>'Додаток 6 до рішення'!C12</f>
        <v>612.30999999999995</v>
      </c>
      <c r="D119" s="2193">
        <f>'Додаток 6 до рішення'!D12</f>
        <v>0</v>
      </c>
      <c r="E119" s="2193">
        <f>'Додаток 6 до рішення'!E12</f>
        <v>0</v>
      </c>
      <c r="F119" s="2193">
        <f>'Додаток 6 до рішення'!F12</f>
        <v>0</v>
      </c>
      <c r="G119" s="2193">
        <f>'Додаток 6 до рішення'!G12</f>
        <v>64.73</v>
      </c>
    </row>
    <row r="120" spans="1:7" x14ac:dyDescent="0.25">
      <c r="A120" s="2192" t="s">
        <v>1677</v>
      </c>
      <c r="B120" s="90" t="s">
        <v>2790</v>
      </c>
      <c r="C120" s="2193">
        <f>'Додаток 6 до рішення'!C13</f>
        <v>292.10000000000002</v>
      </c>
      <c r="D120" s="2193">
        <f>'Додаток 6 до рішення'!D13</f>
        <v>0</v>
      </c>
      <c r="E120" s="2193">
        <f>'Додаток 6 до рішення'!E13</f>
        <v>0</v>
      </c>
      <c r="F120" s="2193">
        <f>'Додаток 6 до рішення'!F13</f>
        <v>0</v>
      </c>
      <c r="G120" s="2193">
        <f>'Додаток 6 до рішення'!G13</f>
        <v>30.88</v>
      </c>
    </row>
    <row r="121" spans="1:7" x14ac:dyDescent="0.25">
      <c r="A121" s="2192" t="s">
        <v>2791</v>
      </c>
      <c r="B121" s="90" t="s">
        <v>2792</v>
      </c>
      <c r="C121" s="2193">
        <f>'Додаток 6 до рішення'!C14</f>
        <v>134.71</v>
      </c>
      <c r="D121" s="2193">
        <f>'Додаток 6 до рішення'!D14</f>
        <v>0</v>
      </c>
      <c r="E121" s="2193">
        <f>'Додаток 6 до рішення'!E14</f>
        <v>0</v>
      </c>
      <c r="F121" s="2193">
        <f>'Додаток 6 до рішення'!F14</f>
        <v>0</v>
      </c>
      <c r="G121" s="2193">
        <f>'Додаток 6 до рішення'!G14</f>
        <v>14.24</v>
      </c>
    </row>
    <row r="122" spans="1:7" x14ac:dyDescent="0.25">
      <c r="A122" s="2192" t="s">
        <v>2793</v>
      </c>
      <c r="B122" s="90" t="s">
        <v>2794</v>
      </c>
      <c r="C122" s="2193">
        <f>'Додаток 6 до рішення'!C15</f>
        <v>0</v>
      </c>
      <c r="D122" s="2193">
        <f>'Додаток 6 до рішення'!D15</f>
        <v>0</v>
      </c>
      <c r="E122" s="2193">
        <f>'Додаток 6 до рішення'!E15</f>
        <v>0</v>
      </c>
      <c r="F122" s="2193">
        <f>'Додаток 6 до рішення'!F15</f>
        <v>0</v>
      </c>
      <c r="G122" s="2193">
        <f>'Додаток 6 до рішення'!G15</f>
        <v>0</v>
      </c>
    </row>
    <row r="123" spans="1:7" x14ac:dyDescent="0.25">
      <c r="A123" s="2192" t="s">
        <v>2795</v>
      </c>
      <c r="B123" s="90" t="s">
        <v>82</v>
      </c>
      <c r="C123" s="2193">
        <f>'Додаток 6 до рішення'!C16</f>
        <v>157.38999999999999</v>
      </c>
      <c r="D123" s="2193">
        <f>'Додаток 6 до рішення'!D16</f>
        <v>0</v>
      </c>
      <c r="E123" s="2193">
        <f>'Додаток 6 до рішення'!E16</f>
        <v>0</v>
      </c>
      <c r="F123" s="2193">
        <f>'Додаток 6 до рішення'!F16</f>
        <v>0</v>
      </c>
      <c r="G123" s="2193">
        <f>'Додаток 6 до рішення'!G16</f>
        <v>16.64</v>
      </c>
    </row>
    <row r="124" spans="1:7" x14ac:dyDescent="0.25">
      <c r="A124" s="2194" t="s">
        <v>1679</v>
      </c>
      <c r="B124" s="174" t="s">
        <v>2796</v>
      </c>
      <c r="C124" s="2184">
        <f>C125+C126+C127+C128</f>
        <v>46.41</v>
      </c>
      <c r="D124" s="177">
        <f t="shared" ref="D124:G124" si="24">D125+D126+D127+D128</f>
        <v>0</v>
      </c>
      <c r="E124" s="177">
        <f t="shared" si="24"/>
        <v>0</v>
      </c>
      <c r="F124" s="177">
        <f t="shared" si="24"/>
        <v>0</v>
      </c>
      <c r="G124" s="177">
        <f t="shared" si="24"/>
        <v>4.91</v>
      </c>
    </row>
    <row r="125" spans="1:7" x14ac:dyDescent="0.25">
      <c r="A125" s="2195" t="s">
        <v>2797</v>
      </c>
      <c r="B125" s="90" t="s">
        <v>2798</v>
      </c>
      <c r="C125" s="2193">
        <f>'Додаток 6 до рішення'!C18</f>
        <v>30.91</v>
      </c>
      <c r="D125" s="2193">
        <f>'Додаток 6 до рішення'!D18</f>
        <v>0</v>
      </c>
      <c r="E125" s="2193">
        <f>'Додаток 6 до рішення'!E18</f>
        <v>0</v>
      </c>
      <c r="F125" s="2193">
        <f>'Додаток 6 до рішення'!F18</f>
        <v>0</v>
      </c>
      <c r="G125" s="2193">
        <f>'Додаток 6 до рішення'!G18</f>
        <v>3.27</v>
      </c>
    </row>
    <row r="126" spans="1:7" x14ac:dyDescent="0.25">
      <c r="A126" s="2195" t="s">
        <v>2799</v>
      </c>
      <c r="B126" s="90" t="s">
        <v>2153</v>
      </c>
      <c r="C126" s="2193">
        <f>'Додаток 6 до рішення'!C19</f>
        <v>6.8</v>
      </c>
      <c r="D126" s="2193">
        <f>'Додаток 6 до рішення'!D19</f>
        <v>0</v>
      </c>
      <c r="E126" s="2193">
        <f>'Додаток 6 до рішення'!E19</f>
        <v>0</v>
      </c>
      <c r="F126" s="2193">
        <f>'Додаток 6 до рішення'!F19</f>
        <v>0</v>
      </c>
      <c r="G126" s="2193">
        <f>'Додаток 6 до рішення'!G19</f>
        <v>0.72</v>
      </c>
    </row>
    <row r="127" spans="1:7" x14ac:dyDescent="0.25">
      <c r="A127" s="2195" t="s">
        <v>2800</v>
      </c>
      <c r="B127" s="90" t="s">
        <v>2794</v>
      </c>
      <c r="C127" s="2193">
        <f>'Додаток 6 до рішення'!C20</f>
        <v>0.42</v>
      </c>
      <c r="D127" s="2193">
        <f>'Додаток 6 до рішення'!D20</f>
        <v>0</v>
      </c>
      <c r="E127" s="2193">
        <f>'Додаток 6 до рішення'!E20</f>
        <v>0</v>
      </c>
      <c r="F127" s="2193">
        <f>'Додаток 6 до рішення'!F20</f>
        <v>0</v>
      </c>
      <c r="G127" s="2193">
        <f>'Додаток 6 до рішення'!G20</f>
        <v>0.04</v>
      </c>
    </row>
    <row r="128" spans="1:7" x14ac:dyDescent="0.25">
      <c r="A128" s="2195" t="s">
        <v>2801</v>
      </c>
      <c r="B128" s="90" t="s">
        <v>58</v>
      </c>
      <c r="C128" s="2193">
        <f>'Додаток 6 до рішення'!C21</f>
        <v>8.2799999999999994</v>
      </c>
      <c r="D128" s="2193">
        <f>'Додаток 6 до рішення'!D21</f>
        <v>0</v>
      </c>
      <c r="E128" s="2193">
        <f>'Додаток 6 до рішення'!E21</f>
        <v>0</v>
      </c>
      <c r="F128" s="2193">
        <f>'Додаток 6 до рішення'!F21</f>
        <v>0</v>
      </c>
      <c r="G128" s="2193">
        <f>'Додаток 6 до рішення'!G21</f>
        <v>0.88</v>
      </c>
    </row>
    <row r="129" spans="1:7" x14ac:dyDescent="0.25">
      <c r="A129" s="2190" t="s">
        <v>1692</v>
      </c>
      <c r="B129" s="174" t="s">
        <v>2802</v>
      </c>
      <c r="C129" s="2184">
        <f>C130+C131+C132+C133</f>
        <v>18.510000000000002</v>
      </c>
      <c r="D129" s="177">
        <f t="shared" ref="D129:E129" si="25">D130+D131+D132+D133</f>
        <v>0</v>
      </c>
      <c r="E129" s="177">
        <f t="shared" si="25"/>
        <v>0</v>
      </c>
      <c r="F129" s="177">
        <f>F130+F131+F132+F133</f>
        <v>0</v>
      </c>
      <c r="G129" s="177">
        <f t="shared" ref="G129" si="26">G130+G131+G132+G133</f>
        <v>1.95</v>
      </c>
    </row>
    <row r="130" spans="1:7" x14ac:dyDescent="0.25">
      <c r="A130" s="2195" t="s">
        <v>2803</v>
      </c>
      <c r="B130" s="90" t="s">
        <v>55</v>
      </c>
      <c r="C130" s="2193">
        <f>'Додаток 6 до рішення'!C23</f>
        <v>11.52</v>
      </c>
      <c r="D130" s="2193">
        <f>'Додаток 6 до рішення'!D23</f>
        <v>0</v>
      </c>
      <c r="E130" s="2193">
        <f>'Додаток 6 до рішення'!E23</f>
        <v>0</v>
      </c>
      <c r="F130" s="2193">
        <f>'Додаток 6 до рішення'!F23</f>
        <v>0</v>
      </c>
      <c r="G130" s="2193">
        <f>'Додаток 6 до рішення'!G23</f>
        <v>1.22</v>
      </c>
    </row>
    <row r="131" spans="1:7" x14ac:dyDescent="0.25">
      <c r="A131" s="2195" t="s">
        <v>2804</v>
      </c>
      <c r="B131" s="90" t="s">
        <v>2805</v>
      </c>
      <c r="C131" s="2193">
        <f>'Додаток 6 до рішення'!C24</f>
        <v>2.54</v>
      </c>
      <c r="D131" s="2193">
        <f>'Додаток 6 до рішення'!D24</f>
        <v>0</v>
      </c>
      <c r="E131" s="2193">
        <f>'Додаток 6 до рішення'!E24</f>
        <v>0</v>
      </c>
      <c r="F131" s="2193">
        <f>'Додаток 6 до рішення'!F24</f>
        <v>0</v>
      </c>
      <c r="G131" s="2193">
        <f>'Додаток 6 до рішення'!G24</f>
        <v>0.27</v>
      </c>
    </row>
    <row r="132" spans="1:7" x14ac:dyDescent="0.25">
      <c r="A132" s="2195" t="s">
        <v>2806</v>
      </c>
      <c r="B132" s="90" t="s">
        <v>2794</v>
      </c>
      <c r="C132" s="2193">
        <f>'Додаток 6 до рішення'!C25</f>
        <v>0.28999999999999998</v>
      </c>
      <c r="D132" s="2193">
        <f>'Додаток 6 до рішення'!D25</f>
        <v>0</v>
      </c>
      <c r="E132" s="2193">
        <f>'Додаток 6 до рішення'!E25</f>
        <v>0</v>
      </c>
      <c r="F132" s="2193">
        <f>'Додаток 6 до рішення'!F25</f>
        <v>0</v>
      </c>
      <c r="G132" s="2193">
        <f>'Додаток 6 до рішення'!G25</f>
        <v>0.03</v>
      </c>
    </row>
    <row r="133" spans="1:7" x14ac:dyDescent="0.25">
      <c r="A133" s="2195" t="s">
        <v>2807</v>
      </c>
      <c r="B133" s="90" t="s">
        <v>2808</v>
      </c>
      <c r="C133" s="2193">
        <f>'Додаток 6 до рішення'!C26</f>
        <v>4.16</v>
      </c>
      <c r="D133" s="2193">
        <f>'Додаток 6 до рішення'!D26</f>
        <v>0</v>
      </c>
      <c r="E133" s="2193">
        <f>'Додаток 6 до рішення'!E26</f>
        <v>0</v>
      </c>
      <c r="F133" s="2193">
        <f>'Додаток 6 до рішення'!F26</f>
        <v>0</v>
      </c>
      <c r="G133" s="2193">
        <f>'Додаток 6 до рішення'!G26</f>
        <v>0.43</v>
      </c>
    </row>
    <row r="134" spans="1:7" x14ac:dyDescent="0.25">
      <c r="A134" s="2190" t="s">
        <v>1694</v>
      </c>
      <c r="B134" s="174" t="s">
        <v>2809</v>
      </c>
      <c r="C134" s="2184">
        <f>'Додаток 6 до рішення'!C27</f>
        <v>0</v>
      </c>
      <c r="D134" s="2184">
        <f>'Додаток 6 до рішення'!D27</f>
        <v>0</v>
      </c>
      <c r="E134" s="2184">
        <f>'Додаток 6 до рішення'!E27</f>
        <v>0</v>
      </c>
      <c r="F134" s="2184">
        <f>'Додаток 6 до рішення'!F27</f>
        <v>0</v>
      </c>
      <c r="G134" s="2184">
        <f>'Додаток 6 до рішення'!G27</f>
        <v>0</v>
      </c>
    </row>
    <row r="135" spans="1:7" x14ac:dyDescent="0.25">
      <c r="A135" s="2190" t="s">
        <v>1697</v>
      </c>
      <c r="B135" s="174" t="s">
        <v>2811</v>
      </c>
      <c r="C135" s="2184">
        <f>'Додаток 6 до рішення'!C28</f>
        <v>0</v>
      </c>
      <c r="D135" s="2184">
        <f>'Додаток 6 до рішення'!D28</f>
        <v>0</v>
      </c>
      <c r="E135" s="2184">
        <f>'Додаток 6 до рішення'!E28</f>
        <v>0</v>
      </c>
      <c r="F135" s="2184">
        <f>'Додаток 6 до рішення'!F28</f>
        <v>0</v>
      </c>
      <c r="G135" s="2184">
        <f>'Додаток 6 до рішення'!G28</f>
        <v>0</v>
      </c>
    </row>
    <row r="136" spans="1:7" x14ac:dyDescent="0.25">
      <c r="A136" s="2190" t="s">
        <v>1769</v>
      </c>
      <c r="B136" s="174" t="s">
        <v>2812</v>
      </c>
      <c r="C136" s="2184">
        <f>'Додаток 6 до рішення'!C29</f>
        <v>0</v>
      </c>
      <c r="D136" s="2184">
        <f>'Додаток 6 до рішення'!D29</f>
        <v>0</v>
      </c>
      <c r="E136" s="2184">
        <f>'Додаток 6 до рішення'!E29</f>
        <v>0</v>
      </c>
      <c r="F136" s="2184">
        <f>'Додаток 6 до рішення'!F29</f>
        <v>0</v>
      </c>
      <c r="G136" s="2184">
        <f>'Додаток 6 до рішення'!G29</f>
        <v>0</v>
      </c>
    </row>
    <row r="137" spans="1:7" x14ac:dyDescent="0.25">
      <c r="A137" s="2190" t="s">
        <v>1775</v>
      </c>
      <c r="B137" s="174" t="s">
        <v>2813</v>
      </c>
      <c r="C137" s="2184">
        <f>'Додаток 6 до рішення'!C30</f>
        <v>0</v>
      </c>
      <c r="D137" s="2184">
        <f>'Додаток 6 до рішення'!D30</f>
        <v>0</v>
      </c>
      <c r="E137" s="2184">
        <f>'Додаток 6 до рішення'!E30</f>
        <v>0</v>
      </c>
      <c r="F137" s="2184">
        <f>'Додаток 6 до рішення'!F30</f>
        <v>0</v>
      </c>
      <c r="G137" s="2184">
        <f>'Додаток 6 до рішення'!G30</f>
        <v>0</v>
      </c>
    </row>
    <row r="138" spans="1:7" x14ac:dyDescent="0.25">
      <c r="A138" s="2190" t="s">
        <v>1781</v>
      </c>
      <c r="B138" s="174" t="s">
        <v>2814</v>
      </c>
      <c r="C138" s="2184">
        <f>SUM(C139:C142)</f>
        <v>55.84</v>
      </c>
      <c r="D138" s="2184">
        <f t="shared" ref="D138:G138" si="27">SUM(D139:D142)</f>
        <v>0</v>
      </c>
      <c r="E138" s="2184">
        <f t="shared" si="27"/>
        <v>0</v>
      </c>
      <c r="F138" s="2184">
        <f t="shared" si="27"/>
        <v>0</v>
      </c>
      <c r="G138" s="2184">
        <f t="shared" si="27"/>
        <v>5.91</v>
      </c>
    </row>
    <row r="139" spans="1:7" x14ac:dyDescent="0.25">
      <c r="A139" s="2195" t="s">
        <v>1097</v>
      </c>
      <c r="B139" s="90" t="s">
        <v>65</v>
      </c>
      <c r="C139" s="2193">
        <f>'Додаток 6 до рішення'!C32</f>
        <v>7.05</v>
      </c>
      <c r="D139" s="2193">
        <f>'Додаток 6 до рішення'!D32</f>
        <v>0</v>
      </c>
      <c r="E139" s="2193">
        <f>'Додаток 6 до рішення'!E32</f>
        <v>0</v>
      </c>
      <c r="F139" s="2193">
        <f>'Додаток 6 до рішення'!F32</f>
        <v>0</v>
      </c>
      <c r="G139" s="2193">
        <f>'Додаток 6 до рішення'!G32</f>
        <v>0.75</v>
      </c>
    </row>
    <row r="140" spans="1:7" x14ac:dyDescent="0.25">
      <c r="A140" s="2195" t="s">
        <v>2825</v>
      </c>
      <c r="B140" s="90" t="s">
        <v>85</v>
      </c>
      <c r="C140" s="2193">
        <f>'Додаток 6 до рішення'!C33</f>
        <v>9.6300000000000008</v>
      </c>
      <c r="D140" s="2193">
        <f>'Додаток 6 до рішення'!D33</f>
        <v>0</v>
      </c>
      <c r="E140" s="2193">
        <f>'Додаток 6 до рішення'!E33</f>
        <v>0</v>
      </c>
      <c r="F140" s="2193">
        <f>'Додаток 6 до рішення'!F33</f>
        <v>0</v>
      </c>
      <c r="G140" s="2193">
        <f>'Додаток 6 до рішення'!G33</f>
        <v>1.02</v>
      </c>
    </row>
    <row r="141" spans="1:7" x14ac:dyDescent="0.25">
      <c r="A141" s="2195" t="s">
        <v>2826</v>
      </c>
      <c r="B141" s="90" t="s">
        <v>71</v>
      </c>
      <c r="C141" s="2193">
        <f>'Додаток 6 до рішення'!C34</f>
        <v>0</v>
      </c>
      <c r="D141" s="2193">
        <f>'Додаток 6 до рішення'!D34</f>
        <v>0</v>
      </c>
      <c r="E141" s="2193">
        <f>'Додаток 6 до рішення'!E34</f>
        <v>0</v>
      </c>
      <c r="F141" s="2193">
        <f>'Додаток 6 до рішення'!F34</f>
        <v>0</v>
      </c>
      <c r="G141" s="2193">
        <f>'Додаток 6 до рішення'!G34</f>
        <v>0</v>
      </c>
    </row>
    <row r="142" spans="1:7" ht="15.75" thickBot="1" x14ac:dyDescent="0.3">
      <c r="A142" s="2195" t="s">
        <v>2827</v>
      </c>
      <c r="B142" s="90" t="s">
        <v>2375</v>
      </c>
      <c r="C142" s="2199">
        <f>'Додаток 6 до рішення'!C35</f>
        <v>39.159999999999997</v>
      </c>
      <c r="D142" s="2193">
        <f>'Додаток 6 до рішення'!D35</f>
        <v>0</v>
      </c>
      <c r="E142" s="2193">
        <f>'Додаток 6 до рішення'!E35</f>
        <v>0</v>
      </c>
      <c r="F142" s="2193">
        <f>'Додаток 6 до рішення'!F35</f>
        <v>0</v>
      </c>
      <c r="G142" s="2193">
        <f>'Додаток 6 до рішення'!G35</f>
        <v>4.1399999999999997</v>
      </c>
    </row>
    <row r="143" spans="1:7" ht="30" thickBot="1" x14ac:dyDescent="0.3">
      <c r="A143" s="2211" t="s">
        <v>1783</v>
      </c>
      <c r="B143" s="2213" t="s">
        <v>3090</v>
      </c>
      <c r="C143" s="2201">
        <f>'Додаток 6 до рішення'!C36</f>
        <v>9.4600000000000009</v>
      </c>
      <c r="D143" s="2201">
        <f>'Додаток 6 до рішення'!D36</f>
        <v>0</v>
      </c>
      <c r="E143" s="2201">
        <f>'Додаток 6 до рішення'!E36</f>
        <v>0</v>
      </c>
      <c r="F143" s="2201">
        <f>'Додаток 6 до рішення'!F36</f>
        <v>0</v>
      </c>
      <c r="G143" s="2201">
        <f>'Додаток 6 до рішення'!G36</f>
        <v>9.4600000000000009</v>
      </c>
    </row>
  </sheetData>
  <mergeCells count="11">
    <mergeCell ref="B7:G7"/>
    <mergeCell ref="B12:G12"/>
    <mergeCell ref="B50:G50"/>
    <mergeCell ref="B83:G83"/>
    <mergeCell ref="B116:G116"/>
    <mergeCell ref="F1:G1"/>
    <mergeCell ref="B2:F2"/>
    <mergeCell ref="A4:A5"/>
    <mergeCell ref="B4:B5"/>
    <mergeCell ref="C4:C5"/>
    <mergeCell ref="D4:G4"/>
  </mergeCell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L50"/>
  <sheetViews>
    <sheetView topLeftCell="A31" workbookViewId="0">
      <selection activeCell="D48" sqref="D48"/>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96.75" customHeight="1" x14ac:dyDescent="0.25">
      <c r="F1" s="4038" t="s">
        <v>2821</v>
      </c>
      <c r="G1" s="4038"/>
    </row>
    <row r="2" spans="1:12" ht="45.75" customHeight="1" x14ac:dyDescent="0.25">
      <c r="A2" s="18"/>
      <c r="B2" s="4021" t="s">
        <v>3086</v>
      </c>
      <c r="C2" s="4021"/>
      <c r="D2" s="4021"/>
      <c r="E2" s="4021"/>
      <c r="F2" s="4021"/>
      <c r="G2" s="1876"/>
    </row>
    <row r="3" spans="1:12" ht="15.75" thickBot="1" x14ac:dyDescent="0.3">
      <c r="G3" s="18" t="s">
        <v>1649</v>
      </c>
    </row>
    <row r="4" spans="1:12" ht="30" customHeight="1" thickBot="1" x14ac:dyDescent="0.3">
      <c r="A4" s="4022" t="s">
        <v>7</v>
      </c>
      <c r="B4" s="4022" t="s">
        <v>619</v>
      </c>
      <c r="C4" s="4022" t="s">
        <v>2766</v>
      </c>
      <c r="D4" s="4025" t="s">
        <v>2767</v>
      </c>
      <c r="E4" s="4026"/>
      <c r="F4" s="4026"/>
      <c r="G4" s="4027"/>
      <c r="H4" s="108"/>
      <c r="I4" s="108"/>
    </row>
    <row r="5" spans="1:12" ht="75" customHeight="1" thickBot="1" x14ac:dyDescent="0.3">
      <c r="A5" s="4023"/>
      <c r="B5" s="4024"/>
      <c r="C5" s="4024"/>
      <c r="D5" s="2176" t="s">
        <v>2768</v>
      </c>
      <c r="E5" s="2176" t="s">
        <v>2769</v>
      </c>
      <c r="F5" s="2176" t="s">
        <v>2770</v>
      </c>
      <c r="G5" s="2176" t="s">
        <v>2771</v>
      </c>
      <c r="H5" s="108"/>
      <c r="I5" s="108"/>
    </row>
    <row r="6" spans="1:12" ht="15.75" thickBot="1" x14ac:dyDescent="0.3">
      <c r="A6" s="2177">
        <v>1</v>
      </c>
      <c r="B6" s="2178">
        <v>2</v>
      </c>
      <c r="C6" s="2163">
        <v>3</v>
      </c>
      <c r="D6" s="2177">
        <v>4</v>
      </c>
      <c r="E6" s="2163">
        <v>5</v>
      </c>
      <c r="F6" s="2178">
        <v>6</v>
      </c>
      <c r="G6" s="2164">
        <v>7</v>
      </c>
    </row>
    <row r="7" spans="1:12" ht="15.75" thickBot="1" x14ac:dyDescent="0.3">
      <c r="A7" s="2179"/>
      <c r="B7" s="4028" t="s">
        <v>2772</v>
      </c>
      <c r="C7" s="4029"/>
      <c r="D7" s="4029"/>
      <c r="E7" s="4029"/>
      <c r="F7" s="4029"/>
      <c r="G7" s="4030"/>
    </row>
    <row r="8" spans="1:12" ht="35.25" customHeight="1" x14ac:dyDescent="0.25">
      <c r="A8" s="2180" t="s">
        <v>2773</v>
      </c>
      <c r="B8" s="2180" t="s">
        <v>2774</v>
      </c>
      <c r="C8" s="2180" t="s">
        <v>233</v>
      </c>
      <c r="D8" s="2180">
        <f>SUM(D9:D11)</f>
        <v>0</v>
      </c>
      <c r="E8" s="2182">
        <f t="shared" ref="E8:G8" si="0">SUM(E9:E11)</f>
        <v>0</v>
      </c>
      <c r="F8" s="2180">
        <f t="shared" si="0"/>
        <v>0</v>
      </c>
      <c r="G8" s="2183">
        <f t="shared" si="0"/>
        <v>9260.0300000000007</v>
      </c>
      <c r="H8" s="863"/>
      <c r="I8" s="863"/>
      <c r="J8" s="863"/>
      <c r="K8" s="863"/>
      <c r="L8" s="863"/>
    </row>
    <row r="9" spans="1:12" ht="35.25" customHeight="1" x14ac:dyDescent="0.25">
      <c r="A9" s="2184" t="s">
        <v>1672</v>
      </c>
      <c r="B9" s="2185" t="s">
        <v>2775</v>
      </c>
      <c r="C9" s="2184" t="s">
        <v>233</v>
      </c>
      <c r="D9" s="2184">
        <f>'Додаток 3 до рішення'!D8</f>
        <v>0</v>
      </c>
      <c r="E9" s="2184">
        <f>'Додаток 3 до рішення'!E8</f>
        <v>0</v>
      </c>
      <c r="F9" s="2184">
        <f>'Додаток 3 до рішення'!F8</f>
        <v>0</v>
      </c>
      <c r="G9" s="2184">
        <f>'Додаток 3 до рішення'!G8</f>
        <v>7163.27</v>
      </c>
      <c r="H9" s="863"/>
      <c r="I9" s="863"/>
      <c r="J9" s="863"/>
      <c r="K9" s="863"/>
      <c r="L9" s="863"/>
    </row>
    <row r="10" spans="1:12" ht="50.25" customHeight="1" x14ac:dyDescent="0.25">
      <c r="A10" s="2184" t="s">
        <v>1674</v>
      </c>
      <c r="B10" s="2186" t="s">
        <v>2822</v>
      </c>
      <c r="C10" s="2184" t="s">
        <v>233</v>
      </c>
      <c r="D10" s="2184">
        <f>'Додаток 5 до рішення'!D8</f>
        <v>0</v>
      </c>
      <c r="E10" s="2184">
        <f>'Додаток 5 до рішення'!E8</f>
        <v>0</v>
      </c>
      <c r="F10" s="2184">
        <f>'Додаток 5 до рішення'!F8</f>
        <v>0</v>
      </c>
      <c r="G10" s="2184">
        <f>'Додаток 5 до рішення'!G8</f>
        <v>1987.35</v>
      </c>
      <c r="H10" s="863"/>
      <c r="I10" s="863"/>
      <c r="J10" s="863"/>
      <c r="K10" s="863"/>
      <c r="L10" s="863"/>
    </row>
    <row r="11" spans="1:12" ht="35.25" customHeight="1" thickBot="1" x14ac:dyDescent="0.3">
      <c r="A11" s="2187" t="s">
        <v>1677</v>
      </c>
      <c r="B11" s="2188" t="s">
        <v>2777</v>
      </c>
      <c r="C11" s="2187" t="s">
        <v>233</v>
      </c>
      <c r="D11" s="2187">
        <f>'Додаток 6 до рішення'!D8</f>
        <v>0</v>
      </c>
      <c r="E11" s="2187">
        <f>'Додаток 6 до рішення'!E8</f>
        <v>0</v>
      </c>
      <c r="F11" s="2187">
        <f>'Додаток 6 до рішення'!F8</f>
        <v>0</v>
      </c>
      <c r="G11" s="2187">
        <f>'Додаток 6 до рішення'!G8</f>
        <v>109.41</v>
      </c>
      <c r="H11" s="863"/>
      <c r="I11" s="863"/>
      <c r="J11" s="863"/>
      <c r="K11" s="863"/>
      <c r="L11" s="863"/>
    </row>
    <row r="12" spans="1:12" ht="18.75" customHeight="1" thickBot="1" x14ac:dyDescent="0.3">
      <c r="A12" s="2189" t="s">
        <v>2778</v>
      </c>
      <c r="B12" s="4028" t="s">
        <v>2779</v>
      </c>
      <c r="C12" s="4031"/>
      <c r="D12" s="4031"/>
      <c r="E12" s="4031"/>
      <c r="F12" s="4031"/>
      <c r="G12" s="4032"/>
      <c r="H12" s="2145"/>
    </row>
    <row r="13" spans="1:12" s="23" customFormat="1" ht="14.25" x14ac:dyDescent="0.2">
      <c r="A13" s="2190" t="s">
        <v>1670</v>
      </c>
      <c r="B13" s="2191" t="s">
        <v>2780</v>
      </c>
      <c r="C13" s="2184">
        <f>C14+C19+C20+C24</f>
        <v>70616.31</v>
      </c>
      <c r="D13" s="2184">
        <f>D14+D19+D20+D24</f>
        <v>0</v>
      </c>
      <c r="E13" s="2184">
        <f>E14+E19+E20+E24</f>
        <v>0</v>
      </c>
      <c r="F13" s="2184">
        <f>F14+F19+F20+F24</f>
        <v>0</v>
      </c>
      <c r="G13" s="2184">
        <f>G14+G19+G20+G24</f>
        <v>7733.05</v>
      </c>
      <c r="H13" s="2145"/>
    </row>
    <row r="14" spans="1:12" x14ac:dyDescent="0.25">
      <c r="A14" s="2192" t="s">
        <v>1672</v>
      </c>
      <c r="B14" s="90" t="s">
        <v>2781</v>
      </c>
      <c r="C14" s="2193">
        <f>SUM(C15:C18)</f>
        <v>50364.4</v>
      </c>
      <c r="D14" s="2193">
        <f t="shared" ref="D14:G14" si="1">SUM(D15:D18)</f>
        <v>0</v>
      </c>
      <c r="E14" s="2193">
        <f t="shared" si="1"/>
        <v>0</v>
      </c>
      <c r="F14" s="2193">
        <f t="shared" si="1"/>
        <v>0</v>
      </c>
      <c r="G14" s="2193">
        <f t="shared" si="1"/>
        <v>5460.24</v>
      </c>
      <c r="H14" s="2145"/>
      <c r="I14" s="863"/>
    </row>
    <row r="15" spans="1:12" x14ac:dyDescent="0.25">
      <c r="A15" s="2192" t="s">
        <v>2782</v>
      </c>
      <c r="B15" s="90" t="s">
        <v>2783</v>
      </c>
      <c r="C15" s="2193">
        <f>'Додаток 3 до рішення'!N12</f>
        <v>47487.57</v>
      </c>
      <c r="D15" s="2193">
        <f>'Додаток 3 до рішення'!D12</f>
        <v>0</v>
      </c>
      <c r="E15" s="2193">
        <f>'Додаток 3 до рішення'!E12</f>
        <v>0</v>
      </c>
      <c r="F15" s="2193">
        <f>'Додаток 3 до рішення'!F12</f>
        <v>0</v>
      </c>
      <c r="G15" s="2193">
        <f>'Додаток 3 до рішення'!G12</f>
        <v>5120.62</v>
      </c>
      <c r="H15" s="2145"/>
    </row>
    <row r="16" spans="1:12" x14ac:dyDescent="0.25">
      <c r="A16" s="2192" t="s">
        <v>2784</v>
      </c>
      <c r="B16" s="90" t="s">
        <v>2785</v>
      </c>
      <c r="C16" s="2193">
        <f>'Додаток 3 до рішення'!N13+'Додаток 5 до рішення'!C12</f>
        <v>2081.2600000000002</v>
      </c>
      <c r="D16" s="2193">
        <f>'Додаток 3 до рішення'!D13+'Додаток 5 до рішення'!D12</f>
        <v>0</v>
      </c>
      <c r="E16" s="2193">
        <f>'Додаток 3 до рішення'!E13+'Додаток 5 до рішення'!E12</f>
        <v>0</v>
      </c>
      <c r="F16" s="2193">
        <f>'Додаток 3 до рішення'!F13+'Додаток 5 до рішення'!F12</f>
        <v>0</v>
      </c>
      <c r="G16" s="2193">
        <f>'Додаток 3 до рішення'!G13+'Додаток 5 до рішення'!G12</f>
        <v>246.59</v>
      </c>
      <c r="H16" s="2145"/>
    </row>
    <row r="17" spans="1:8" x14ac:dyDescent="0.25">
      <c r="A17" s="2192" t="s">
        <v>2786</v>
      </c>
      <c r="B17" s="90" t="s">
        <v>2787</v>
      </c>
      <c r="C17" s="2193">
        <f>'Додаток 3 до рішення'!N14+'Додаток 5 до рішення'!C13</f>
        <v>447.58</v>
      </c>
      <c r="D17" s="2193">
        <f>'Додаток 3 до рішення'!D14+'Додаток 5 до рішення'!D13</f>
        <v>0</v>
      </c>
      <c r="E17" s="2193">
        <f>'Додаток 3 до рішення'!E14+'Додаток 5 до рішення'!E13</f>
        <v>0</v>
      </c>
      <c r="F17" s="2193">
        <f>'Додаток 3 до рішення'!F14+'Додаток 5 до рішення'!F13</f>
        <v>0</v>
      </c>
      <c r="G17" s="2193">
        <f>'Додаток 3 до рішення'!G14+'Додаток 5 до рішення'!G13</f>
        <v>53.74</v>
      </c>
      <c r="H17" s="2145"/>
    </row>
    <row r="18" spans="1:8" x14ac:dyDescent="0.25">
      <c r="A18" s="2192" t="s">
        <v>2788</v>
      </c>
      <c r="B18" s="90" t="s">
        <v>2151</v>
      </c>
      <c r="C18" s="2193">
        <f>'Додаток 3 до рішення'!N15+'Додаток 5 до рішення'!C14+'Додаток 6 до рішення'!N11</f>
        <v>347.99</v>
      </c>
      <c r="D18" s="2193">
        <f>'Додаток 3 до рішення'!D15+'Додаток 5 до рішення'!D14+'Додаток 6 до рішення'!D11</f>
        <v>0</v>
      </c>
      <c r="E18" s="2193">
        <f>'Додаток 3 до рішення'!E15+'Додаток 5 до рішення'!E14+'Додаток 6 до рішення'!E11</f>
        <v>0</v>
      </c>
      <c r="F18" s="2193">
        <f>'Додаток 3 до рішення'!F15+'Додаток 5 до рішення'!F14+'Додаток 6 до рішення'!F11</f>
        <v>0</v>
      </c>
      <c r="G18" s="2193">
        <f>'Додаток 3 до рішення'!G15+'Додаток 5 до рішення'!G14+'Додаток 6 до рішення'!G11</f>
        <v>39.29</v>
      </c>
      <c r="H18" s="2145"/>
    </row>
    <row r="19" spans="1:8" x14ac:dyDescent="0.25">
      <c r="A19" s="2194" t="s">
        <v>1674</v>
      </c>
      <c r="B19" s="174" t="s">
        <v>2789</v>
      </c>
      <c r="C19" s="2184">
        <f>'Додаток 3 до рішення'!N16+'Додаток 5 до рішення'!C15+'Додаток 6 до рішення'!N12</f>
        <v>7335.79</v>
      </c>
      <c r="D19" s="2184">
        <f>'Додаток 3 до рішення'!D16+'Додаток 5 до рішення'!D15+'Додаток 6 до рішення'!D12</f>
        <v>0</v>
      </c>
      <c r="E19" s="2184">
        <f>'Додаток 3 до рішення'!E16+'Додаток 5 до рішення'!E15+'Додаток 6 до рішення'!E12</f>
        <v>0</v>
      </c>
      <c r="F19" s="2184">
        <f>'Додаток 3 до рішення'!F16+'Додаток 5 до рішення'!F15+'Додаток 6 до рішення'!F12</f>
        <v>0</v>
      </c>
      <c r="G19" s="2184">
        <f>'Додаток 3 до рішення'!G16+'Додаток 5 до рішення'!G15+'Додаток 6 до рішення'!G12</f>
        <v>830.22</v>
      </c>
      <c r="H19" s="2145"/>
    </row>
    <row r="20" spans="1:8" x14ac:dyDescent="0.25">
      <c r="A20" s="2194" t="s">
        <v>1677</v>
      </c>
      <c r="B20" s="174" t="s">
        <v>2790</v>
      </c>
      <c r="C20" s="2184">
        <f>C21+C22+C23</f>
        <v>9511.7900000000009</v>
      </c>
      <c r="D20" s="2184">
        <f t="shared" ref="D20:G20" si="2">D21+D22+D23</f>
        <v>0</v>
      </c>
      <c r="E20" s="2184">
        <f t="shared" si="2"/>
        <v>0</v>
      </c>
      <c r="F20" s="2184">
        <f t="shared" si="2"/>
        <v>0</v>
      </c>
      <c r="G20" s="2184">
        <f t="shared" si="2"/>
        <v>1069.78</v>
      </c>
      <c r="H20" s="2145"/>
    </row>
    <row r="21" spans="1:8" x14ac:dyDescent="0.25">
      <c r="A21" s="2192" t="s">
        <v>2791</v>
      </c>
      <c r="B21" s="90" t="s">
        <v>2792</v>
      </c>
      <c r="C21" s="2193">
        <f>'Додаток 3 до рішення'!N18+'Додаток 5 до рішення'!C17+'Додаток 6 до рішення'!N14</f>
        <v>1613.88</v>
      </c>
      <c r="D21" s="2193">
        <f>'Додаток 3 до рішення'!D18+'Додаток 5 до рішення'!D17+'Додаток 6 до рішення'!D14</f>
        <v>0</v>
      </c>
      <c r="E21" s="2193">
        <f>'Додаток 3 до рішення'!E18+'Додаток 5 до рішення'!E17+'Додаток 6 до рішення'!E14</f>
        <v>0</v>
      </c>
      <c r="F21" s="2193">
        <f>'Додаток 3 до рішення'!F18+'Додаток 5 до рішення'!F17+'Додаток 6 до рішення'!F14</f>
        <v>0</v>
      </c>
      <c r="G21" s="2193">
        <f>'Додаток 3 до рішення'!G18+'Додаток 5 до рішення'!G17+'Додаток 6 до рішення'!G14</f>
        <v>182.65</v>
      </c>
      <c r="H21" s="2145"/>
    </row>
    <row r="22" spans="1:8" x14ac:dyDescent="0.25">
      <c r="A22" s="2192" t="s">
        <v>2793</v>
      </c>
      <c r="B22" s="90" t="s">
        <v>2794</v>
      </c>
      <c r="C22" s="2193">
        <f>'Додаток 3 до рішення'!N19+'Додаток 5 до рішення'!C18+'Додаток 6 до рішення'!N15</f>
        <v>2155.46</v>
      </c>
      <c r="D22" s="2193">
        <f>'Додаток 3 до рішення'!D19+'Додаток 5 до рішення'!D18+'Додаток 6 до рішення'!D15</f>
        <v>0</v>
      </c>
      <c r="E22" s="2193">
        <f>'Додаток 3 до рішення'!E19+'Додаток 5 до рішення'!E18+'Додаток 6 до рішення'!E15</f>
        <v>0</v>
      </c>
      <c r="F22" s="2193">
        <f>'Додаток 3 до рішення'!F19+'Додаток 5 до рішення'!F18+'Додаток 6 до рішення'!F15</f>
        <v>0</v>
      </c>
      <c r="G22" s="2193">
        <f>'Додаток 3 до рішення'!G19+'Додаток 5 до рішення'!G18+'Додаток 6 до рішення'!G15</f>
        <v>235</v>
      </c>
      <c r="H22" s="2145"/>
    </row>
    <row r="23" spans="1:8" x14ac:dyDescent="0.25">
      <c r="A23" s="2192" t="s">
        <v>2795</v>
      </c>
      <c r="B23" s="90" t="s">
        <v>82</v>
      </c>
      <c r="C23" s="2193">
        <f>'Додаток 3 до рішення'!N20+'Додаток 5 до рішення'!C19+'Додаток 6 до рішення'!N16</f>
        <v>5742.45</v>
      </c>
      <c r="D23" s="2193">
        <f>'Додаток 3 до рішення'!D20+'Додаток 5 до рішення'!D19+'Додаток 6 до рішення'!D16</f>
        <v>0</v>
      </c>
      <c r="E23" s="2193">
        <f>'Додаток 3 до рішення'!E20+'Додаток 5 до рішення'!E19+'Додаток 6 до рішення'!E16</f>
        <v>0</v>
      </c>
      <c r="F23" s="2193">
        <f>'Додаток 3 до рішення'!F20+'Додаток 5 до рішення'!F19+'Додаток 6 до рішення'!F16</f>
        <v>0</v>
      </c>
      <c r="G23" s="2193">
        <f>'Додаток 3 до рішення'!G20+'Додаток 5 до рішення'!G19+'Додаток 6 до рішення'!G16</f>
        <v>652.13</v>
      </c>
      <c r="H23" s="2145"/>
    </row>
    <row r="24" spans="1:8" s="23" customFormat="1" ht="14.25" x14ac:dyDescent="0.2">
      <c r="A24" s="2194" t="s">
        <v>1679</v>
      </c>
      <c r="B24" s="174" t="s">
        <v>2796</v>
      </c>
      <c r="C24" s="2184">
        <f>C25+C26+C27+C28</f>
        <v>3404.33</v>
      </c>
      <c r="D24" s="177">
        <f t="shared" ref="D24:G24" si="3">D25+D26+D27+D28</f>
        <v>0</v>
      </c>
      <c r="E24" s="177">
        <f t="shared" si="3"/>
        <v>0</v>
      </c>
      <c r="F24" s="177">
        <f t="shared" si="3"/>
        <v>0</v>
      </c>
      <c r="G24" s="177">
        <f t="shared" si="3"/>
        <v>372.81</v>
      </c>
      <c r="H24" s="2145"/>
    </row>
    <row r="25" spans="1:8" x14ac:dyDescent="0.25">
      <c r="A25" s="2195" t="s">
        <v>2797</v>
      </c>
      <c r="B25" s="90" t="s">
        <v>2798</v>
      </c>
      <c r="C25" s="2193">
        <f>'Додаток 3 до рішення'!N22+'Додаток 5 до рішення'!C21+'Додаток 6 до рішення'!N18</f>
        <v>2267.2399999999998</v>
      </c>
      <c r="D25" s="2193">
        <f>'Додаток 3 до рішення'!D22+'Додаток 5 до рішення'!D21+'Додаток 6 до рішення'!D18</f>
        <v>0</v>
      </c>
      <c r="E25" s="2193">
        <f>'Додаток 3 до рішення'!E22+'Додаток 5 до рішення'!E21+'Додаток 6 до рішення'!E18</f>
        <v>0</v>
      </c>
      <c r="F25" s="2193">
        <f>'Додаток 3 до рішення'!F22+'Додаток 5 до рішення'!F21+'Додаток 6 до рішення'!F18</f>
        <v>0</v>
      </c>
      <c r="G25" s="2193">
        <f>'Додаток 3 до рішення'!G22+'Додаток 5 до рішення'!G21+'Додаток 6 до рішення'!G18</f>
        <v>248.29</v>
      </c>
      <c r="H25" s="2145"/>
    </row>
    <row r="26" spans="1:8" x14ac:dyDescent="0.25">
      <c r="A26" s="2195" t="s">
        <v>2799</v>
      </c>
      <c r="B26" s="90" t="s">
        <v>2153</v>
      </c>
      <c r="C26" s="2193">
        <f>'Додаток 3 до рішення'!N23+'Додаток 5 до рішення'!C22+'Додаток 6 до рішення'!N19</f>
        <v>498.8</v>
      </c>
      <c r="D26" s="2193">
        <f>'Додаток 3 до рішення'!D23+'Додаток 5 до рішення'!D22+'Додаток 6 до рішення'!D19</f>
        <v>0</v>
      </c>
      <c r="E26" s="2193">
        <f>'Додаток 3 до рішення'!E23+'Додаток 5 до рішення'!E22+'Додаток 6 до рішення'!E19</f>
        <v>0</v>
      </c>
      <c r="F26" s="2193">
        <f>'Додаток 3 до рішення'!F23+'Додаток 5 до рішення'!F22+'Додаток 6 до рішення'!F19</f>
        <v>0</v>
      </c>
      <c r="G26" s="2193">
        <f>'Додаток 3 до рішення'!G23+'Додаток 5 до рішення'!G22+'Додаток 6 до рішення'!G19</f>
        <v>54.62</v>
      </c>
      <c r="H26" s="2145"/>
    </row>
    <row r="27" spans="1:8" x14ac:dyDescent="0.25">
      <c r="A27" s="2195" t="s">
        <v>2800</v>
      </c>
      <c r="B27" s="90" t="s">
        <v>2794</v>
      </c>
      <c r="C27" s="2193">
        <f>'Додаток 3 до рішення'!N24+'Додаток 5 до рішення'!C23+'Додаток 6 до рішення'!N20</f>
        <v>30.94</v>
      </c>
      <c r="D27" s="2193">
        <f>'Додаток 3 до рішення'!D24+'Додаток 5 до рішення'!D23+'Додаток 6 до рішення'!D20</f>
        <v>0</v>
      </c>
      <c r="E27" s="2193">
        <f>'Додаток 3 до рішення'!E24+'Додаток 5 до рішення'!E23+'Додаток 6 до рішення'!E20</f>
        <v>0</v>
      </c>
      <c r="F27" s="2193">
        <f>'Додаток 3 до рішення'!F24+'Додаток 5 до рішення'!F23+'Додаток 6 до рішення'!F20</f>
        <v>0</v>
      </c>
      <c r="G27" s="2193">
        <f>'Додаток 3 до рішення'!G24+'Додаток 5 до рішення'!G23+'Додаток 6 до рішення'!G20</f>
        <v>3.38</v>
      </c>
      <c r="H27" s="2145"/>
    </row>
    <row r="28" spans="1:8" x14ac:dyDescent="0.25">
      <c r="A28" s="2195" t="s">
        <v>2801</v>
      </c>
      <c r="B28" s="90" t="s">
        <v>58</v>
      </c>
      <c r="C28" s="2193">
        <f>'Додаток 3 до рішення'!N25+'Додаток 5 до рішення'!C24+'Додаток 6 до рішення'!N21</f>
        <v>607.35</v>
      </c>
      <c r="D28" s="2193">
        <f>'Додаток 3 до рішення'!D25+'Додаток 5 до рішення'!D24+'Додаток 6 до рішення'!D21</f>
        <v>0</v>
      </c>
      <c r="E28" s="2193">
        <f>'Додаток 3 до рішення'!E25+'Додаток 5 до рішення'!E24+'Додаток 6 до рішення'!E21</f>
        <v>0</v>
      </c>
      <c r="F28" s="2193">
        <f>'Додаток 3 до рішення'!F25+'Додаток 5 до рішення'!F24+'Додаток 6 до рішення'!F21</f>
        <v>0</v>
      </c>
      <c r="G28" s="2193">
        <f>'Додаток 3 до рішення'!G25+'Додаток 5 до рішення'!G24+'Додаток 6 до рішення'!G21</f>
        <v>66.52</v>
      </c>
      <c r="H28" s="2145"/>
    </row>
    <row r="29" spans="1:8" s="23" customFormat="1" ht="14.25" x14ac:dyDescent="0.2">
      <c r="A29" s="2190" t="s">
        <v>1692</v>
      </c>
      <c r="B29" s="174" t="s">
        <v>2802</v>
      </c>
      <c r="C29" s="2184">
        <f>C30+C31+C32+C33</f>
        <v>1357.28</v>
      </c>
      <c r="D29" s="177">
        <f t="shared" ref="D29:E29" si="4">D30+D31+D32+D33</f>
        <v>0</v>
      </c>
      <c r="E29" s="177">
        <f t="shared" si="4"/>
        <v>0</v>
      </c>
      <c r="F29" s="177">
        <f>F30+F31+F32+F33</f>
        <v>0</v>
      </c>
      <c r="G29" s="177">
        <f t="shared" ref="G29" si="5">G30+G31+G32+G33</f>
        <v>148.75</v>
      </c>
      <c r="H29" s="2145"/>
    </row>
    <row r="30" spans="1:8" x14ac:dyDescent="0.25">
      <c r="A30" s="2195" t="s">
        <v>2803</v>
      </c>
      <c r="B30" s="90" t="s">
        <v>55</v>
      </c>
      <c r="C30" s="2193">
        <f>'Додаток 3 до рішення'!N27+'Додаток 5 до рішення'!C26+'Додаток 6 до рішення'!N23</f>
        <v>845.2</v>
      </c>
      <c r="D30" s="2193">
        <f>'Додаток 3 до рішення'!D27+'Додаток 5 до рішення'!D26+'Додаток 6 до рішення'!D23</f>
        <v>0</v>
      </c>
      <c r="E30" s="2193">
        <f>'Додаток 3 до рішення'!E27+'Додаток 5 до рішення'!E26+'Додаток 6 до рішення'!E23</f>
        <v>0</v>
      </c>
      <c r="F30" s="2193">
        <f>'Додаток 3 до рішення'!F27+'Додаток 5 до рішення'!F26+'Додаток 6 до рішення'!F23</f>
        <v>0</v>
      </c>
      <c r="G30" s="2193">
        <f>'Додаток 3 до рішення'!G27+'Додаток 5 до рішення'!G26+'Додаток 6 до рішення'!G23</f>
        <v>92.55</v>
      </c>
      <c r="H30" s="2145"/>
    </row>
    <row r="31" spans="1:8" x14ac:dyDescent="0.25">
      <c r="A31" s="2195" t="s">
        <v>2804</v>
      </c>
      <c r="B31" s="90" t="s">
        <v>2805</v>
      </c>
      <c r="C31" s="2193">
        <f>'Додаток 3 до рішення'!N28+'Додаток 5 до рішення'!C27+'Додаток 6 до рішення'!N24</f>
        <v>185.95</v>
      </c>
      <c r="D31" s="2193">
        <f>'Додаток 3 до рішення'!D28+'Додаток 5 до рішення'!D27+'Додаток 6 до рішення'!D24</f>
        <v>0</v>
      </c>
      <c r="E31" s="2193">
        <f>'Додаток 3 до рішення'!E28+'Додаток 5 до рішення'!E27+'Додаток 6 до рішення'!E24</f>
        <v>0</v>
      </c>
      <c r="F31" s="2193">
        <f>'Додаток 3 до рішення'!F28+'Додаток 5 до рішення'!F27+'Додаток 6 до рішення'!F24</f>
        <v>0</v>
      </c>
      <c r="G31" s="2193">
        <f>'Додаток 3 до рішення'!G28+'Додаток 5 до рішення'!G27+'Додаток 6 до рішення'!G24</f>
        <v>20.37</v>
      </c>
      <c r="H31" s="2145"/>
    </row>
    <row r="32" spans="1:8" x14ac:dyDescent="0.25">
      <c r="A32" s="2195" t="s">
        <v>2806</v>
      </c>
      <c r="B32" s="90" t="s">
        <v>2794</v>
      </c>
      <c r="C32" s="2193">
        <f>'Додаток 3 до рішення'!N29+'Додаток 5 до рішення'!C28+'Додаток 6 до рішення'!N25</f>
        <v>21.44</v>
      </c>
      <c r="D32" s="2193">
        <f>'Додаток 3 до рішення'!D29+'Додаток 5 до рішення'!D28+'Додаток 6 до рішення'!D25</f>
        <v>0</v>
      </c>
      <c r="E32" s="2193">
        <f>'Додаток 3 до рішення'!E29+'Додаток 5 до рішення'!E28+'Додаток 6 до рішення'!E25</f>
        <v>0</v>
      </c>
      <c r="F32" s="2193">
        <f>'Додаток 3 до рішення'!F29+'Додаток 5 до рішення'!F28+'Додаток 6 до рішення'!F25</f>
        <v>0</v>
      </c>
      <c r="G32" s="2193">
        <f>'Додаток 3 до рішення'!G29+'Додаток 5 до рішення'!G28+'Додаток 6 до рішення'!G25</f>
        <v>2.35</v>
      </c>
      <c r="H32" s="2145"/>
    </row>
    <row r="33" spans="1:8" x14ac:dyDescent="0.25">
      <c r="A33" s="2195" t="s">
        <v>2807</v>
      </c>
      <c r="B33" s="90" t="s">
        <v>2808</v>
      </c>
      <c r="C33" s="2193">
        <f>'Додаток 3 до рішення'!N30+'Додаток 5 до рішення'!C29+'Додаток 6 до рішення'!N26</f>
        <v>304.69</v>
      </c>
      <c r="D33" s="2193">
        <f>'Додаток 3 до рішення'!D30+'Додаток 5 до рішення'!D29+'Додаток 6 до рішення'!D26</f>
        <v>0</v>
      </c>
      <c r="E33" s="2193">
        <f>'Додаток 3 до рішення'!E30+'Додаток 5 до рішення'!E29+'Додаток 6 до рішення'!E26</f>
        <v>0</v>
      </c>
      <c r="F33" s="2193">
        <f>'Додаток 3 до рішення'!F30+'Додаток 5 до рішення'!F29+'Додаток 6 до рішення'!F26</f>
        <v>0</v>
      </c>
      <c r="G33" s="2193">
        <f>'Додаток 3 до рішення'!G30+'Додаток 5 до рішення'!G29+'Додаток 6 до рішення'!G26</f>
        <v>33.479999999999997</v>
      </c>
      <c r="H33" s="2145"/>
    </row>
    <row r="34" spans="1:8" s="23" customFormat="1" ht="14.25" x14ac:dyDescent="0.2">
      <c r="A34" s="2190" t="s">
        <v>1694</v>
      </c>
      <c r="B34" s="174" t="s">
        <v>2809</v>
      </c>
      <c r="C34" s="2190">
        <v>0</v>
      </c>
      <c r="D34" s="2190">
        <v>0</v>
      </c>
      <c r="E34" s="2190">
        <v>0</v>
      </c>
      <c r="F34" s="2190">
        <v>0</v>
      </c>
      <c r="G34" s="2190">
        <v>0</v>
      </c>
      <c r="H34" s="2145"/>
    </row>
    <row r="35" spans="1:8" s="23" customFormat="1" ht="42.75" x14ac:dyDescent="0.2">
      <c r="A35" s="2190" t="s">
        <v>1697</v>
      </c>
      <c r="B35" s="2196" t="s">
        <v>2810</v>
      </c>
      <c r="C35" s="2184">
        <f>'Додаток 5 до рішення'!C32</f>
        <v>7257.47</v>
      </c>
      <c r="D35" s="2184">
        <f>'Додаток 5 до рішення'!D32</f>
        <v>0</v>
      </c>
      <c r="E35" s="2184">
        <f>'Додаток 5 до рішення'!E32</f>
        <v>0</v>
      </c>
      <c r="F35" s="2184">
        <f>'Додаток 5 до рішення'!F32</f>
        <v>0</v>
      </c>
      <c r="G35" s="2184">
        <f>'Додаток 5 до рішення'!G32</f>
        <v>878.56</v>
      </c>
      <c r="H35" s="2145"/>
    </row>
    <row r="36" spans="1:8" s="23" customFormat="1" ht="14.25" x14ac:dyDescent="0.2">
      <c r="A36" s="2190" t="s">
        <v>1769</v>
      </c>
      <c r="B36" s="174" t="s">
        <v>2811</v>
      </c>
      <c r="C36" s="2184">
        <f>'Додаток 3 до рішення'!N32+'Додаток 5 до рішення'!C33+'Додаток 6 до рішення'!N28</f>
        <v>0</v>
      </c>
      <c r="D36" s="2184">
        <f>'Додаток 3 до рішення'!D32+'Додаток 5 до рішення'!D33+'Додаток 6 до рішення'!D28</f>
        <v>0</v>
      </c>
      <c r="E36" s="2184">
        <f>'Додаток 3 до рішення'!E32+'Додаток 5 до рішення'!E33+'Додаток 6 до рішення'!E28</f>
        <v>0</v>
      </c>
      <c r="F36" s="2184">
        <f>'Додаток 3 до рішення'!F32+'Додаток 5 до рішення'!F33+'Додаток 6 до рішення'!F28</f>
        <v>0</v>
      </c>
      <c r="G36" s="2184">
        <f>'Додаток 3 до рішення'!G32+'Додаток 5 до рішення'!G33+'Додаток 6 до рішення'!G28</f>
        <v>0</v>
      </c>
      <c r="H36" s="2145"/>
    </row>
    <row r="37" spans="1:8" s="23" customFormat="1" ht="14.25" x14ac:dyDescent="0.2">
      <c r="A37" s="2190" t="s">
        <v>1775</v>
      </c>
      <c r="B37" s="174" t="s">
        <v>2812</v>
      </c>
      <c r="C37" s="2190">
        <v>0</v>
      </c>
      <c r="D37" s="2190">
        <v>0</v>
      </c>
      <c r="E37" s="2190">
        <v>0</v>
      </c>
      <c r="F37" s="2190">
        <v>0</v>
      </c>
      <c r="G37" s="2190">
        <v>0</v>
      </c>
      <c r="H37" s="2145"/>
    </row>
    <row r="38" spans="1:8" s="2224" customFormat="1" ht="14.25" x14ac:dyDescent="0.2">
      <c r="A38" s="2220" t="s">
        <v>1781</v>
      </c>
      <c r="B38" s="2221" t="s">
        <v>2813</v>
      </c>
      <c r="C38" s="2222">
        <f>'Додаток 3 до рішення'!N34</f>
        <v>0</v>
      </c>
      <c r="D38" s="2222">
        <f>'Додаток 3 до рішення'!D34</f>
        <v>0</v>
      </c>
      <c r="E38" s="2222">
        <f>'Додаток 3 до рішення'!E34</f>
        <v>0</v>
      </c>
      <c r="F38" s="2222">
        <f>'Додаток 3 до рішення'!F34</f>
        <v>0</v>
      </c>
      <c r="G38" s="2222">
        <f>'Додаток 3 до рішення'!G34</f>
        <v>0</v>
      </c>
      <c r="H38" s="2223"/>
    </row>
    <row r="39" spans="1:8" s="23" customFormat="1" ht="14.25" x14ac:dyDescent="0.2">
      <c r="A39" s="2190" t="s">
        <v>1783</v>
      </c>
      <c r="B39" s="174" t="s">
        <v>2814</v>
      </c>
      <c r="C39" s="2184">
        <f>SUM(C40:C43)</f>
        <v>4519.33</v>
      </c>
      <c r="D39" s="2184">
        <f t="shared" ref="D39:G39" si="6">SUM(D40:D43)</f>
        <v>0</v>
      </c>
      <c r="E39" s="2184">
        <f t="shared" si="6"/>
        <v>0</v>
      </c>
      <c r="F39" s="2184">
        <f t="shared" si="6"/>
        <v>0</v>
      </c>
      <c r="G39" s="2184">
        <f t="shared" si="6"/>
        <v>499.69</v>
      </c>
      <c r="H39" s="2145"/>
    </row>
    <row r="40" spans="1:8" x14ac:dyDescent="0.25">
      <c r="A40" s="2195" t="s">
        <v>1098</v>
      </c>
      <c r="B40" s="90" t="s">
        <v>65</v>
      </c>
      <c r="C40" s="2193">
        <f>'Додаток 3 до рішення'!N36+'Додаток 5 до рішення'!C37+'Додаток 6 до рішення'!N32</f>
        <v>570.47</v>
      </c>
      <c r="D40" s="2193">
        <f>'Додаток 3 до рішення'!D36+'Додаток 5 до рішення'!D37+'Додаток 6 до рішення'!D32</f>
        <v>0</v>
      </c>
      <c r="E40" s="2193">
        <f>'Додаток 3 до рішення'!E36+'Додаток 5 до рішення'!E37+'Додаток 6 до рішення'!E32</f>
        <v>0</v>
      </c>
      <c r="F40" s="2193">
        <f>'Додаток 3 до рішення'!F36+'Додаток 5 до рішення'!F37+'Додаток 6 до рішення'!F32</f>
        <v>0</v>
      </c>
      <c r="G40" s="2193">
        <f>'Додаток 3 до рішення'!G36+'Додаток 5 до рішення'!G37+'Додаток 6 до рішення'!G32</f>
        <v>63.08</v>
      </c>
      <c r="H40" s="2145"/>
    </row>
    <row r="41" spans="1:8" x14ac:dyDescent="0.25">
      <c r="A41" s="2195" t="s">
        <v>2815</v>
      </c>
      <c r="B41" s="90" t="s">
        <v>85</v>
      </c>
      <c r="C41" s="2193">
        <f>'Додаток 3 до рішення'!N37+'Додаток 5 до рішення'!C38+'Додаток 6 до рішення'!N33</f>
        <v>779.62</v>
      </c>
      <c r="D41" s="2193">
        <f>'Додаток 3 до рішення'!D37+'Додаток 5 до рішення'!D38+'Додаток 6 до рішення'!D33</f>
        <v>0</v>
      </c>
      <c r="E41" s="2193">
        <f>'Додаток 3 до рішення'!E37+'Додаток 5 до рішення'!E38+'Додаток 6 до рішення'!E33</f>
        <v>0</v>
      </c>
      <c r="F41" s="2193">
        <f>'Додаток 3 до рішення'!F37+'Додаток 5 до рішення'!F38+'Додаток 6 до рішення'!F33</f>
        <v>0</v>
      </c>
      <c r="G41" s="2193">
        <f>'Додаток 3 до рішення'!G37+'Додаток 5 до рішення'!G38+'Додаток 6 до рішення'!G33</f>
        <v>86.2</v>
      </c>
      <c r="H41" s="2145"/>
    </row>
    <row r="42" spans="1:8" x14ac:dyDescent="0.25">
      <c r="A42" s="2195" t="s">
        <v>2816</v>
      </c>
      <c r="B42" s="90" t="s">
        <v>71</v>
      </c>
      <c r="C42" s="2193">
        <f>'Додаток 3 до рішення'!N38+'Додаток 5 до рішення'!C39+'Додаток 6 до рішення'!N34</f>
        <v>0</v>
      </c>
      <c r="D42" s="2193">
        <f>'Додаток 3 до рішення'!D38+'Додаток 5 до рішення'!D39+'Додаток 6 до рішення'!D34</f>
        <v>0</v>
      </c>
      <c r="E42" s="2193">
        <f>'Додаток 3 до рішення'!E38+'Додаток 5 до рішення'!E39+'Додаток 6 до рішення'!E34</f>
        <v>0</v>
      </c>
      <c r="F42" s="2193">
        <f>'Додаток 3 до рішення'!F38+'Додаток 5 до рішення'!F39+'Додаток 6 до рішення'!F34</f>
        <v>0</v>
      </c>
      <c r="G42" s="2193">
        <f>'Додаток 3 до рішення'!G38+'Додаток 5 до рішення'!G39+'Додаток 6 до рішення'!G34</f>
        <v>0</v>
      </c>
      <c r="H42" s="2145"/>
    </row>
    <row r="43" spans="1:8" ht="15.75" thickBot="1" x14ac:dyDescent="0.3">
      <c r="A43" s="2197" t="s">
        <v>2817</v>
      </c>
      <c r="B43" s="2198" t="s">
        <v>2375</v>
      </c>
      <c r="C43" s="2199">
        <f>'Додаток 3 до рішення'!N39+'Додаток 5 до рішення'!C40+'Додаток 6 до рішення'!N35</f>
        <v>3169.24</v>
      </c>
      <c r="D43" s="2199">
        <f>'Додаток 3 до рішення'!D39+'Додаток 5 до рішення'!D40+'Додаток 6 до рішення'!D35</f>
        <v>0</v>
      </c>
      <c r="E43" s="2199">
        <f>'Додаток 3 до рішення'!E39+'Додаток 5 до рішення'!E40+'Додаток 6 до рішення'!E35</f>
        <v>0</v>
      </c>
      <c r="F43" s="2199">
        <f>'Додаток 3 до рішення'!F39+'Додаток 5 до рішення'!F40+'Додаток 6 до рішення'!F35</f>
        <v>0</v>
      </c>
      <c r="G43" s="2199">
        <f>'Додаток 3 до рішення'!G39+'Додаток 5 до рішення'!G40+'Додаток 6 до рішення'!G35</f>
        <v>350.41</v>
      </c>
      <c r="H43" s="2145"/>
    </row>
    <row r="44" spans="1:8" ht="15.75" thickBot="1" x14ac:dyDescent="0.3">
      <c r="A44" s="2189" t="s">
        <v>1785</v>
      </c>
      <c r="B44" s="2200" t="s">
        <v>2818</v>
      </c>
      <c r="C44" s="2201">
        <f>C13+C29+C34+C35+C36+C37+C38+C39</f>
        <v>83750.39</v>
      </c>
      <c r="D44" s="2201">
        <f t="shared" ref="D44:G44" si="7">D13+D29+D34+D35+D36+D37+D38+D39</f>
        <v>0</v>
      </c>
      <c r="E44" s="2201">
        <f t="shared" si="7"/>
        <v>0</v>
      </c>
      <c r="F44" s="2201">
        <f t="shared" si="7"/>
        <v>0</v>
      </c>
      <c r="G44" s="2201">
        <f t="shared" si="7"/>
        <v>9260.0499999999993</v>
      </c>
      <c r="H44" s="2145"/>
    </row>
    <row r="45" spans="1:8" ht="32.25" thickBot="1" x14ac:dyDescent="0.3">
      <c r="A45" s="2189" t="s">
        <v>1789</v>
      </c>
      <c r="B45" s="1218" t="s">
        <v>2819</v>
      </c>
      <c r="C45" s="2201">
        <f>'Додаток 3 до рішення'!N8</f>
        <v>9.27</v>
      </c>
      <c r="D45" s="2201">
        <f>'Додаток 3 до рішення'!O8</f>
        <v>0</v>
      </c>
      <c r="E45" s="2201">
        <f>'Додаток 3 до рішення'!P8</f>
        <v>0</v>
      </c>
      <c r="F45" s="2201">
        <f>'Додаток 3 до рішення'!Q8</f>
        <v>0</v>
      </c>
      <c r="G45" s="2201">
        <f>'Додаток 3 до рішення'!R8</f>
        <v>9.27</v>
      </c>
      <c r="H45" s="2145"/>
    </row>
    <row r="46" spans="1:8" s="23" customFormat="1" ht="29.25" thickBot="1" x14ac:dyDescent="0.25">
      <c r="A46" s="2189" t="s">
        <v>1791</v>
      </c>
      <c r="B46" s="2200" t="s">
        <v>2820</v>
      </c>
      <c r="C46" s="2201">
        <f>'Додаток 6 до рішення'!N8</f>
        <v>8.26</v>
      </c>
      <c r="D46" s="2201">
        <f>'Додаток 6 до рішення'!O8</f>
        <v>0</v>
      </c>
      <c r="E46" s="2201">
        <f>'Додаток 6 до рішення'!P8</f>
        <v>0</v>
      </c>
      <c r="F46" s="2201">
        <f>'Додаток 6 до рішення'!Q8</f>
        <v>0</v>
      </c>
      <c r="G46" s="2201">
        <f>'Додаток 6 до рішення'!R8</f>
        <v>8.26</v>
      </c>
      <c r="H46" s="2145"/>
    </row>
    <row r="48" spans="1:8" x14ac:dyDescent="0.25">
      <c r="B48" s="863"/>
      <c r="C48" s="2202">
        <f>C13+C29+C35+C36+C38+C39</f>
        <v>83750.39</v>
      </c>
      <c r="D48" s="2202">
        <f>'Рішення 1Д'!C47</f>
        <v>13321.83</v>
      </c>
      <c r="E48" s="2202">
        <f>C48+D48</f>
        <v>97072.22</v>
      </c>
      <c r="F48" s="2202"/>
      <c r="G48" s="2202"/>
    </row>
    <row r="49" spans="3:7" x14ac:dyDescent="0.25">
      <c r="C49" s="2203">
        <f>'Додаток 6 до рішення'!N38+'Додаток 5 до рішення'!C44+'Додаток 3 до рішення'!N40</f>
        <v>67334.490000000005</v>
      </c>
      <c r="D49" s="2202">
        <f>'Рішення 1Д'!C48</f>
        <v>10124.200000000001</v>
      </c>
      <c r="E49" s="2202">
        <f>C49+D49</f>
        <v>77458.69</v>
      </c>
      <c r="F49" s="2202"/>
      <c r="G49" s="2202"/>
    </row>
    <row r="50" spans="3:7" x14ac:dyDescent="0.25">
      <c r="C50" s="2202">
        <f>C48-C49</f>
        <v>16415.900000000001</v>
      </c>
      <c r="D50" s="2202">
        <f>'Рішення 1Д'!C49</f>
        <v>3197.63</v>
      </c>
      <c r="E50" s="2202">
        <f>C50+D50</f>
        <v>19613.53</v>
      </c>
      <c r="F50" s="2202"/>
      <c r="G50" s="2202"/>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N141"/>
  <sheetViews>
    <sheetView topLeftCell="A115" workbookViewId="0">
      <selection activeCell="B137" sqref="B137"/>
    </sheetView>
  </sheetViews>
  <sheetFormatPr defaultColWidth="8.85546875" defaultRowHeight="15" x14ac:dyDescent="0.25"/>
  <cols>
    <col min="1" max="1" width="5.28515625" style="2314" customWidth="1"/>
    <col min="2" max="2" width="42.85546875" style="2285" customWidth="1"/>
    <col min="3" max="3" width="12.140625" style="2285" customWidth="1"/>
    <col min="4" max="4" width="13.28515625" style="18" customWidth="1"/>
    <col min="5" max="5" width="12.28515625" style="18" hidden="1" customWidth="1"/>
    <col min="6" max="6" width="11.85546875" style="18" customWidth="1"/>
    <col min="7" max="7" width="12" style="18" customWidth="1"/>
    <col min="8" max="8" width="8.85546875" style="18"/>
    <col min="9" max="9" width="8.85546875" style="1251"/>
    <col min="10" max="16384" width="8.85546875" style="18"/>
  </cols>
  <sheetData>
    <row r="1" spans="1:14" s="58" customFormat="1" ht="15.75" x14ac:dyDescent="0.25">
      <c r="A1" s="2313"/>
      <c r="B1" s="2294"/>
      <c r="C1" s="2294"/>
      <c r="D1" s="4039" t="s">
        <v>2901</v>
      </c>
      <c r="E1" s="4039"/>
      <c r="F1" s="4039"/>
      <c r="G1" s="4039"/>
      <c r="I1" s="1898"/>
      <c r="L1" s="4039"/>
      <c r="M1" s="4039"/>
      <c r="N1" s="4039"/>
    </row>
    <row r="2" spans="1:14" s="58" customFormat="1" ht="12.6" customHeight="1" x14ac:dyDescent="0.25">
      <c r="A2" s="2313"/>
      <c r="B2" s="2294"/>
      <c r="C2" s="2294"/>
      <c r="D2" s="4040" t="s">
        <v>2837</v>
      </c>
      <c r="E2" s="4040"/>
      <c r="F2" s="4040"/>
      <c r="G2" s="4040"/>
      <c r="I2" s="1898"/>
      <c r="L2" s="4040"/>
      <c r="M2" s="4040"/>
      <c r="N2" s="4040"/>
    </row>
    <row r="3" spans="1:14" s="58" customFormat="1" ht="27" customHeight="1" x14ac:dyDescent="0.25">
      <c r="A3" s="2313"/>
      <c r="B3" s="2294"/>
      <c r="C3" s="2294"/>
      <c r="D3" s="4041" t="s">
        <v>2852</v>
      </c>
      <c r="E3" s="4041"/>
      <c r="F3" s="4041"/>
      <c r="G3" s="4041"/>
      <c r="I3" s="1898"/>
      <c r="L3" s="4041"/>
      <c r="M3" s="4041"/>
      <c r="N3" s="4041"/>
    </row>
    <row r="4" spans="1:14" s="58" customFormat="1" ht="15.75" x14ac:dyDescent="0.25">
      <c r="A4" s="2313"/>
      <c r="B4" s="2294"/>
      <c r="C4" s="2294"/>
      <c r="D4" s="4040" t="s">
        <v>2848</v>
      </c>
      <c r="E4" s="4040"/>
      <c r="F4" s="4040"/>
      <c r="G4" s="4040"/>
      <c r="I4" s="1898"/>
      <c r="L4" s="4040"/>
      <c r="M4" s="4040"/>
      <c r="N4" s="4040"/>
    </row>
    <row r="5" spans="1:14" s="58" customFormat="1" ht="6" customHeight="1" x14ac:dyDescent="0.25">
      <c r="A5" s="2314"/>
      <c r="B5" s="2293"/>
      <c r="C5" s="2293"/>
      <c r="I5" s="1898"/>
    </row>
    <row r="6" spans="1:14" s="58" customFormat="1" ht="15.75" x14ac:dyDescent="0.25">
      <c r="A6" s="4046" t="s">
        <v>2997</v>
      </c>
      <c r="B6" s="4046"/>
      <c r="C6" s="4046"/>
      <c r="D6" s="4046"/>
      <c r="E6" s="4046"/>
      <c r="F6" s="4046"/>
      <c r="G6" s="4046"/>
      <c r="I6" s="1898"/>
    </row>
    <row r="7" spans="1:14" s="58" customFormat="1" ht="63.6" customHeight="1" x14ac:dyDescent="0.25">
      <c r="A7" s="4045" t="s">
        <v>2938</v>
      </c>
      <c r="B7" s="4045"/>
      <c r="C7" s="4045"/>
      <c r="D7" s="4045"/>
      <c r="E7" s="4045"/>
      <c r="F7" s="4045"/>
      <c r="G7" s="4045"/>
      <c r="I7" s="1898"/>
    </row>
    <row r="8" spans="1:14" s="58" customFormat="1" ht="14.45" customHeight="1" x14ac:dyDescent="0.25">
      <c r="A8" s="2315"/>
      <c r="B8" s="2309"/>
      <c r="C8" s="2309"/>
      <c r="D8" s="2291"/>
      <c r="E8" s="2291"/>
      <c r="F8" s="2291"/>
      <c r="G8" s="2310" t="s">
        <v>1649</v>
      </c>
      <c r="I8" s="1898"/>
    </row>
    <row r="9" spans="1:14" s="53" customFormat="1" ht="15.75" x14ac:dyDescent="0.25">
      <c r="A9" s="4049" t="s">
        <v>2894</v>
      </c>
      <c r="B9" s="4047" t="s">
        <v>111</v>
      </c>
      <c r="C9" s="4047" t="s">
        <v>2133</v>
      </c>
      <c r="D9" s="4042" t="s">
        <v>2895</v>
      </c>
      <c r="E9" s="4043"/>
      <c r="F9" s="4043"/>
      <c r="G9" s="4044"/>
      <c r="I9" s="2304"/>
    </row>
    <row r="10" spans="1:14" s="53" customFormat="1" ht="38.25" x14ac:dyDescent="0.25">
      <c r="A10" s="4050"/>
      <c r="B10" s="4048"/>
      <c r="C10" s="4048"/>
      <c r="D10" s="1849" t="s">
        <v>2768</v>
      </c>
      <c r="E10" s="1849" t="s">
        <v>2769</v>
      </c>
      <c r="F10" s="1849" t="s">
        <v>2896</v>
      </c>
      <c r="G10" s="1849" t="s">
        <v>2835</v>
      </c>
      <c r="I10" s="2304"/>
    </row>
    <row r="11" spans="1:14" s="53" customFormat="1" ht="15.75" x14ac:dyDescent="0.25">
      <c r="A11" s="2296">
        <v>1</v>
      </c>
      <c r="B11" s="2308">
        <v>2</v>
      </c>
      <c r="C11" s="2308"/>
      <c r="D11" s="2094">
        <v>3</v>
      </c>
      <c r="E11" s="2094">
        <v>4</v>
      </c>
      <c r="F11" s="2094">
        <v>4</v>
      </c>
      <c r="G11" s="2094">
        <v>5</v>
      </c>
      <c r="I11" s="2304"/>
    </row>
    <row r="12" spans="1:14" s="58" customFormat="1" ht="15.75" x14ac:dyDescent="0.25">
      <c r="A12" s="4051" t="s">
        <v>2897</v>
      </c>
      <c r="B12" s="4051"/>
      <c r="C12" s="4051"/>
      <c r="D12" s="4051"/>
      <c r="E12" s="4051"/>
      <c r="F12" s="4051"/>
      <c r="G12" s="4051"/>
      <c r="I12" s="1898"/>
    </row>
    <row r="13" spans="1:14" s="58" customFormat="1" ht="38.25" x14ac:dyDescent="0.25">
      <c r="A13" s="2296">
        <v>1</v>
      </c>
      <c r="B13" s="2298" t="s">
        <v>2898</v>
      </c>
      <c r="C13" s="2371" t="s">
        <v>2165</v>
      </c>
      <c r="D13" s="2302" t="e">
        <f>#REF!</f>
        <v>#REF!</v>
      </c>
      <c r="E13" s="2302" t="e">
        <f>#REF!</f>
        <v>#REF!</v>
      </c>
      <c r="F13" s="2302" t="e">
        <f>#REF!</f>
        <v>#REF!</v>
      </c>
      <c r="G13" s="2302" t="e">
        <f>#REF!</f>
        <v>#REF!</v>
      </c>
      <c r="I13" s="1898"/>
    </row>
    <row r="14" spans="1:14" s="58" customFormat="1" ht="42" customHeight="1" x14ac:dyDescent="0.25">
      <c r="A14" s="2296">
        <v>2</v>
      </c>
      <c r="B14" s="2298" t="s">
        <v>2899</v>
      </c>
      <c r="C14" s="2371" t="s">
        <v>3063</v>
      </c>
      <c r="D14" s="2302" t="e">
        <f>#REF!/12</f>
        <v>#REF!</v>
      </c>
      <c r="E14" s="2302" t="e">
        <f>#REF!/12</f>
        <v>#REF!</v>
      </c>
      <c r="F14" s="2302" t="e">
        <f>#REF!/12</f>
        <v>#REF!</v>
      </c>
      <c r="G14" s="2302" t="e">
        <f>#REF!/12</f>
        <v>#REF!</v>
      </c>
      <c r="I14" s="1898"/>
    </row>
    <row r="15" spans="1:14" s="58" customFormat="1" ht="15.75" x14ac:dyDescent="0.25">
      <c r="A15" s="4052" t="s">
        <v>2900</v>
      </c>
      <c r="B15" s="4053"/>
      <c r="C15" s="4053"/>
      <c r="D15" s="4053"/>
      <c r="E15" s="4053"/>
      <c r="F15" s="4053"/>
      <c r="G15" s="4054"/>
      <c r="I15" s="1898"/>
    </row>
    <row r="16" spans="1:14" s="58" customFormat="1" ht="27" customHeight="1" x14ac:dyDescent="0.25">
      <c r="A16" s="2296">
        <v>3</v>
      </c>
      <c r="B16" s="2298" t="s">
        <v>2902</v>
      </c>
      <c r="C16" s="1849" t="s">
        <v>2088</v>
      </c>
      <c r="D16" s="2303" t="e">
        <f>#REF!</f>
        <v>#REF!</v>
      </c>
      <c r="E16" s="2303" t="e">
        <f>#REF!</f>
        <v>#REF!</v>
      </c>
      <c r="F16" s="2303" t="e">
        <f>#REF!</f>
        <v>#REF!</v>
      </c>
      <c r="G16" s="2303" t="e">
        <f>#REF!</f>
        <v>#REF!</v>
      </c>
      <c r="I16" s="2305" t="e">
        <f>#REF!-'Рішення 3Д'!D16-'Рішення 3Д'!E16-'Рішення 3Д'!F16-'Рішення 3Д'!G16</f>
        <v>#REF!</v>
      </c>
    </row>
    <row r="17" spans="1:9" s="58" customFormat="1" ht="29.45" customHeight="1" x14ac:dyDescent="0.25">
      <c r="A17" s="2297" t="s">
        <v>2903</v>
      </c>
      <c r="B17" s="2300" t="s">
        <v>2906</v>
      </c>
      <c r="C17" s="1141" t="s">
        <v>2088</v>
      </c>
      <c r="D17" s="2303" t="e">
        <f>#REF!</f>
        <v>#REF!</v>
      </c>
      <c r="E17" s="2303" t="e">
        <f>#REF!</f>
        <v>#REF!</v>
      </c>
      <c r="F17" s="2303" t="e">
        <f>#REF!</f>
        <v>#REF!</v>
      </c>
      <c r="G17" s="2303" t="e">
        <f>#REF!</f>
        <v>#REF!</v>
      </c>
      <c r="I17" s="1898"/>
    </row>
    <row r="18" spans="1:9" s="58" customFormat="1" ht="15.75" x14ac:dyDescent="0.25">
      <c r="A18" s="2296" t="s">
        <v>2904</v>
      </c>
      <c r="B18" s="2300" t="s">
        <v>631</v>
      </c>
      <c r="C18" s="1141" t="s">
        <v>2088</v>
      </c>
      <c r="D18" s="2303" t="e">
        <f>#REF!</f>
        <v>#REF!</v>
      </c>
      <c r="E18" s="2303" t="e">
        <f>#REF!</f>
        <v>#REF!</v>
      </c>
      <c r="F18" s="2303" t="e">
        <f>#REF!</f>
        <v>#REF!</v>
      </c>
      <c r="G18" s="2303" t="e">
        <f>#REF!</f>
        <v>#REF!</v>
      </c>
      <c r="I18" s="1898"/>
    </row>
    <row r="19" spans="1:9" s="58" customFormat="1" ht="15.75" x14ac:dyDescent="0.25">
      <c r="A19" s="2296" t="s">
        <v>2905</v>
      </c>
      <c r="B19" s="2300" t="s">
        <v>630</v>
      </c>
      <c r="C19" s="1141" t="s">
        <v>2088</v>
      </c>
      <c r="D19" s="2303" t="e">
        <f>#REF!</f>
        <v>#REF!</v>
      </c>
      <c r="E19" s="2303" t="e">
        <f>#REF!</f>
        <v>#REF!</v>
      </c>
      <c r="F19" s="2303" t="e">
        <f>#REF!</f>
        <v>#REF!</v>
      </c>
      <c r="G19" s="2303" t="e">
        <f>#REF!</f>
        <v>#REF!</v>
      </c>
      <c r="I19" s="1898"/>
    </row>
    <row r="20" spans="1:9" s="58" customFormat="1" ht="15.75" x14ac:dyDescent="0.25">
      <c r="A20" s="2296">
        <v>4</v>
      </c>
      <c r="B20" s="2300" t="s">
        <v>2095</v>
      </c>
      <c r="C20" s="2371" t="s">
        <v>31</v>
      </c>
      <c r="D20" s="2303" t="e">
        <f>#REF!</f>
        <v>#REF!</v>
      </c>
      <c r="E20" s="2303" t="e">
        <f>#REF!</f>
        <v>#REF!</v>
      </c>
      <c r="F20" s="2303" t="e">
        <f>#REF!</f>
        <v>#REF!</v>
      </c>
      <c r="G20" s="2303" t="e">
        <f>#REF!</f>
        <v>#REF!</v>
      </c>
      <c r="I20" s="1898"/>
    </row>
    <row r="21" spans="1:9" s="58" customFormat="1" ht="15.75" x14ac:dyDescent="0.25">
      <c r="A21" s="2296" t="s">
        <v>1699</v>
      </c>
      <c r="B21" s="2300" t="s">
        <v>631</v>
      </c>
      <c r="C21" s="2371" t="s">
        <v>31</v>
      </c>
      <c r="D21" s="2303" t="e">
        <f>#REF!</f>
        <v>#REF!</v>
      </c>
      <c r="E21" s="2303" t="e">
        <f>#REF!</f>
        <v>#REF!</v>
      </c>
      <c r="F21" s="2303" t="e">
        <f>#REF!</f>
        <v>#REF!</v>
      </c>
      <c r="G21" s="2303" t="e">
        <f>#REF!</f>
        <v>#REF!</v>
      </c>
      <c r="I21" s="1898"/>
    </row>
    <row r="22" spans="1:9" s="58" customFormat="1" ht="15.75" x14ac:dyDescent="0.25">
      <c r="A22" s="2296" t="s">
        <v>1702</v>
      </c>
      <c r="B22" s="2300" t="s">
        <v>630</v>
      </c>
      <c r="C22" s="2371" t="s">
        <v>31</v>
      </c>
      <c r="D22" s="2303" t="e">
        <f>#REF!</f>
        <v>#REF!</v>
      </c>
      <c r="E22" s="2303" t="e">
        <f>#REF!</f>
        <v>#REF!</v>
      </c>
      <c r="F22" s="2303" t="e">
        <f>#REF!</f>
        <v>#REF!</v>
      </c>
      <c r="G22" s="2303" t="e">
        <f>#REF!</f>
        <v>#REF!</v>
      </c>
      <c r="I22" s="1898"/>
    </row>
    <row r="23" spans="1:9" s="58" customFormat="1" ht="15.75" x14ac:dyDescent="0.25">
      <c r="A23" s="4056" t="s">
        <v>3066</v>
      </c>
      <c r="B23" s="4056"/>
      <c r="C23" s="4056"/>
      <c r="D23" s="4056"/>
      <c r="E23" s="4056"/>
      <c r="F23" s="4056"/>
      <c r="G23" s="4056"/>
      <c r="I23" s="1898"/>
    </row>
    <row r="24" spans="1:9" s="58" customFormat="1" ht="15.75" x14ac:dyDescent="0.25">
      <c r="A24" s="2296">
        <v>5</v>
      </c>
      <c r="B24" s="278" t="s">
        <v>2993</v>
      </c>
      <c r="C24" s="2371" t="s">
        <v>2165</v>
      </c>
      <c r="D24" s="2301" t="e">
        <f>#REF!/D$16</f>
        <v>#REF!</v>
      </c>
      <c r="E24" s="2301" t="e">
        <f>#REF!/E$16</f>
        <v>#REF!</v>
      </c>
      <c r="F24" s="2301" t="e">
        <f>#REF!/F$16</f>
        <v>#REF!</v>
      </c>
      <c r="G24" s="2301" t="e">
        <f>#REF!/G$16</f>
        <v>#REF!</v>
      </c>
      <c r="I24" s="1898"/>
    </row>
    <row r="25" spans="1:9" s="58" customFormat="1" ht="16.149999999999999" customHeight="1" x14ac:dyDescent="0.25">
      <c r="A25" s="2296" t="s">
        <v>1771</v>
      </c>
      <c r="B25" s="278" t="s">
        <v>225</v>
      </c>
      <c r="C25" s="2371" t="s">
        <v>2165</v>
      </c>
      <c r="D25" s="2301" t="e">
        <f>#REF!/D$16</f>
        <v>#REF!</v>
      </c>
      <c r="E25" s="2301" t="e">
        <f>#REF!/E$16</f>
        <v>#REF!</v>
      </c>
      <c r="F25" s="2301" t="e">
        <f>#REF!/F$16</f>
        <v>#REF!</v>
      </c>
      <c r="G25" s="2301" t="e">
        <f>#REF!/G$16</f>
        <v>#REF!</v>
      </c>
      <c r="I25" s="1898"/>
    </row>
    <row r="26" spans="1:9" s="58" customFormat="1" ht="14.45" customHeight="1" x14ac:dyDescent="0.25">
      <c r="A26" s="2311" t="s">
        <v>2910</v>
      </c>
      <c r="B26" s="150" t="s">
        <v>453</v>
      </c>
      <c r="C26" s="2371" t="s">
        <v>2165</v>
      </c>
      <c r="D26" s="2301" t="e">
        <f>#REF!/D$16</f>
        <v>#REF!</v>
      </c>
      <c r="E26" s="2301" t="e">
        <f>#REF!/E$16</f>
        <v>#REF!</v>
      </c>
      <c r="F26" s="2301" t="e">
        <f>#REF!/F$16</f>
        <v>#REF!</v>
      </c>
      <c r="G26" s="2301" t="e">
        <f>#REF!/G$16</f>
        <v>#REF!</v>
      </c>
      <c r="I26" s="1898"/>
    </row>
    <row r="27" spans="1:9" s="58" customFormat="1" ht="13.15" customHeight="1" x14ac:dyDescent="0.25">
      <c r="A27" s="2296"/>
      <c r="B27" s="2295" t="s">
        <v>439</v>
      </c>
      <c r="C27" s="2371" t="s">
        <v>2165</v>
      </c>
      <c r="D27" s="2301" t="e">
        <f>#REF!/D$16</f>
        <v>#REF!</v>
      </c>
      <c r="E27" s="2301" t="e">
        <f>#REF!/E$16</f>
        <v>#REF!</v>
      </c>
      <c r="F27" s="2301" t="e">
        <f>#REF!/F$16</f>
        <v>#REF!</v>
      </c>
      <c r="G27" s="2301" t="e">
        <f>#REF!/G$16</f>
        <v>#REF!</v>
      </c>
      <c r="I27" s="1898"/>
    </row>
    <row r="28" spans="1:9" s="58" customFormat="1" ht="15.75" x14ac:dyDescent="0.25">
      <c r="A28" s="2296"/>
      <c r="B28" s="2295" t="s">
        <v>1832</v>
      </c>
      <c r="C28" s="2371" t="s">
        <v>2165</v>
      </c>
      <c r="D28" s="2301" t="e">
        <f>#REF!/D$16</f>
        <v>#REF!</v>
      </c>
      <c r="E28" s="2301" t="e">
        <f>#REF!/E$16</f>
        <v>#REF!</v>
      </c>
      <c r="F28" s="2301" t="e">
        <f>#REF!/F$16</f>
        <v>#REF!</v>
      </c>
      <c r="G28" s="2301" t="e">
        <f>#REF!/G$16</f>
        <v>#REF!</v>
      </c>
      <c r="I28" s="1898"/>
    </row>
    <row r="29" spans="1:9" s="58" customFormat="1" ht="15.75" x14ac:dyDescent="0.25">
      <c r="A29" s="2296" t="s">
        <v>1773</v>
      </c>
      <c r="B29" s="150" t="s">
        <v>43</v>
      </c>
      <c r="C29" s="2371" t="s">
        <v>2165</v>
      </c>
      <c r="D29" s="2301" t="e">
        <f>#REF!/D$16</f>
        <v>#REF!</v>
      </c>
      <c r="E29" s="2301" t="e">
        <f>#REF!/E$16</f>
        <v>#REF!</v>
      </c>
      <c r="F29" s="2301" t="e">
        <f>#REF!/F$16</f>
        <v>#REF!</v>
      </c>
      <c r="G29" s="2301" t="e">
        <f>#REF!/G$16</f>
        <v>#REF!</v>
      </c>
      <c r="I29" s="1898"/>
    </row>
    <row r="30" spans="1:9" s="58" customFormat="1" ht="15.75" x14ac:dyDescent="0.25">
      <c r="A30" s="4056" t="s">
        <v>3067</v>
      </c>
      <c r="B30" s="4056"/>
      <c r="C30" s="4056"/>
      <c r="D30" s="4056"/>
      <c r="E30" s="4056"/>
      <c r="F30" s="4056"/>
      <c r="G30" s="4056"/>
      <c r="I30" s="1898"/>
    </row>
    <row r="31" spans="1:9" s="58" customFormat="1" ht="25.5" x14ac:dyDescent="0.25">
      <c r="A31" s="2296">
        <v>6</v>
      </c>
      <c r="B31" s="150" t="s">
        <v>2994</v>
      </c>
      <c r="C31" s="2371" t="s">
        <v>3063</v>
      </c>
      <c r="D31" s="2306" t="e">
        <f>#REF!/D$20*1000/12</f>
        <v>#REF!</v>
      </c>
      <c r="E31" s="2306" t="e">
        <f>#REF!/E$20*1000/12</f>
        <v>#REF!</v>
      </c>
      <c r="F31" s="2306" t="e">
        <f>#REF!/F$20*1000/12</f>
        <v>#REF!</v>
      </c>
      <c r="G31" s="2306" t="e">
        <f>#REF!/G$20*1000/12</f>
        <v>#REF!</v>
      </c>
      <c r="I31" s="1898"/>
    </row>
    <row r="32" spans="1:9" s="58" customFormat="1" ht="15.75" x14ac:dyDescent="0.25">
      <c r="A32" s="2296" t="s">
        <v>1777</v>
      </c>
      <c r="B32" s="278" t="s">
        <v>224</v>
      </c>
      <c r="C32" s="2370" t="s">
        <v>3065</v>
      </c>
      <c r="D32" s="2306" t="e">
        <f>#REF!/D$20*1000/12</f>
        <v>#REF!</v>
      </c>
      <c r="E32" s="2306" t="e">
        <f>#REF!/E$20*1000/12</f>
        <v>#REF!</v>
      </c>
      <c r="F32" s="2306" t="e">
        <f>#REF!/F$20*1000/12</f>
        <v>#REF!</v>
      </c>
      <c r="G32" s="2306" t="e">
        <f>#REF!/G$20*1000/12</f>
        <v>#REF!</v>
      </c>
      <c r="I32" s="1898"/>
    </row>
    <row r="33" spans="1:9" s="58" customFormat="1" ht="14.45" customHeight="1" x14ac:dyDescent="0.25">
      <c r="A33" s="2296" t="s">
        <v>2911</v>
      </c>
      <c r="B33" s="278" t="s">
        <v>225</v>
      </c>
      <c r="C33" s="2370" t="s">
        <v>3065</v>
      </c>
      <c r="D33" s="2306" t="e">
        <f>#REF!/D$20*1000/12</f>
        <v>#REF!</v>
      </c>
      <c r="E33" s="2306" t="e">
        <f>#REF!/E$20*1000/12</f>
        <v>#REF!</v>
      </c>
      <c r="F33" s="2306" t="e">
        <f>#REF!/F$20*1000/12</f>
        <v>#REF!</v>
      </c>
      <c r="G33" s="2306" t="e">
        <f>#REF!/G$20*1000/12</f>
        <v>#REF!</v>
      </c>
      <c r="I33" s="1898"/>
    </row>
    <row r="34" spans="1:9" s="58" customFormat="1" ht="15.75" x14ac:dyDescent="0.25">
      <c r="A34" s="2296"/>
      <c r="B34" s="150" t="s">
        <v>453</v>
      </c>
      <c r="C34" s="2370" t="s">
        <v>3065</v>
      </c>
      <c r="D34" s="2306" t="e">
        <f>#REF!/D$20*1000/12</f>
        <v>#REF!</v>
      </c>
      <c r="E34" s="2306" t="e">
        <f>#REF!/E$20*1000/12</f>
        <v>#REF!</v>
      </c>
      <c r="F34" s="2306" t="e">
        <f>#REF!/F$20*1000/12</f>
        <v>#REF!</v>
      </c>
      <c r="G34" s="2306" t="e">
        <f>#REF!/G$20*1000/12</f>
        <v>#REF!</v>
      </c>
      <c r="I34" s="1898"/>
    </row>
    <row r="35" spans="1:9" s="58" customFormat="1" ht="15.75" x14ac:dyDescent="0.25">
      <c r="A35" s="2296"/>
      <c r="B35" s="150" t="s">
        <v>1833</v>
      </c>
      <c r="C35" s="2370" t="s">
        <v>3065</v>
      </c>
      <c r="D35" s="2306" t="e">
        <f>#REF!/D$20*1000/12</f>
        <v>#REF!</v>
      </c>
      <c r="E35" s="2306" t="e">
        <f>#REF!/E$20*1000/12</f>
        <v>#REF!</v>
      </c>
      <c r="F35" s="2306" t="e">
        <f>#REF!/F$20*1000/12</f>
        <v>#REF!</v>
      </c>
      <c r="G35" s="2306" t="e">
        <f>#REF!/G$20*1000/12</f>
        <v>#REF!</v>
      </c>
      <c r="I35" s="1898"/>
    </row>
    <row r="36" spans="1:9" s="58" customFormat="1" ht="25.5" x14ac:dyDescent="0.25">
      <c r="A36" s="2296" t="s">
        <v>2912</v>
      </c>
      <c r="B36" s="278" t="s">
        <v>1610</v>
      </c>
      <c r="C36" s="2370" t="s">
        <v>3065</v>
      </c>
      <c r="D36" s="2306" t="e">
        <f>#REF!/D$20*1000/12</f>
        <v>#REF!</v>
      </c>
      <c r="E36" s="2306" t="e">
        <f>#REF!/E$20*1000/12</f>
        <v>#REF!</v>
      </c>
      <c r="F36" s="2306" t="e">
        <f>#REF!/F$20*1000/12</f>
        <v>#REF!</v>
      </c>
      <c r="G36" s="2306" t="e">
        <f>#REF!/G$20*1000/12</f>
        <v>#REF!</v>
      </c>
      <c r="I36" s="1898"/>
    </row>
    <row r="37" spans="1:9" s="58" customFormat="1" ht="15.75" x14ac:dyDescent="0.25">
      <c r="A37" s="2296" t="s">
        <v>2913</v>
      </c>
      <c r="B37" s="278" t="s">
        <v>598</v>
      </c>
      <c r="C37" s="2370" t="s">
        <v>3065</v>
      </c>
      <c r="D37" s="2306" t="e">
        <f>#REF!/D$20*1000/12</f>
        <v>#REF!</v>
      </c>
      <c r="E37" s="2306" t="e">
        <f>#REF!/E$20*1000/12</f>
        <v>#REF!</v>
      </c>
      <c r="F37" s="2306" t="e">
        <f>#REF!/F$20*1000/12</f>
        <v>#REF!</v>
      </c>
      <c r="G37" s="2306" t="e">
        <f>#REF!/G$20*1000/12</f>
        <v>#REF!</v>
      </c>
      <c r="I37" s="1898"/>
    </row>
    <row r="38" spans="1:9" s="58" customFormat="1" ht="15.75" x14ac:dyDescent="0.25">
      <c r="A38" s="2296" t="s">
        <v>1779</v>
      </c>
      <c r="B38" s="278" t="s">
        <v>47</v>
      </c>
      <c r="C38" s="2370" t="s">
        <v>3065</v>
      </c>
      <c r="D38" s="2306" t="e">
        <f>#REF!/D$20*1000/12</f>
        <v>#REF!</v>
      </c>
      <c r="E38" s="2306" t="e">
        <f>#REF!/E$20*1000/12</f>
        <v>#REF!</v>
      </c>
      <c r="F38" s="2306" t="e">
        <f>#REF!/F$20*1000/12</f>
        <v>#REF!</v>
      </c>
      <c r="G38" s="2306" t="e">
        <f>#REF!/G$20*1000/12</f>
        <v>#REF!</v>
      </c>
      <c r="I38" s="1898"/>
    </row>
    <row r="39" spans="1:9" s="58" customFormat="1" ht="15.75" x14ac:dyDescent="0.25">
      <c r="A39" s="2296" t="s">
        <v>2530</v>
      </c>
      <c r="B39" s="278" t="s">
        <v>226</v>
      </c>
      <c r="C39" s="2370" t="s">
        <v>3065</v>
      </c>
      <c r="D39" s="2306" t="e">
        <f>#REF!/D$20*1000/12</f>
        <v>#REF!</v>
      </c>
      <c r="E39" s="2306" t="e">
        <f>#REF!/E$20*1000/12</f>
        <v>#REF!</v>
      </c>
      <c r="F39" s="2306" t="e">
        <f>#REF!/F$20*1000/12</f>
        <v>#REF!</v>
      </c>
      <c r="G39" s="2306" t="e">
        <f>#REF!/G$20*1000/12</f>
        <v>#REF!</v>
      </c>
      <c r="I39" s="1898"/>
    </row>
    <row r="40" spans="1:9" s="58" customFormat="1" ht="25.5" x14ac:dyDescent="0.25">
      <c r="A40" s="2296" t="s">
        <v>2914</v>
      </c>
      <c r="B40" s="150" t="s">
        <v>451</v>
      </c>
      <c r="C40" s="2370" t="s">
        <v>3065</v>
      </c>
      <c r="D40" s="2306" t="e">
        <f>#REF!/D$20*1000/12</f>
        <v>#REF!</v>
      </c>
      <c r="E40" s="2306" t="e">
        <f>#REF!/E$20*1000/12</f>
        <v>#REF!</v>
      </c>
      <c r="F40" s="2306" t="e">
        <f>#REF!/F$20*1000/12</f>
        <v>#REF!</v>
      </c>
      <c r="G40" s="2306" t="e">
        <f>#REF!/G$20*1000/12</f>
        <v>#REF!</v>
      </c>
      <c r="I40" s="1898"/>
    </row>
    <row r="41" spans="1:9" s="58" customFormat="1" ht="15.75" x14ac:dyDescent="0.25">
      <c r="A41" s="2296" t="s">
        <v>2915</v>
      </c>
      <c r="B41" s="150" t="s">
        <v>452</v>
      </c>
      <c r="C41" s="2370" t="s">
        <v>3065</v>
      </c>
      <c r="D41" s="2306" t="e">
        <f>#REF!/D$20*1000/12</f>
        <v>#REF!</v>
      </c>
      <c r="E41" s="2306" t="e">
        <f>#REF!/E$20*1000/12</f>
        <v>#REF!</v>
      </c>
      <c r="F41" s="2306" t="e">
        <f>#REF!/F$20*1000/12</f>
        <v>#REF!</v>
      </c>
      <c r="G41" s="2306" t="e">
        <f>#REF!/G$20*1000/12</f>
        <v>#REF!</v>
      </c>
      <c r="I41" s="1898"/>
    </row>
    <row r="42" spans="1:9" s="58" customFormat="1" ht="15.75" x14ac:dyDescent="0.25">
      <c r="A42" s="2296" t="s">
        <v>2916</v>
      </c>
      <c r="B42" s="150" t="s">
        <v>52</v>
      </c>
      <c r="C42" s="2370" t="s">
        <v>3065</v>
      </c>
      <c r="D42" s="2306" t="e">
        <f>#REF!/D$20*1000/12</f>
        <v>#REF!</v>
      </c>
      <c r="E42" s="2306" t="e">
        <f>#REF!/E$20*1000/12</f>
        <v>#REF!</v>
      </c>
      <c r="F42" s="2306" t="e">
        <f>#REF!/F$20*1000/12</f>
        <v>#REF!</v>
      </c>
      <c r="G42" s="2306" t="e">
        <f>#REF!/G$20*1000/12</f>
        <v>#REF!</v>
      </c>
      <c r="I42" s="1898"/>
    </row>
    <row r="43" spans="1:9" s="58" customFormat="1" ht="15.75" x14ac:dyDescent="0.25">
      <c r="A43" s="2296" t="s">
        <v>2917</v>
      </c>
      <c r="B43" s="150" t="s">
        <v>227</v>
      </c>
      <c r="C43" s="2370" t="s">
        <v>3065</v>
      </c>
      <c r="D43" s="2306" t="e">
        <f>#REF!/D$20*1000/12</f>
        <v>#REF!</v>
      </c>
      <c r="E43" s="2306" t="e">
        <f>#REF!/E$20*1000/12</f>
        <v>#REF!</v>
      </c>
      <c r="F43" s="2306" t="e">
        <f>#REF!/F$20*1000/12</f>
        <v>#REF!</v>
      </c>
      <c r="G43" s="2306" t="e">
        <f>#REF!/G$20*1000/12</f>
        <v>#REF!</v>
      </c>
      <c r="I43" s="1898"/>
    </row>
    <row r="44" spans="1:9" s="58" customFormat="1" ht="15.75" x14ac:dyDescent="0.25">
      <c r="A44" s="2296" t="s">
        <v>2918</v>
      </c>
      <c r="B44" s="150" t="s">
        <v>55</v>
      </c>
      <c r="C44" s="2370" t="s">
        <v>3065</v>
      </c>
      <c r="D44" s="2306" t="e">
        <f>#REF!/D$20*1000/12</f>
        <v>#REF!</v>
      </c>
      <c r="E44" s="2306" t="e">
        <f>#REF!/E$20*1000/12</f>
        <v>#REF!</v>
      </c>
      <c r="F44" s="2306" t="e">
        <f>#REF!/F$20*1000/12</f>
        <v>#REF!</v>
      </c>
      <c r="G44" s="2306" t="e">
        <f>#REF!/G$20*1000/12</f>
        <v>#REF!</v>
      </c>
      <c r="I44" s="1898"/>
    </row>
    <row r="45" spans="1:9" s="58" customFormat="1" ht="25.5" x14ac:dyDescent="0.25">
      <c r="A45" s="2296" t="s">
        <v>2919</v>
      </c>
      <c r="B45" s="150" t="s">
        <v>451</v>
      </c>
      <c r="C45" s="2370" t="s">
        <v>3065</v>
      </c>
      <c r="D45" s="2306" t="e">
        <f>#REF!/D$20*1000/12</f>
        <v>#REF!</v>
      </c>
      <c r="E45" s="2306" t="e">
        <f>#REF!/E$20*1000/12</f>
        <v>#REF!</v>
      </c>
      <c r="F45" s="2306" t="e">
        <f>#REF!/F$20*1000/12</f>
        <v>#REF!</v>
      </c>
      <c r="G45" s="2306" t="e">
        <f>#REF!/G$20*1000/12</f>
        <v>#REF!</v>
      </c>
      <c r="I45" s="1898"/>
    </row>
    <row r="46" spans="1:9" s="58" customFormat="1" ht="15.75" x14ac:dyDescent="0.25">
      <c r="A46" s="2296" t="s">
        <v>2920</v>
      </c>
      <c r="B46" s="150" t="s">
        <v>58</v>
      </c>
      <c r="C46" s="2370" t="s">
        <v>3065</v>
      </c>
      <c r="D46" s="2306" t="e">
        <f>#REF!/D$20*1000/12</f>
        <v>#REF!</v>
      </c>
      <c r="E46" s="2306" t="e">
        <f>#REF!/E$20*1000/12</f>
        <v>#REF!</v>
      </c>
      <c r="F46" s="2306" t="e">
        <f>#REF!/F$20*1000/12</f>
        <v>#REF!</v>
      </c>
      <c r="G46" s="2306" t="e">
        <f>#REF!/G$20*1000/12</f>
        <v>#REF!</v>
      </c>
      <c r="I46" s="1898"/>
    </row>
    <row r="47" spans="1:9" s="58" customFormat="1" ht="15.75" x14ac:dyDescent="0.25">
      <c r="A47" s="2296">
        <v>7</v>
      </c>
      <c r="B47" s="150" t="s">
        <v>228</v>
      </c>
      <c r="C47" s="2370" t="s">
        <v>3065</v>
      </c>
      <c r="D47" s="2306" t="e">
        <f>#REF!/D$20*1000/12</f>
        <v>#REF!</v>
      </c>
      <c r="E47" s="2306" t="e">
        <f>#REF!/E$20*1000/12</f>
        <v>#REF!</v>
      </c>
      <c r="F47" s="2306" t="e">
        <f>#REF!/F$20*1000/12</f>
        <v>#REF!</v>
      </c>
      <c r="G47" s="2306" t="e">
        <f>#REF!/G$20*1000/12</f>
        <v>#REF!</v>
      </c>
      <c r="I47" s="1898"/>
    </row>
    <row r="48" spans="1:9" s="58" customFormat="1" ht="15.75" x14ac:dyDescent="0.25">
      <c r="A48" s="2296" t="s">
        <v>1097</v>
      </c>
      <c r="B48" s="150" t="s">
        <v>55</v>
      </c>
      <c r="C48" s="2370" t="s">
        <v>3065</v>
      </c>
      <c r="D48" s="2306" t="e">
        <f>#REF!/D$20*1000/12</f>
        <v>#REF!</v>
      </c>
      <c r="E48" s="2306" t="e">
        <f>#REF!/E$20*1000/12</f>
        <v>#REF!</v>
      </c>
      <c r="F48" s="2306" t="e">
        <f>#REF!/F$20*1000/12</f>
        <v>#REF!</v>
      </c>
      <c r="G48" s="2306" t="e">
        <f>#REF!/G$20*1000/12</f>
        <v>#REF!</v>
      </c>
      <c r="I48" s="1898"/>
    </row>
    <row r="49" spans="1:9" s="58" customFormat="1" ht="25.5" x14ac:dyDescent="0.25">
      <c r="A49" s="2296" t="s">
        <v>2825</v>
      </c>
      <c r="B49" s="150" t="s">
        <v>451</v>
      </c>
      <c r="C49" s="2370" t="s">
        <v>3065</v>
      </c>
      <c r="D49" s="2306" t="e">
        <f>#REF!/D$20*1000/12</f>
        <v>#REF!</v>
      </c>
      <c r="E49" s="2306" t="e">
        <f>#REF!/E$20*1000/12</f>
        <v>#REF!</v>
      </c>
      <c r="F49" s="2306" t="e">
        <f>#REF!/F$20*1000/12</f>
        <v>#REF!</v>
      </c>
      <c r="G49" s="2306" t="e">
        <f>#REF!/G$20*1000/12</f>
        <v>#REF!</v>
      </c>
      <c r="I49" s="1898"/>
    </row>
    <row r="50" spans="1:9" s="58" customFormat="1" ht="15.75" x14ac:dyDescent="0.25">
      <c r="A50" s="2296" t="s">
        <v>2826</v>
      </c>
      <c r="B50" s="150" t="s">
        <v>58</v>
      </c>
      <c r="C50" s="2370" t="s">
        <v>3065</v>
      </c>
      <c r="D50" s="2306" t="e">
        <f>#REF!/D$20*1000/12</f>
        <v>#REF!</v>
      </c>
      <c r="E50" s="2306" t="e">
        <f>#REF!/E$20*1000/12</f>
        <v>#REF!</v>
      </c>
      <c r="F50" s="2306" t="e">
        <f>#REF!/F$20*1000/12</f>
        <v>#REF!</v>
      </c>
      <c r="G50" s="2306" t="e">
        <f>#REF!/G$20*1000/12</f>
        <v>#REF!</v>
      </c>
      <c r="I50" s="1898"/>
    </row>
    <row r="51" spans="1:9" s="58" customFormat="1" ht="15.75" x14ac:dyDescent="0.25">
      <c r="A51" s="2296">
        <v>8</v>
      </c>
      <c r="B51" s="150" t="s">
        <v>5</v>
      </c>
      <c r="C51" s="2370" t="s">
        <v>3065</v>
      </c>
      <c r="D51" s="2306" t="e">
        <f>#REF!/D$20*1000/12</f>
        <v>#REF!</v>
      </c>
      <c r="E51" s="2306" t="e">
        <f>#REF!/E$20*1000/12</f>
        <v>#REF!</v>
      </c>
      <c r="F51" s="2306" t="e">
        <f>#REF!/F$20*1000/12</f>
        <v>#REF!</v>
      </c>
      <c r="G51" s="2306" t="e">
        <f>#REF!/G$20*1000/12</f>
        <v>#REF!</v>
      </c>
      <c r="I51" s="1898"/>
    </row>
    <row r="52" spans="1:9" s="58" customFormat="1" ht="15.75" x14ac:dyDescent="0.25">
      <c r="A52" s="2296">
        <v>9</v>
      </c>
      <c r="B52" s="150" t="s">
        <v>183</v>
      </c>
      <c r="C52" s="2370" t="s">
        <v>3065</v>
      </c>
      <c r="D52" s="2306" t="e">
        <f>#REF!/D$20*1000/12</f>
        <v>#REF!</v>
      </c>
      <c r="E52" s="2306" t="e">
        <f>#REF!/E$20*1000/12</f>
        <v>#REF!</v>
      </c>
      <c r="F52" s="2306" t="e">
        <f>#REF!/F$20*1000/12</f>
        <v>#REF!</v>
      </c>
      <c r="G52" s="2306" t="e">
        <f>#REF!/G$20*1000/12</f>
        <v>#REF!</v>
      </c>
      <c r="I52" s="1898"/>
    </row>
    <row r="53" spans="1:9" s="58" customFormat="1" ht="16.149999999999999" customHeight="1" x14ac:dyDescent="0.25">
      <c r="A53" s="2296">
        <v>10</v>
      </c>
      <c r="B53" s="150" t="s">
        <v>230</v>
      </c>
      <c r="C53" s="2370" t="s">
        <v>3065</v>
      </c>
      <c r="D53" s="2306">
        <v>0</v>
      </c>
      <c r="E53" s="2306">
        <v>0</v>
      </c>
      <c r="F53" s="2306">
        <v>0</v>
      </c>
      <c r="G53" s="2306">
        <v>0</v>
      </c>
      <c r="I53" s="1898"/>
    </row>
    <row r="54" spans="1:9" s="58" customFormat="1" ht="15.75" x14ac:dyDescent="0.25">
      <c r="A54" s="2296">
        <v>11</v>
      </c>
      <c r="B54" s="150" t="s">
        <v>2909</v>
      </c>
      <c r="C54" s="2370" t="s">
        <v>3065</v>
      </c>
      <c r="D54" s="2306" t="e">
        <f>#REF!/D$20*1000/12</f>
        <v>#REF!</v>
      </c>
      <c r="E54" s="2306" t="e">
        <f>#REF!/E$20*1000/12</f>
        <v>#REF!</v>
      </c>
      <c r="F54" s="2306" t="e">
        <f>#REF!/F$20*1000/12</f>
        <v>#REF!</v>
      </c>
      <c r="G54" s="2306" t="e">
        <f>#REF!/G$20*1000/12</f>
        <v>#REF!</v>
      </c>
      <c r="I54" s="1898"/>
    </row>
    <row r="55" spans="1:9" s="58" customFormat="1" ht="15.75" x14ac:dyDescent="0.25">
      <c r="A55" s="2296">
        <v>12</v>
      </c>
      <c r="B55" s="1926" t="s">
        <v>231</v>
      </c>
      <c r="C55" s="2370" t="s">
        <v>3065</v>
      </c>
      <c r="D55" s="2306" t="e">
        <f>#REF!/D$20*1000/12</f>
        <v>#REF!</v>
      </c>
      <c r="E55" s="2306" t="e">
        <f>#REF!/E$20*1000/12</f>
        <v>#REF!</v>
      </c>
      <c r="F55" s="2306" t="e">
        <f>#REF!/F$20*1000/12</f>
        <v>#REF!</v>
      </c>
      <c r="G55" s="2306" t="e">
        <f>#REF!/G$20*1000/12</f>
        <v>#REF!</v>
      </c>
      <c r="I55" s="1898"/>
    </row>
    <row r="56" spans="1:9" s="58" customFormat="1" ht="15.75" x14ac:dyDescent="0.25">
      <c r="A56" s="2296" t="s">
        <v>2921</v>
      </c>
      <c r="B56" s="150" t="s">
        <v>2927</v>
      </c>
      <c r="C56" s="2370" t="s">
        <v>3065</v>
      </c>
      <c r="D56" s="2306" t="e">
        <f>#REF!/D$20*1000/12</f>
        <v>#REF!</v>
      </c>
      <c r="E56" s="2306" t="e">
        <f>#REF!/E$20*1000/12</f>
        <v>#REF!</v>
      </c>
      <c r="F56" s="2306" t="e">
        <f>#REF!/F$20*1000/12</f>
        <v>#REF!</v>
      </c>
      <c r="G56" s="2306" t="e">
        <f>#REF!/G$20*1000/12</f>
        <v>#REF!</v>
      </c>
      <c r="I56" s="1898"/>
    </row>
    <row r="57" spans="1:9" s="58" customFormat="1" ht="15.75" x14ac:dyDescent="0.25">
      <c r="A57" s="2296" t="s">
        <v>2922</v>
      </c>
      <c r="B57" s="150" t="s">
        <v>67</v>
      </c>
      <c r="C57" s="2370" t="s">
        <v>3065</v>
      </c>
      <c r="D57" s="2306" t="e">
        <f>#REF!/D$20*1000/12</f>
        <v>#REF!</v>
      </c>
      <c r="E57" s="2306" t="e">
        <f>#REF!/E$20*1000/12</f>
        <v>#REF!</v>
      </c>
      <c r="F57" s="2306" t="e">
        <f>#REF!/F$20*1000/12</f>
        <v>#REF!</v>
      </c>
      <c r="G57" s="2306" t="e">
        <f>#REF!/G$20*1000/12</f>
        <v>#REF!</v>
      </c>
      <c r="I57" s="1898"/>
    </row>
    <row r="58" spans="1:9" s="58" customFormat="1" ht="15.75" x14ac:dyDescent="0.25">
      <c r="A58" s="2296" t="s">
        <v>2923</v>
      </c>
      <c r="B58" s="150" t="s">
        <v>69</v>
      </c>
      <c r="C58" s="2370" t="s">
        <v>3065</v>
      </c>
      <c r="D58" s="2306" t="e">
        <f>#REF!/D$20*1000/12</f>
        <v>#REF!</v>
      </c>
      <c r="E58" s="2306" t="e">
        <f>#REF!/E$20*1000/12</f>
        <v>#REF!</v>
      </c>
      <c r="F58" s="2306" t="e">
        <f>#REF!/F$20*1000/12</f>
        <v>#REF!</v>
      </c>
      <c r="G58" s="2306" t="e">
        <f>#REF!/G$20*1000/12</f>
        <v>#REF!</v>
      </c>
      <c r="I58" s="1898"/>
    </row>
    <row r="59" spans="1:9" s="58" customFormat="1" ht="15.75" x14ac:dyDescent="0.25">
      <c r="A59" s="2296" t="s">
        <v>2924</v>
      </c>
      <c r="B59" s="150" t="s">
        <v>2928</v>
      </c>
      <c r="C59" s="2370" t="s">
        <v>3065</v>
      </c>
      <c r="D59" s="2306" t="e">
        <f>#REF!/D$20*1000/12</f>
        <v>#REF!</v>
      </c>
      <c r="E59" s="2306" t="e">
        <f>#REF!/E$20*1000/12</f>
        <v>#REF!</v>
      </c>
      <c r="F59" s="2306" t="e">
        <f>#REF!/F$20*1000/12</f>
        <v>#REF!</v>
      </c>
      <c r="G59" s="2306" t="e">
        <f>#REF!/G$20*1000/12</f>
        <v>#REF!</v>
      </c>
      <c r="I59" s="1898"/>
    </row>
    <row r="60" spans="1:9" s="58" customFormat="1" ht="15.75" x14ac:dyDescent="0.25">
      <c r="A60" s="2296" t="s">
        <v>2925</v>
      </c>
      <c r="B60" s="150" t="s">
        <v>2929</v>
      </c>
      <c r="C60" s="2370" t="s">
        <v>3065</v>
      </c>
      <c r="D60" s="2306" t="e">
        <f>#REF!/D$20*1000/12</f>
        <v>#REF!</v>
      </c>
      <c r="E60" s="2306" t="e">
        <f>#REF!/E$20*1000/12</f>
        <v>#REF!</v>
      </c>
      <c r="F60" s="2306" t="e">
        <f>#REF!/F$20*1000/12</f>
        <v>#REF!</v>
      </c>
      <c r="G60" s="2306" t="e">
        <f>#REF!/G$20*1000/12</f>
        <v>#REF!</v>
      </c>
      <c r="I60" s="1898"/>
    </row>
    <row r="61" spans="1:9" s="58" customFormat="1" ht="15.75" x14ac:dyDescent="0.25">
      <c r="A61" s="4057" t="s">
        <v>3068</v>
      </c>
      <c r="B61" s="4057"/>
      <c r="C61" s="4057"/>
      <c r="D61" s="4057"/>
      <c r="E61" s="4057"/>
      <c r="F61" s="4057"/>
      <c r="G61" s="4057"/>
      <c r="I61" s="1898"/>
    </row>
    <row r="62" spans="1:9" s="58" customFormat="1" ht="15.75" x14ac:dyDescent="0.25">
      <c r="A62" s="2296" t="s">
        <v>1795</v>
      </c>
      <c r="B62" s="278" t="s">
        <v>2993</v>
      </c>
      <c r="C62" s="2371" t="s">
        <v>2165</v>
      </c>
      <c r="D62" s="2301" t="e">
        <f>#REF!/D$18</f>
        <v>#REF!</v>
      </c>
      <c r="E62" s="2301" t="e">
        <f>#REF!/E$18</f>
        <v>#REF!</v>
      </c>
      <c r="F62" s="2301" t="e">
        <f>#REF!/F$18</f>
        <v>#REF!</v>
      </c>
      <c r="G62" s="2301" t="e">
        <f>#REF!/G$18</f>
        <v>#REF!</v>
      </c>
      <c r="I62" s="1898"/>
    </row>
    <row r="63" spans="1:9" s="58" customFormat="1" ht="14.45" customHeight="1" x14ac:dyDescent="0.25">
      <c r="A63" s="2296" t="s">
        <v>2931</v>
      </c>
      <c r="B63" s="278" t="s">
        <v>225</v>
      </c>
      <c r="C63" s="2371" t="s">
        <v>2165</v>
      </c>
      <c r="D63" s="2301" t="e">
        <f>#REF!/D$18</f>
        <v>#REF!</v>
      </c>
      <c r="E63" s="2301" t="e">
        <f>#REF!/E$18</f>
        <v>#REF!</v>
      </c>
      <c r="F63" s="2301" t="e">
        <f>#REF!/F$18</f>
        <v>#REF!</v>
      </c>
      <c r="G63" s="2301" t="e">
        <f>#REF!/G$18</f>
        <v>#REF!</v>
      </c>
      <c r="I63" s="1898"/>
    </row>
    <row r="64" spans="1:9" s="58" customFormat="1" ht="15.75" x14ac:dyDescent="0.25">
      <c r="A64" s="2296" t="s">
        <v>2932</v>
      </c>
      <c r="B64" s="278" t="s">
        <v>43</v>
      </c>
      <c r="C64" s="2371" t="s">
        <v>2165</v>
      </c>
      <c r="D64" s="2301" t="e">
        <f>#REF!/D$18</f>
        <v>#REF!</v>
      </c>
      <c r="E64" s="2301" t="e">
        <f>#REF!/E$18</f>
        <v>#REF!</v>
      </c>
      <c r="F64" s="2301" t="e">
        <f>#REF!/F$18</f>
        <v>#REF!</v>
      </c>
      <c r="G64" s="2301" t="e">
        <f>#REF!/G$18</f>
        <v>#REF!</v>
      </c>
      <c r="I64" s="1898"/>
    </row>
    <row r="65" spans="1:9" s="58" customFormat="1" ht="15.75" x14ac:dyDescent="0.25">
      <c r="A65" s="4056" t="s">
        <v>3069</v>
      </c>
      <c r="B65" s="4056"/>
      <c r="C65" s="4056"/>
      <c r="D65" s="4056"/>
      <c r="E65" s="4056"/>
      <c r="F65" s="4056"/>
      <c r="G65" s="4056"/>
      <c r="I65" s="1898"/>
    </row>
    <row r="66" spans="1:9" s="58" customFormat="1" ht="25.5" x14ac:dyDescent="0.25">
      <c r="A66" s="2296">
        <v>14</v>
      </c>
      <c r="B66" s="150" t="s">
        <v>2995</v>
      </c>
      <c r="C66" s="2371" t="s">
        <v>3063</v>
      </c>
      <c r="D66" s="2306" t="e">
        <f>#REF!/D$21*1000/12</f>
        <v>#REF!</v>
      </c>
      <c r="E66" s="2306" t="e">
        <f>#REF!/E$21*1000/12</f>
        <v>#REF!</v>
      </c>
      <c r="F66" s="2306" t="e">
        <f>#REF!/F$21*1000/12</f>
        <v>#REF!</v>
      </c>
      <c r="G66" s="2306" t="e">
        <f>#REF!/G$21*1000/12</f>
        <v>#REF!</v>
      </c>
      <c r="I66" s="1898"/>
    </row>
    <row r="67" spans="1:9" s="58" customFormat="1" ht="15.75" x14ac:dyDescent="0.25">
      <c r="A67" s="2318" t="s">
        <v>200</v>
      </c>
      <c r="B67" s="278" t="s">
        <v>224</v>
      </c>
      <c r="C67" s="2370" t="s">
        <v>3065</v>
      </c>
      <c r="D67" s="2306" t="e">
        <f>#REF!/D$21*1000/12</f>
        <v>#REF!</v>
      </c>
      <c r="E67" s="2306" t="e">
        <f>#REF!/E$21*1000/12</f>
        <v>#REF!</v>
      </c>
      <c r="F67" s="2306" t="e">
        <f>#REF!/F$21*1000/12</f>
        <v>#REF!</v>
      </c>
      <c r="G67" s="2306" t="e">
        <f>#REF!/G$21*1000/12</f>
        <v>#REF!</v>
      </c>
      <c r="I67" s="1898"/>
    </row>
    <row r="68" spans="1:9" s="58" customFormat="1" ht="16.149999999999999" customHeight="1" x14ac:dyDescent="0.25">
      <c r="A68" s="2318" t="s">
        <v>342</v>
      </c>
      <c r="B68" s="278" t="s">
        <v>225</v>
      </c>
      <c r="C68" s="2370" t="s">
        <v>3065</v>
      </c>
      <c r="D68" s="2306" t="e">
        <f>#REF!/D$21*1000/12</f>
        <v>#REF!</v>
      </c>
      <c r="E68" s="2306" t="e">
        <f>#REF!/E$21*1000/12</f>
        <v>#REF!</v>
      </c>
      <c r="F68" s="2306" t="e">
        <f>#REF!/F$21*1000/12</f>
        <v>#REF!</v>
      </c>
      <c r="G68" s="2306" t="e">
        <f>#REF!/G$21*1000/12</f>
        <v>#REF!</v>
      </c>
      <c r="I68" s="1898"/>
    </row>
    <row r="69" spans="1:9" s="58" customFormat="1" ht="15.75" x14ac:dyDescent="0.25">
      <c r="A69" s="2318" t="s">
        <v>2941</v>
      </c>
      <c r="B69" s="278" t="s">
        <v>43</v>
      </c>
      <c r="C69" s="2370" t="s">
        <v>3065</v>
      </c>
      <c r="D69" s="2306" t="e">
        <f>#REF!/D$21*1000/12</f>
        <v>#REF!</v>
      </c>
      <c r="E69" s="2306" t="e">
        <f>#REF!/E$21*1000/12</f>
        <v>#REF!</v>
      </c>
      <c r="F69" s="2306" t="e">
        <f>#REF!/F$21*1000/12</f>
        <v>#REF!</v>
      </c>
      <c r="G69" s="2306" t="e">
        <f>#REF!/G$21*1000/12</f>
        <v>#REF!</v>
      </c>
      <c r="I69" s="1898"/>
    </row>
    <row r="70" spans="1:9" s="58" customFormat="1" ht="25.5" x14ac:dyDescent="0.25">
      <c r="A70" s="2322" t="s">
        <v>2942</v>
      </c>
      <c r="B70" s="278" t="s">
        <v>596</v>
      </c>
      <c r="C70" s="2370" t="s">
        <v>3065</v>
      </c>
      <c r="D70" s="2306" t="e">
        <f>#REF!/D$21*1000/12</f>
        <v>#REF!</v>
      </c>
      <c r="E70" s="2306" t="e">
        <f>#REF!/E$21*1000/12</f>
        <v>#REF!</v>
      </c>
      <c r="F70" s="2306" t="e">
        <f>#REF!/F$21*1000/12</f>
        <v>#REF!</v>
      </c>
      <c r="G70" s="2306" t="e">
        <f>#REF!/G$21*1000/12</f>
        <v>#REF!</v>
      </c>
      <c r="I70" s="1898"/>
    </row>
    <row r="71" spans="1:9" s="58" customFormat="1" ht="25.5" x14ac:dyDescent="0.25">
      <c r="A71" s="2322" t="s">
        <v>2943</v>
      </c>
      <c r="B71" s="278" t="s">
        <v>597</v>
      </c>
      <c r="C71" s="2370" t="s">
        <v>3065</v>
      </c>
      <c r="D71" s="2306" t="e">
        <f>#REF!/D$21*1000/12</f>
        <v>#REF!</v>
      </c>
      <c r="E71" s="2306" t="e">
        <f>#REF!/E$21*1000/12</f>
        <v>#REF!</v>
      </c>
      <c r="F71" s="2306" t="e">
        <f>#REF!/F$21*1000/12</f>
        <v>#REF!</v>
      </c>
      <c r="G71" s="2306" t="e">
        <f>#REF!/G$21*1000/12</f>
        <v>#REF!</v>
      </c>
      <c r="I71" s="1898"/>
    </row>
    <row r="72" spans="1:9" s="58" customFormat="1" ht="15.75" x14ac:dyDescent="0.25">
      <c r="A72" s="2322" t="s">
        <v>2944</v>
      </c>
      <c r="B72" s="278" t="s">
        <v>598</v>
      </c>
      <c r="C72" s="2370" t="s">
        <v>3065</v>
      </c>
      <c r="D72" s="2306" t="e">
        <f>#REF!/D$21*1000/12</f>
        <v>#REF!</v>
      </c>
      <c r="E72" s="2306" t="e">
        <f>#REF!/E$21*1000/12</f>
        <v>#REF!</v>
      </c>
      <c r="F72" s="2306" t="e">
        <f>#REF!/F$21*1000/12</f>
        <v>#REF!</v>
      </c>
      <c r="G72" s="2306" t="e">
        <f>#REF!/G$21*1000/12</f>
        <v>#REF!</v>
      </c>
      <c r="I72" s="1898"/>
    </row>
    <row r="73" spans="1:9" ht="25.5" x14ac:dyDescent="0.25">
      <c r="A73" s="2322" t="s">
        <v>2945</v>
      </c>
      <c r="B73" s="278" t="s">
        <v>2764</v>
      </c>
      <c r="C73" s="2370" t="s">
        <v>3065</v>
      </c>
      <c r="D73" s="2306" t="e">
        <f>#REF!/D$21*1000/12</f>
        <v>#REF!</v>
      </c>
      <c r="E73" s="2306" t="e">
        <f>#REF!/E$21*1000/12</f>
        <v>#REF!</v>
      </c>
      <c r="F73" s="2306" t="e">
        <f>#REF!/F$21*1000/12</f>
        <v>#REF!</v>
      </c>
      <c r="G73" s="2306" t="e">
        <f>#REF!/G$21*1000/12</f>
        <v>#REF!</v>
      </c>
    </row>
    <row r="74" spans="1:9" x14ac:dyDescent="0.25">
      <c r="A74" s="2322" t="s">
        <v>343</v>
      </c>
      <c r="B74" s="150" t="s">
        <v>47</v>
      </c>
      <c r="C74" s="2370" t="s">
        <v>3065</v>
      </c>
      <c r="D74" s="2306" t="e">
        <f>#REF!/D$21*1000/12</f>
        <v>#REF!</v>
      </c>
      <c r="E74" s="2306" t="e">
        <f>#REF!/E$21*1000/12</f>
        <v>#REF!</v>
      </c>
      <c r="F74" s="2306" t="e">
        <f>#REF!/F$21*1000/12</f>
        <v>#REF!</v>
      </c>
      <c r="G74" s="2306" t="e">
        <f>#REF!/G$21*1000/12</f>
        <v>#REF!</v>
      </c>
    </row>
    <row r="75" spans="1:9" x14ac:dyDescent="0.25">
      <c r="A75" s="2322" t="s">
        <v>2946</v>
      </c>
      <c r="B75" s="278" t="s">
        <v>226</v>
      </c>
      <c r="C75" s="2370" t="s">
        <v>3065</v>
      </c>
      <c r="D75" s="2306" t="e">
        <f>#REF!/D$21*1000/12</f>
        <v>#REF!</v>
      </c>
      <c r="E75" s="2306" t="e">
        <f>#REF!/E$21*1000/12</f>
        <v>#REF!</v>
      </c>
      <c r="F75" s="2306" t="e">
        <f>#REF!/F$21*1000/12</f>
        <v>#REF!</v>
      </c>
      <c r="G75" s="2306" t="e">
        <f>#REF!/G$21*1000/12</f>
        <v>#REF!</v>
      </c>
    </row>
    <row r="76" spans="1:9" ht="25.5" x14ac:dyDescent="0.25">
      <c r="A76" s="2322" t="s">
        <v>2947</v>
      </c>
      <c r="B76" s="278" t="s">
        <v>451</v>
      </c>
      <c r="C76" s="2370" t="s">
        <v>3065</v>
      </c>
      <c r="D76" s="2306" t="e">
        <f>#REF!/D$21*1000/12</f>
        <v>#REF!</v>
      </c>
      <c r="E76" s="2306" t="e">
        <f>#REF!/E$21*1000/12</f>
        <v>#REF!</v>
      </c>
      <c r="F76" s="2306" t="e">
        <f>#REF!/F$21*1000/12</f>
        <v>#REF!</v>
      </c>
      <c r="G76" s="2306" t="e">
        <f>#REF!/G$21*1000/12</f>
        <v>#REF!</v>
      </c>
    </row>
    <row r="77" spans="1:9" x14ac:dyDescent="0.25">
      <c r="A77" s="2322" t="s">
        <v>2948</v>
      </c>
      <c r="B77" s="278" t="s">
        <v>459</v>
      </c>
      <c r="C77" s="2370" t="s">
        <v>3065</v>
      </c>
      <c r="D77" s="2306" t="e">
        <f>#REF!/D$21*1000/12</f>
        <v>#REF!</v>
      </c>
      <c r="E77" s="2306" t="e">
        <f>#REF!/E$21*1000/12</f>
        <v>#REF!</v>
      </c>
      <c r="F77" s="2306" t="e">
        <f>#REF!/F$21*1000/12</f>
        <v>#REF!</v>
      </c>
      <c r="G77" s="2306" t="e">
        <f>#REF!/G$21*1000/12</f>
        <v>#REF!</v>
      </c>
    </row>
    <row r="78" spans="1:9" x14ac:dyDescent="0.25">
      <c r="A78" s="2322" t="s">
        <v>2949</v>
      </c>
      <c r="B78" s="278" t="s">
        <v>82</v>
      </c>
      <c r="C78" s="2370" t="s">
        <v>3065</v>
      </c>
      <c r="D78" s="2306" t="e">
        <f>#REF!/D$21*1000/12</f>
        <v>#REF!</v>
      </c>
      <c r="E78" s="2306" t="e">
        <f>#REF!/E$21*1000/12</f>
        <v>#REF!</v>
      </c>
      <c r="F78" s="2306" t="e">
        <f>#REF!/F$21*1000/12</f>
        <v>#REF!</v>
      </c>
      <c r="G78" s="2306" t="e">
        <f>#REF!/G$21*1000/12</f>
        <v>#REF!</v>
      </c>
    </row>
    <row r="79" spans="1:9" x14ac:dyDescent="0.25">
      <c r="A79" s="2322" t="s">
        <v>2950</v>
      </c>
      <c r="B79" s="278" t="s">
        <v>227</v>
      </c>
      <c r="C79" s="2370" t="s">
        <v>3065</v>
      </c>
      <c r="D79" s="2306" t="e">
        <f>#REF!/D$21*1000/12</f>
        <v>#REF!</v>
      </c>
      <c r="E79" s="2306" t="e">
        <f>#REF!/E$21*1000/12</f>
        <v>#REF!</v>
      </c>
      <c r="F79" s="2306" t="e">
        <f>#REF!/F$21*1000/12</f>
        <v>#REF!</v>
      </c>
      <c r="G79" s="2306" t="e">
        <f>#REF!/G$21*1000/12</f>
        <v>#REF!</v>
      </c>
    </row>
    <row r="80" spans="1:9" x14ac:dyDescent="0.25">
      <c r="A80" s="2322" t="s">
        <v>2951</v>
      </c>
      <c r="B80" s="278" t="s">
        <v>55</v>
      </c>
      <c r="C80" s="2370" t="s">
        <v>3065</v>
      </c>
      <c r="D80" s="2306" t="e">
        <f>#REF!/D$21*1000/12</f>
        <v>#REF!</v>
      </c>
      <c r="E80" s="2306" t="e">
        <f>#REF!/E$21*1000/12</f>
        <v>#REF!</v>
      </c>
      <c r="F80" s="2306" t="e">
        <f>#REF!/F$21*1000/12</f>
        <v>#REF!</v>
      </c>
      <c r="G80" s="2306" t="e">
        <f>#REF!/G$21*1000/12</f>
        <v>#REF!</v>
      </c>
    </row>
    <row r="81" spans="1:7" ht="25.5" x14ac:dyDescent="0.25">
      <c r="A81" s="2322" t="s">
        <v>2952</v>
      </c>
      <c r="B81" s="278" t="s">
        <v>451</v>
      </c>
      <c r="C81" s="2370" t="s">
        <v>3065</v>
      </c>
      <c r="D81" s="2306" t="e">
        <f>#REF!/D$21*1000/12</f>
        <v>#REF!</v>
      </c>
      <c r="E81" s="2306" t="e">
        <f>#REF!/E$21*1000/12</f>
        <v>#REF!</v>
      </c>
      <c r="F81" s="2306" t="e">
        <f>#REF!/F$21*1000/12</f>
        <v>#REF!</v>
      </c>
      <c r="G81" s="2306" t="e">
        <f>#REF!/G$21*1000/12</f>
        <v>#REF!</v>
      </c>
    </row>
    <row r="82" spans="1:7" x14ac:dyDescent="0.25">
      <c r="A82" s="2322" t="s">
        <v>2953</v>
      </c>
      <c r="B82" s="278" t="s">
        <v>58</v>
      </c>
      <c r="C82" s="2370" t="s">
        <v>3065</v>
      </c>
      <c r="D82" s="2306" t="e">
        <f>#REF!/D$21*1000/12</f>
        <v>#REF!</v>
      </c>
      <c r="E82" s="2306" t="e">
        <f>#REF!/E$21*1000/12</f>
        <v>#REF!</v>
      </c>
      <c r="F82" s="2306" t="e">
        <f>#REF!/F$21*1000/12</f>
        <v>#REF!</v>
      </c>
      <c r="G82" s="2306" t="e">
        <f>#REF!/G$21*1000/12</f>
        <v>#REF!</v>
      </c>
    </row>
    <row r="83" spans="1:7" x14ac:dyDescent="0.25">
      <c r="A83" s="2322" t="s">
        <v>670</v>
      </c>
      <c r="B83" s="150" t="s">
        <v>228</v>
      </c>
      <c r="C83" s="2370" t="s">
        <v>3065</v>
      </c>
      <c r="D83" s="2306" t="e">
        <f>#REF!/D$21*1000/12</f>
        <v>#REF!</v>
      </c>
      <c r="E83" s="2306" t="e">
        <f>#REF!/E$21*1000/12</f>
        <v>#REF!</v>
      </c>
      <c r="F83" s="2306" t="e">
        <f>#REF!/F$21*1000/12</f>
        <v>#REF!</v>
      </c>
      <c r="G83" s="2306" t="e">
        <f>#REF!/G$21*1000/12</f>
        <v>#REF!</v>
      </c>
    </row>
    <row r="84" spans="1:7" x14ac:dyDescent="0.25">
      <c r="A84" s="2322" t="s">
        <v>201</v>
      </c>
      <c r="B84" s="150" t="s">
        <v>55</v>
      </c>
      <c r="C84" s="2370" t="s">
        <v>3065</v>
      </c>
      <c r="D84" s="2306" t="e">
        <f>#REF!/D$21*1000/12</f>
        <v>#REF!</v>
      </c>
      <c r="E84" s="2306" t="e">
        <f>#REF!/E$21*1000/12</f>
        <v>#REF!</v>
      </c>
      <c r="F84" s="2306" t="e">
        <f>#REF!/F$21*1000/12</f>
        <v>#REF!</v>
      </c>
      <c r="G84" s="2306" t="e">
        <f>#REF!/G$21*1000/12</f>
        <v>#REF!</v>
      </c>
    </row>
    <row r="85" spans="1:7" ht="25.5" x14ac:dyDescent="0.25">
      <c r="A85" s="2322" t="s">
        <v>202</v>
      </c>
      <c r="B85" s="150" t="s">
        <v>451</v>
      </c>
      <c r="C85" s="2370" t="s">
        <v>3065</v>
      </c>
      <c r="D85" s="2306" t="e">
        <f>#REF!/D$21*1000/12</f>
        <v>#REF!</v>
      </c>
      <c r="E85" s="2306" t="e">
        <f>#REF!/E$21*1000/12</f>
        <v>#REF!</v>
      </c>
      <c r="F85" s="2306" t="e">
        <f>#REF!/F$21*1000/12</f>
        <v>#REF!</v>
      </c>
      <c r="G85" s="2306" t="e">
        <f>#REF!/G$21*1000/12</f>
        <v>#REF!</v>
      </c>
    </row>
    <row r="86" spans="1:7" x14ac:dyDescent="0.25">
      <c r="A86" s="2322" t="s">
        <v>2954</v>
      </c>
      <c r="B86" s="150" t="s">
        <v>58</v>
      </c>
      <c r="C86" s="2370" t="s">
        <v>3065</v>
      </c>
      <c r="D86" s="2306" t="e">
        <f>#REF!/D$21*1000/12</f>
        <v>#REF!</v>
      </c>
      <c r="E86" s="2306" t="e">
        <f>#REF!/E$21*1000/12</f>
        <v>#REF!</v>
      </c>
      <c r="F86" s="2306" t="e">
        <f>#REF!/F$21*1000/12</f>
        <v>#REF!</v>
      </c>
      <c r="G86" s="2306" t="e">
        <f>#REF!/G$21*1000/12</f>
        <v>#REF!</v>
      </c>
    </row>
    <row r="87" spans="1:7" x14ac:dyDescent="0.25">
      <c r="A87" s="2322" t="s">
        <v>671</v>
      </c>
      <c r="B87" s="278" t="s">
        <v>229</v>
      </c>
      <c r="C87" s="2370" t="s">
        <v>3065</v>
      </c>
      <c r="D87" s="2306" t="e">
        <f>#REF!/D$21*1000/12</f>
        <v>#REF!</v>
      </c>
      <c r="E87" s="2306" t="e">
        <f>#REF!/E$21*1000/12</f>
        <v>#REF!</v>
      </c>
      <c r="F87" s="2306" t="e">
        <f>#REF!/F$21*1000/12</f>
        <v>#REF!</v>
      </c>
      <c r="G87" s="2306" t="e">
        <f>#REF!/G$21*1000/12</f>
        <v>#REF!</v>
      </c>
    </row>
    <row r="88" spans="1:7" x14ac:dyDescent="0.25">
      <c r="A88" s="2322" t="s">
        <v>2111</v>
      </c>
      <c r="B88" s="278" t="s">
        <v>55</v>
      </c>
      <c r="C88" s="2370" t="s">
        <v>3065</v>
      </c>
      <c r="D88" s="2306" t="e">
        <f>#REF!/D$21*1000/12</f>
        <v>#REF!</v>
      </c>
      <c r="E88" s="2306" t="e">
        <f>#REF!/E$21*1000/12</f>
        <v>#REF!</v>
      </c>
      <c r="F88" s="2306" t="e">
        <f>#REF!/F$21*1000/12</f>
        <v>#REF!</v>
      </c>
      <c r="G88" s="2306" t="e">
        <f>#REF!/G$21*1000/12</f>
        <v>#REF!</v>
      </c>
    </row>
    <row r="89" spans="1:7" ht="25.5" x14ac:dyDescent="0.25">
      <c r="A89" s="2322" t="s">
        <v>2112</v>
      </c>
      <c r="B89" s="150" t="s">
        <v>451</v>
      </c>
      <c r="C89" s="2370" t="s">
        <v>3065</v>
      </c>
      <c r="D89" s="2306" t="e">
        <f>#REF!/D$21*1000/12</f>
        <v>#REF!</v>
      </c>
      <c r="E89" s="2306" t="e">
        <f>#REF!/E$21*1000/12</f>
        <v>#REF!</v>
      </c>
      <c r="F89" s="2306" t="e">
        <f>#REF!/F$21*1000/12</f>
        <v>#REF!</v>
      </c>
      <c r="G89" s="2306" t="e">
        <f>#REF!/G$21*1000/12</f>
        <v>#REF!</v>
      </c>
    </row>
    <row r="90" spans="1:7" x14ac:dyDescent="0.25">
      <c r="A90" s="2322" t="s">
        <v>2955</v>
      </c>
      <c r="B90" s="2312" t="s">
        <v>242</v>
      </c>
      <c r="C90" s="2370" t="s">
        <v>3065</v>
      </c>
      <c r="D90" s="2306" t="e">
        <f>#REF!/D$21*1000/12</f>
        <v>#REF!</v>
      </c>
      <c r="E90" s="2306" t="e">
        <f>#REF!/E$21*1000/12</f>
        <v>#REF!</v>
      </c>
      <c r="F90" s="2306" t="e">
        <f>#REF!/F$21*1000/12</f>
        <v>#REF!</v>
      </c>
      <c r="G90" s="2306" t="e">
        <f>#REF!/G$21*1000/12</f>
        <v>#REF!</v>
      </c>
    </row>
    <row r="91" spans="1:7" x14ac:dyDescent="0.25">
      <c r="A91" s="2322" t="s">
        <v>672</v>
      </c>
      <c r="B91" s="150" t="s">
        <v>83</v>
      </c>
      <c r="C91" s="2370" t="s">
        <v>3065</v>
      </c>
      <c r="D91" s="2306" t="e">
        <f>#REF!/D$21*1000/12</f>
        <v>#REF!</v>
      </c>
      <c r="E91" s="2306" t="e">
        <f>#REF!/E$21*1000/12</f>
        <v>#REF!</v>
      </c>
      <c r="F91" s="2306" t="e">
        <f>#REF!/F$21*1000/12</f>
        <v>#REF!</v>
      </c>
      <c r="G91" s="2306" t="e">
        <f>#REF!/G$21*1000/12</f>
        <v>#REF!</v>
      </c>
    </row>
    <row r="92" spans="1:7" x14ac:dyDescent="0.25">
      <c r="A92" s="2322" t="s">
        <v>2956</v>
      </c>
      <c r="B92" s="150" t="s">
        <v>5</v>
      </c>
      <c r="C92" s="2370" t="s">
        <v>3065</v>
      </c>
      <c r="D92" s="2306" t="e">
        <f>#REF!/D$21*1000/12</f>
        <v>#REF!</v>
      </c>
      <c r="E92" s="2306" t="e">
        <f>#REF!/E$21*1000/12</f>
        <v>#REF!</v>
      </c>
      <c r="F92" s="2306" t="e">
        <f>#REF!/F$21*1000/12</f>
        <v>#REF!</v>
      </c>
      <c r="G92" s="2306" t="e">
        <f>#REF!/G$21*1000/12</f>
        <v>#REF!</v>
      </c>
    </row>
    <row r="93" spans="1:7" x14ac:dyDescent="0.25">
      <c r="A93" s="2322" t="s">
        <v>2957</v>
      </c>
      <c r="B93" s="150" t="s">
        <v>63</v>
      </c>
      <c r="C93" s="2370" t="s">
        <v>3065</v>
      </c>
      <c r="D93" s="2306" t="e">
        <f>#REF!/D$21*1000/12</f>
        <v>#REF!</v>
      </c>
      <c r="E93" s="2306" t="e">
        <f>#REF!/E$21*1000/12</f>
        <v>#REF!</v>
      </c>
      <c r="F93" s="2306" t="e">
        <f>#REF!/F$21*1000/12</f>
        <v>#REF!</v>
      </c>
      <c r="G93" s="2306" t="e">
        <f>#REF!/G$21*1000/12</f>
        <v>#REF!</v>
      </c>
    </row>
    <row r="94" spans="1:7" x14ac:dyDescent="0.25">
      <c r="A94" s="2322" t="s">
        <v>2958</v>
      </c>
      <c r="B94" s="150" t="s">
        <v>243</v>
      </c>
      <c r="C94" s="2370" t="s">
        <v>3065</v>
      </c>
      <c r="D94" s="2306" t="e">
        <f>#REF!/D$21*1000/12</f>
        <v>#REF!</v>
      </c>
      <c r="E94" s="2306" t="e">
        <f>#REF!/E$21*1000/12</f>
        <v>#REF!</v>
      </c>
      <c r="F94" s="2306" t="e">
        <f>#REF!/F$21*1000/12</f>
        <v>#REF!</v>
      </c>
      <c r="G94" s="2306" t="e">
        <f>#REF!/G$21*1000/12</f>
        <v>#REF!</v>
      </c>
    </row>
    <row r="95" spans="1:7" x14ac:dyDescent="0.25">
      <c r="A95" s="2322" t="s">
        <v>2959</v>
      </c>
      <c r="B95" s="150" t="s">
        <v>244</v>
      </c>
      <c r="C95" s="2370" t="s">
        <v>3065</v>
      </c>
      <c r="D95" s="2306" t="e">
        <f>#REF!/D$21*1000/12</f>
        <v>#REF!</v>
      </c>
      <c r="E95" s="2306" t="e">
        <f>#REF!/E$21*1000/12</f>
        <v>#REF!</v>
      </c>
      <c r="F95" s="2306" t="e">
        <f>#REF!/F$21*1000/12</f>
        <v>#REF!</v>
      </c>
      <c r="G95" s="2306" t="e">
        <f>#REF!/G$21*1000/12</f>
        <v>#REF!</v>
      </c>
    </row>
    <row r="96" spans="1:7" x14ac:dyDescent="0.25">
      <c r="A96" s="2322" t="s">
        <v>2960</v>
      </c>
      <c r="B96" s="150" t="s">
        <v>65</v>
      </c>
      <c r="C96" s="2370" t="s">
        <v>3065</v>
      </c>
      <c r="D96" s="2306" t="e">
        <f>#REF!/D$21*1000/12</f>
        <v>#REF!</v>
      </c>
      <c r="E96" s="2306" t="e">
        <f>#REF!/E$21*1000/12</f>
        <v>#REF!</v>
      </c>
      <c r="F96" s="2306" t="e">
        <f>#REF!/F$21*1000/12</f>
        <v>#REF!</v>
      </c>
      <c r="G96" s="2306" t="e">
        <f>#REF!/G$21*1000/12</f>
        <v>#REF!</v>
      </c>
    </row>
    <row r="97" spans="1:9" x14ac:dyDescent="0.25">
      <c r="A97" s="2322" t="s">
        <v>2961</v>
      </c>
      <c r="B97" s="150" t="s">
        <v>85</v>
      </c>
      <c r="C97" s="2370" t="s">
        <v>3065</v>
      </c>
      <c r="D97" s="2306" t="e">
        <f>#REF!/D$21*1000/12</f>
        <v>#REF!</v>
      </c>
      <c r="E97" s="2306" t="e">
        <f>#REF!/E$21*1000/12</f>
        <v>#REF!</v>
      </c>
      <c r="F97" s="2306" t="e">
        <f>#REF!/F$21*1000/12</f>
        <v>#REF!</v>
      </c>
      <c r="G97" s="2306" t="e">
        <f>#REF!/G$21*1000/12</f>
        <v>#REF!</v>
      </c>
    </row>
    <row r="98" spans="1:9" x14ac:dyDescent="0.25">
      <c r="A98" s="2322" t="s">
        <v>2962</v>
      </c>
      <c r="B98" s="150" t="s">
        <v>86</v>
      </c>
      <c r="C98" s="2370" t="s">
        <v>3065</v>
      </c>
      <c r="D98" s="2306" t="e">
        <f>#REF!/D$21*1000/12</f>
        <v>#REF!</v>
      </c>
      <c r="E98" s="2306" t="e">
        <f>#REF!/E$21*1000/12</f>
        <v>#REF!</v>
      </c>
      <c r="F98" s="2306" t="e">
        <f>#REF!/F$21*1000/12</f>
        <v>#REF!</v>
      </c>
      <c r="G98" s="2306" t="e">
        <f>#REF!/G$21*1000/12</f>
        <v>#REF!</v>
      </c>
    </row>
    <row r="99" spans="1:9" x14ac:dyDescent="0.25">
      <c r="A99" s="2322" t="s">
        <v>2963</v>
      </c>
      <c r="B99" s="150" t="s">
        <v>71</v>
      </c>
      <c r="C99" s="2370" t="s">
        <v>3065</v>
      </c>
      <c r="D99" s="2306" t="e">
        <f>#REF!/D$21*1000/12</f>
        <v>#REF!</v>
      </c>
      <c r="E99" s="2306" t="e">
        <f>#REF!/E$21*1000/12</f>
        <v>#REF!</v>
      </c>
      <c r="F99" s="2306" t="e">
        <f>#REF!/F$21*1000/12</f>
        <v>#REF!</v>
      </c>
      <c r="G99" s="2306" t="e">
        <f>#REF!/G$21*1000/12</f>
        <v>#REF!</v>
      </c>
    </row>
    <row r="100" spans="1:9" x14ac:dyDescent="0.25">
      <c r="A100" s="2322" t="s">
        <v>2964</v>
      </c>
      <c r="B100" s="150" t="s">
        <v>87</v>
      </c>
      <c r="C100" s="2370" t="s">
        <v>3065</v>
      </c>
      <c r="D100" s="2306" t="e">
        <f>#REF!/D$21*1000/12</f>
        <v>#REF!</v>
      </c>
      <c r="E100" s="2306" t="e">
        <f>#REF!/E$21*1000/12</f>
        <v>#REF!</v>
      </c>
      <c r="F100" s="2306" t="e">
        <f>#REF!/F$21*1000/12</f>
        <v>#REF!</v>
      </c>
      <c r="G100" s="2306" t="e">
        <f>#REF!/G$21*1000/12</f>
        <v>#REF!</v>
      </c>
    </row>
    <row r="101" spans="1:9" x14ac:dyDescent="0.25">
      <c r="A101" s="4058" t="s">
        <v>3070</v>
      </c>
      <c r="B101" s="4058"/>
      <c r="C101" s="4058"/>
      <c r="D101" s="4058"/>
      <c r="E101" s="4058"/>
      <c r="F101" s="4058"/>
      <c r="G101" s="4058"/>
    </row>
    <row r="102" spans="1:9" ht="25.5" x14ac:dyDescent="0.25">
      <c r="A102" s="2318" t="s">
        <v>2965</v>
      </c>
      <c r="B102" s="150" t="s">
        <v>2996</v>
      </c>
      <c r="C102" s="2368" t="s">
        <v>3063</v>
      </c>
      <c r="D102" s="2306" t="e">
        <f>#REF!/D$20*1000/12</f>
        <v>#REF!</v>
      </c>
      <c r="E102" s="2306" t="e">
        <f>#REF!/E$20*1000/12</f>
        <v>#REF!</v>
      </c>
      <c r="F102" s="2306" t="e">
        <f>#REF!/F$20*1000/12</f>
        <v>#REF!</v>
      </c>
      <c r="G102" s="2306" t="e">
        <f>#REF!/G$20*1000/12</f>
        <v>#REF!</v>
      </c>
      <c r="I102" s="1346"/>
    </row>
    <row r="103" spans="1:9" x14ac:dyDescent="0.25">
      <c r="A103" s="2320" t="s">
        <v>2966</v>
      </c>
      <c r="B103" s="150" t="s">
        <v>224</v>
      </c>
      <c r="C103" s="2370" t="s">
        <v>3065</v>
      </c>
      <c r="D103" s="2306" t="e">
        <f>#REF!/D$20*1000/12</f>
        <v>#REF!</v>
      </c>
      <c r="E103" s="2306" t="e">
        <f>#REF!/E$20*1000/12</f>
        <v>#REF!</v>
      </c>
      <c r="F103" s="2306" t="e">
        <f>#REF!/F$20*1000/12</f>
        <v>#REF!</v>
      </c>
      <c r="G103" s="2306" t="e">
        <f>#REF!/G$20*1000/12</f>
        <v>#REF!</v>
      </c>
    </row>
    <row r="104" spans="1:9" x14ac:dyDescent="0.25">
      <c r="A104" s="2320" t="s">
        <v>2967</v>
      </c>
      <c r="B104" s="150" t="s">
        <v>103</v>
      </c>
      <c r="C104" s="2370" t="s">
        <v>3065</v>
      </c>
      <c r="D104" s="2306" t="e">
        <f>#REF!/D$20*1000/12</f>
        <v>#REF!</v>
      </c>
      <c r="E104" s="2306" t="e">
        <f>#REF!/E$20*1000/12</f>
        <v>#REF!</v>
      </c>
      <c r="F104" s="2306" t="e">
        <f>#REF!/F$20*1000/12</f>
        <v>#REF!</v>
      </c>
      <c r="G104" s="2306" t="e">
        <f>#REF!/G$20*1000/12</f>
        <v>#REF!</v>
      </c>
    </row>
    <row r="105" spans="1:9" x14ac:dyDescent="0.25">
      <c r="A105" s="2320" t="s">
        <v>2968</v>
      </c>
      <c r="B105" s="150" t="s">
        <v>47</v>
      </c>
      <c r="C105" s="2370" t="s">
        <v>3065</v>
      </c>
      <c r="D105" s="2306" t="e">
        <f>#REF!/D$20*1000/12</f>
        <v>#REF!</v>
      </c>
      <c r="E105" s="2306" t="e">
        <f>#REF!/E$20*1000/12</f>
        <v>#REF!</v>
      </c>
      <c r="F105" s="2306" t="e">
        <f>#REF!/F$20*1000/12</f>
        <v>#REF!</v>
      </c>
      <c r="G105" s="2306" t="e">
        <f>#REF!/G$20*1000/12</f>
        <v>#REF!</v>
      </c>
    </row>
    <row r="106" spans="1:9" x14ac:dyDescent="0.25">
      <c r="A106" s="2320" t="s">
        <v>2969</v>
      </c>
      <c r="B106" s="150" t="s">
        <v>226</v>
      </c>
      <c r="C106" s="2370" t="s">
        <v>3065</v>
      </c>
      <c r="D106" s="2306" t="e">
        <f>#REF!/D$20*1000/12</f>
        <v>#REF!</v>
      </c>
      <c r="E106" s="2306" t="e">
        <f>#REF!/E$20*1000/12</f>
        <v>#REF!</v>
      </c>
      <c r="F106" s="2306" t="e">
        <f>#REF!/F$20*1000/12</f>
        <v>#REF!</v>
      </c>
      <c r="G106" s="2306" t="e">
        <f>#REF!/G$20*1000/12</f>
        <v>#REF!</v>
      </c>
    </row>
    <row r="107" spans="1:9" ht="25.5" x14ac:dyDescent="0.25">
      <c r="A107" s="2320" t="s">
        <v>2970</v>
      </c>
      <c r="B107" s="150" t="s">
        <v>451</v>
      </c>
      <c r="C107" s="2370" t="s">
        <v>3065</v>
      </c>
      <c r="D107" s="2306" t="e">
        <f>#REF!/D$20*1000/12</f>
        <v>#REF!</v>
      </c>
      <c r="E107" s="2306" t="e">
        <f>#REF!/E$20*1000/12</f>
        <v>#REF!</v>
      </c>
      <c r="F107" s="2306" t="e">
        <f>#REF!/F$20*1000/12</f>
        <v>#REF!</v>
      </c>
      <c r="G107" s="2306" t="e">
        <f>#REF!/G$20*1000/12</f>
        <v>#REF!</v>
      </c>
    </row>
    <row r="108" spans="1:9" x14ac:dyDescent="0.25">
      <c r="A108" s="2320" t="s">
        <v>2971</v>
      </c>
      <c r="B108" s="150" t="s">
        <v>459</v>
      </c>
      <c r="C108" s="2370" t="s">
        <v>3065</v>
      </c>
      <c r="D108" s="2306" t="e">
        <f>#REF!/D$20*1000/12</f>
        <v>#REF!</v>
      </c>
      <c r="E108" s="2306" t="e">
        <f>#REF!/E$20*1000/12</f>
        <v>#REF!</v>
      </c>
      <c r="F108" s="2306" t="e">
        <f>#REF!/F$20*1000/12</f>
        <v>#REF!</v>
      </c>
      <c r="G108" s="2306" t="e">
        <f>#REF!/G$20*1000/12</f>
        <v>#REF!</v>
      </c>
    </row>
    <row r="109" spans="1:9" x14ac:dyDescent="0.25">
      <c r="A109" s="2320" t="s">
        <v>2972</v>
      </c>
      <c r="B109" s="150" t="s">
        <v>52</v>
      </c>
      <c r="C109" s="2370" t="s">
        <v>3065</v>
      </c>
      <c r="D109" s="2306" t="e">
        <f>#REF!/D$20*1000/12</f>
        <v>#REF!</v>
      </c>
      <c r="E109" s="2306" t="e">
        <f>#REF!/E$20*1000/12</f>
        <v>#REF!</v>
      </c>
      <c r="F109" s="2306" t="e">
        <f>#REF!/F$20*1000/12</f>
        <v>#REF!</v>
      </c>
      <c r="G109" s="2306" t="e">
        <f>#REF!/G$20*1000/12</f>
        <v>#REF!</v>
      </c>
    </row>
    <row r="110" spans="1:9" x14ac:dyDescent="0.25">
      <c r="A110" s="2320" t="s">
        <v>2973</v>
      </c>
      <c r="B110" s="150" t="s">
        <v>227</v>
      </c>
      <c r="C110" s="2370" t="s">
        <v>3065</v>
      </c>
      <c r="D110" s="2306" t="e">
        <f>#REF!/D$20*1000/12</f>
        <v>#REF!</v>
      </c>
      <c r="E110" s="2306" t="e">
        <f>#REF!/E$20*1000/12</f>
        <v>#REF!</v>
      </c>
      <c r="F110" s="2306" t="e">
        <f>#REF!/F$20*1000/12</f>
        <v>#REF!</v>
      </c>
      <c r="G110" s="2306" t="e">
        <f>#REF!/G$20*1000/12</f>
        <v>#REF!</v>
      </c>
    </row>
    <row r="111" spans="1:9" x14ac:dyDescent="0.25">
      <c r="A111" s="2320" t="s">
        <v>2974</v>
      </c>
      <c r="B111" s="150" t="s">
        <v>55</v>
      </c>
      <c r="C111" s="2370" t="s">
        <v>3065</v>
      </c>
      <c r="D111" s="2306" t="e">
        <f>#REF!/D$20*1000/12</f>
        <v>#REF!</v>
      </c>
      <c r="E111" s="2306" t="e">
        <f>#REF!/E$20*1000/12</f>
        <v>#REF!</v>
      </c>
      <c r="F111" s="2306" t="e">
        <f>#REF!/F$20*1000/12</f>
        <v>#REF!</v>
      </c>
      <c r="G111" s="2306" t="e">
        <f>#REF!/G$20*1000/12</f>
        <v>#REF!</v>
      </c>
    </row>
    <row r="112" spans="1:9" ht="25.5" x14ac:dyDescent="0.25">
      <c r="A112" s="2320" t="s">
        <v>2975</v>
      </c>
      <c r="B112" s="150" t="s">
        <v>451</v>
      </c>
      <c r="C112" s="2370" t="s">
        <v>3065</v>
      </c>
      <c r="D112" s="2306" t="e">
        <f>#REF!/D$20*1000/12</f>
        <v>#REF!</v>
      </c>
      <c r="E112" s="2306" t="e">
        <f>#REF!/E$20*1000/12</f>
        <v>#REF!</v>
      </c>
      <c r="F112" s="2306" t="e">
        <f>#REF!/F$20*1000/12</f>
        <v>#REF!</v>
      </c>
      <c r="G112" s="2306" t="e">
        <f>#REF!/G$20*1000/12</f>
        <v>#REF!</v>
      </c>
    </row>
    <row r="113" spans="1:7" x14ac:dyDescent="0.25">
      <c r="A113" s="2320" t="s">
        <v>2976</v>
      </c>
      <c r="B113" s="150" t="s">
        <v>58</v>
      </c>
      <c r="C113" s="2370" t="s">
        <v>3065</v>
      </c>
      <c r="D113" s="2306" t="e">
        <f>#REF!/D$20*1000/12</f>
        <v>#REF!</v>
      </c>
      <c r="E113" s="2306" t="e">
        <f>#REF!/E$20*1000/12</f>
        <v>#REF!</v>
      </c>
      <c r="F113" s="2306" t="e">
        <f>#REF!/F$20*1000/12</f>
        <v>#REF!</v>
      </c>
      <c r="G113" s="2306" t="e">
        <f>#REF!/G$20*1000/12</f>
        <v>#REF!</v>
      </c>
    </row>
    <row r="114" spans="1:7" x14ac:dyDescent="0.25">
      <c r="A114" s="2320" t="s">
        <v>2977</v>
      </c>
      <c r="B114" s="150" t="s">
        <v>228</v>
      </c>
      <c r="C114" s="2370" t="s">
        <v>3065</v>
      </c>
      <c r="D114" s="2306" t="e">
        <f>#REF!/D$20*1000/12</f>
        <v>#REF!</v>
      </c>
      <c r="E114" s="2306" t="e">
        <f>#REF!/E$20*1000/12</f>
        <v>#REF!</v>
      </c>
      <c r="F114" s="2306" t="e">
        <f>#REF!/F$20*1000/12</f>
        <v>#REF!</v>
      </c>
      <c r="G114" s="2306" t="e">
        <f>#REF!/G$20*1000/12</f>
        <v>#REF!</v>
      </c>
    </row>
    <row r="115" spans="1:7" x14ac:dyDescent="0.25">
      <c r="A115" s="2320" t="s">
        <v>2978</v>
      </c>
      <c r="B115" s="150" t="s">
        <v>55</v>
      </c>
      <c r="C115" s="2370" t="s">
        <v>3065</v>
      </c>
      <c r="D115" s="2306" t="e">
        <f>#REF!/D$20*1000/12</f>
        <v>#REF!</v>
      </c>
      <c r="E115" s="2306" t="e">
        <f>#REF!/E$20*1000/12</f>
        <v>#REF!</v>
      </c>
      <c r="F115" s="2306" t="e">
        <f>#REF!/F$20*1000/12</f>
        <v>#REF!</v>
      </c>
      <c r="G115" s="2306" t="e">
        <f>#REF!/G$20*1000/12</f>
        <v>#REF!</v>
      </c>
    </row>
    <row r="116" spans="1:7" ht="25.5" x14ac:dyDescent="0.25">
      <c r="A116" s="2320" t="s">
        <v>2979</v>
      </c>
      <c r="B116" s="150" t="s">
        <v>451</v>
      </c>
      <c r="C116" s="2370" t="s">
        <v>3065</v>
      </c>
      <c r="D116" s="2306" t="e">
        <f>#REF!/D$20*1000/12</f>
        <v>#REF!</v>
      </c>
      <c r="E116" s="2306" t="e">
        <f>#REF!/E$20*1000/12</f>
        <v>#REF!</v>
      </c>
      <c r="F116" s="2306" t="e">
        <f>#REF!/F$20*1000/12</f>
        <v>#REF!</v>
      </c>
      <c r="G116" s="2306" t="e">
        <f>#REF!/G$20*1000/12</f>
        <v>#REF!</v>
      </c>
    </row>
    <row r="117" spans="1:7" x14ac:dyDescent="0.25">
      <c r="A117" s="2320" t="s">
        <v>2980</v>
      </c>
      <c r="B117" s="150" t="s">
        <v>58</v>
      </c>
      <c r="C117" s="2370" t="s">
        <v>3065</v>
      </c>
      <c r="D117" s="2306" t="e">
        <f>#REF!/D$20*1000/12</f>
        <v>#REF!</v>
      </c>
      <c r="E117" s="2306" t="e">
        <f>#REF!/E$20*1000/12</f>
        <v>#REF!</v>
      </c>
      <c r="F117" s="2306" t="e">
        <f>#REF!/F$20*1000/12</f>
        <v>#REF!</v>
      </c>
      <c r="G117" s="2306" t="e">
        <f>#REF!/G$20*1000/12</f>
        <v>#REF!</v>
      </c>
    </row>
    <row r="118" spans="1:7" x14ac:dyDescent="0.25">
      <c r="A118" s="2320" t="s">
        <v>2981</v>
      </c>
      <c r="B118" s="278" t="s">
        <v>229</v>
      </c>
      <c r="C118" s="2370" t="s">
        <v>3065</v>
      </c>
      <c r="D118" s="2306" t="e">
        <f>#REF!/D$20*1000/12</f>
        <v>#REF!</v>
      </c>
      <c r="E118" s="2306" t="e">
        <f>#REF!/E$20*1000/12</f>
        <v>#REF!</v>
      </c>
      <c r="F118" s="2306" t="e">
        <f>#REF!/F$20*1000/12</f>
        <v>#REF!</v>
      </c>
      <c r="G118" s="2306" t="e">
        <f>#REF!/G$20*1000/12</f>
        <v>#REF!</v>
      </c>
    </row>
    <row r="119" spans="1:7" x14ac:dyDescent="0.25">
      <c r="A119" s="2320" t="s">
        <v>2045</v>
      </c>
      <c r="B119" s="278" t="s">
        <v>55</v>
      </c>
      <c r="C119" s="2370" t="s">
        <v>3065</v>
      </c>
      <c r="D119" s="2306" t="e">
        <f>#REF!/D$20*1000/12</f>
        <v>#REF!</v>
      </c>
      <c r="E119" s="2306" t="e">
        <f>#REF!/E$20*1000/12</f>
        <v>#REF!</v>
      </c>
      <c r="F119" s="2306" t="e">
        <f>#REF!/F$20*1000/12</f>
        <v>#REF!</v>
      </c>
      <c r="G119" s="2306" t="e">
        <f>#REF!/G$20*1000/12</f>
        <v>#REF!</v>
      </c>
    </row>
    <row r="120" spans="1:7" ht="25.5" x14ac:dyDescent="0.25">
      <c r="A120" s="2320" t="s">
        <v>2047</v>
      </c>
      <c r="B120" s="278" t="s">
        <v>451</v>
      </c>
      <c r="C120" s="2370" t="s">
        <v>3065</v>
      </c>
      <c r="D120" s="2306" t="e">
        <f>#REF!/D$20*1000/12</f>
        <v>#REF!</v>
      </c>
      <c r="E120" s="2306" t="e">
        <f>#REF!/E$20*1000/12</f>
        <v>#REF!</v>
      </c>
      <c r="F120" s="2306" t="e">
        <f>#REF!/F$20*1000/12</f>
        <v>#REF!</v>
      </c>
      <c r="G120" s="2306" t="e">
        <f>#REF!/G$20*1000/12</f>
        <v>#REF!</v>
      </c>
    </row>
    <row r="121" spans="1:7" x14ac:dyDescent="0.25">
      <c r="A121" s="2320" t="s">
        <v>2982</v>
      </c>
      <c r="B121" s="2312" t="s">
        <v>242</v>
      </c>
      <c r="C121" s="2370" t="s">
        <v>3065</v>
      </c>
      <c r="D121" s="2306" t="e">
        <f>#REF!/D$20*1000/12</f>
        <v>#REF!</v>
      </c>
      <c r="E121" s="2306" t="e">
        <f>#REF!/E$20*1000/12</f>
        <v>#REF!</v>
      </c>
      <c r="F121" s="2306" t="e">
        <f>#REF!/F$20*1000/12</f>
        <v>#REF!</v>
      </c>
      <c r="G121" s="2306" t="e">
        <f>#REF!/G$20*1000/12</f>
        <v>#REF!</v>
      </c>
    </row>
    <row r="122" spans="1:7" x14ac:dyDescent="0.25">
      <c r="A122" s="2320" t="s">
        <v>2983</v>
      </c>
      <c r="B122" s="150" t="s">
        <v>106</v>
      </c>
      <c r="C122" s="2370" t="s">
        <v>3065</v>
      </c>
      <c r="D122" s="2306" t="e">
        <f>#REF!/D$20*1000/12</f>
        <v>#REF!</v>
      </c>
      <c r="E122" s="2306" t="e">
        <f>#REF!/E$20*1000/12</f>
        <v>#REF!</v>
      </c>
      <c r="F122" s="2306" t="e">
        <f>#REF!/F$20*1000/12</f>
        <v>#REF!</v>
      </c>
      <c r="G122" s="2306" t="e">
        <f>#REF!/G$20*1000/12</f>
        <v>#REF!</v>
      </c>
    </row>
    <row r="123" spans="1:7" x14ac:dyDescent="0.25">
      <c r="A123" s="2320" t="s">
        <v>2984</v>
      </c>
      <c r="B123" s="150" t="s">
        <v>5</v>
      </c>
      <c r="C123" s="2370" t="s">
        <v>3065</v>
      </c>
      <c r="D123" s="2306" t="e">
        <f>#REF!/D$20*1000/12</f>
        <v>#REF!</v>
      </c>
      <c r="E123" s="2306" t="e">
        <f>#REF!/E$20*1000/12</f>
        <v>#REF!</v>
      </c>
      <c r="F123" s="2306" t="e">
        <f>#REF!/F$20*1000/12</f>
        <v>#REF!</v>
      </c>
      <c r="G123" s="2306" t="e">
        <f>#REF!/G$20*1000/12</f>
        <v>#REF!</v>
      </c>
    </row>
    <row r="124" spans="1:7" x14ac:dyDescent="0.25">
      <c r="A124" s="2320" t="s">
        <v>2985</v>
      </c>
      <c r="B124" s="150" t="s">
        <v>63</v>
      </c>
      <c r="C124" s="2370" t="s">
        <v>3065</v>
      </c>
      <c r="D124" s="2306" t="e">
        <f>#REF!/D$20*1000/12</f>
        <v>#REF!</v>
      </c>
      <c r="E124" s="2306" t="e">
        <f>#REF!/E$20*1000/12</f>
        <v>#REF!</v>
      </c>
      <c r="F124" s="2306" t="e">
        <f>#REF!/F$20*1000/12</f>
        <v>#REF!</v>
      </c>
      <c r="G124" s="2306" t="e">
        <f>#REF!/G$20*1000/12</f>
        <v>#REF!</v>
      </c>
    </row>
    <row r="125" spans="1:7" ht="14.45" customHeight="1" x14ac:dyDescent="0.25">
      <c r="A125" s="2320" t="s">
        <v>2986</v>
      </c>
      <c r="B125" s="150" t="s">
        <v>230</v>
      </c>
      <c r="C125" s="2370" t="s">
        <v>3065</v>
      </c>
      <c r="D125" s="2306" t="e">
        <f>#REF!/D$20*1000/12</f>
        <v>#REF!</v>
      </c>
      <c r="E125" s="2306" t="e">
        <f>#REF!/E$20*1000/12</f>
        <v>#REF!</v>
      </c>
      <c r="F125" s="2306" t="e">
        <f>#REF!/F$20*1000/12</f>
        <v>#REF!</v>
      </c>
      <c r="G125" s="2306" t="e">
        <f>#REF!/G$20*1000/12</f>
        <v>#REF!</v>
      </c>
    </row>
    <row r="126" spans="1:7" x14ac:dyDescent="0.25">
      <c r="A126" s="2320" t="s">
        <v>2987</v>
      </c>
      <c r="B126" s="150" t="s">
        <v>251</v>
      </c>
      <c r="C126" s="2370" t="s">
        <v>3065</v>
      </c>
      <c r="D126" s="2306" t="e">
        <f>#REF!/D$20*1000/12</f>
        <v>#REF!</v>
      </c>
      <c r="E126" s="2306" t="e">
        <f>#REF!/E$20*1000/12</f>
        <v>#REF!</v>
      </c>
      <c r="F126" s="2306" t="e">
        <f>#REF!/F$20*1000/12</f>
        <v>#REF!</v>
      </c>
      <c r="G126" s="2306" t="e">
        <f>#REF!/G$20*1000/12</f>
        <v>#REF!</v>
      </c>
    </row>
    <row r="127" spans="1:7" x14ac:dyDescent="0.25">
      <c r="A127" s="2320" t="s">
        <v>2988</v>
      </c>
      <c r="B127" s="150" t="s">
        <v>65</v>
      </c>
      <c r="C127" s="2370" t="s">
        <v>3065</v>
      </c>
      <c r="D127" s="2306" t="e">
        <f>#REF!/D$20*1000/12</f>
        <v>#REF!</v>
      </c>
      <c r="E127" s="2306" t="e">
        <f>#REF!/E$20*1000/12</f>
        <v>#REF!</v>
      </c>
      <c r="F127" s="2306" t="e">
        <f>#REF!/F$20*1000/12</f>
        <v>#REF!</v>
      </c>
      <c r="G127" s="2306" t="e">
        <f>#REF!/G$20*1000/12</f>
        <v>#REF!</v>
      </c>
    </row>
    <row r="128" spans="1:7" x14ac:dyDescent="0.25">
      <c r="A128" s="2320" t="s">
        <v>2989</v>
      </c>
      <c r="B128" s="150" t="s">
        <v>85</v>
      </c>
      <c r="C128" s="2370" t="s">
        <v>3065</v>
      </c>
      <c r="D128" s="2306" t="e">
        <f>#REF!/D$20*1000/12</f>
        <v>#REF!</v>
      </c>
      <c r="E128" s="2306" t="e">
        <f>#REF!/E$20*1000/12</f>
        <v>#REF!</v>
      </c>
      <c r="F128" s="2306" t="e">
        <f>#REF!/F$20*1000/12</f>
        <v>#REF!</v>
      </c>
      <c r="G128" s="2306" t="e">
        <f>#REF!/G$20*1000/12</f>
        <v>#REF!</v>
      </c>
    </row>
    <row r="129" spans="1:7" x14ac:dyDescent="0.25">
      <c r="A129" s="2320" t="s">
        <v>2990</v>
      </c>
      <c r="B129" s="150" t="s">
        <v>86</v>
      </c>
      <c r="C129" s="2370" t="s">
        <v>3065</v>
      </c>
      <c r="D129" s="2306" t="e">
        <f>#REF!/D$20*1000/12</f>
        <v>#REF!</v>
      </c>
      <c r="E129" s="2306" t="e">
        <f>#REF!/E$20*1000/12</f>
        <v>#REF!</v>
      </c>
      <c r="F129" s="2306" t="e">
        <f>#REF!/F$20*1000/12</f>
        <v>#REF!</v>
      </c>
      <c r="G129" s="2306" t="e">
        <f>#REF!/G$20*1000/12</f>
        <v>#REF!</v>
      </c>
    </row>
    <row r="130" spans="1:7" x14ac:dyDescent="0.25">
      <c r="A130" s="2320" t="s">
        <v>2991</v>
      </c>
      <c r="B130" s="150" t="s">
        <v>71</v>
      </c>
      <c r="C130" s="2370" t="s">
        <v>3065</v>
      </c>
      <c r="D130" s="2306" t="e">
        <f>#REF!/D$20*1000/12</f>
        <v>#REF!</v>
      </c>
      <c r="E130" s="2306" t="e">
        <f>#REF!/E$20*1000/12</f>
        <v>#REF!</v>
      </c>
      <c r="F130" s="2306" t="e">
        <f>#REF!/F$20*1000/12</f>
        <v>#REF!</v>
      </c>
      <c r="G130" s="2306" t="e">
        <f>#REF!/G$20*1000/12</f>
        <v>#REF!</v>
      </c>
    </row>
    <row r="131" spans="1:7" x14ac:dyDescent="0.25">
      <c r="A131" s="2320" t="s">
        <v>2992</v>
      </c>
      <c r="B131" s="150" t="s">
        <v>87</v>
      </c>
      <c r="C131" s="2370" t="s">
        <v>3065</v>
      </c>
      <c r="D131" s="2306" t="e">
        <f>#REF!/D$20*1000/12</f>
        <v>#REF!</v>
      </c>
      <c r="E131" s="2306" t="e">
        <f>#REF!/E$20*1000/12</f>
        <v>#REF!</v>
      </c>
      <c r="F131" s="2306" t="e">
        <f>#REF!/F$20*1000/12</f>
        <v>#REF!</v>
      </c>
      <c r="G131" s="2306" t="e">
        <f>#REF!/G$20*1000/12</f>
        <v>#REF!</v>
      </c>
    </row>
    <row r="135" spans="1:7" ht="15.75" x14ac:dyDescent="0.25">
      <c r="B135" s="2058" t="s">
        <v>2846</v>
      </c>
      <c r="C135" s="2058"/>
      <c r="D135" s="4055" t="s">
        <v>2847</v>
      </c>
      <c r="E135" s="4055"/>
      <c r="F135" s="4055"/>
      <c r="G135" s="4055"/>
    </row>
    <row r="141" spans="1:7" x14ac:dyDescent="0.25">
      <c r="D141" s="2286"/>
    </row>
  </sheetData>
  <mergeCells count="22">
    <mergeCell ref="A12:G12"/>
    <mergeCell ref="A15:G15"/>
    <mergeCell ref="D135:G135"/>
    <mergeCell ref="A23:G23"/>
    <mergeCell ref="A30:G30"/>
    <mergeCell ref="A61:G61"/>
    <mergeCell ref="A65:G65"/>
    <mergeCell ref="A101:G101"/>
    <mergeCell ref="L1:N1"/>
    <mergeCell ref="L2:N2"/>
    <mergeCell ref="L3:N3"/>
    <mergeCell ref="L4:N4"/>
    <mergeCell ref="D9:G9"/>
    <mergeCell ref="A7:G7"/>
    <mergeCell ref="A6:G6"/>
    <mergeCell ref="D1:G1"/>
    <mergeCell ref="D2:G2"/>
    <mergeCell ref="D3:G3"/>
    <mergeCell ref="D4:G4"/>
    <mergeCell ref="B9:B10"/>
    <mergeCell ref="A9:A10"/>
    <mergeCell ref="C9:C10"/>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00FF"/>
  </sheetPr>
  <dimension ref="A1:I135"/>
  <sheetViews>
    <sheetView workbookViewId="0">
      <selection sqref="A1:XFD1048576"/>
    </sheetView>
  </sheetViews>
  <sheetFormatPr defaultColWidth="8.85546875" defaultRowHeight="15" x14ac:dyDescent="0.25"/>
  <cols>
    <col min="1" max="1" width="5.28515625" style="1791" customWidth="1"/>
    <col min="2" max="2" width="34.28515625" style="2285" customWidth="1"/>
    <col min="3" max="3" width="8" style="2285" customWidth="1"/>
    <col min="4" max="4" width="13.28515625" style="18" customWidth="1"/>
    <col min="5" max="5" width="12.28515625" style="18" customWidth="1"/>
    <col min="6" max="6" width="11.85546875" style="18" customWidth="1"/>
    <col min="7" max="7" width="12" style="18" customWidth="1"/>
    <col min="8" max="8" width="8.85546875" style="18"/>
    <col min="9" max="9" width="8.85546875" style="1251"/>
    <col min="10" max="16384" width="8.85546875" style="18"/>
  </cols>
  <sheetData>
    <row r="1" spans="1:9" s="58" customFormat="1" ht="15.75" x14ac:dyDescent="0.25">
      <c r="A1" s="2292"/>
      <c r="B1" s="2294"/>
      <c r="C1" s="2294"/>
      <c r="D1" s="4039" t="s">
        <v>2934</v>
      </c>
      <c r="E1" s="4039"/>
      <c r="F1" s="4039"/>
      <c r="I1" s="1898"/>
    </row>
    <row r="2" spans="1:9" s="58" customFormat="1" ht="15.75" x14ac:dyDescent="0.25">
      <c r="A2" s="2292"/>
      <c r="B2" s="2294"/>
      <c r="C2" s="2294"/>
      <c r="D2" s="4040" t="s">
        <v>2837</v>
      </c>
      <c r="E2" s="4040"/>
      <c r="F2" s="4040"/>
      <c r="I2" s="1898"/>
    </row>
    <row r="3" spans="1:9" s="58" customFormat="1" ht="27.6" customHeight="1" x14ac:dyDescent="0.25">
      <c r="A3" s="2292"/>
      <c r="B3" s="2294"/>
      <c r="C3" s="2294"/>
      <c r="D3" s="4041" t="s">
        <v>2852</v>
      </c>
      <c r="E3" s="4041"/>
      <c r="F3" s="4041"/>
      <c r="I3" s="1898"/>
    </row>
    <row r="4" spans="1:9" s="58" customFormat="1" ht="15.75" x14ac:dyDescent="0.25">
      <c r="A4" s="2292"/>
      <c r="B4" s="2294"/>
      <c r="C4" s="2294"/>
      <c r="D4" s="4040" t="s">
        <v>2848</v>
      </c>
      <c r="E4" s="4040"/>
      <c r="F4" s="4040"/>
      <c r="I4" s="1898"/>
    </row>
    <row r="5" spans="1:9" s="58" customFormat="1" ht="15.75" x14ac:dyDescent="0.25">
      <c r="A5" s="1791"/>
      <c r="B5" s="2293"/>
      <c r="C5" s="2293"/>
      <c r="I5" s="1898"/>
    </row>
    <row r="6" spans="1:9" s="58" customFormat="1" ht="15.75" x14ac:dyDescent="0.25">
      <c r="A6" s="4046" t="s">
        <v>2997</v>
      </c>
      <c r="B6" s="4046"/>
      <c r="C6" s="4046"/>
      <c r="D6" s="4046"/>
      <c r="E6" s="4046"/>
      <c r="F6" s="4046"/>
      <c r="G6" s="4046"/>
      <c r="I6" s="1898"/>
    </row>
    <row r="7" spans="1:9" s="58" customFormat="1" ht="67.150000000000006" customHeight="1" x14ac:dyDescent="0.25">
      <c r="A7" s="4045" t="s">
        <v>2937</v>
      </c>
      <c r="B7" s="4045"/>
      <c r="C7" s="4045"/>
      <c r="D7" s="4045"/>
      <c r="E7" s="4045"/>
      <c r="F7" s="4045"/>
      <c r="G7" s="4045"/>
      <c r="I7" s="1898"/>
    </row>
    <row r="8" spans="1:9" s="58" customFormat="1" ht="14.45" customHeight="1" x14ac:dyDescent="0.25">
      <c r="A8" s="2309"/>
      <c r="B8" s="2309"/>
      <c r="C8" s="2309"/>
      <c r="D8" s="2291"/>
      <c r="E8" s="2291"/>
      <c r="F8" s="2291"/>
      <c r="G8" s="2310" t="s">
        <v>1649</v>
      </c>
      <c r="I8" s="1898"/>
    </row>
    <row r="9" spans="1:9" s="53" customFormat="1" ht="15.75" x14ac:dyDescent="0.25">
      <c r="A9" s="4062" t="s">
        <v>2894</v>
      </c>
      <c r="B9" s="4064" t="s">
        <v>111</v>
      </c>
      <c r="C9" s="2367"/>
      <c r="D9" s="4042" t="s">
        <v>2895</v>
      </c>
      <c r="E9" s="4043"/>
      <c r="F9" s="4043"/>
      <c r="G9" s="4044"/>
      <c r="I9" s="2304"/>
    </row>
    <row r="10" spans="1:9" s="53" customFormat="1" ht="38.25" x14ac:dyDescent="0.25">
      <c r="A10" s="4063"/>
      <c r="B10" s="4065"/>
      <c r="C10" s="2359"/>
      <c r="D10" s="1849" t="s">
        <v>2768</v>
      </c>
      <c r="E10" s="1849" t="s">
        <v>2769</v>
      </c>
      <c r="F10" s="1849" t="s">
        <v>2896</v>
      </c>
      <c r="G10" s="1849" t="s">
        <v>2835</v>
      </c>
      <c r="I10" s="2304"/>
    </row>
    <row r="11" spans="1:9" s="53" customFormat="1" ht="15.75" x14ac:dyDescent="0.25">
      <c r="A11" s="2094">
        <v>1</v>
      </c>
      <c r="B11" s="2308">
        <v>2</v>
      </c>
      <c r="C11" s="2308"/>
      <c r="D11" s="2094">
        <v>3</v>
      </c>
      <c r="E11" s="2094">
        <v>4</v>
      </c>
      <c r="F11" s="2094">
        <v>5</v>
      </c>
      <c r="G11" s="2094">
        <v>6</v>
      </c>
      <c r="I11" s="2304"/>
    </row>
    <row r="12" spans="1:9" s="58" customFormat="1" ht="15.75" x14ac:dyDescent="0.25">
      <c r="A12" s="4051" t="s">
        <v>2897</v>
      </c>
      <c r="B12" s="4051"/>
      <c r="C12" s="4051"/>
      <c r="D12" s="4051"/>
      <c r="E12" s="4051"/>
      <c r="F12" s="4051"/>
      <c r="G12" s="4051"/>
      <c r="I12" s="1898"/>
    </row>
    <row r="13" spans="1:9" s="58" customFormat="1" ht="38.25" x14ac:dyDescent="0.25">
      <c r="A13" s="2094">
        <v>1</v>
      </c>
      <c r="B13" s="2298" t="s">
        <v>2898</v>
      </c>
      <c r="C13" s="1849" t="s">
        <v>2165</v>
      </c>
      <c r="D13" s="2302" t="e">
        <f>#REF!</f>
        <v>#REF!</v>
      </c>
      <c r="E13" s="2302" t="e">
        <f>#REF!</f>
        <v>#REF!</v>
      </c>
      <c r="F13" s="2302" t="e">
        <f>#REF!</f>
        <v>#REF!</v>
      </c>
      <c r="G13" s="2302" t="e">
        <f>#REF!</f>
        <v>#REF!</v>
      </c>
      <c r="I13" s="1898"/>
    </row>
    <row r="14" spans="1:9" s="58" customFormat="1" ht="53.45" customHeight="1" x14ac:dyDescent="0.25">
      <c r="A14" s="2094">
        <v>2</v>
      </c>
      <c r="B14" s="2298" t="s">
        <v>2899</v>
      </c>
      <c r="C14" s="1849" t="s">
        <v>3063</v>
      </c>
      <c r="D14" s="2302" t="e">
        <f>#REF!/12</f>
        <v>#REF!</v>
      </c>
      <c r="E14" s="2302" t="e">
        <f>#REF!/12</f>
        <v>#REF!</v>
      </c>
      <c r="F14" s="2302" t="e">
        <f>#REF!/12</f>
        <v>#REF!</v>
      </c>
      <c r="G14" s="2302" t="e">
        <f>#REF!/12</f>
        <v>#REF!</v>
      </c>
      <c r="I14" s="1898"/>
    </row>
    <row r="15" spans="1:9" s="58" customFormat="1" ht="15.75" x14ac:dyDescent="0.25">
      <c r="A15" s="4052" t="s">
        <v>2900</v>
      </c>
      <c r="B15" s="4053"/>
      <c r="C15" s="4053"/>
      <c r="D15" s="4053"/>
      <c r="E15" s="4053"/>
      <c r="F15" s="4053"/>
      <c r="G15" s="4054"/>
      <c r="I15" s="1898"/>
    </row>
    <row r="16" spans="1:9" s="58" customFormat="1" ht="25.5" x14ac:dyDescent="0.25">
      <c r="A16" s="2094">
        <v>3</v>
      </c>
      <c r="B16" s="2298" t="s">
        <v>3064</v>
      </c>
      <c r="C16" s="1849" t="s">
        <v>2088</v>
      </c>
      <c r="D16" s="2303" t="e">
        <f>#REF!</f>
        <v>#REF!</v>
      </c>
      <c r="E16" s="2303" t="e">
        <f>#REF!</f>
        <v>#REF!</v>
      </c>
      <c r="F16" s="2303" t="e">
        <f>#REF!</f>
        <v>#REF!</v>
      </c>
      <c r="G16" s="2303" t="e">
        <f>#REF!</f>
        <v>#REF!</v>
      </c>
      <c r="I16" s="2305" t="e">
        <f>#REF!-'Рішення 3Д'!D16-'Рішення 3Д'!E16-'Рішення 3Д'!F16-'Рішення 3Д'!G16</f>
        <v>#REF!</v>
      </c>
    </row>
    <row r="17" spans="1:9" s="58" customFormat="1" ht="27" customHeight="1" x14ac:dyDescent="0.25">
      <c r="A17" s="2299" t="s">
        <v>2903</v>
      </c>
      <c r="B17" s="2300" t="s">
        <v>2906</v>
      </c>
      <c r="C17" s="1141" t="s">
        <v>2088</v>
      </c>
      <c r="D17" s="2303" t="e">
        <f>#REF!</f>
        <v>#REF!</v>
      </c>
      <c r="E17" s="2303" t="e">
        <f>#REF!</f>
        <v>#REF!</v>
      </c>
      <c r="F17" s="2303" t="e">
        <f>#REF!</f>
        <v>#REF!</v>
      </c>
      <c r="G17" s="2303" t="e">
        <f>#REF!</f>
        <v>#REF!</v>
      </c>
      <c r="I17" s="1898"/>
    </row>
    <row r="18" spans="1:9" s="58" customFormat="1" ht="14.45" customHeight="1" x14ac:dyDescent="0.25">
      <c r="A18" s="2094" t="s">
        <v>2904</v>
      </c>
      <c r="B18" s="2383" t="s">
        <v>631</v>
      </c>
      <c r="C18" s="1141" t="s">
        <v>2088</v>
      </c>
      <c r="D18" s="2303" t="e">
        <f>#REF!</f>
        <v>#REF!</v>
      </c>
      <c r="E18" s="2303" t="e">
        <f>#REF!</f>
        <v>#REF!</v>
      </c>
      <c r="F18" s="2303" t="e">
        <f>#REF!</f>
        <v>#REF!</v>
      </c>
      <c r="G18" s="2303" t="e">
        <f>#REF!</f>
        <v>#REF!</v>
      </c>
      <c r="I18" s="1898"/>
    </row>
    <row r="19" spans="1:9" s="58" customFormat="1" ht="15.6" customHeight="1" x14ac:dyDescent="0.25">
      <c r="A19" s="2094" t="s">
        <v>2905</v>
      </c>
      <c r="B19" s="2383" t="s">
        <v>630</v>
      </c>
      <c r="C19" s="1141" t="s">
        <v>2088</v>
      </c>
      <c r="D19" s="2303" t="e">
        <f>#REF!</f>
        <v>#REF!</v>
      </c>
      <c r="E19" s="2303" t="e">
        <f>#REF!</f>
        <v>#REF!</v>
      </c>
      <c r="F19" s="2303" t="e">
        <f>#REF!</f>
        <v>#REF!</v>
      </c>
      <c r="G19" s="2303" t="e">
        <f>#REF!</f>
        <v>#REF!</v>
      </c>
      <c r="I19" s="1898"/>
    </row>
    <row r="20" spans="1:9" s="58" customFormat="1" ht="15.75" x14ac:dyDescent="0.25">
      <c r="A20" s="2094">
        <v>4</v>
      </c>
      <c r="B20" s="2383" t="s">
        <v>2095</v>
      </c>
      <c r="C20" s="2321" t="s">
        <v>31</v>
      </c>
      <c r="D20" s="2303" t="e">
        <f>#REF!</f>
        <v>#REF!</v>
      </c>
      <c r="E20" s="2303" t="e">
        <f>#REF!</f>
        <v>#REF!</v>
      </c>
      <c r="F20" s="2303" t="e">
        <f>#REF!</f>
        <v>#REF!</v>
      </c>
      <c r="G20" s="2303" t="e">
        <f>#REF!</f>
        <v>#REF!</v>
      </c>
      <c r="I20" s="1898"/>
    </row>
    <row r="21" spans="1:9" s="58" customFormat="1" ht="15.75" x14ac:dyDescent="0.25">
      <c r="A21" s="2094" t="s">
        <v>1699</v>
      </c>
      <c r="B21" s="2383" t="s">
        <v>631</v>
      </c>
      <c r="C21" s="2321" t="s">
        <v>31</v>
      </c>
      <c r="D21" s="2303" t="e">
        <f>#REF!</f>
        <v>#REF!</v>
      </c>
      <c r="E21" s="2303" t="e">
        <f>#REF!</f>
        <v>#REF!</v>
      </c>
      <c r="F21" s="2303" t="e">
        <f>#REF!</f>
        <v>#REF!</v>
      </c>
      <c r="G21" s="2303" t="e">
        <f>#REF!</f>
        <v>#REF!</v>
      </c>
      <c r="I21" s="1898"/>
    </row>
    <row r="22" spans="1:9" s="58" customFormat="1" ht="15.75" x14ac:dyDescent="0.25">
      <c r="A22" s="2094" t="s">
        <v>1702</v>
      </c>
      <c r="B22" s="2383" t="s">
        <v>630</v>
      </c>
      <c r="C22" s="2321" t="s">
        <v>31</v>
      </c>
      <c r="D22" s="2303" t="e">
        <f>#REF!</f>
        <v>#REF!</v>
      </c>
      <c r="E22" s="2303" t="e">
        <f>#REF!</f>
        <v>#REF!</v>
      </c>
      <c r="F22" s="2303" t="e">
        <f>#REF!</f>
        <v>#REF!</v>
      </c>
      <c r="G22" s="2303" t="e">
        <f>#REF!</f>
        <v>#REF!</v>
      </c>
      <c r="I22" s="1898"/>
    </row>
    <row r="23" spans="1:9" s="58" customFormat="1" ht="15.75" x14ac:dyDescent="0.25">
      <c r="A23" s="4056" t="s">
        <v>2907</v>
      </c>
      <c r="B23" s="4056"/>
      <c r="C23" s="4056"/>
      <c r="D23" s="4056"/>
      <c r="E23" s="4056"/>
      <c r="F23" s="4056"/>
      <c r="G23" s="4056"/>
      <c r="I23" s="1898"/>
    </row>
    <row r="24" spans="1:9" s="58" customFormat="1" ht="25.5" x14ac:dyDescent="0.25">
      <c r="A24" s="1882">
        <v>5</v>
      </c>
      <c r="B24" s="2321" t="s">
        <v>2993</v>
      </c>
      <c r="C24" s="2371" t="s">
        <v>2165</v>
      </c>
      <c r="D24" s="2301" t="e">
        <f>#REF!/D$16</f>
        <v>#REF!</v>
      </c>
      <c r="E24" s="2301" t="e">
        <f>#REF!/E$16</f>
        <v>#REF!</v>
      </c>
      <c r="F24" s="2301" t="e">
        <f>#REF!/F$16</f>
        <v>#REF!</v>
      </c>
      <c r="G24" s="2301" t="e">
        <f>#REF!/G$16</f>
        <v>#REF!</v>
      </c>
      <c r="I24" s="1898"/>
    </row>
    <row r="25" spans="1:9" s="58" customFormat="1" ht="16.149999999999999" customHeight="1" x14ac:dyDescent="0.25">
      <c r="A25" s="1882" t="s">
        <v>1771</v>
      </c>
      <c r="B25" s="278" t="s">
        <v>225</v>
      </c>
      <c r="C25" s="2371" t="s">
        <v>2165</v>
      </c>
      <c r="D25" s="2301" t="e">
        <f>#REF!/D$16</f>
        <v>#REF!</v>
      </c>
      <c r="E25" s="2301" t="e">
        <f>#REF!/E$16</f>
        <v>#REF!</v>
      </c>
      <c r="F25" s="2301" t="e">
        <f>#REF!/F$16</f>
        <v>#REF!</v>
      </c>
      <c r="G25" s="2301" t="e">
        <f>#REF!/G$16</f>
        <v>#REF!</v>
      </c>
      <c r="I25" s="1898"/>
    </row>
    <row r="26" spans="1:9" s="58" customFormat="1" ht="16.899999999999999" customHeight="1" x14ac:dyDescent="0.25">
      <c r="A26" s="2307" t="s">
        <v>2910</v>
      </c>
      <c r="B26" s="150" t="s">
        <v>453</v>
      </c>
      <c r="C26" s="2371" t="s">
        <v>2165</v>
      </c>
      <c r="D26" s="2301" t="e">
        <f>#REF!/D$16</f>
        <v>#REF!</v>
      </c>
      <c r="E26" s="2301" t="e">
        <f>#REF!/E$16</f>
        <v>#REF!</v>
      </c>
      <c r="F26" s="2301" t="e">
        <f>#REF!/F$16</f>
        <v>#REF!</v>
      </c>
      <c r="G26" s="2301" t="e">
        <f>#REF!/G$16</f>
        <v>#REF!</v>
      </c>
      <c r="I26" s="1898"/>
    </row>
    <row r="27" spans="1:9" s="58" customFormat="1" ht="17.45" customHeight="1" x14ac:dyDescent="0.25">
      <c r="A27" s="2311" t="s">
        <v>2935</v>
      </c>
      <c r="B27" s="2295" t="s">
        <v>439</v>
      </c>
      <c r="C27" s="2371" t="s">
        <v>2165</v>
      </c>
      <c r="D27" s="2301" t="e">
        <f>#REF!/D$16</f>
        <v>#REF!</v>
      </c>
      <c r="E27" s="2301" t="e">
        <f>#REF!/E$16</f>
        <v>#REF!</v>
      </c>
      <c r="F27" s="2301" t="e">
        <f>#REF!/F$16</f>
        <v>#REF!</v>
      </c>
      <c r="G27" s="2301" t="e">
        <f>#REF!/G$16</f>
        <v>#REF!</v>
      </c>
      <c r="I27" s="1898"/>
    </row>
    <row r="28" spans="1:9" s="58" customFormat="1" ht="17.45" customHeight="1" x14ac:dyDescent="0.25">
      <c r="A28" s="2311" t="s">
        <v>2936</v>
      </c>
      <c r="B28" s="2295" t="s">
        <v>1832</v>
      </c>
      <c r="C28" s="2371" t="s">
        <v>2165</v>
      </c>
      <c r="D28" s="2301" t="e">
        <f>#REF!/D$16</f>
        <v>#REF!</v>
      </c>
      <c r="E28" s="2301" t="e">
        <f>#REF!/E$16</f>
        <v>#REF!</v>
      </c>
      <c r="F28" s="2301" t="e">
        <f>#REF!/F$16</f>
        <v>#REF!</v>
      </c>
      <c r="G28" s="2301" t="e">
        <f>#REF!/G$16</f>
        <v>#REF!</v>
      </c>
      <c r="I28" s="1898"/>
    </row>
    <row r="29" spans="1:9" s="58" customFormat="1" ht="17.45" customHeight="1" x14ac:dyDescent="0.25">
      <c r="A29" s="1882" t="s">
        <v>1773</v>
      </c>
      <c r="B29" s="150" t="s">
        <v>43</v>
      </c>
      <c r="C29" s="2371" t="s">
        <v>2165</v>
      </c>
      <c r="D29" s="2301" t="e">
        <f>#REF!/D$16</f>
        <v>#REF!</v>
      </c>
      <c r="E29" s="2301" t="e">
        <f>#REF!/E$16</f>
        <v>#REF!</v>
      </c>
      <c r="F29" s="2301" t="e">
        <f>#REF!/F$16</f>
        <v>#REF!</v>
      </c>
      <c r="G29" s="2301" t="e">
        <f>#REF!/G$16</f>
        <v>#REF!</v>
      </c>
      <c r="I29" s="1898"/>
    </row>
    <row r="30" spans="1:9" s="58" customFormat="1" ht="15.75" x14ac:dyDescent="0.25">
      <c r="A30" s="4056" t="s">
        <v>2908</v>
      </c>
      <c r="B30" s="4056"/>
      <c r="C30" s="4056"/>
      <c r="D30" s="4056"/>
      <c r="E30" s="4056"/>
      <c r="F30" s="4056"/>
      <c r="G30" s="4056"/>
      <c r="I30" s="1898"/>
    </row>
    <row r="31" spans="1:9" s="58" customFormat="1" ht="38.25" x14ac:dyDescent="0.25">
      <c r="A31" s="2296">
        <v>6</v>
      </c>
      <c r="B31" s="2321" t="s">
        <v>2994</v>
      </c>
      <c r="C31" s="2371" t="s">
        <v>3063</v>
      </c>
      <c r="D31" s="2306" t="e">
        <f>#REF!/D$20*1000/12</f>
        <v>#REF!</v>
      </c>
      <c r="E31" s="2306" t="e">
        <f>#REF!/E$20*1000/12</f>
        <v>#REF!</v>
      </c>
      <c r="F31" s="2306" t="e">
        <f>#REF!/F$20*1000/12</f>
        <v>#REF!</v>
      </c>
      <c r="G31" s="2306" t="e">
        <f>#REF!/G$20*1000/12</f>
        <v>#REF!</v>
      </c>
      <c r="I31" s="1898"/>
    </row>
    <row r="32" spans="1:9" s="58" customFormat="1" ht="15.75" x14ac:dyDescent="0.25">
      <c r="A32" s="2296" t="s">
        <v>1777</v>
      </c>
      <c r="B32" s="278" t="s">
        <v>224</v>
      </c>
      <c r="C32" s="2369" t="s">
        <v>3065</v>
      </c>
      <c r="D32" s="2306" t="e">
        <f>#REF!/D$20*1000/12</f>
        <v>#REF!</v>
      </c>
      <c r="E32" s="2306" t="e">
        <f>#REF!/E$20*1000/12</f>
        <v>#REF!</v>
      </c>
      <c r="F32" s="2306" t="e">
        <f>#REF!/F$20*1000/12</f>
        <v>#REF!</v>
      </c>
      <c r="G32" s="2306" t="e">
        <f>#REF!/G$20*1000/12</f>
        <v>#REF!</v>
      </c>
      <c r="I32" s="1898"/>
    </row>
    <row r="33" spans="1:9" s="58" customFormat="1" ht="15.75" x14ac:dyDescent="0.25">
      <c r="A33" s="2296" t="s">
        <v>2911</v>
      </c>
      <c r="B33" s="278" t="s">
        <v>225</v>
      </c>
      <c r="C33" s="2369" t="s">
        <v>3065</v>
      </c>
      <c r="D33" s="2306" t="e">
        <f>#REF!/D$20*1000/12</f>
        <v>#REF!</v>
      </c>
      <c r="E33" s="2306" t="e">
        <f>#REF!/E$20*1000/12</f>
        <v>#REF!</v>
      </c>
      <c r="F33" s="2306" t="e">
        <f>#REF!/F$20*1000/12</f>
        <v>#REF!</v>
      </c>
      <c r="G33" s="2306" t="e">
        <f>#REF!/G$20*1000/12</f>
        <v>#REF!</v>
      </c>
      <c r="I33" s="1898"/>
    </row>
    <row r="34" spans="1:9" s="58" customFormat="1" ht="15.75" x14ac:dyDescent="0.25">
      <c r="A34" s="2296"/>
      <c r="B34" s="150" t="s">
        <v>453</v>
      </c>
      <c r="C34" s="2369" t="s">
        <v>3065</v>
      </c>
      <c r="D34" s="2306" t="e">
        <f>#REF!/D$20*1000/12</f>
        <v>#REF!</v>
      </c>
      <c r="E34" s="2306" t="e">
        <f>#REF!/E$20*1000/12</f>
        <v>#REF!</v>
      </c>
      <c r="F34" s="2306" t="e">
        <f>#REF!/F$20*1000/12</f>
        <v>#REF!</v>
      </c>
      <c r="G34" s="2306" t="e">
        <f>#REF!/G$20*1000/12</f>
        <v>#REF!</v>
      </c>
      <c r="I34" s="1898"/>
    </row>
    <row r="35" spans="1:9" s="58" customFormat="1" ht="15.75" x14ac:dyDescent="0.25">
      <c r="A35" s="2296"/>
      <c r="B35" s="150" t="s">
        <v>1833</v>
      </c>
      <c r="C35" s="2369" t="s">
        <v>3065</v>
      </c>
      <c r="D35" s="2306" t="e">
        <f>#REF!/D$20*1000/12</f>
        <v>#REF!</v>
      </c>
      <c r="E35" s="2306" t="e">
        <f>#REF!/E$20*1000/12</f>
        <v>#REF!</v>
      </c>
      <c r="F35" s="2306" t="e">
        <f>#REF!/F$20*1000/12</f>
        <v>#REF!</v>
      </c>
      <c r="G35" s="2306" t="e">
        <f>#REF!/G$20*1000/12</f>
        <v>#REF!</v>
      </c>
      <c r="I35" s="1898"/>
    </row>
    <row r="36" spans="1:9" s="58" customFormat="1" ht="25.5" x14ac:dyDescent="0.25">
      <c r="A36" s="2296" t="s">
        <v>2912</v>
      </c>
      <c r="B36" s="278" t="s">
        <v>1610</v>
      </c>
      <c r="C36" s="2369" t="s">
        <v>3065</v>
      </c>
      <c r="D36" s="2306" t="e">
        <f>#REF!/D$20*1000/12</f>
        <v>#REF!</v>
      </c>
      <c r="E36" s="2306" t="e">
        <f>#REF!/E$20*1000/12</f>
        <v>#REF!</v>
      </c>
      <c r="F36" s="2306" t="e">
        <f>#REF!/F$20*1000/12</f>
        <v>#REF!</v>
      </c>
      <c r="G36" s="2306" t="e">
        <f>#REF!/G$20*1000/12</f>
        <v>#REF!</v>
      </c>
      <c r="I36" s="1898"/>
    </row>
    <row r="37" spans="1:9" s="58" customFormat="1" ht="15.75" x14ac:dyDescent="0.25">
      <c r="A37" s="2296" t="s">
        <v>2913</v>
      </c>
      <c r="B37" s="278" t="s">
        <v>598</v>
      </c>
      <c r="C37" s="2369" t="s">
        <v>3065</v>
      </c>
      <c r="D37" s="2306" t="e">
        <f>#REF!/D$20*1000/12</f>
        <v>#REF!</v>
      </c>
      <c r="E37" s="2306" t="e">
        <f>#REF!/E$20*1000/12</f>
        <v>#REF!</v>
      </c>
      <c r="F37" s="2306" t="e">
        <f>#REF!/F$20*1000/12</f>
        <v>#REF!</v>
      </c>
      <c r="G37" s="2306" t="e">
        <f>#REF!/G$20*1000/12</f>
        <v>#REF!</v>
      </c>
      <c r="I37" s="1898"/>
    </row>
    <row r="38" spans="1:9" s="58" customFormat="1" ht="15.75" x14ac:dyDescent="0.25">
      <c r="A38" s="2296" t="s">
        <v>1779</v>
      </c>
      <c r="B38" s="278" t="s">
        <v>47</v>
      </c>
      <c r="C38" s="2369" t="s">
        <v>3065</v>
      </c>
      <c r="D38" s="2306" t="e">
        <f>#REF!/D$20*1000/12</f>
        <v>#REF!</v>
      </c>
      <c r="E38" s="2306" t="e">
        <f>#REF!/E$20*1000/12</f>
        <v>#REF!</v>
      </c>
      <c r="F38" s="2306" t="e">
        <f>#REF!/F$20*1000/12</f>
        <v>#REF!</v>
      </c>
      <c r="G38" s="2306" t="e">
        <f>#REF!/G$20*1000/12</f>
        <v>#REF!</v>
      </c>
      <c r="I38" s="1898"/>
    </row>
    <row r="39" spans="1:9" s="58" customFormat="1" ht="15.75" x14ac:dyDescent="0.25">
      <c r="A39" s="2296" t="s">
        <v>2530</v>
      </c>
      <c r="B39" s="278" t="s">
        <v>226</v>
      </c>
      <c r="C39" s="2369" t="s">
        <v>3065</v>
      </c>
      <c r="D39" s="2306" t="e">
        <f>#REF!/D$20*1000/12</f>
        <v>#REF!</v>
      </c>
      <c r="E39" s="2306" t="e">
        <f>#REF!/E$20*1000/12</f>
        <v>#REF!</v>
      </c>
      <c r="F39" s="2306" t="e">
        <f>#REF!/F$20*1000/12</f>
        <v>#REF!</v>
      </c>
      <c r="G39" s="2306" t="e">
        <f>#REF!/G$20*1000/12</f>
        <v>#REF!</v>
      </c>
      <c r="I39" s="1898"/>
    </row>
    <row r="40" spans="1:9" s="58" customFormat="1" ht="27" customHeight="1" x14ac:dyDescent="0.25">
      <c r="A40" s="2296" t="s">
        <v>2914</v>
      </c>
      <c r="B40" s="150" t="s">
        <v>451</v>
      </c>
      <c r="C40" s="2369" t="s">
        <v>3065</v>
      </c>
      <c r="D40" s="2306" t="e">
        <f>#REF!/D$20*1000/12</f>
        <v>#REF!</v>
      </c>
      <c r="E40" s="2306" t="e">
        <f>#REF!/E$20*1000/12</f>
        <v>#REF!</v>
      </c>
      <c r="F40" s="2306" t="e">
        <f>#REF!/F$20*1000/12</f>
        <v>#REF!</v>
      </c>
      <c r="G40" s="2306" t="e">
        <f>#REF!/G$20*1000/12</f>
        <v>#REF!</v>
      </c>
      <c r="I40" s="1898"/>
    </row>
    <row r="41" spans="1:9" s="58" customFormat="1" ht="15.75" x14ac:dyDescent="0.25">
      <c r="A41" s="2296" t="s">
        <v>2915</v>
      </c>
      <c r="B41" s="150" t="s">
        <v>452</v>
      </c>
      <c r="C41" s="2369" t="s">
        <v>3065</v>
      </c>
      <c r="D41" s="2306" t="e">
        <f>#REF!/D$20*1000/12</f>
        <v>#REF!</v>
      </c>
      <c r="E41" s="2306" t="e">
        <f>#REF!/E$20*1000/12</f>
        <v>#REF!</v>
      </c>
      <c r="F41" s="2306" t="e">
        <f>#REF!/F$20*1000/12</f>
        <v>#REF!</v>
      </c>
      <c r="G41" s="2306" t="e">
        <f>#REF!/G$20*1000/12</f>
        <v>#REF!</v>
      </c>
      <c r="I41" s="1898"/>
    </row>
    <row r="42" spans="1:9" s="58" customFormat="1" ht="15.75" x14ac:dyDescent="0.25">
      <c r="A42" s="2296" t="s">
        <v>2916</v>
      </c>
      <c r="B42" s="150" t="s">
        <v>52</v>
      </c>
      <c r="C42" s="2369" t="s">
        <v>3065</v>
      </c>
      <c r="D42" s="2306" t="e">
        <f>#REF!/D$20*1000/12</f>
        <v>#REF!</v>
      </c>
      <c r="E42" s="2306" t="e">
        <f>#REF!/E$20*1000/12</f>
        <v>#REF!</v>
      </c>
      <c r="F42" s="2306" t="e">
        <f>#REF!/F$20*1000/12</f>
        <v>#REF!</v>
      </c>
      <c r="G42" s="2306" t="e">
        <f>#REF!/G$20*1000/12</f>
        <v>#REF!</v>
      </c>
      <c r="I42" s="1898"/>
    </row>
    <row r="43" spans="1:9" s="58" customFormat="1" ht="15.75" x14ac:dyDescent="0.25">
      <c r="A43" s="2296" t="s">
        <v>2917</v>
      </c>
      <c r="B43" s="150" t="s">
        <v>227</v>
      </c>
      <c r="C43" s="2369" t="s">
        <v>3065</v>
      </c>
      <c r="D43" s="2306" t="e">
        <f>#REF!/D$20*1000/12</f>
        <v>#REF!</v>
      </c>
      <c r="E43" s="2306" t="e">
        <f>#REF!/E$20*1000/12</f>
        <v>#REF!</v>
      </c>
      <c r="F43" s="2306" t="e">
        <f>#REF!/F$20*1000/12</f>
        <v>#REF!</v>
      </c>
      <c r="G43" s="2306" t="e">
        <f>#REF!/G$20*1000/12</f>
        <v>#REF!</v>
      </c>
      <c r="I43" s="1898"/>
    </row>
    <row r="44" spans="1:9" s="58" customFormat="1" ht="15.75" x14ac:dyDescent="0.25">
      <c r="A44" s="2296" t="s">
        <v>2918</v>
      </c>
      <c r="B44" s="150" t="s">
        <v>55</v>
      </c>
      <c r="C44" s="2369" t="s">
        <v>3065</v>
      </c>
      <c r="D44" s="2306" t="e">
        <f>#REF!/D$20*1000/12</f>
        <v>#REF!</v>
      </c>
      <c r="E44" s="2306" t="e">
        <f>#REF!/E$20*1000/12</f>
        <v>#REF!</v>
      </c>
      <c r="F44" s="2306" t="e">
        <f>#REF!/F$20*1000/12</f>
        <v>#REF!</v>
      </c>
      <c r="G44" s="2306" t="e">
        <f>#REF!/G$20*1000/12</f>
        <v>#REF!</v>
      </c>
      <c r="I44" s="1898"/>
    </row>
    <row r="45" spans="1:9" s="58" customFormat="1" ht="29.45" customHeight="1" x14ac:dyDescent="0.25">
      <c r="A45" s="2296" t="s">
        <v>2919</v>
      </c>
      <c r="B45" s="150" t="s">
        <v>451</v>
      </c>
      <c r="C45" s="2369" t="s">
        <v>3065</v>
      </c>
      <c r="D45" s="2306" t="e">
        <f>#REF!/D$20*1000/12</f>
        <v>#REF!</v>
      </c>
      <c r="E45" s="2306" t="e">
        <f>#REF!/E$20*1000/12</f>
        <v>#REF!</v>
      </c>
      <c r="F45" s="2306" t="e">
        <f>#REF!/F$20*1000/12</f>
        <v>#REF!</v>
      </c>
      <c r="G45" s="2306" t="e">
        <f>#REF!/G$20*1000/12</f>
        <v>#REF!</v>
      </c>
      <c r="I45" s="1898"/>
    </row>
    <row r="46" spans="1:9" s="58" customFormat="1" ht="15.75" x14ac:dyDescent="0.25">
      <c r="A46" s="2296" t="s">
        <v>2920</v>
      </c>
      <c r="B46" s="150" t="s">
        <v>58</v>
      </c>
      <c r="C46" s="2369" t="s">
        <v>3065</v>
      </c>
      <c r="D46" s="2306" t="e">
        <f>#REF!/D$20*1000/12</f>
        <v>#REF!</v>
      </c>
      <c r="E46" s="2306" t="e">
        <f>#REF!/E$20*1000/12</f>
        <v>#REF!</v>
      </c>
      <c r="F46" s="2306" t="e">
        <f>#REF!/F$20*1000/12</f>
        <v>#REF!</v>
      </c>
      <c r="G46" s="2306" t="e">
        <f>#REF!/G$20*1000/12</f>
        <v>#REF!</v>
      </c>
      <c r="I46" s="1898"/>
    </row>
    <row r="47" spans="1:9" s="58" customFormat="1" ht="15.75" x14ac:dyDescent="0.25">
      <c r="A47" s="2296">
        <v>7</v>
      </c>
      <c r="B47" s="150" t="s">
        <v>228</v>
      </c>
      <c r="C47" s="2369" t="s">
        <v>3065</v>
      </c>
      <c r="D47" s="2306" t="e">
        <f>#REF!/D$20*1000/12</f>
        <v>#REF!</v>
      </c>
      <c r="E47" s="2306" t="e">
        <f>#REF!/E$20*1000/12</f>
        <v>#REF!</v>
      </c>
      <c r="F47" s="2306" t="e">
        <f>#REF!/F$20*1000/12</f>
        <v>#REF!</v>
      </c>
      <c r="G47" s="2306" t="e">
        <f>#REF!/G$20*1000/12</f>
        <v>#REF!</v>
      </c>
      <c r="I47" s="1898"/>
    </row>
    <row r="48" spans="1:9" s="58" customFormat="1" ht="15.75" x14ac:dyDescent="0.25">
      <c r="A48" s="2296" t="s">
        <v>1097</v>
      </c>
      <c r="B48" s="150" t="s">
        <v>55</v>
      </c>
      <c r="C48" s="2369" t="s">
        <v>3065</v>
      </c>
      <c r="D48" s="2306" t="e">
        <f>#REF!/D$20*1000/12</f>
        <v>#REF!</v>
      </c>
      <c r="E48" s="2306" t="e">
        <f>#REF!/E$20*1000/12</f>
        <v>#REF!</v>
      </c>
      <c r="F48" s="2306" t="e">
        <f>#REF!/F$20*1000/12</f>
        <v>#REF!</v>
      </c>
      <c r="G48" s="2306" t="e">
        <f>#REF!/G$20*1000/12</f>
        <v>#REF!</v>
      </c>
      <c r="I48" s="1898"/>
    </row>
    <row r="49" spans="1:9" s="58" customFormat="1" ht="27.6" customHeight="1" x14ac:dyDescent="0.25">
      <c r="A49" s="2296" t="s">
        <v>2825</v>
      </c>
      <c r="B49" s="150" t="s">
        <v>451</v>
      </c>
      <c r="C49" s="2369" t="s">
        <v>3065</v>
      </c>
      <c r="D49" s="2306" t="e">
        <f>#REF!/D$20*1000/12</f>
        <v>#REF!</v>
      </c>
      <c r="E49" s="2306" t="e">
        <f>#REF!/E$20*1000/12</f>
        <v>#REF!</v>
      </c>
      <c r="F49" s="2306" t="e">
        <f>#REF!/F$20*1000/12</f>
        <v>#REF!</v>
      </c>
      <c r="G49" s="2306" t="e">
        <f>#REF!/G$20*1000/12</f>
        <v>#REF!</v>
      </c>
      <c r="I49" s="1898"/>
    </row>
    <row r="50" spans="1:9" s="58" customFormat="1" ht="15.75" x14ac:dyDescent="0.25">
      <c r="A50" s="2296" t="s">
        <v>2826</v>
      </c>
      <c r="B50" s="150" t="s">
        <v>58</v>
      </c>
      <c r="C50" s="2369" t="s">
        <v>3065</v>
      </c>
      <c r="D50" s="2306" t="e">
        <f>#REF!/D$20*1000/12</f>
        <v>#REF!</v>
      </c>
      <c r="E50" s="2306" t="e">
        <f>#REF!/E$20*1000/12</f>
        <v>#REF!</v>
      </c>
      <c r="F50" s="2306" t="e">
        <f>#REF!/F$20*1000/12</f>
        <v>#REF!</v>
      </c>
      <c r="G50" s="2306" t="e">
        <f>#REF!/G$20*1000/12</f>
        <v>#REF!</v>
      </c>
      <c r="I50" s="1898"/>
    </row>
    <row r="51" spans="1:9" s="58" customFormat="1" ht="15.75" x14ac:dyDescent="0.25">
      <c r="A51" s="2296">
        <v>8</v>
      </c>
      <c r="B51" s="150" t="s">
        <v>5</v>
      </c>
      <c r="C51" s="2369" t="s">
        <v>3065</v>
      </c>
      <c r="D51" s="2306" t="e">
        <f>#REF!/D$20*1000/12</f>
        <v>#REF!</v>
      </c>
      <c r="E51" s="2306" t="e">
        <f>#REF!/E$20*1000/12</f>
        <v>#REF!</v>
      </c>
      <c r="F51" s="2306" t="e">
        <f>#REF!/F$20*1000/12</f>
        <v>#REF!</v>
      </c>
      <c r="G51" s="2306" t="e">
        <f>#REF!/G$20*1000/12</f>
        <v>#REF!</v>
      </c>
      <c r="I51" s="1898"/>
    </row>
    <row r="52" spans="1:9" s="58" customFormat="1" ht="15.75" x14ac:dyDescent="0.25">
      <c r="A52" s="2296">
        <v>9</v>
      </c>
      <c r="B52" s="150" t="s">
        <v>183</v>
      </c>
      <c r="C52" s="2369" t="s">
        <v>3065</v>
      </c>
      <c r="D52" s="2306" t="e">
        <f>#REF!/D$20*1000/12</f>
        <v>#REF!</v>
      </c>
      <c r="E52" s="2306" t="e">
        <f>#REF!/E$20*1000/12</f>
        <v>#REF!</v>
      </c>
      <c r="F52" s="2306" t="e">
        <f>#REF!/F$20*1000/12</f>
        <v>#REF!</v>
      </c>
      <c r="G52" s="2306" t="e">
        <f>#REF!/G$20*1000/12</f>
        <v>#REF!</v>
      </c>
      <c r="I52" s="1898"/>
    </row>
    <row r="53" spans="1:9" s="58" customFormat="1" ht="15.75" x14ac:dyDescent="0.25">
      <c r="A53" s="2296">
        <v>10</v>
      </c>
      <c r="B53" s="150" t="s">
        <v>230</v>
      </c>
      <c r="C53" s="2369" t="s">
        <v>3065</v>
      </c>
      <c r="D53" s="2306">
        <v>0</v>
      </c>
      <c r="E53" s="2306">
        <v>0</v>
      </c>
      <c r="F53" s="2306">
        <v>0</v>
      </c>
      <c r="G53" s="2306">
        <v>0</v>
      </c>
      <c r="I53" s="1898"/>
    </row>
    <row r="54" spans="1:9" s="58" customFormat="1" ht="15.75" x14ac:dyDescent="0.25">
      <c r="A54" s="2296">
        <v>11</v>
      </c>
      <c r="B54" s="150" t="s">
        <v>2909</v>
      </c>
      <c r="C54" s="2369" t="s">
        <v>3065</v>
      </c>
      <c r="D54" s="2306" t="e">
        <f>#REF!/D$20*1000/12</f>
        <v>#REF!</v>
      </c>
      <c r="E54" s="2306" t="e">
        <f>#REF!/E$20*1000/12</f>
        <v>#REF!</v>
      </c>
      <c r="F54" s="2306" t="e">
        <f>#REF!/F$20*1000/12</f>
        <v>#REF!</v>
      </c>
      <c r="G54" s="2306" t="e">
        <f>#REF!/G$20*1000/12</f>
        <v>#REF!</v>
      </c>
      <c r="I54" s="1898"/>
    </row>
    <row r="55" spans="1:9" s="58" customFormat="1" ht="28.15" customHeight="1" x14ac:dyDescent="0.25">
      <c r="A55" s="2296">
        <v>12</v>
      </c>
      <c r="B55" s="1926" t="s">
        <v>231</v>
      </c>
      <c r="C55" s="2369" t="s">
        <v>3065</v>
      </c>
      <c r="D55" s="2306" t="e">
        <f>#REF!/D$20*1000/12</f>
        <v>#REF!</v>
      </c>
      <c r="E55" s="2306" t="e">
        <f>#REF!/E$20*1000/12</f>
        <v>#REF!</v>
      </c>
      <c r="F55" s="2306" t="e">
        <f>#REF!/F$20*1000/12</f>
        <v>#REF!</v>
      </c>
      <c r="G55" s="2306" t="e">
        <f>#REF!/G$20*1000/12</f>
        <v>#REF!</v>
      </c>
      <c r="I55" s="1898"/>
    </row>
    <row r="56" spans="1:9" s="58" customFormat="1" ht="15.75" x14ac:dyDescent="0.25">
      <c r="A56" s="2296" t="s">
        <v>2921</v>
      </c>
      <c r="B56" s="150" t="s">
        <v>2927</v>
      </c>
      <c r="C56" s="2369" t="s">
        <v>3065</v>
      </c>
      <c r="D56" s="2306" t="e">
        <f>#REF!/D$20*1000/12</f>
        <v>#REF!</v>
      </c>
      <c r="E56" s="2306" t="e">
        <f>#REF!/E$20*1000/12</f>
        <v>#REF!</v>
      </c>
      <c r="F56" s="2306" t="e">
        <f>#REF!/F$20*1000/12</f>
        <v>#REF!</v>
      </c>
      <c r="G56" s="2306" t="e">
        <f>#REF!/G$20*1000/12</f>
        <v>#REF!</v>
      </c>
      <c r="I56" s="1898"/>
    </row>
    <row r="57" spans="1:9" s="58" customFormat="1" ht="15.75" x14ac:dyDescent="0.25">
      <c r="A57" s="2296" t="s">
        <v>2922</v>
      </c>
      <c r="B57" s="150" t="s">
        <v>67</v>
      </c>
      <c r="C57" s="2369" t="s">
        <v>3065</v>
      </c>
      <c r="D57" s="2306" t="e">
        <f>#REF!/D$20*1000/12</f>
        <v>#REF!</v>
      </c>
      <c r="E57" s="2306" t="e">
        <f>#REF!/E$20*1000/12</f>
        <v>#REF!</v>
      </c>
      <c r="F57" s="2306" t="e">
        <f>#REF!/F$20*1000/12</f>
        <v>#REF!</v>
      </c>
      <c r="G57" s="2306" t="e">
        <f>#REF!/G$20*1000/12</f>
        <v>#REF!</v>
      </c>
      <c r="I57" s="1898"/>
    </row>
    <row r="58" spans="1:9" s="58" customFormat="1" ht="15.75" x14ac:dyDescent="0.25">
      <c r="A58" s="2296" t="s">
        <v>2923</v>
      </c>
      <c r="B58" s="150" t="s">
        <v>69</v>
      </c>
      <c r="C58" s="2369" t="s">
        <v>3065</v>
      </c>
      <c r="D58" s="2306" t="e">
        <f>#REF!/D$20*1000/12</f>
        <v>#REF!</v>
      </c>
      <c r="E58" s="2306" t="e">
        <f>#REF!/E$20*1000/12</f>
        <v>#REF!</v>
      </c>
      <c r="F58" s="2306" t="e">
        <f>#REF!/F$20*1000/12</f>
        <v>#REF!</v>
      </c>
      <c r="G58" s="2306" t="e">
        <f>#REF!/G$20*1000/12</f>
        <v>#REF!</v>
      </c>
      <c r="I58" s="1898"/>
    </row>
    <row r="59" spans="1:9" s="58" customFormat="1" ht="25.5" x14ac:dyDescent="0.25">
      <c r="A59" s="2296" t="s">
        <v>2924</v>
      </c>
      <c r="B59" s="150" t="s">
        <v>2928</v>
      </c>
      <c r="C59" s="2369" t="s">
        <v>3065</v>
      </c>
      <c r="D59" s="2306" t="e">
        <f>#REF!/D$20*1000/12</f>
        <v>#REF!</v>
      </c>
      <c r="E59" s="2306" t="e">
        <f>#REF!/E$20*1000/12</f>
        <v>#REF!</v>
      </c>
      <c r="F59" s="2306" t="e">
        <f>#REF!/F$20*1000/12</f>
        <v>#REF!</v>
      </c>
      <c r="G59" s="2306" t="e">
        <f>#REF!/G$20*1000/12</f>
        <v>#REF!</v>
      </c>
      <c r="I59" s="1898"/>
    </row>
    <row r="60" spans="1:9" s="58" customFormat="1" ht="15.75" x14ac:dyDescent="0.25">
      <c r="A60" s="2296" t="s">
        <v>2925</v>
      </c>
      <c r="B60" s="150" t="s">
        <v>2929</v>
      </c>
      <c r="C60" s="2369" t="s">
        <v>3065</v>
      </c>
      <c r="D60" s="2306" t="e">
        <f>#REF!/D$20*1000/12</f>
        <v>#REF!</v>
      </c>
      <c r="E60" s="2306" t="e">
        <f>#REF!/E$20*1000/12</f>
        <v>#REF!</v>
      </c>
      <c r="F60" s="2306" t="e">
        <f>#REF!/F$20*1000/12</f>
        <v>#REF!</v>
      </c>
      <c r="G60" s="2306" t="e">
        <f>#REF!/G$20*1000/12</f>
        <v>#REF!</v>
      </c>
      <c r="I60" s="1898"/>
    </row>
    <row r="61" spans="1:9" s="58" customFormat="1" ht="15.75" x14ac:dyDescent="0.25">
      <c r="A61" s="4056" t="s">
        <v>2926</v>
      </c>
      <c r="B61" s="4056"/>
      <c r="C61" s="4056"/>
      <c r="D61" s="4056"/>
      <c r="E61" s="4056"/>
      <c r="F61" s="4056"/>
      <c r="G61" s="4056"/>
      <c r="I61" s="1898"/>
    </row>
    <row r="62" spans="1:9" s="58" customFormat="1" ht="25.5" x14ac:dyDescent="0.25">
      <c r="A62" s="1882" t="s">
        <v>1795</v>
      </c>
      <c r="B62" s="2321" t="s">
        <v>2993</v>
      </c>
      <c r="C62" s="2371" t="s">
        <v>2165</v>
      </c>
      <c r="D62" s="2301" t="e">
        <f>#REF!/D$19</f>
        <v>#REF!</v>
      </c>
      <c r="E62" s="2301" t="e">
        <f>#REF!/E$19</f>
        <v>#REF!</v>
      </c>
      <c r="F62" s="2301" t="e">
        <f>#REF!/F$19</f>
        <v>#REF!</v>
      </c>
      <c r="G62" s="2301" t="e">
        <f>#REF!/G$19</f>
        <v>#REF!</v>
      </c>
      <c r="I62" s="1898"/>
    </row>
    <row r="63" spans="1:9" s="58" customFormat="1" ht="16.899999999999999" customHeight="1" x14ac:dyDescent="0.25">
      <c r="A63" s="1882" t="s">
        <v>2931</v>
      </c>
      <c r="B63" s="1219" t="s">
        <v>225</v>
      </c>
      <c r="C63" s="2371" t="s">
        <v>2165</v>
      </c>
      <c r="D63" s="2301" t="e">
        <f>#REF!/D$19</f>
        <v>#REF!</v>
      </c>
      <c r="E63" s="2301" t="e">
        <f>#REF!/E$19</f>
        <v>#REF!</v>
      </c>
      <c r="F63" s="2301" t="e">
        <f>#REF!/F$19</f>
        <v>#REF!</v>
      </c>
      <c r="G63" s="2301" t="e">
        <f>#REF!/G$19</f>
        <v>#REF!</v>
      </c>
      <c r="I63" s="1898"/>
    </row>
    <row r="64" spans="1:9" s="58" customFormat="1" ht="16.899999999999999" customHeight="1" x14ac:dyDescent="0.25">
      <c r="A64" s="1882" t="s">
        <v>2932</v>
      </c>
      <c r="B64" s="1219" t="s">
        <v>43</v>
      </c>
      <c r="C64" s="2371" t="s">
        <v>2165</v>
      </c>
      <c r="D64" s="2301" t="e">
        <f>#REF!/D$19</f>
        <v>#REF!</v>
      </c>
      <c r="E64" s="2301" t="e">
        <f>#REF!/E$19</f>
        <v>#REF!</v>
      </c>
      <c r="F64" s="2301" t="e">
        <f>#REF!/F$19</f>
        <v>#REF!</v>
      </c>
      <c r="G64" s="2301" t="e">
        <f>#REF!/G$19</f>
        <v>#REF!</v>
      </c>
      <c r="I64" s="1898"/>
    </row>
    <row r="65" spans="1:9" s="58" customFormat="1" ht="15.75" x14ac:dyDescent="0.25">
      <c r="A65" s="4056" t="s">
        <v>2930</v>
      </c>
      <c r="B65" s="4056"/>
      <c r="C65" s="4056"/>
      <c r="D65" s="4056"/>
      <c r="E65" s="4056"/>
      <c r="F65" s="4056"/>
      <c r="G65" s="4056"/>
      <c r="I65" s="1898"/>
    </row>
    <row r="66" spans="1:9" s="58" customFormat="1" ht="38.25" x14ac:dyDescent="0.25">
      <c r="A66" s="2296">
        <v>14</v>
      </c>
      <c r="B66" s="2321" t="s">
        <v>2995</v>
      </c>
      <c r="C66" s="2371" t="s">
        <v>3063</v>
      </c>
      <c r="D66" s="2306" t="e">
        <f>#REF!/D$22*1000/12</f>
        <v>#REF!</v>
      </c>
      <c r="E66" s="2306" t="e">
        <f>#REF!/E$22*1000/12</f>
        <v>#REF!</v>
      </c>
      <c r="F66" s="2306" t="e">
        <f>#REF!/F$22*1000/12</f>
        <v>#REF!</v>
      </c>
      <c r="G66" s="2306" t="e">
        <f>#REF!/G$22*1000/12</f>
        <v>#REF!</v>
      </c>
      <c r="I66" s="1898"/>
    </row>
    <row r="67" spans="1:9" s="58" customFormat="1" ht="15.75" x14ac:dyDescent="0.25">
      <c r="A67" s="2316" t="s">
        <v>200</v>
      </c>
      <c r="B67" s="278" t="s">
        <v>224</v>
      </c>
      <c r="C67" s="2369" t="s">
        <v>3065</v>
      </c>
      <c r="D67" s="2306" t="e">
        <f>#REF!/D$22*1000/12</f>
        <v>#REF!</v>
      </c>
      <c r="E67" s="2306" t="e">
        <f>#REF!/E$22*1000/12</f>
        <v>#REF!</v>
      </c>
      <c r="F67" s="2306" t="e">
        <f>#REF!/F$22*1000/12</f>
        <v>#REF!</v>
      </c>
      <c r="G67" s="2306" t="e">
        <f>#REF!/G$22*1000/12</f>
        <v>#REF!</v>
      </c>
      <c r="I67" s="1898"/>
    </row>
    <row r="68" spans="1:9" s="58" customFormat="1" ht="15.75" x14ac:dyDescent="0.25">
      <c r="A68" s="2316" t="s">
        <v>342</v>
      </c>
      <c r="B68" s="278" t="s">
        <v>225</v>
      </c>
      <c r="C68" s="2369" t="s">
        <v>3065</v>
      </c>
      <c r="D68" s="2306" t="e">
        <f>#REF!/D$22*1000/12</f>
        <v>#REF!</v>
      </c>
      <c r="E68" s="2306" t="e">
        <f>#REF!/E$22*1000/12</f>
        <v>#REF!</v>
      </c>
      <c r="F68" s="2306" t="e">
        <f>#REF!/F$22*1000/12</f>
        <v>#REF!</v>
      </c>
      <c r="G68" s="2306" t="e">
        <f>#REF!/G$22*1000/12</f>
        <v>#REF!</v>
      </c>
      <c r="I68" s="1898"/>
    </row>
    <row r="69" spans="1:9" s="58" customFormat="1" ht="15.75" x14ac:dyDescent="0.25">
      <c r="A69" s="2316" t="s">
        <v>2941</v>
      </c>
      <c r="B69" s="278" t="s">
        <v>43</v>
      </c>
      <c r="C69" s="2369" t="s">
        <v>3065</v>
      </c>
      <c r="D69" s="2306" t="e">
        <f>#REF!/D$22*1000/12</f>
        <v>#REF!</v>
      </c>
      <c r="E69" s="2306" t="e">
        <f>#REF!/E$22*1000/12</f>
        <v>#REF!</v>
      </c>
      <c r="F69" s="2306" t="e">
        <f>#REF!/F$22*1000/12</f>
        <v>#REF!</v>
      </c>
      <c r="G69" s="2306" t="e">
        <f>#REF!/G$22*1000/12</f>
        <v>#REF!</v>
      </c>
      <c r="I69" s="1898"/>
    </row>
    <row r="70" spans="1:9" s="58" customFormat="1" ht="25.5" x14ac:dyDescent="0.25">
      <c r="A70" s="2317" t="s">
        <v>2942</v>
      </c>
      <c r="B70" s="278" t="s">
        <v>596</v>
      </c>
      <c r="C70" s="2369" t="s">
        <v>3065</v>
      </c>
      <c r="D70" s="2306" t="e">
        <f>#REF!/D$22*1000/12</f>
        <v>#REF!</v>
      </c>
      <c r="E70" s="2306" t="e">
        <f>#REF!/E$22*1000/12</f>
        <v>#REF!</v>
      </c>
      <c r="F70" s="2306" t="e">
        <f>#REF!/F$22*1000/12</f>
        <v>#REF!</v>
      </c>
      <c r="G70" s="2306" t="e">
        <f>#REF!/G$22*1000/12</f>
        <v>#REF!</v>
      </c>
      <c r="I70" s="1898"/>
    </row>
    <row r="71" spans="1:9" s="58" customFormat="1" ht="25.5" x14ac:dyDescent="0.25">
      <c r="A71" s="2317" t="s">
        <v>2943</v>
      </c>
      <c r="B71" s="278" t="s">
        <v>597</v>
      </c>
      <c r="C71" s="2369" t="s">
        <v>3065</v>
      </c>
      <c r="D71" s="2306" t="e">
        <f>#REF!/D$22*1000/12</f>
        <v>#REF!</v>
      </c>
      <c r="E71" s="2306" t="e">
        <f>#REF!/E$22*1000/12</f>
        <v>#REF!</v>
      </c>
      <c r="F71" s="2306" t="e">
        <f>#REF!/F$22*1000/12</f>
        <v>#REF!</v>
      </c>
      <c r="G71" s="2306" t="e">
        <f>#REF!/G$22*1000/12</f>
        <v>#REF!</v>
      </c>
      <c r="I71" s="1898"/>
    </row>
    <row r="72" spans="1:9" s="58" customFormat="1" ht="15.75" x14ac:dyDescent="0.25">
      <c r="A72" s="2317" t="s">
        <v>2944</v>
      </c>
      <c r="B72" s="278" t="s">
        <v>598</v>
      </c>
      <c r="C72" s="2369" t="s">
        <v>3065</v>
      </c>
      <c r="D72" s="2306" t="e">
        <f>#REF!/D$22*1000/12</f>
        <v>#REF!</v>
      </c>
      <c r="E72" s="2306" t="e">
        <f>#REF!/E$22*1000/12</f>
        <v>#REF!</v>
      </c>
      <c r="F72" s="2306" t="e">
        <f>#REF!/F$22*1000/12</f>
        <v>#REF!</v>
      </c>
      <c r="G72" s="2306" t="e">
        <f>#REF!/G$22*1000/12</f>
        <v>#REF!</v>
      </c>
      <c r="I72" s="1898"/>
    </row>
    <row r="73" spans="1:9" ht="25.5" x14ac:dyDescent="0.25">
      <c r="A73" s="2317" t="s">
        <v>2945</v>
      </c>
      <c r="B73" s="278" t="s">
        <v>2764</v>
      </c>
      <c r="C73" s="2369" t="s">
        <v>3065</v>
      </c>
      <c r="D73" s="2306" t="e">
        <f>#REF!/D$22*1000/12</f>
        <v>#REF!</v>
      </c>
      <c r="E73" s="2306" t="e">
        <f>#REF!/E$22*1000/12</f>
        <v>#REF!</v>
      </c>
      <c r="F73" s="2306" t="e">
        <f>#REF!/F$22*1000/12</f>
        <v>#REF!</v>
      </c>
      <c r="G73" s="2306" t="e">
        <f>#REF!/G$22*1000/12</f>
        <v>#REF!</v>
      </c>
    </row>
    <row r="74" spans="1:9" x14ac:dyDescent="0.25">
      <c r="A74" s="2317" t="s">
        <v>343</v>
      </c>
      <c r="B74" s="150" t="s">
        <v>47</v>
      </c>
      <c r="C74" s="2369" t="s">
        <v>3065</v>
      </c>
      <c r="D74" s="2306" t="e">
        <f>#REF!/D$22*1000/12</f>
        <v>#REF!</v>
      </c>
      <c r="E74" s="2306" t="e">
        <f>#REF!/E$22*1000/12</f>
        <v>#REF!</v>
      </c>
      <c r="F74" s="2306" t="e">
        <f>#REF!/F$22*1000/12</f>
        <v>#REF!</v>
      </c>
      <c r="G74" s="2306" t="e">
        <f>#REF!/G$22*1000/12</f>
        <v>#REF!</v>
      </c>
    </row>
    <row r="75" spans="1:9" x14ac:dyDescent="0.25">
      <c r="A75" s="2317" t="s">
        <v>2946</v>
      </c>
      <c r="B75" s="278" t="s">
        <v>226</v>
      </c>
      <c r="C75" s="2369" t="s">
        <v>3065</v>
      </c>
      <c r="D75" s="2306" t="e">
        <f>#REF!/D$22*1000/12</f>
        <v>#REF!</v>
      </c>
      <c r="E75" s="2306" t="e">
        <f>#REF!/E$22*1000/12</f>
        <v>#REF!</v>
      </c>
      <c r="F75" s="2306" t="e">
        <f>#REF!/F$22*1000/12</f>
        <v>#REF!</v>
      </c>
      <c r="G75" s="2306" t="e">
        <f>#REF!/G$22*1000/12</f>
        <v>#REF!</v>
      </c>
    </row>
    <row r="76" spans="1:9" ht="27" customHeight="1" x14ac:dyDescent="0.25">
      <c r="A76" s="2317" t="s">
        <v>2947</v>
      </c>
      <c r="B76" s="278" t="s">
        <v>451</v>
      </c>
      <c r="C76" s="2369" t="s">
        <v>3065</v>
      </c>
      <c r="D76" s="2306" t="e">
        <f>#REF!/D$22*1000/12</f>
        <v>#REF!</v>
      </c>
      <c r="E76" s="2306" t="e">
        <f>#REF!/E$22*1000/12</f>
        <v>#REF!</v>
      </c>
      <c r="F76" s="2306" t="e">
        <f>#REF!/F$22*1000/12</f>
        <v>#REF!</v>
      </c>
      <c r="G76" s="2306" t="e">
        <f>#REF!/G$22*1000/12</f>
        <v>#REF!</v>
      </c>
    </row>
    <row r="77" spans="1:9" x14ac:dyDescent="0.25">
      <c r="A77" s="2317" t="s">
        <v>2948</v>
      </c>
      <c r="B77" s="278" t="s">
        <v>459</v>
      </c>
      <c r="C77" s="2369" t="s">
        <v>3065</v>
      </c>
      <c r="D77" s="2306" t="e">
        <f>#REF!/D$22*1000/12</f>
        <v>#REF!</v>
      </c>
      <c r="E77" s="2306" t="e">
        <f>#REF!/E$22*1000/12</f>
        <v>#REF!</v>
      </c>
      <c r="F77" s="2306" t="e">
        <f>#REF!/F$22*1000/12</f>
        <v>#REF!</v>
      </c>
      <c r="G77" s="2306" t="e">
        <f>#REF!/G$22*1000/12</f>
        <v>#REF!</v>
      </c>
    </row>
    <row r="78" spans="1:9" x14ac:dyDescent="0.25">
      <c r="A78" s="2317" t="s">
        <v>2949</v>
      </c>
      <c r="B78" s="278" t="s">
        <v>82</v>
      </c>
      <c r="C78" s="2369" t="s">
        <v>3065</v>
      </c>
      <c r="D78" s="2306" t="e">
        <f>#REF!/D$22*1000/12</f>
        <v>#REF!</v>
      </c>
      <c r="E78" s="2306" t="e">
        <f>#REF!/E$22*1000/12</f>
        <v>#REF!</v>
      </c>
      <c r="F78" s="2306" t="e">
        <f>#REF!/F$22*1000/12</f>
        <v>#REF!</v>
      </c>
      <c r="G78" s="2306" t="e">
        <f>#REF!/G$22*1000/12</f>
        <v>#REF!</v>
      </c>
    </row>
    <row r="79" spans="1:9" x14ac:dyDescent="0.25">
      <c r="A79" s="2317" t="s">
        <v>2950</v>
      </c>
      <c r="B79" s="278" t="s">
        <v>227</v>
      </c>
      <c r="C79" s="2369" t="s">
        <v>3065</v>
      </c>
      <c r="D79" s="2306" t="e">
        <f>#REF!/D$22*1000/12</f>
        <v>#REF!</v>
      </c>
      <c r="E79" s="2306" t="e">
        <f>#REF!/E$22*1000/12</f>
        <v>#REF!</v>
      </c>
      <c r="F79" s="2306" t="e">
        <f>#REF!/F$22*1000/12</f>
        <v>#REF!</v>
      </c>
      <c r="G79" s="2306" t="e">
        <f>#REF!/G$22*1000/12</f>
        <v>#REF!</v>
      </c>
    </row>
    <row r="80" spans="1:9" x14ac:dyDescent="0.25">
      <c r="A80" s="2317" t="s">
        <v>2951</v>
      </c>
      <c r="B80" s="278" t="s">
        <v>55</v>
      </c>
      <c r="C80" s="2369" t="s">
        <v>3065</v>
      </c>
      <c r="D80" s="2306" t="e">
        <f>#REF!/D$22*1000/12</f>
        <v>#REF!</v>
      </c>
      <c r="E80" s="2306" t="e">
        <f>#REF!/E$22*1000/12</f>
        <v>#REF!</v>
      </c>
      <c r="F80" s="2306" t="e">
        <f>#REF!/F$22*1000/12</f>
        <v>#REF!</v>
      </c>
      <c r="G80" s="2306" t="e">
        <f>#REF!/G$22*1000/12</f>
        <v>#REF!</v>
      </c>
    </row>
    <row r="81" spans="1:9" ht="28.15" customHeight="1" x14ac:dyDescent="0.25">
      <c r="A81" s="2317" t="s">
        <v>2952</v>
      </c>
      <c r="B81" s="278" t="s">
        <v>451</v>
      </c>
      <c r="C81" s="2369" t="s">
        <v>3065</v>
      </c>
      <c r="D81" s="2306" t="e">
        <f>#REF!/D$22*1000/12</f>
        <v>#REF!</v>
      </c>
      <c r="E81" s="2306" t="e">
        <f>#REF!/E$22*1000/12</f>
        <v>#REF!</v>
      </c>
      <c r="F81" s="2306" t="e">
        <f>#REF!/F$22*1000/12</f>
        <v>#REF!</v>
      </c>
      <c r="G81" s="2306" t="e">
        <f>#REF!/G$22*1000/12</f>
        <v>#REF!</v>
      </c>
    </row>
    <row r="82" spans="1:9" x14ac:dyDescent="0.25">
      <c r="A82" s="2317" t="s">
        <v>2953</v>
      </c>
      <c r="B82" s="278" t="s">
        <v>58</v>
      </c>
      <c r="C82" s="2369" t="s">
        <v>3065</v>
      </c>
      <c r="D82" s="2306" t="e">
        <f>#REF!/D$22*1000/12</f>
        <v>#REF!</v>
      </c>
      <c r="E82" s="2306" t="e">
        <f>#REF!/E$22*1000/12</f>
        <v>#REF!</v>
      </c>
      <c r="F82" s="2306" t="e">
        <f>#REF!/F$22*1000/12</f>
        <v>#REF!</v>
      </c>
      <c r="G82" s="2306" t="e">
        <f>#REF!/G$22*1000/12</f>
        <v>#REF!</v>
      </c>
    </row>
    <row r="83" spans="1:9" x14ac:dyDescent="0.25">
      <c r="A83" s="2317" t="s">
        <v>670</v>
      </c>
      <c r="B83" s="150" t="s">
        <v>228</v>
      </c>
      <c r="C83" s="2369" t="s">
        <v>3065</v>
      </c>
      <c r="D83" s="2306" t="e">
        <f>#REF!/D$22*1000/12</f>
        <v>#REF!</v>
      </c>
      <c r="E83" s="2306" t="e">
        <f>#REF!/E$22*1000/12</f>
        <v>#REF!</v>
      </c>
      <c r="F83" s="2306" t="e">
        <f>#REF!/F$22*1000/12</f>
        <v>#REF!</v>
      </c>
      <c r="G83" s="2306" t="e">
        <f>#REF!/G$22*1000/12</f>
        <v>#REF!</v>
      </c>
    </row>
    <row r="84" spans="1:9" x14ac:dyDescent="0.25">
      <c r="A84" s="2317" t="s">
        <v>201</v>
      </c>
      <c r="B84" s="150" t="s">
        <v>55</v>
      </c>
      <c r="C84" s="2369" t="s">
        <v>3065</v>
      </c>
      <c r="D84" s="2306" t="e">
        <f>#REF!/D$22*1000/12</f>
        <v>#REF!</v>
      </c>
      <c r="E84" s="2306" t="e">
        <f>#REF!/E$22*1000/12</f>
        <v>#REF!</v>
      </c>
      <c r="F84" s="2306" t="e">
        <f>#REF!/F$22*1000/12</f>
        <v>#REF!</v>
      </c>
      <c r="G84" s="2306" t="e">
        <f>#REF!/G$22*1000/12</f>
        <v>#REF!</v>
      </c>
    </row>
    <row r="85" spans="1:9" ht="26.45" customHeight="1" x14ac:dyDescent="0.25">
      <c r="A85" s="2317" t="s">
        <v>202</v>
      </c>
      <c r="B85" s="150" t="s">
        <v>451</v>
      </c>
      <c r="C85" s="2369" t="s">
        <v>3065</v>
      </c>
      <c r="D85" s="2306" t="e">
        <f>#REF!/D$22*1000/12</f>
        <v>#REF!</v>
      </c>
      <c r="E85" s="2306" t="e">
        <f>#REF!/E$22*1000/12</f>
        <v>#REF!</v>
      </c>
      <c r="F85" s="2306" t="e">
        <f>#REF!/F$22*1000/12</f>
        <v>#REF!</v>
      </c>
      <c r="G85" s="2306" t="e">
        <f>#REF!/G$22*1000/12</f>
        <v>#REF!</v>
      </c>
    </row>
    <row r="86" spans="1:9" x14ac:dyDescent="0.25">
      <c r="A86" s="2317" t="s">
        <v>2954</v>
      </c>
      <c r="B86" s="150" t="s">
        <v>58</v>
      </c>
      <c r="C86" s="2369" t="s">
        <v>3065</v>
      </c>
      <c r="D86" s="2306" t="e">
        <f>#REF!/D$22*1000/12</f>
        <v>#REF!</v>
      </c>
      <c r="E86" s="2306" t="e">
        <f>#REF!/E$22*1000/12</f>
        <v>#REF!</v>
      </c>
      <c r="F86" s="2306" t="e">
        <f>#REF!/F$22*1000/12</f>
        <v>#REF!</v>
      </c>
      <c r="G86" s="2306" t="e">
        <f>#REF!/G$22*1000/12</f>
        <v>#REF!</v>
      </c>
    </row>
    <row r="87" spans="1:9" x14ac:dyDescent="0.25">
      <c r="A87" s="2317" t="s">
        <v>671</v>
      </c>
      <c r="B87" s="278" t="s">
        <v>229</v>
      </c>
      <c r="C87" s="2369" t="s">
        <v>3065</v>
      </c>
      <c r="D87" s="2306" t="e">
        <f>#REF!/D$22*1000/12</f>
        <v>#REF!</v>
      </c>
      <c r="E87" s="2306" t="e">
        <f>#REF!/E$22*1000/12</f>
        <v>#REF!</v>
      </c>
      <c r="F87" s="2306" t="e">
        <f>#REF!/F$22*1000/12</f>
        <v>#REF!</v>
      </c>
      <c r="G87" s="2306" t="e">
        <f>#REF!/G$22*1000/12</f>
        <v>#REF!</v>
      </c>
    </row>
    <row r="88" spans="1:9" x14ac:dyDescent="0.25">
      <c r="A88" s="2317" t="s">
        <v>2111</v>
      </c>
      <c r="B88" s="278" t="s">
        <v>55</v>
      </c>
      <c r="C88" s="2369" t="s">
        <v>3065</v>
      </c>
      <c r="D88" s="2306" t="e">
        <f>#REF!/D$22*1000/12</f>
        <v>#REF!</v>
      </c>
      <c r="E88" s="2306" t="e">
        <f>#REF!/E$22*1000/12</f>
        <v>#REF!</v>
      </c>
      <c r="F88" s="2306" t="e">
        <f>#REF!/F$22*1000/12</f>
        <v>#REF!</v>
      </c>
      <c r="G88" s="2306" t="e">
        <f>#REF!/G$22*1000/12</f>
        <v>#REF!</v>
      </c>
    </row>
    <row r="89" spans="1:9" ht="26.45" customHeight="1" x14ac:dyDescent="0.25">
      <c r="A89" s="2317" t="s">
        <v>2112</v>
      </c>
      <c r="B89" s="150" t="s">
        <v>451</v>
      </c>
      <c r="C89" s="2369" t="s">
        <v>3065</v>
      </c>
      <c r="D89" s="2306" t="e">
        <f>#REF!/D$22*1000/12</f>
        <v>#REF!</v>
      </c>
      <c r="E89" s="2306" t="e">
        <f>#REF!/E$22*1000/12</f>
        <v>#REF!</v>
      </c>
      <c r="F89" s="2306" t="e">
        <f>#REF!/F$22*1000/12</f>
        <v>#REF!</v>
      </c>
      <c r="G89" s="2306" t="e">
        <f>#REF!/G$22*1000/12</f>
        <v>#REF!</v>
      </c>
    </row>
    <row r="90" spans="1:9" x14ac:dyDescent="0.25">
      <c r="A90" s="2317" t="s">
        <v>2955</v>
      </c>
      <c r="B90" s="2312" t="s">
        <v>242</v>
      </c>
      <c r="C90" s="2369" t="s">
        <v>3065</v>
      </c>
      <c r="D90" s="2306" t="e">
        <f>#REF!/D$22*1000/12</f>
        <v>#REF!</v>
      </c>
      <c r="E90" s="2306" t="e">
        <f>#REF!/E$22*1000/12</f>
        <v>#REF!</v>
      </c>
      <c r="F90" s="2306" t="e">
        <f>#REF!/F$22*1000/12</f>
        <v>#REF!</v>
      </c>
      <c r="G90" s="2306" t="e">
        <f>#REF!/G$22*1000/12</f>
        <v>#REF!</v>
      </c>
    </row>
    <row r="91" spans="1:9" x14ac:dyDescent="0.25">
      <c r="A91" s="2317" t="s">
        <v>672</v>
      </c>
      <c r="B91" s="150" t="s">
        <v>83</v>
      </c>
      <c r="C91" s="2369" t="s">
        <v>3065</v>
      </c>
      <c r="D91" s="2306" t="e">
        <f>#REF!/D$22*1000/12</f>
        <v>#REF!</v>
      </c>
      <c r="E91" s="2306" t="e">
        <f>#REF!/E$22*1000/12</f>
        <v>#REF!</v>
      </c>
      <c r="F91" s="2306" t="e">
        <f>#REF!/F$22*1000/12</f>
        <v>#REF!</v>
      </c>
      <c r="G91" s="2306" t="e">
        <f>#REF!/G$22*1000/12</f>
        <v>#REF!</v>
      </c>
    </row>
    <row r="92" spans="1:9" x14ac:dyDescent="0.25">
      <c r="A92" s="2317" t="s">
        <v>2956</v>
      </c>
      <c r="B92" s="150" t="s">
        <v>5</v>
      </c>
      <c r="C92" s="2369" t="s">
        <v>3065</v>
      </c>
      <c r="D92" s="2306" t="e">
        <f>#REF!/D$22*1000/12</f>
        <v>#REF!</v>
      </c>
      <c r="E92" s="2306" t="e">
        <f>#REF!/E$22*1000/12</f>
        <v>#REF!</v>
      </c>
      <c r="F92" s="2306" t="e">
        <f>#REF!/F$22*1000/12</f>
        <v>#REF!</v>
      </c>
      <c r="G92" s="2306" t="e">
        <f>#REF!/G$22*1000/12</f>
        <v>#REF!</v>
      </c>
    </row>
    <row r="93" spans="1:9" x14ac:dyDescent="0.25">
      <c r="A93" s="2317" t="s">
        <v>2957</v>
      </c>
      <c r="B93" s="150" t="s">
        <v>63</v>
      </c>
      <c r="C93" s="2369" t="s">
        <v>3065</v>
      </c>
      <c r="D93" s="2306" t="e">
        <f>#REF!/D$22*1000/12</f>
        <v>#REF!</v>
      </c>
      <c r="E93" s="2306" t="e">
        <f>#REF!/E$22*1000/12</f>
        <v>#REF!</v>
      </c>
      <c r="F93" s="2306" t="e">
        <f>#REF!/F$22*1000/12</f>
        <v>#REF!</v>
      </c>
      <c r="G93" s="2306" t="e">
        <f>#REF!/G$22*1000/12</f>
        <v>#REF!</v>
      </c>
    </row>
    <row r="94" spans="1:9" x14ac:dyDescent="0.25">
      <c r="A94" s="2317" t="s">
        <v>2958</v>
      </c>
      <c r="B94" s="150" t="s">
        <v>243</v>
      </c>
      <c r="C94" s="2369" t="s">
        <v>3065</v>
      </c>
      <c r="D94" s="2306" t="e">
        <f>#REF!/D$22*1000/12</f>
        <v>#REF!</v>
      </c>
      <c r="E94" s="2306" t="e">
        <f>#REF!/E$22*1000/12</f>
        <v>#REF!</v>
      </c>
      <c r="F94" s="2306" t="e">
        <f>#REF!/F$22*1000/12</f>
        <v>#REF!</v>
      </c>
      <c r="G94" s="2306" t="e">
        <f>#REF!/G$22*1000/12</f>
        <v>#REF!</v>
      </c>
    </row>
    <row r="95" spans="1:9" ht="27" customHeight="1" x14ac:dyDescent="0.25">
      <c r="A95" s="2317" t="s">
        <v>2959</v>
      </c>
      <c r="B95" s="150" t="s">
        <v>244</v>
      </c>
      <c r="C95" s="2369" t="s">
        <v>3065</v>
      </c>
      <c r="D95" s="2306" t="e">
        <f>#REF!/D$22*1000/12</f>
        <v>#REF!</v>
      </c>
      <c r="E95" s="2306" t="e">
        <f>#REF!/E$22*1000/12</f>
        <v>#REF!</v>
      </c>
      <c r="F95" s="2306" t="e">
        <f>#REF!/F$22*1000/12</f>
        <v>#REF!</v>
      </c>
      <c r="G95" s="2306" t="e">
        <f>#REF!/G$22*1000/12</f>
        <v>#REF!</v>
      </c>
      <c r="I95" s="2372"/>
    </row>
    <row r="96" spans="1:9" x14ac:dyDescent="0.25">
      <c r="A96" s="2317" t="s">
        <v>2960</v>
      </c>
      <c r="B96" s="150" t="s">
        <v>65</v>
      </c>
      <c r="C96" s="2369" t="s">
        <v>3065</v>
      </c>
      <c r="D96" s="2306" t="e">
        <f>#REF!/D$22*1000/12</f>
        <v>#REF!</v>
      </c>
      <c r="E96" s="2306" t="e">
        <f>#REF!/E$22*1000/12</f>
        <v>#REF!</v>
      </c>
      <c r="F96" s="2306" t="e">
        <f>#REF!/F$22*1000/12</f>
        <v>#REF!</v>
      </c>
      <c r="G96" s="2306" t="e">
        <f>#REF!/G$22*1000/12</f>
        <v>#REF!</v>
      </c>
    </row>
    <row r="97" spans="1:7" x14ac:dyDescent="0.25">
      <c r="A97" s="2317" t="s">
        <v>2961</v>
      </c>
      <c r="B97" s="150" t="s">
        <v>85</v>
      </c>
      <c r="C97" s="2369" t="s">
        <v>3065</v>
      </c>
      <c r="D97" s="2306" t="e">
        <f>#REF!/D$22*1000/12</f>
        <v>#REF!</v>
      </c>
      <c r="E97" s="2306" t="e">
        <f>#REF!/E$22*1000/12</f>
        <v>#REF!</v>
      </c>
      <c r="F97" s="2306" t="e">
        <f>#REF!/F$22*1000/12</f>
        <v>#REF!</v>
      </c>
      <c r="G97" s="2306" t="e">
        <f>#REF!/G$22*1000/12</f>
        <v>#REF!</v>
      </c>
    </row>
    <row r="98" spans="1:7" x14ac:dyDescent="0.25">
      <c r="A98" s="2317" t="s">
        <v>2962</v>
      </c>
      <c r="B98" s="150" t="s">
        <v>86</v>
      </c>
      <c r="C98" s="2369" t="s">
        <v>3065</v>
      </c>
      <c r="D98" s="2306" t="e">
        <f>#REF!/D$22*1000/12</f>
        <v>#REF!</v>
      </c>
      <c r="E98" s="2306" t="e">
        <f>#REF!/E$22*1000/12</f>
        <v>#REF!</v>
      </c>
      <c r="F98" s="2306" t="e">
        <f>#REF!/F$22*1000/12</f>
        <v>#REF!</v>
      </c>
      <c r="G98" s="2306" t="e">
        <f>#REF!/G$22*1000/12</f>
        <v>#REF!</v>
      </c>
    </row>
    <row r="99" spans="1:7" ht="25.5" x14ac:dyDescent="0.25">
      <c r="A99" s="2317" t="s">
        <v>2963</v>
      </c>
      <c r="B99" s="150" t="s">
        <v>71</v>
      </c>
      <c r="C99" s="2369" t="s">
        <v>3065</v>
      </c>
      <c r="D99" s="2306" t="e">
        <f>#REF!/D$22*1000/12</f>
        <v>#REF!</v>
      </c>
      <c r="E99" s="2306" t="e">
        <f>#REF!/E$22*1000/12</f>
        <v>#REF!</v>
      </c>
      <c r="F99" s="2306" t="e">
        <f>#REF!/F$22*1000/12</f>
        <v>#REF!</v>
      </c>
      <c r="G99" s="2306" t="e">
        <f>#REF!/G$22*1000/12</f>
        <v>#REF!</v>
      </c>
    </row>
    <row r="100" spans="1:7" x14ac:dyDescent="0.25">
      <c r="A100" s="2317" t="s">
        <v>2964</v>
      </c>
      <c r="B100" s="150" t="s">
        <v>87</v>
      </c>
      <c r="C100" s="2369" t="s">
        <v>3065</v>
      </c>
      <c r="D100" s="2306" t="e">
        <f>#REF!/D$22*1000/12</f>
        <v>#REF!</v>
      </c>
      <c r="E100" s="2306" t="e">
        <f>#REF!/E$22*1000/12</f>
        <v>#REF!</v>
      </c>
      <c r="F100" s="2306" t="e">
        <f>#REF!/F$22*1000/12</f>
        <v>#REF!</v>
      </c>
      <c r="G100" s="2306" t="e">
        <f>#REF!/G$22*1000/12</f>
        <v>#REF!</v>
      </c>
    </row>
    <row r="101" spans="1:7" x14ac:dyDescent="0.25">
      <c r="A101" s="4059" t="s">
        <v>2933</v>
      </c>
      <c r="B101" s="4060"/>
      <c r="C101" s="4060"/>
      <c r="D101" s="4060"/>
      <c r="E101" s="4060"/>
      <c r="F101" s="4060"/>
      <c r="G101" s="4061"/>
    </row>
    <row r="102" spans="1:7" ht="38.25" x14ac:dyDescent="0.25">
      <c r="A102" s="2319" t="s">
        <v>2965</v>
      </c>
      <c r="B102" s="2321" t="s">
        <v>2996</v>
      </c>
      <c r="C102" s="2371" t="s">
        <v>3063</v>
      </c>
      <c r="D102" s="2306" t="e">
        <f>#REF!/D$20*1000/12</f>
        <v>#REF!</v>
      </c>
      <c r="E102" s="2306" t="e">
        <f>#REF!/E$20*1000/12</f>
        <v>#REF!</v>
      </c>
      <c r="F102" s="2306" t="e">
        <f>#REF!/F$20*1000/12</f>
        <v>#REF!</v>
      </c>
      <c r="G102" s="2306" t="e">
        <f>#REF!/G$20*1000/12</f>
        <v>#REF!</v>
      </c>
    </row>
    <row r="103" spans="1:7" x14ac:dyDescent="0.25">
      <c r="A103" s="2320" t="s">
        <v>2966</v>
      </c>
      <c r="B103" s="150" t="s">
        <v>224</v>
      </c>
      <c r="C103" s="2370" t="s">
        <v>3065</v>
      </c>
      <c r="D103" s="2306" t="e">
        <f>#REF!/D$20*1000/12</f>
        <v>#REF!</v>
      </c>
      <c r="E103" s="2306" t="e">
        <f>#REF!/E$20*1000/12</f>
        <v>#REF!</v>
      </c>
      <c r="F103" s="2306" t="e">
        <f>#REF!/F$20*1000/12</f>
        <v>#REF!</v>
      </c>
      <c r="G103" s="2306" t="e">
        <f>#REF!/G$20*1000/12</f>
        <v>#REF!</v>
      </c>
    </row>
    <row r="104" spans="1:7" x14ac:dyDescent="0.25">
      <c r="A104" s="2320" t="s">
        <v>2967</v>
      </c>
      <c r="B104" s="150" t="s">
        <v>103</v>
      </c>
      <c r="C104" s="2370" t="s">
        <v>3065</v>
      </c>
      <c r="D104" s="2306" t="e">
        <f>#REF!/D$20*1000/12</f>
        <v>#REF!</v>
      </c>
      <c r="E104" s="2306" t="e">
        <f>#REF!/E$20*1000/12</f>
        <v>#REF!</v>
      </c>
      <c r="F104" s="2306" t="e">
        <f>#REF!/F$20*1000/12</f>
        <v>#REF!</v>
      </c>
      <c r="G104" s="2306" t="e">
        <f>#REF!/G$20*1000/12</f>
        <v>#REF!</v>
      </c>
    </row>
    <row r="105" spans="1:7" x14ac:dyDescent="0.25">
      <c r="A105" s="2320" t="s">
        <v>2968</v>
      </c>
      <c r="B105" s="150" t="s">
        <v>47</v>
      </c>
      <c r="C105" s="2370" t="s">
        <v>3065</v>
      </c>
      <c r="D105" s="2306" t="e">
        <f>#REF!/D$20*1000/12</f>
        <v>#REF!</v>
      </c>
      <c r="E105" s="2306" t="e">
        <f>#REF!/E$20*1000/12</f>
        <v>#REF!</v>
      </c>
      <c r="F105" s="2306" t="e">
        <f>#REF!/F$20*1000/12</f>
        <v>#REF!</v>
      </c>
      <c r="G105" s="2306" t="e">
        <f>#REF!/G$20*1000/12</f>
        <v>#REF!</v>
      </c>
    </row>
    <row r="106" spans="1:7" x14ac:dyDescent="0.25">
      <c r="A106" s="2320" t="s">
        <v>2969</v>
      </c>
      <c r="B106" s="150" t="s">
        <v>226</v>
      </c>
      <c r="C106" s="2370" t="s">
        <v>3065</v>
      </c>
      <c r="D106" s="2306" t="e">
        <f>#REF!/D$20*1000/12</f>
        <v>#REF!</v>
      </c>
      <c r="E106" s="2306" t="e">
        <f>#REF!/E$20*1000/12</f>
        <v>#REF!</v>
      </c>
      <c r="F106" s="2306" t="e">
        <f>#REF!/F$20*1000/12</f>
        <v>#REF!</v>
      </c>
      <c r="G106" s="2306" t="e">
        <f>#REF!/G$20*1000/12</f>
        <v>#REF!</v>
      </c>
    </row>
    <row r="107" spans="1:7" ht="28.9" customHeight="1" x14ac:dyDescent="0.25">
      <c r="A107" s="2320" t="s">
        <v>2970</v>
      </c>
      <c r="B107" s="150" t="s">
        <v>451</v>
      </c>
      <c r="C107" s="2370" t="s">
        <v>3065</v>
      </c>
      <c r="D107" s="2306" t="e">
        <f>#REF!/D$20*1000/12</f>
        <v>#REF!</v>
      </c>
      <c r="E107" s="2306" t="e">
        <f>#REF!/E$20*1000/12</f>
        <v>#REF!</v>
      </c>
      <c r="F107" s="2306" t="e">
        <f>#REF!/F$20*1000/12</f>
        <v>#REF!</v>
      </c>
      <c r="G107" s="2306" t="e">
        <f>#REF!/G$20*1000/12</f>
        <v>#REF!</v>
      </c>
    </row>
    <row r="108" spans="1:7" x14ac:dyDescent="0.25">
      <c r="A108" s="2320" t="s">
        <v>2971</v>
      </c>
      <c r="B108" s="150" t="s">
        <v>459</v>
      </c>
      <c r="C108" s="2370" t="s">
        <v>3065</v>
      </c>
      <c r="D108" s="2306" t="e">
        <f>#REF!/D$20*1000/12</f>
        <v>#REF!</v>
      </c>
      <c r="E108" s="2306" t="e">
        <f>#REF!/E$20*1000/12</f>
        <v>#REF!</v>
      </c>
      <c r="F108" s="2306" t="e">
        <f>#REF!/F$20*1000/12</f>
        <v>#REF!</v>
      </c>
      <c r="G108" s="2306" t="e">
        <f>#REF!/G$20*1000/12</f>
        <v>#REF!</v>
      </c>
    </row>
    <row r="109" spans="1:7" x14ac:dyDescent="0.25">
      <c r="A109" s="2320" t="s">
        <v>2972</v>
      </c>
      <c r="B109" s="150" t="s">
        <v>52</v>
      </c>
      <c r="C109" s="2370" t="s">
        <v>3065</v>
      </c>
      <c r="D109" s="2306" t="e">
        <f>#REF!/D$20*1000/12</f>
        <v>#REF!</v>
      </c>
      <c r="E109" s="2306" t="e">
        <f>#REF!/E$20*1000/12</f>
        <v>#REF!</v>
      </c>
      <c r="F109" s="2306" t="e">
        <f>#REF!/F$20*1000/12</f>
        <v>#REF!</v>
      </c>
      <c r="G109" s="2306" t="e">
        <f>#REF!/G$20*1000/12</f>
        <v>#REF!</v>
      </c>
    </row>
    <row r="110" spans="1:7" x14ac:dyDescent="0.25">
      <c r="A110" s="2320" t="s">
        <v>2973</v>
      </c>
      <c r="B110" s="150" t="s">
        <v>227</v>
      </c>
      <c r="C110" s="2370" t="s">
        <v>3065</v>
      </c>
      <c r="D110" s="2306" t="e">
        <f>#REF!/D$20*1000/12</f>
        <v>#REF!</v>
      </c>
      <c r="E110" s="2306" t="e">
        <f>#REF!/E$20*1000/12</f>
        <v>#REF!</v>
      </c>
      <c r="F110" s="2306" t="e">
        <f>#REF!/F$20*1000/12</f>
        <v>#REF!</v>
      </c>
      <c r="G110" s="2306" t="e">
        <f>#REF!/G$20*1000/12</f>
        <v>#REF!</v>
      </c>
    </row>
    <row r="111" spans="1:7" x14ac:dyDescent="0.25">
      <c r="A111" s="2320" t="s">
        <v>2974</v>
      </c>
      <c r="B111" s="150" t="s">
        <v>55</v>
      </c>
      <c r="C111" s="2370" t="s">
        <v>3065</v>
      </c>
      <c r="D111" s="2306" t="e">
        <f>#REF!/D$20*1000/12</f>
        <v>#REF!</v>
      </c>
      <c r="E111" s="2306" t="e">
        <f>#REF!/E$20*1000/12</f>
        <v>#REF!</v>
      </c>
      <c r="F111" s="2306" t="e">
        <f>#REF!/F$20*1000/12</f>
        <v>#REF!</v>
      </c>
      <c r="G111" s="2306" t="e">
        <f>#REF!/G$20*1000/12</f>
        <v>#REF!</v>
      </c>
    </row>
    <row r="112" spans="1:7" ht="27.6" customHeight="1" x14ac:dyDescent="0.25">
      <c r="A112" s="2320" t="s">
        <v>2975</v>
      </c>
      <c r="B112" s="150" t="s">
        <v>451</v>
      </c>
      <c r="C112" s="2370" t="s">
        <v>3065</v>
      </c>
      <c r="D112" s="2306" t="e">
        <f>#REF!/D$20*1000/12</f>
        <v>#REF!</v>
      </c>
      <c r="E112" s="2306" t="e">
        <f>#REF!/E$20*1000/12</f>
        <v>#REF!</v>
      </c>
      <c r="F112" s="2306" t="e">
        <f>#REF!/F$20*1000/12</f>
        <v>#REF!</v>
      </c>
      <c r="G112" s="2306" t="e">
        <f>#REF!/G$20*1000/12</f>
        <v>#REF!</v>
      </c>
    </row>
    <row r="113" spans="1:7" x14ac:dyDescent="0.25">
      <c r="A113" s="2320" t="s">
        <v>2976</v>
      </c>
      <c r="B113" s="150" t="s">
        <v>58</v>
      </c>
      <c r="C113" s="2370" t="s">
        <v>3065</v>
      </c>
      <c r="D113" s="2306" t="e">
        <f>#REF!/D$20*1000/12</f>
        <v>#REF!</v>
      </c>
      <c r="E113" s="2306" t="e">
        <f>#REF!/E$20*1000/12</f>
        <v>#REF!</v>
      </c>
      <c r="F113" s="2306" t="e">
        <f>#REF!/F$20*1000/12</f>
        <v>#REF!</v>
      </c>
      <c r="G113" s="2306" t="e">
        <f>#REF!/G$20*1000/12</f>
        <v>#REF!</v>
      </c>
    </row>
    <row r="114" spans="1:7" x14ac:dyDescent="0.25">
      <c r="A114" s="2320" t="s">
        <v>2977</v>
      </c>
      <c r="B114" s="150" t="s">
        <v>228</v>
      </c>
      <c r="C114" s="2370" t="s">
        <v>3065</v>
      </c>
      <c r="D114" s="2306" t="e">
        <f>#REF!/D$20*1000/12</f>
        <v>#REF!</v>
      </c>
      <c r="E114" s="2306" t="e">
        <f>#REF!/E$20*1000/12</f>
        <v>#REF!</v>
      </c>
      <c r="F114" s="2306" t="e">
        <f>#REF!/F$20*1000/12</f>
        <v>#REF!</v>
      </c>
      <c r="G114" s="2306" t="e">
        <f>#REF!/G$20*1000/12</f>
        <v>#REF!</v>
      </c>
    </row>
    <row r="115" spans="1:7" x14ac:dyDescent="0.25">
      <c r="A115" s="2320" t="s">
        <v>2978</v>
      </c>
      <c r="B115" s="150" t="s">
        <v>55</v>
      </c>
      <c r="C115" s="2370" t="s">
        <v>3065</v>
      </c>
      <c r="D115" s="2306" t="e">
        <f>#REF!/D$20*1000/12</f>
        <v>#REF!</v>
      </c>
      <c r="E115" s="2306" t="e">
        <f>#REF!/E$20*1000/12</f>
        <v>#REF!</v>
      </c>
      <c r="F115" s="2306" t="e">
        <f>#REF!/F$20*1000/12</f>
        <v>#REF!</v>
      </c>
      <c r="G115" s="2306" t="e">
        <f>#REF!/G$20*1000/12</f>
        <v>#REF!</v>
      </c>
    </row>
    <row r="116" spans="1:7" ht="25.9" customHeight="1" x14ac:dyDescent="0.25">
      <c r="A116" s="2320" t="s">
        <v>2979</v>
      </c>
      <c r="B116" s="150" t="s">
        <v>451</v>
      </c>
      <c r="C116" s="2370" t="s">
        <v>3065</v>
      </c>
      <c r="D116" s="2306" t="e">
        <f>#REF!/D$20*1000/12</f>
        <v>#REF!</v>
      </c>
      <c r="E116" s="2306" t="e">
        <f>#REF!/E$20*1000/12</f>
        <v>#REF!</v>
      </c>
      <c r="F116" s="2306" t="e">
        <f>#REF!/F$20*1000/12</f>
        <v>#REF!</v>
      </c>
      <c r="G116" s="2306" t="e">
        <f>#REF!/G$20*1000/12</f>
        <v>#REF!</v>
      </c>
    </row>
    <row r="117" spans="1:7" x14ac:dyDescent="0.25">
      <c r="A117" s="2320" t="s">
        <v>2980</v>
      </c>
      <c r="B117" s="150" t="s">
        <v>58</v>
      </c>
      <c r="C117" s="2370" t="s">
        <v>3065</v>
      </c>
      <c r="D117" s="2306" t="e">
        <f>#REF!/D$20*1000/12</f>
        <v>#REF!</v>
      </c>
      <c r="E117" s="2306" t="e">
        <f>#REF!/E$20*1000/12</f>
        <v>#REF!</v>
      </c>
      <c r="F117" s="2306" t="e">
        <f>#REF!/F$20*1000/12</f>
        <v>#REF!</v>
      </c>
      <c r="G117" s="2306" t="e">
        <f>#REF!/G$20*1000/12</f>
        <v>#REF!</v>
      </c>
    </row>
    <row r="118" spans="1:7" x14ac:dyDescent="0.25">
      <c r="A118" s="2320" t="s">
        <v>2981</v>
      </c>
      <c r="B118" s="278" t="s">
        <v>229</v>
      </c>
      <c r="C118" s="2370" t="s">
        <v>3065</v>
      </c>
      <c r="D118" s="2306" t="e">
        <f>#REF!/D$20*1000/12</f>
        <v>#REF!</v>
      </c>
      <c r="E118" s="2306" t="e">
        <f>#REF!/E$20*1000/12</f>
        <v>#REF!</v>
      </c>
      <c r="F118" s="2306" t="e">
        <f>#REF!/F$20*1000/12</f>
        <v>#REF!</v>
      </c>
      <c r="G118" s="2306" t="e">
        <f>#REF!/G$20*1000/12</f>
        <v>#REF!</v>
      </c>
    </row>
    <row r="119" spans="1:7" x14ac:dyDescent="0.25">
      <c r="A119" s="2320" t="s">
        <v>2045</v>
      </c>
      <c r="B119" s="278" t="s">
        <v>55</v>
      </c>
      <c r="C119" s="2370" t="s">
        <v>3065</v>
      </c>
      <c r="D119" s="2306" t="e">
        <f>#REF!/D$20*1000/12</f>
        <v>#REF!</v>
      </c>
      <c r="E119" s="2306" t="e">
        <f>#REF!/E$20*1000/12</f>
        <v>#REF!</v>
      </c>
      <c r="F119" s="2306" t="e">
        <f>#REF!/F$20*1000/12</f>
        <v>#REF!</v>
      </c>
      <c r="G119" s="2306" t="e">
        <f>#REF!/G$20*1000/12</f>
        <v>#REF!</v>
      </c>
    </row>
    <row r="120" spans="1:7" ht="28.15" customHeight="1" x14ac:dyDescent="0.25">
      <c r="A120" s="2320" t="s">
        <v>2047</v>
      </c>
      <c r="B120" s="278" t="s">
        <v>451</v>
      </c>
      <c r="C120" s="2370" t="s">
        <v>3065</v>
      </c>
      <c r="D120" s="2306" t="e">
        <f>#REF!/D$20*1000/12</f>
        <v>#REF!</v>
      </c>
      <c r="E120" s="2306" t="e">
        <f>#REF!/E$20*1000/12</f>
        <v>#REF!</v>
      </c>
      <c r="F120" s="2306" t="e">
        <f>#REF!/F$20*1000/12</f>
        <v>#REF!</v>
      </c>
      <c r="G120" s="2306" t="e">
        <f>#REF!/G$20*1000/12</f>
        <v>#REF!</v>
      </c>
    </row>
    <row r="121" spans="1:7" x14ac:dyDescent="0.25">
      <c r="A121" s="2320" t="s">
        <v>2982</v>
      </c>
      <c r="B121" s="2312" t="s">
        <v>242</v>
      </c>
      <c r="C121" s="2370" t="s">
        <v>3065</v>
      </c>
      <c r="D121" s="2306" t="e">
        <f>#REF!/D$20*1000/12</f>
        <v>#REF!</v>
      </c>
      <c r="E121" s="2306" t="e">
        <f>#REF!/E$20*1000/12</f>
        <v>#REF!</v>
      </c>
      <c r="F121" s="2306" t="e">
        <f>#REF!/F$20*1000/12</f>
        <v>#REF!</v>
      </c>
      <c r="G121" s="2306" t="e">
        <f>#REF!/G$20*1000/12</f>
        <v>#REF!</v>
      </c>
    </row>
    <row r="122" spans="1:7" x14ac:dyDescent="0.25">
      <c r="A122" s="2320" t="s">
        <v>2983</v>
      </c>
      <c r="B122" s="150" t="s">
        <v>106</v>
      </c>
      <c r="C122" s="2370" t="s">
        <v>3065</v>
      </c>
      <c r="D122" s="2306" t="e">
        <f>#REF!/D$20*1000/12</f>
        <v>#REF!</v>
      </c>
      <c r="E122" s="2306" t="e">
        <f>#REF!/E$20*1000/12</f>
        <v>#REF!</v>
      </c>
      <c r="F122" s="2306" t="e">
        <f>#REF!/F$20*1000/12</f>
        <v>#REF!</v>
      </c>
      <c r="G122" s="2306" t="e">
        <f>#REF!/G$20*1000/12</f>
        <v>#REF!</v>
      </c>
    </row>
    <row r="123" spans="1:7" x14ac:dyDescent="0.25">
      <c r="A123" s="2320" t="s">
        <v>2984</v>
      </c>
      <c r="B123" s="150" t="s">
        <v>5</v>
      </c>
      <c r="C123" s="2370" t="s">
        <v>3065</v>
      </c>
      <c r="D123" s="2306" t="e">
        <f>#REF!/D$20*1000/12</f>
        <v>#REF!</v>
      </c>
      <c r="E123" s="2306" t="e">
        <f>#REF!/E$20*1000/12</f>
        <v>#REF!</v>
      </c>
      <c r="F123" s="2306" t="e">
        <f>#REF!/F$20*1000/12</f>
        <v>#REF!</v>
      </c>
      <c r="G123" s="2306" t="e">
        <f>#REF!/G$20*1000/12</f>
        <v>#REF!</v>
      </c>
    </row>
    <row r="124" spans="1:7" x14ac:dyDescent="0.25">
      <c r="A124" s="2320" t="s">
        <v>2985</v>
      </c>
      <c r="B124" s="150" t="s">
        <v>63</v>
      </c>
      <c r="C124" s="2370" t="s">
        <v>3065</v>
      </c>
      <c r="D124" s="2306" t="e">
        <f>#REF!/D$20*1000/12</f>
        <v>#REF!</v>
      </c>
      <c r="E124" s="2306" t="e">
        <f>#REF!/E$20*1000/12</f>
        <v>#REF!</v>
      </c>
      <c r="F124" s="2306" t="e">
        <f>#REF!/F$20*1000/12</f>
        <v>#REF!</v>
      </c>
      <c r="G124" s="2306" t="e">
        <f>#REF!/G$20*1000/12</f>
        <v>#REF!</v>
      </c>
    </row>
    <row r="125" spans="1:7" x14ac:dyDescent="0.25">
      <c r="A125" s="2320" t="s">
        <v>2986</v>
      </c>
      <c r="B125" s="150" t="s">
        <v>230</v>
      </c>
      <c r="C125" s="2370" t="s">
        <v>3065</v>
      </c>
      <c r="D125" s="2306" t="e">
        <f>#REF!/D$20*1000/12</f>
        <v>#REF!</v>
      </c>
      <c r="E125" s="2306" t="e">
        <f>#REF!/E$20*1000/12</f>
        <v>#REF!</v>
      </c>
      <c r="F125" s="2306" t="e">
        <f>#REF!/F$20*1000/12</f>
        <v>#REF!</v>
      </c>
      <c r="G125" s="2306" t="e">
        <f>#REF!/G$20*1000/12</f>
        <v>#REF!</v>
      </c>
    </row>
    <row r="126" spans="1:7" ht="25.5" x14ac:dyDescent="0.25">
      <c r="A126" s="2320" t="s">
        <v>2987</v>
      </c>
      <c r="B126" s="150" t="s">
        <v>251</v>
      </c>
      <c r="C126" s="2370" t="s">
        <v>3065</v>
      </c>
      <c r="D126" s="2306" t="e">
        <f>#REF!/D$20*1000/12</f>
        <v>#REF!</v>
      </c>
      <c r="E126" s="2306" t="e">
        <f>#REF!/E$20*1000/12</f>
        <v>#REF!</v>
      </c>
      <c r="F126" s="2306" t="e">
        <f>#REF!/F$20*1000/12</f>
        <v>#REF!</v>
      </c>
      <c r="G126" s="2306" t="e">
        <f>#REF!/G$20*1000/12</f>
        <v>#REF!</v>
      </c>
    </row>
    <row r="127" spans="1:7" x14ac:dyDescent="0.25">
      <c r="A127" s="2320" t="s">
        <v>2988</v>
      </c>
      <c r="B127" s="150" t="s">
        <v>65</v>
      </c>
      <c r="C127" s="2370" t="s">
        <v>3065</v>
      </c>
      <c r="D127" s="2306" t="e">
        <f>#REF!/D$20*1000/12</f>
        <v>#REF!</v>
      </c>
      <c r="E127" s="2306" t="e">
        <f>#REF!/E$20*1000/12</f>
        <v>#REF!</v>
      </c>
      <c r="F127" s="2306" t="e">
        <f>#REF!/F$20*1000/12</f>
        <v>#REF!</v>
      </c>
      <c r="G127" s="2306" t="e">
        <f>#REF!/G$20*1000/12</f>
        <v>#REF!</v>
      </c>
    </row>
    <row r="128" spans="1:7" x14ac:dyDescent="0.25">
      <c r="A128" s="2320" t="s">
        <v>2989</v>
      </c>
      <c r="B128" s="150" t="s">
        <v>85</v>
      </c>
      <c r="C128" s="2370" t="s">
        <v>3065</v>
      </c>
      <c r="D128" s="2306" t="e">
        <f>#REF!/D$20*1000/12</f>
        <v>#REF!</v>
      </c>
      <c r="E128" s="2306" t="e">
        <f>#REF!/E$20*1000/12</f>
        <v>#REF!</v>
      </c>
      <c r="F128" s="2306" t="e">
        <f>#REF!/F$20*1000/12</f>
        <v>#REF!</v>
      </c>
      <c r="G128" s="2306" t="e">
        <f>#REF!/G$20*1000/12</f>
        <v>#REF!</v>
      </c>
    </row>
    <row r="129" spans="1:7" x14ac:dyDescent="0.25">
      <c r="A129" s="2320" t="s">
        <v>2990</v>
      </c>
      <c r="B129" s="150" t="s">
        <v>86</v>
      </c>
      <c r="C129" s="2370" t="s">
        <v>3065</v>
      </c>
      <c r="D129" s="2306" t="e">
        <f>#REF!/D$20*1000/12</f>
        <v>#REF!</v>
      </c>
      <c r="E129" s="2306" t="e">
        <f>#REF!/E$20*1000/12</f>
        <v>#REF!</v>
      </c>
      <c r="F129" s="2306" t="e">
        <f>#REF!/F$20*1000/12</f>
        <v>#REF!</v>
      </c>
      <c r="G129" s="2306" t="e">
        <f>#REF!/G$20*1000/12</f>
        <v>#REF!</v>
      </c>
    </row>
    <row r="130" spans="1:7" ht="25.5" x14ac:dyDescent="0.25">
      <c r="A130" s="2320" t="s">
        <v>2991</v>
      </c>
      <c r="B130" s="150" t="s">
        <v>71</v>
      </c>
      <c r="C130" s="2370" t="s">
        <v>3065</v>
      </c>
      <c r="D130" s="2306" t="e">
        <f>#REF!/D$20*1000/12</f>
        <v>#REF!</v>
      </c>
      <c r="E130" s="2306" t="e">
        <f>#REF!/E$20*1000/12</f>
        <v>#REF!</v>
      </c>
      <c r="F130" s="2306" t="e">
        <f>#REF!/F$20*1000/12</f>
        <v>#REF!</v>
      </c>
      <c r="G130" s="2306" t="e">
        <f>#REF!/G$20*1000/12</f>
        <v>#REF!</v>
      </c>
    </row>
    <row r="131" spans="1:7" x14ac:dyDescent="0.25">
      <c r="A131" s="2320" t="s">
        <v>2992</v>
      </c>
      <c r="B131" s="1220" t="s">
        <v>87</v>
      </c>
      <c r="C131" s="2370" t="s">
        <v>3065</v>
      </c>
      <c r="D131" s="2306" t="e">
        <f>#REF!/D$20*1000/12</f>
        <v>#REF!</v>
      </c>
      <c r="E131" s="2306" t="e">
        <f>#REF!/E$20*1000/12</f>
        <v>#REF!</v>
      </c>
      <c r="F131" s="2306" t="e">
        <f>#REF!/F$20*1000/12</f>
        <v>#REF!</v>
      </c>
      <c r="G131" s="2306" t="e">
        <f>#REF!/G$20*1000/12</f>
        <v>#REF!</v>
      </c>
    </row>
    <row r="135" spans="1:7" ht="15.75" x14ac:dyDescent="0.25">
      <c r="B135" s="2175" t="s">
        <v>2846</v>
      </c>
      <c r="C135" s="2175"/>
      <c r="D135" s="58"/>
      <c r="E135" s="2175" t="s">
        <v>2847</v>
      </c>
      <c r="F135" s="2175"/>
      <c r="G135" s="2175"/>
    </row>
  </sheetData>
  <mergeCells count="16">
    <mergeCell ref="A30:G30"/>
    <mergeCell ref="A61:G61"/>
    <mergeCell ref="A65:G65"/>
    <mergeCell ref="A101:G101"/>
    <mergeCell ref="A9:A10"/>
    <mergeCell ref="B9:B10"/>
    <mergeCell ref="D9:G9"/>
    <mergeCell ref="A12:G12"/>
    <mergeCell ref="A15:G15"/>
    <mergeCell ref="A23:G23"/>
    <mergeCell ref="A7:G7"/>
    <mergeCell ref="D1:F1"/>
    <mergeCell ref="D2:F2"/>
    <mergeCell ref="D3:F3"/>
    <mergeCell ref="D4:F4"/>
    <mergeCell ref="A6:G6"/>
  </mergeCells>
  <pageMargins left="0.79" right="0.31" top="0.43" bottom="0.37" header="0.31496062992125984" footer="0.31496062992125984"/>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A1:J39"/>
  <sheetViews>
    <sheetView workbookViewId="0">
      <selection sqref="A1:XFD1048576"/>
    </sheetView>
  </sheetViews>
  <sheetFormatPr defaultColWidth="8.85546875" defaultRowHeight="15.75" x14ac:dyDescent="0.25"/>
  <cols>
    <col min="1" max="1" width="22.5703125" style="58" customWidth="1"/>
    <col min="2" max="2" width="19.85546875" style="58" customWidth="1"/>
    <col min="3" max="3" width="15.5703125" style="58" customWidth="1"/>
    <col min="4" max="5" width="13.28515625" style="58" customWidth="1"/>
    <col min="6" max="8" width="8.85546875" style="58"/>
    <col min="9" max="10" width="11.5703125" style="58" customWidth="1"/>
    <col min="11" max="16384" width="8.85546875" style="58"/>
  </cols>
  <sheetData>
    <row r="1" spans="1:7" x14ac:dyDescent="0.25">
      <c r="A1" s="2225"/>
      <c r="B1" s="2225"/>
      <c r="C1" s="4039" t="s">
        <v>3087</v>
      </c>
      <c r="D1" s="4039"/>
      <c r="E1" s="4039"/>
    </row>
    <row r="2" spans="1:7" ht="12.6" customHeight="1" x14ac:dyDescent="0.25">
      <c r="A2" s="2225"/>
      <c r="B2" s="2225"/>
      <c r="C2" s="4040" t="s">
        <v>2837</v>
      </c>
      <c r="D2" s="4040"/>
      <c r="E2" s="4040"/>
    </row>
    <row r="3" spans="1:7" ht="27" customHeight="1" x14ac:dyDescent="0.25">
      <c r="A3" s="2225"/>
      <c r="B3" s="2225"/>
      <c r="C3" s="4041" t="s">
        <v>2852</v>
      </c>
      <c r="D3" s="4041"/>
      <c r="E3" s="4041"/>
    </row>
    <row r="4" spans="1:7" x14ac:dyDescent="0.25">
      <c r="A4" s="2225"/>
      <c r="B4" s="2225"/>
      <c r="C4" s="4040" t="s">
        <v>2848</v>
      </c>
      <c r="D4" s="4040"/>
      <c r="E4" s="4040"/>
    </row>
    <row r="5" spans="1:7" ht="6" customHeight="1" x14ac:dyDescent="0.25"/>
    <row r="6" spans="1:7" x14ac:dyDescent="0.25">
      <c r="A6" s="4046" t="s">
        <v>2099</v>
      </c>
      <c r="B6" s="4046"/>
      <c r="C6" s="4046"/>
      <c r="D6" s="4046"/>
      <c r="E6" s="4046"/>
    </row>
    <row r="7" spans="1:7" ht="63.6" customHeight="1" x14ac:dyDescent="0.25">
      <c r="A7" s="4067" t="s">
        <v>2939</v>
      </c>
      <c r="B7" s="4067"/>
      <c r="C7" s="4067"/>
      <c r="D7" s="4067"/>
      <c r="E7" s="4067"/>
    </row>
    <row r="8" spans="1:7" ht="0.6" customHeight="1" x14ac:dyDescent="0.25"/>
    <row r="9" spans="1:7" ht="31.5" x14ac:dyDescent="0.25">
      <c r="A9" s="2226" t="s">
        <v>1481</v>
      </c>
      <c r="B9" s="2226" t="s">
        <v>268</v>
      </c>
      <c r="C9" s="2226" t="s">
        <v>2838</v>
      </c>
      <c r="D9" s="2226" t="s">
        <v>2849</v>
      </c>
      <c r="E9" s="2226" t="s">
        <v>2850</v>
      </c>
    </row>
    <row r="10" spans="1:7" ht="15.6" customHeight="1" x14ac:dyDescent="0.25">
      <c r="A10" s="4068" t="s">
        <v>2768</v>
      </c>
      <c r="B10" s="4069"/>
      <c r="C10" s="4069"/>
      <c r="D10" s="4069"/>
      <c r="E10" s="4070"/>
    </row>
    <row r="11" spans="1:7" x14ac:dyDescent="0.25">
      <c r="A11" s="4071" t="s">
        <v>2851</v>
      </c>
      <c r="B11" s="2228" t="s">
        <v>2839</v>
      </c>
      <c r="C11" s="2228" t="s">
        <v>2840</v>
      </c>
      <c r="D11" s="2283" t="e">
        <f>D13+D15+D17</f>
        <v>#REF!</v>
      </c>
      <c r="E11" s="2283" t="e">
        <f>E13+E15+E17</f>
        <v>#REF!</v>
      </c>
      <c r="G11" s="58" t="e">
        <f>D11*1.2-E11</f>
        <v>#REF!</v>
      </c>
    </row>
    <row r="12" spans="1:7" ht="31.5" x14ac:dyDescent="0.25">
      <c r="A12" s="4071"/>
      <c r="B12" s="2228" t="s">
        <v>2841</v>
      </c>
      <c r="C12" s="2228" t="s">
        <v>2842</v>
      </c>
      <c r="D12" s="2283" t="e">
        <f>D14+D16+D18</f>
        <v>#REF!</v>
      </c>
      <c r="E12" s="2283" t="e">
        <f>E14+E16+E18</f>
        <v>#REF!</v>
      </c>
      <c r="G12" s="58" t="e">
        <f t="shared" ref="G12:G36" si="0">D12*1.2-E12</f>
        <v>#REF!</v>
      </c>
    </row>
    <row r="13" spans="1:7" x14ac:dyDescent="0.25">
      <c r="A13" s="4066" t="s">
        <v>2843</v>
      </c>
      <c r="B13" s="2227" t="s">
        <v>2839</v>
      </c>
      <c r="C13" s="2227" t="s">
        <v>2840</v>
      </c>
      <c r="D13" s="2284" t="e">
        <f>#REF!</f>
        <v>#REF!</v>
      </c>
      <c r="E13" s="2284" t="e">
        <f>#REF!</f>
        <v>#REF!</v>
      </c>
      <c r="G13" s="58" t="e">
        <f t="shared" si="0"/>
        <v>#REF!</v>
      </c>
    </row>
    <row r="14" spans="1:7" ht="31.5" x14ac:dyDescent="0.25">
      <c r="A14" s="4066"/>
      <c r="B14" s="2227" t="s">
        <v>2841</v>
      </c>
      <c r="C14" s="2227" t="s">
        <v>2842</v>
      </c>
      <c r="D14" s="2284" t="e">
        <f>#REF!/12</f>
        <v>#REF!</v>
      </c>
      <c r="E14" s="2284" t="e">
        <f>#REF!/12</f>
        <v>#REF!</v>
      </c>
      <c r="G14" s="58" t="e">
        <f t="shared" si="0"/>
        <v>#REF!</v>
      </c>
    </row>
    <row r="15" spans="1:7" x14ac:dyDescent="0.25">
      <c r="A15" s="4066" t="s">
        <v>2844</v>
      </c>
      <c r="B15" s="2227" t="s">
        <v>2839</v>
      </c>
      <c r="C15" s="2227" t="s">
        <v>2840</v>
      </c>
      <c r="D15" s="2284" t="e">
        <f>#REF!</f>
        <v>#REF!</v>
      </c>
      <c r="E15" s="2284" t="e">
        <f>#REF!</f>
        <v>#REF!</v>
      </c>
      <c r="G15" s="58" t="e">
        <f t="shared" si="0"/>
        <v>#REF!</v>
      </c>
    </row>
    <row r="16" spans="1:7" ht="31.5" x14ac:dyDescent="0.25">
      <c r="A16" s="4066"/>
      <c r="B16" s="2227" t="s">
        <v>2841</v>
      </c>
      <c r="C16" s="2227" t="s">
        <v>2842</v>
      </c>
      <c r="D16" s="2284" t="e">
        <f>#REF!/12</f>
        <v>#REF!</v>
      </c>
      <c r="E16" s="2284" t="e">
        <f>#REF!/12</f>
        <v>#REF!</v>
      </c>
      <c r="G16" s="58" t="e">
        <f t="shared" si="0"/>
        <v>#REF!</v>
      </c>
    </row>
    <row r="17" spans="1:10" x14ac:dyDescent="0.25">
      <c r="A17" s="4066" t="s">
        <v>2845</v>
      </c>
      <c r="B17" s="2227" t="s">
        <v>2839</v>
      </c>
      <c r="C17" s="2227" t="s">
        <v>2840</v>
      </c>
      <c r="D17" s="2284">
        <v>0</v>
      </c>
      <c r="E17" s="2284">
        <v>0</v>
      </c>
      <c r="G17" s="58">
        <f t="shared" si="0"/>
        <v>0</v>
      </c>
    </row>
    <row r="18" spans="1:10" ht="31.5" x14ac:dyDescent="0.25">
      <c r="A18" s="4066"/>
      <c r="B18" s="2227" t="s">
        <v>2841</v>
      </c>
      <c r="C18" s="2227" t="s">
        <v>2842</v>
      </c>
      <c r="D18" s="2284" t="e">
        <f>#REF!/12</f>
        <v>#REF!</v>
      </c>
      <c r="E18" s="2284" t="e">
        <f>#REF!/12</f>
        <v>#REF!</v>
      </c>
      <c r="G18" s="58" t="e">
        <f t="shared" si="0"/>
        <v>#REF!</v>
      </c>
    </row>
    <row r="19" spans="1:10" ht="15.6" customHeight="1" x14ac:dyDescent="0.25">
      <c r="A19" s="4068" t="s">
        <v>2891</v>
      </c>
      <c r="B19" s="4069"/>
      <c r="C19" s="4069"/>
      <c r="D19" s="4069"/>
      <c r="E19" s="4070"/>
      <c r="G19" s="58">
        <f t="shared" si="0"/>
        <v>0</v>
      </c>
    </row>
    <row r="20" spans="1:10" ht="15.6" customHeight="1" x14ac:dyDescent="0.25">
      <c r="A20" s="4071" t="s">
        <v>2851</v>
      </c>
      <c r="B20" s="2228" t="s">
        <v>2839</v>
      </c>
      <c r="C20" s="2228" t="s">
        <v>2840</v>
      </c>
      <c r="D20" s="2283" t="e">
        <f>D22+D24+D26</f>
        <v>#REF!</v>
      </c>
      <c r="E20" s="2283" t="e">
        <f>E22+E24+E26</f>
        <v>#REF!</v>
      </c>
      <c r="G20" s="58" t="e">
        <f t="shared" si="0"/>
        <v>#REF!</v>
      </c>
    </row>
    <row r="21" spans="1:10" ht="31.5" x14ac:dyDescent="0.25">
      <c r="A21" s="4071"/>
      <c r="B21" s="2228" t="s">
        <v>2841</v>
      </c>
      <c r="C21" s="2228" t="s">
        <v>2842</v>
      </c>
      <c r="D21" s="2283" t="e">
        <f>D23+D25+D27</f>
        <v>#REF!</v>
      </c>
      <c r="E21" s="2283" t="e">
        <f>E23+E25+E27</f>
        <v>#REF!</v>
      </c>
      <c r="G21" s="58" t="e">
        <f t="shared" si="0"/>
        <v>#REF!</v>
      </c>
    </row>
    <row r="22" spans="1:10" x14ac:dyDescent="0.25">
      <c r="A22" s="4066" t="s">
        <v>2843</v>
      </c>
      <c r="B22" s="2227" t="s">
        <v>2839</v>
      </c>
      <c r="C22" s="2227" t="s">
        <v>2165</v>
      </c>
      <c r="D22" s="2284" t="e">
        <f>#REF!</f>
        <v>#REF!</v>
      </c>
      <c r="E22" s="2284" t="e">
        <f>#REF!</f>
        <v>#REF!</v>
      </c>
      <c r="G22" s="58" t="e">
        <f t="shared" si="0"/>
        <v>#REF!</v>
      </c>
    </row>
    <row r="23" spans="1:10" ht="31.5" x14ac:dyDescent="0.25">
      <c r="A23" s="4066"/>
      <c r="B23" s="2227" t="s">
        <v>2841</v>
      </c>
      <c r="C23" s="2227" t="s">
        <v>2842</v>
      </c>
      <c r="D23" s="2284" t="e">
        <f>#REF!/12</f>
        <v>#REF!</v>
      </c>
      <c r="E23" s="2284" t="e">
        <f>#REF!/12</f>
        <v>#REF!</v>
      </c>
      <c r="G23" s="58" t="e">
        <f t="shared" si="0"/>
        <v>#REF!</v>
      </c>
    </row>
    <row r="24" spans="1:10" x14ac:dyDescent="0.25">
      <c r="A24" s="4066" t="s">
        <v>2844</v>
      </c>
      <c r="B24" s="2227" t="s">
        <v>2839</v>
      </c>
      <c r="C24" s="2227" t="s">
        <v>2165</v>
      </c>
      <c r="D24" s="2284" t="e">
        <f>#REF!</f>
        <v>#REF!</v>
      </c>
      <c r="E24" s="2284" t="e">
        <f>#REF!</f>
        <v>#REF!</v>
      </c>
      <c r="G24" s="58" t="e">
        <f t="shared" si="0"/>
        <v>#REF!</v>
      </c>
    </row>
    <row r="25" spans="1:10" ht="31.5" x14ac:dyDescent="0.25">
      <c r="A25" s="4066"/>
      <c r="B25" s="2227" t="s">
        <v>2841</v>
      </c>
      <c r="C25" s="2227" t="s">
        <v>2842</v>
      </c>
      <c r="D25" s="2284" t="e">
        <f>#REF!/12</f>
        <v>#REF!</v>
      </c>
      <c r="E25" s="2284" t="e">
        <f>#REF!/12</f>
        <v>#REF!</v>
      </c>
      <c r="G25" s="58" t="e">
        <f t="shared" si="0"/>
        <v>#REF!</v>
      </c>
    </row>
    <row r="26" spans="1:10" x14ac:dyDescent="0.25">
      <c r="A26" s="4066" t="s">
        <v>2845</v>
      </c>
      <c r="B26" s="2227" t="s">
        <v>2839</v>
      </c>
      <c r="C26" s="2227" t="s">
        <v>2165</v>
      </c>
      <c r="D26" s="2284">
        <v>0</v>
      </c>
      <c r="E26" s="1348">
        <v>0</v>
      </c>
      <c r="G26" s="58">
        <f t="shared" si="0"/>
        <v>0</v>
      </c>
    </row>
    <row r="27" spans="1:10" ht="31.5" x14ac:dyDescent="0.25">
      <c r="A27" s="4066"/>
      <c r="B27" s="2227" t="s">
        <v>2841</v>
      </c>
      <c r="C27" s="2227" t="s">
        <v>2842</v>
      </c>
      <c r="D27" s="2284" t="e">
        <f>#REF!/12</f>
        <v>#REF!</v>
      </c>
      <c r="E27" s="2284" t="e">
        <f>#REF!/12</f>
        <v>#REF!</v>
      </c>
      <c r="G27" s="58" t="e">
        <f t="shared" si="0"/>
        <v>#REF!</v>
      </c>
    </row>
    <row r="28" spans="1:10" ht="15.6" customHeight="1" x14ac:dyDescent="0.25">
      <c r="A28" s="4068" t="s">
        <v>2771</v>
      </c>
      <c r="B28" s="4069"/>
      <c r="C28" s="4069"/>
      <c r="D28" s="4069"/>
      <c r="E28" s="4070"/>
      <c r="G28" s="58">
        <f t="shared" si="0"/>
        <v>0</v>
      </c>
    </row>
    <row r="29" spans="1:10" ht="15.6" customHeight="1" x14ac:dyDescent="0.25">
      <c r="A29" s="4071" t="s">
        <v>2851</v>
      </c>
      <c r="B29" s="2228" t="s">
        <v>2839</v>
      </c>
      <c r="C29" s="2228" t="s">
        <v>2165</v>
      </c>
      <c r="D29" s="2283" t="e">
        <f>D31+D33+D35</f>
        <v>#REF!</v>
      </c>
      <c r="E29" s="2283" t="e">
        <f>E31+E33+E35</f>
        <v>#REF!</v>
      </c>
      <c r="G29" s="58" t="e">
        <f t="shared" si="0"/>
        <v>#REF!</v>
      </c>
      <c r="I29" s="2253">
        <f>сведено!G38</f>
        <v>0</v>
      </c>
      <c r="J29" s="2253">
        <f>сведено!G67</f>
        <v>0</v>
      </c>
    </row>
    <row r="30" spans="1:10" ht="31.9" customHeight="1" x14ac:dyDescent="0.25">
      <c r="A30" s="4071"/>
      <c r="B30" s="2228" t="s">
        <v>2841</v>
      </c>
      <c r="C30" s="2228" t="s">
        <v>2842</v>
      </c>
      <c r="D30" s="2283" t="e">
        <f>D32+D34+D36</f>
        <v>#REF!</v>
      </c>
      <c r="E30" s="2283" t="e">
        <f>E32+E34+E36</f>
        <v>#REF!</v>
      </c>
      <c r="G30" s="58" t="e">
        <f t="shared" si="0"/>
        <v>#REF!</v>
      </c>
      <c r="I30" s="2253">
        <f>сведено!G39</f>
        <v>0</v>
      </c>
      <c r="J30" s="2253">
        <f>сведено!G68</f>
        <v>0</v>
      </c>
    </row>
    <row r="31" spans="1:10" x14ac:dyDescent="0.25">
      <c r="A31" s="4066" t="s">
        <v>2843</v>
      </c>
      <c r="B31" s="2227" t="s">
        <v>2839</v>
      </c>
      <c r="C31" s="2227" t="s">
        <v>2165</v>
      </c>
      <c r="D31" s="2284" t="e">
        <f>#REF!</f>
        <v>#REF!</v>
      </c>
      <c r="E31" s="2284" t="e">
        <f>#REF!</f>
        <v>#REF!</v>
      </c>
      <c r="G31" s="58" t="e">
        <f t="shared" si="0"/>
        <v>#REF!</v>
      </c>
    </row>
    <row r="32" spans="1:10" ht="31.5" x14ac:dyDescent="0.25">
      <c r="A32" s="4066"/>
      <c r="B32" s="2227" t="s">
        <v>2841</v>
      </c>
      <c r="C32" s="2227" t="s">
        <v>2842</v>
      </c>
      <c r="D32" s="2284" t="e">
        <f>#REF!/12</f>
        <v>#REF!</v>
      </c>
      <c r="E32" s="2284" t="e">
        <f>#REF!/12</f>
        <v>#REF!</v>
      </c>
      <c r="G32" s="58" t="e">
        <f t="shared" si="0"/>
        <v>#REF!</v>
      </c>
    </row>
    <row r="33" spans="1:7" x14ac:dyDescent="0.25">
      <c r="A33" s="4066" t="s">
        <v>2844</v>
      </c>
      <c r="B33" s="2227" t="s">
        <v>2839</v>
      </c>
      <c r="C33" s="2227" t="s">
        <v>2165</v>
      </c>
      <c r="D33" s="2284" t="e">
        <f>#REF!</f>
        <v>#REF!</v>
      </c>
      <c r="E33" s="2284" t="e">
        <f>#REF!</f>
        <v>#REF!</v>
      </c>
      <c r="G33" s="58" t="e">
        <f t="shared" si="0"/>
        <v>#REF!</v>
      </c>
    </row>
    <row r="34" spans="1:7" ht="31.5" x14ac:dyDescent="0.25">
      <c r="A34" s="4066"/>
      <c r="B34" s="2227" t="s">
        <v>2841</v>
      </c>
      <c r="C34" s="2227" t="s">
        <v>2842</v>
      </c>
      <c r="D34" s="2284" t="e">
        <f>#REF!/12</f>
        <v>#REF!</v>
      </c>
      <c r="E34" s="2284" t="e">
        <f>#REF!/12</f>
        <v>#REF!</v>
      </c>
      <c r="G34" s="58" t="e">
        <f t="shared" si="0"/>
        <v>#REF!</v>
      </c>
    </row>
    <row r="35" spans="1:7" x14ac:dyDescent="0.25">
      <c r="A35" s="4066" t="s">
        <v>2845</v>
      </c>
      <c r="B35" s="2227" t="s">
        <v>2839</v>
      </c>
      <c r="C35" s="2227" t="s">
        <v>2165</v>
      </c>
      <c r="D35" s="2284">
        <v>0</v>
      </c>
      <c r="E35" s="1348">
        <v>0</v>
      </c>
      <c r="G35" s="58">
        <f t="shared" si="0"/>
        <v>0</v>
      </c>
    </row>
    <row r="36" spans="1:7" ht="31.5" x14ac:dyDescent="0.25">
      <c r="A36" s="4066"/>
      <c r="B36" s="2227" t="s">
        <v>2841</v>
      </c>
      <c r="C36" s="2227" t="s">
        <v>2842</v>
      </c>
      <c r="D36" s="2284" t="e">
        <f>#REF!/12</f>
        <v>#REF!</v>
      </c>
      <c r="E36" s="2284" t="e">
        <f>#REF!/12</f>
        <v>#REF!</v>
      </c>
      <c r="G36" s="58" t="e">
        <f t="shared" si="0"/>
        <v>#REF!</v>
      </c>
    </row>
    <row r="37" spans="1:7" x14ac:dyDescent="0.25">
      <c r="A37" s="2175"/>
    </row>
    <row r="38" spans="1:7" x14ac:dyDescent="0.25">
      <c r="A38" s="2175"/>
    </row>
    <row r="39" spans="1:7" x14ac:dyDescent="0.25">
      <c r="A39" s="2175" t="s">
        <v>2846</v>
      </c>
      <c r="C39" s="2175" t="s">
        <v>2847</v>
      </c>
      <c r="D39" s="2175"/>
      <c r="E39" s="2175"/>
      <c r="F39" s="2175"/>
      <c r="G39" s="2175"/>
    </row>
  </sheetData>
  <mergeCells count="21">
    <mergeCell ref="C1:E1"/>
    <mergeCell ref="C2:E2"/>
    <mergeCell ref="C3:E3"/>
    <mergeCell ref="C4:E4"/>
    <mergeCell ref="A20:A21"/>
    <mergeCell ref="A10:E10"/>
    <mergeCell ref="A11:A12"/>
    <mergeCell ref="A13:A14"/>
    <mergeCell ref="A15:A16"/>
    <mergeCell ref="A17:A18"/>
    <mergeCell ref="A19:E19"/>
    <mergeCell ref="A31:A32"/>
    <mergeCell ref="A33:A34"/>
    <mergeCell ref="A35:A36"/>
    <mergeCell ref="A6:E6"/>
    <mergeCell ref="A7:E7"/>
    <mergeCell ref="A22:A23"/>
    <mergeCell ref="A24:A25"/>
    <mergeCell ref="A26:A27"/>
    <mergeCell ref="A28:E28"/>
    <mergeCell ref="A29:A30"/>
  </mergeCells>
  <pageMargins left="1.1023622047244095" right="0.51181102362204722" top="0.56000000000000005" bottom="0.63" header="0.31496062992125984" footer="0.31496062992125984"/>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00FF"/>
    <pageSetUpPr fitToPage="1"/>
  </sheetPr>
  <dimension ref="B1:H48"/>
  <sheetViews>
    <sheetView workbookViewId="0">
      <selection sqref="A1:XFD1048576"/>
    </sheetView>
  </sheetViews>
  <sheetFormatPr defaultColWidth="8.85546875" defaultRowHeight="15.75" x14ac:dyDescent="0.25"/>
  <cols>
    <col min="1" max="1" width="8.85546875" style="58"/>
    <col min="2" max="2" width="22.5703125" style="58" customWidth="1"/>
    <col min="3" max="3" width="19.85546875" style="58" customWidth="1"/>
    <col min="4" max="4" width="15.5703125" style="58" customWidth="1"/>
    <col min="5" max="6" width="13.28515625" style="58" customWidth="1"/>
    <col min="7" max="16384" width="8.85546875" style="58"/>
  </cols>
  <sheetData>
    <row r="1" spans="2:8" x14ac:dyDescent="0.25">
      <c r="B1" s="2225"/>
      <c r="C1" s="2225"/>
      <c r="D1" s="4039" t="s">
        <v>3088</v>
      </c>
      <c r="E1" s="4039"/>
      <c r="F1" s="4039"/>
    </row>
    <row r="2" spans="2:8" ht="12.6" customHeight="1" x14ac:dyDescent="0.25">
      <c r="B2" s="2225"/>
      <c r="C2" s="2225"/>
      <c r="D2" s="4040" t="s">
        <v>2837</v>
      </c>
      <c r="E2" s="4040"/>
      <c r="F2" s="4040"/>
    </row>
    <row r="3" spans="2:8" ht="27" customHeight="1" x14ac:dyDescent="0.25">
      <c r="B3" s="2225"/>
      <c r="C3" s="2225"/>
      <c r="D3" s="4041" t="s">
        <v>2852</v>
      </c>
      <c r="E3" s="4041"/>
      <c r="F3" s="4041"/>
    </row>
    <row r="4" spans="2:8" x14ac:dyDescent="0.25">
      <c r="B4" s="2225"/>
      <c r="C4" s="2225"/>
      <c r="D4" s="4040" t="s">
        <v>2848</v>
      </c>
      <c r="E4" s="4040"/>
      <c r="F4" s="4040"/>
    </row>
    <row r="5" spans="2:8" ht="6" customHeight="1" x14ac:dyDescent="0.25"/>
    <row r="6" spans="2:8" x14ac:dyDescent="0.25">
      <c r="B6" s="4046" t="s">
        <v>2099</v>
      </c>
      <c r="C6" s="4046"/>
      <c r="D6" s="4046"/>
      <c r="E6" s="4046"/>
      <c r="F6" s="4046"/>
    </row>
    <row r="7" spans="2:8" ht="63.6" customHeight="1" x14ac:dyDescent="0.25">
      <c r="B7" s="4067" t="s">
        <v>2940</v>
      </c>
      <c r="C7" s="4067"/>
      <c r="D7" s="4067"/>
      <c r="E7" s="4067"/>
      <c r="F7" s="4067"/>
    </row>
    <row r="8" spans="2:8" ht="0.6" customHeight="1" x14ac:dyDescent="0.25"/>
    <row r="9" spans="2:8" ht="31.5" x14ac:dyDescent="0.25">
      <c r="B9" s="2226" t="s">
        <v>1481</v>
      </c>
      <c r="C9" s="2226" t="s">
        <v>268</v>
      </c>
      <c r="D9" s="2226" t="s">
        <v>2838</v>
      </c>
      <c r="E9" s="2226" t="s">
        <v>2849</v>
      </c>
      <c r="F9" s="2226" t="s">
        <v>2850</v>
      </c>
    </row>
    <row r="10" spans="2:8" x14ac:dyDescent="0.25">
      <c r="B10" s="4072" t="s">
        <v>2768</v>
      </c>
      <c r="C10" s="4072"/>
      <c r="D10" s="4072"/>
      <c r="E10" s="4072"/>
      <c r="F10" s="4072"/>
    </row>
    <row r="11" spans="2:8" x14ac:dyDescent="0.25">
      <c r="B11" s="4071" t="s">
        <v>2851</v>
      </c>
      <c r="C11" s="2228" t="s">
        <v>2839</v>
      </c>
      <c r="D11" s="2228" t="s">
        <v>2840</v>
      </c>
      <c r="E11" s="2283" t="e">
        <f>E13+E15+E17</f>
        <v>#REF!</v>
      </c>
      <c r="F11" s="2283" t="e">
        <f>F13+F15+F17</f>
        <v>#REF!</v>
      </c>
      <c r="H11" s="58" t="e">
        <f>E11*1.2-F11</f>
        <v>#REF!</v>
      </c>
    </row>
    <row r="12" spans="2:8" ht="31.5" x14ac:dyDescent="0.25">
      <c r="B12" s="4071"/>
      <c r="C12" s="2228" t="s">
        <v>2841</v>
      </c>
      <c r="D12" s="2228" t="s">
        <v>2842</v>
      </c>
      <c r="E12" s="2283" t="e">
        <f>E14+E16+E18</f>
        <v>#REF!</v>
      </c>
      <c r="F12" s="2283" t="e">
        <f>F14+F16+F18</f>
        <v>#REF!</v>
      </c>
      <c r="H12" s="58" t="e">
        <f t="shared" ref="H12:H45" si="0">E12*1.2-F12</f>
        <v>#REF!</v>
      </c>
    </row>
    <row r="13" spans="2:8" x14ac:dyDescent="0.25">
      <c r="B13" s="4066" t="s">
        <v>2843</v>
      </c>
      <c r="C13" s="2227" t="s">
        <v>2839</v>
      </c>
      <c r="D13" s="2227" t="s">
        <v>2840</v>
      </c>
      <c r="E13" s="2284" t="e">
        <f>#REF!</f>
        <v>#REF!</v>
      </c>
      <c r="F13" s="2284" t="e">
        <f>#REF!</f>
        <v>#REF!</v>
      </c>
      <c r="H13" s="58" t="e">
        <f t="shared" si="0"/>
        <v>#REF!</v>
      </c>
    </row>
    <row r="14" spans="2:8" ht="31.5" x14ac:dyDescent="0.25">
      <c r="B14" s="4066"/>
      <c r="C14" s="2227" t="s">
        <v>2841</v>
      </c>
      <c r="D14" s="2227" t="s">
        <v>2842</v>
      </c>
      <c r="E14" s="2284" t="e">
        <f>#REF!/12</f>
        <v>#REF!</v>
      </c>
      <c r="F14" s="2284" t="e">
        <f>#REF!/12</f>
        <v>#REF!</v>
      </c>
      <c r="H14" s="58" t="e">
        <f t="shared" si="0"/>
        <v>#REF!</v>
      </c>
    </row>
    <row r="15" spans="2:8" x14ac:dyDescent="0.25">
      <c r="B15" s="4066" t="s">
        <v>2844</v>
      </c>
      <c r="C15" s="2227" t="s">
        <v>2839</v>
      </c>
      <c r="D15" s="2227" t="s">
        <v>2840</v>
      </c>
      <c r="E15" s="2284" t="e">
        <f>#REF!</f>
        <v>#REF!</v>
      </c>
      <c r="F15" s="2284" t="e">
        <f>#REF!</f>
        <v>#REF!</v>
      </c>
      <c r="H15" s="58" t="e">
        <f t="shared" si="0"/>
        <v>#REF!</v>
      </c>
    </row>
    <row r="16" spans="2:8" ht="31.5" x14ac:dyDescent="0.25">
      <c r="B16" s="4066"/>
      <c r="C16" s="2227" t="s">
        <v>2841</v>
      </c>
      <c r="D16" s="2227" t="s">
        <v>2842</v>
      </c>
      <c r="E16" s="2284" t="e">
        <f>#REF!/12</f>
        <v>#REF!</v>
      </c>
      <c r="F16" s="2284" t="e">
        <f>#REF!/12</f>
        <v>#REF!</v>
      </c>
      <c r="H16" s="58" t="e">
        <f t="shared" si="0"/>
        <v>#REF!</v>
      </c>
    </row>
    <row r="17" spans="2:8" x14ac:dyDescent="0.25">
      <c r="B17" s="4066" t="s">
        <v>2845</v>
      </c>
      <c r="C17" s="2227" t="s">
        <v>2839</v>
      </c>
      <c r="D17" s="2227" t="s">
        <v>2840</v>
      </c>
      <c r="E17" s="2284">
        <v>0</v>
      </c>
      <c r="F17" s="2284">
        <v>0</v>
      </c>
      <c r="H17" s="58">
        <f t="shared" si="0"/>
        <v>0</v>
      </c>
    </row>
    <row r="18" spans="2:8" ht="31.5" x14ac:dyDescent="0.25">
      <c r="B18" s="4066"/>
      <c r="C18" s="2227" t="s">
        <v>2841</v>
      </c>
      <c r="D18" s="2227" t="s">
        <v>2842</v>
      </c>
      <c r="E18" s="2284" t="e">
        <f>#REF!/12</f>
        <v>#REF!</v>
      </c>
      <c r="F18" s="2284" t="e">
        <f>#REF!/12</f>
        <v>#REF!</v>
      </c>
      <c r="H18" s="58" t="e">
        <f t="shared" si="0"/>
        <v>#REF!</v>
      </c>
    </row>
    <row r="19" spans="2:8" x14ac:dyDescent="0.25">
      <c r="B19" s="4072" t="s">
        <v>2769</v>
      </c>
      <c r="C19" s="4072"/>
      <c r="D19" s="4072"/>
      <c r="E19" s="4072"/>
      <c r="F19" s="4072"/>
      <c r="H19" s="58">
        <f t="shared" ref="H19:H27" si="1">E19*1.2-F19</f>
        <v>0</v>
      </c>
    </row>
    <row r="20" spans="2:8" ht="15.6" customHeight="1" x14ac:dyDescent="0.25">
      <c r="B20" s="4071" t="s">
        <v>2851</v>
      </c>
      <c r="C20" s="2228" t="s">
        <v>2839</v>
      </c>
      <c r="D20" s="2228" t="s">
        <v>2840</v>
      </c>
      <c r="E20" s="2283" t="e">
        <f>E22+E24+E26</f>
        <v>#REF!</v>
      </c>
      <c r="F20" s="2283" t="e">
        <f>F22+F24+F26</f>
        <v>#REF!</v>
      </c>
      <c r="H20" s="58" t="e">
        <f t="shared" si="1"/>
        <v>#REF!</v>
      </c>
    </row>
    <row r="21" spans="2:8" ht="31.5" x14ac:dyDescent="0.25">
      <c r="B21" s="4071"/>
      <c r="C21" s="2228" t="s">
        <v>2841</v>
      </c>
      <c r="D21" s="2228" t="s">
        <v>2842</v>
      </c>
      <c r="E21" s="2283" t="e">
        <f>E23+E25+E27</f>
        <v>#REF!</v>
      </c>
      <c r="F21" s="2283" t="e">
        <f>F23+F25+F27</f>
        <v>#REF!</v>
      </c>
      <c r="H21" s="58" t="e">
        <f t="shared" si="1"/>
        <v>#REF!</v>
      </c>
    </row>
    <row r="22" spans="2:8" x14ac:dyDescent="0.25">
      <c r="B22" s="4066" t="s">
        <v>2843</v>
      </c>
      <c r="C22" s="2227" t="s">
        <v>2839</v>
      </c>
      <c r="D22" s="2227" t="s">
        <v>2165</v>
      </c>
      <c r="E22" s="2284" t="e">
        <f>#REF!</f>
        <v>#REF!</v>
      </c>
      <c r="F22" s="2284" t="e">
        <f>#REF!</f>
        <v>#REF!</v>
      </c>
      <c r="H22" s="58" t="e">
        <f t="shared" si="1"/>
        <v>#REF!</v>
      </c>
    </row>
    <row r="23" spans="2:8" ht="31.5" x14ac:dyDescent="0.25">
      <c r="B23" s="4066"/>
      <c r="C23" s="2227" t="s">
        <v>2841</v>
      </c>
      <c r="D23" s="2227" t="s">
        <v>2842</v>
      </c>
      <c r="E23" s="2284" t="e">
        <f>#REF!/12</f>
        <v>#REF!</v>
      </c>
      <c r="F23" s="2284" t="e">
        <f>#REF!/12</f>
        <v>#REF!</v>
      </c>
      <c r="H23" s="58" t="e">
        <f t="shared" si="1"/>
        <v>#REF!</v>
      </c>
    </row>
    <row r="24" spans="2:8" x14ac:dyDescent="0.25">
      <c r="B24" s="4066" t="s">
        <v>2844</v>
      </c>
      <c r="C24" s="2227" t="s">
        <v>2839</v>
      </c>
      <c r="D24" s="2227" t="s">
        <v>2165</v>
      </c>
      <c r="E24" s="2284" t="e">
        <f>#REF!</f>
        <v>#REF!</v>
      </c>
      <c r="F24" s="2284" t="e">
        <f>#REF!</f>
        <v>#REF!</v>
      </c>
      <c r="H24" s="58" t="e">
        <f t="shared" si="1"/>
        <v>#REF!</v>
      </c>
    </row>
    <row r="25" spans="2:8" ht="31.5" x14ac:dyDescent="0.25">
      <c r="B25" s="4066"/>
      <c r="C25" s="2227" t="s">
        <v>2841</v>
      </c>
      <c r="D25" s="2227" t="s">
        <v>2842</v>
      </c>
      <c r="E25" s="2284" t="e">
        <f>#REF!/12</f>
        <v>#REF!</v>
      </c>
      <c r="F25" s="2284" t="e">
        <f>#REF!/12</f>
        <v>#REF!</v>
      </c>
      <c r="H25" s="58" t="e">
        <f t="shared" si="1"/>
        <v>#REF!</v>
      </c>
    </row>
    <row r="26" spans="2:8" x14ac:dyDescent="0.25">
      <c r="B26" s="4066" t="s">
        <v>2845</v>
      </c>
      <c r="C26" s="2227" t="s">
        <v>2839</v>
      </c>
      <c r="D26" s="2227" t="s">
        <v>2165</v>
      </c>
      <c r="E26" s="2284">
        <v>0</v>
      </c>
      <c r="F26" s="1348">
        <v>0</v>
      </c>
      <c r="H26" s="58">
        <f t="shared" si="1"/>
        <v>0</v>
      </c>
    </row>
    <row r="27" spans="2:8" ht="31.5" x14ac:dyDescent="0.25">
      <c r="B27" s="4066"/>
      <c r="C27" s="2227" t="s">
        <v>2841</v>
      </c>
      <c r="D27" s="2227" t="s">
        <v>2842</v>
      </c>
      <c r="E27" s="2284" t="e">
        <f>#REF!/12</f>
        <v>#REF!</v>
      </c>
      <c r="F27" s="2284" t="e">
        <f>#REF!/12</f>
        <v>#REF!</v>
      </c>
      <c r="H27" s="58" t="e">
        <f t="shared" si="1"/>
        <v>#REF!</v>
      </c>
    </row>
    <row r="28" spans="2:8" x14ac:dyDescent="0.25">
      <c r="B28" s="4072" t="s">
        <v>2891</v>
      </c>
      <c r="C28" s="4072"/>
      <c r="D28" s="4072"/>
      <c r="E28" s="4072"/>
      <c r="F28" s="4072"/>
      <c r="H28" s="58">
        <f t="shared" si="0"/>
        <v>0</v>
      </c>
    </row>
    <row r="29" spans="2:8" ht="15.6" customHeight="1" x14ac:dyDescent="0.25">
      <c r="B29" s="4071" t="s">
        <v>2851</v>
      </c>
      <c r="C29" s="2228" t="s">
        <v>2839</v>
      </c>
      <c r="D29" s="2228" t="s">
        <v>2840</v>
      </c>
      <c r="E29" s="2283" t="e">
        <f>E31+E33+E35</f>
        <v>#REF!</v>
      </c>
      <c r="F29" s="2283" t="e">
        <f>F31+F33+F35</f>
        <v>#REF!</v>
      </c>
      <c r="H29" s="58" t="e">
        <f t="shared" si="0"/>
        <v>#REF!</v>
      </c>
    </row>
    <row r="30" spans="2:8" ht="31.5" x14ac:dyDescent="0.25">
      <c r="B30" s="4071"/>
      <c r="C30" s="2228" t="s">
        <v>2841</v>
      </c>
      <c r="D30" s="2228" t="s">
        <v>2842</v>
      </c>
      <c r="E30" s="2283" t="e">
        <f>E32+E34+E36</f>
        <v>#REF!</v>
      </c>
      <c r="F30" s="2283" t="e">
        <f>F32+F34+F36</f>
        <v>#REF!</v>
      </c>
      <c r="H30" s="58" t="e">
        <f t="shared" si="0"/>
        <v>#REF!</v>
      </c>
    </row>
    <row r="31" spans="2:8" x14ac:dyDescent="0.25">
      <c r="B31" s="4066" t="s">
        <v>2843</v>
      </c>
      <c r="C31" s="2227" t="s">
        <v>2839</v>
      </c>
      <c r="D31" s="2227" t="s">
        <v>2165</v>
      </c>
      <c r="E31" s="2284" t="e">
        <f>#REF!</f>
        <v>#REF!</v>
      </c>
      <c r="F31" s="2284" t="e">
        <f>#REF!</f>
        <v>#REF!</v>
      </c>
      <c r="H31" s="58" t="e">
        <f t="shared" si="0"/>
        <v>#REF!</v>
      </c>
    </row>
    <row r="32" spans="2:8" ht="31.5" x14ac:dyDescent="0.25">
      <c r="B32" s="4066"/>
      <c r="C32" s="2227" t="s">
        <v>2841</v>
      </c>
      <c r="D32" s="2227" t="s">
        <v>2842</v>
      </c>
      <c r="E32" s="2284" t="e">
        <f>#REF!/12</f>
        <v>#REF!</v>
      </c>
      <c r="F32" s="2284" t="e">
        <f>#REF!/12</f>
        <v>#REF!</v>
      </c>
      <c r="H32" s="58" t="e">
        <f t="shared" si="0"/>
        <v>#REF!</v>
      </c>
    </row>
    <row r="33" spans="2:8" x14ac:dyDescent="0.25">
      <c r="B33" s="4066" t="s">
        <v>2844</v>
      </c>
      <c r="C33" s="2227" t="s">
        <v>2839</v>
      </c>
      <c r="D33" s="2227" t="s">
        <v>2165</v>
      </c>
      <c r="E33" s="2284" t="e">
        <f>#REF!</f>
        <v>#REF!</v>
      </c>
      <c r="F33" s="2284" t="e">
        <f>#REF!</f>
        <v>#REF!</v>
      </c>
      <c r="H33" s="58" t="e">
        <f t="shared" si="0"/>
        <v>#REF!</v>
      </c>
    </row>
    <row r="34" spans="2:8" ht="31.5" x14ac:dyDescent="0.25">
      <c r="B34" s="4066"/>
      <c r="C34" s="2227" t="s">
        <v>2841</v>
      </c>
      <c r="D34" s="2227" t="s">
        <v>2842</v>
      </c>
      <c r="E34" s="2284" t="e">
        <f>#REF!/12</f>
        <v>#REF!</v>
      </c>
      <c r="F34" s="2284" t="e">
        <f>#REF!/12</f>
        <v>#REF!</v>
      </c>
      <c r="H34" s="58" t="e">
        <f t="shared" si="0"/>
        <v>#REF!</v>
      </c>
    </row>
    <row r="35" spans="2:8" x14ac:dyDescent="0.25">
      <c r="B35" s="4066" t="s">
        <v>2845</v>
      </c>
      <c r="C35" s="2227" t="s">
        <v>2839</v>
      </c>
      <c r="D35" s="2227" t="s">
        <v>2165</v>
      </c>
      <c r="E35" s="2284">
        <v>0</v>
      </c>
      <c r="F35" s="1348">
        <v>0</v>
      </c>
      <c r="H35" s="58">
        <f t="shared" si="0"/>
        <v>0</v>
      </c>
    </row>
    <row r="36" spans="2:8" ht="31.5" x14ac:dyDescent="0.25">
      <c r="B36" s="4066"/>
      <c r="C36" s="2227" t="s">
        <v>2841</v>
      </c>
      <c r="D36" s="2227" t="s">
        <v>2842</v>
      </c>
      <c r="E36" s="2284" t="e">
        <f>#REF!/12</f>
        <v>#REF!</v>
      </c>
      <c r="F36" s="2284" t="e">
        <f>#REF!/12</f>
        <v>#REF!</v>
      </c>
      <c r="H36" s="58" t="e">
        <f t="shared" si="0"/>
        <v>#REF!</v>
      </c>
    </row>
    <row r="37" spans="2:8" x14ac:dyDescent="0.25">
      <c r="B37" s="4072" t="s">
        <v>2771</v>
      </c>
      <c r="C37" s="4072"/>
      <c r="D37" s="4072"/>
      <c r="E37" s="4072"/>
      <c r="F37" s="4072"/>
      <c r="H37" s="58">
        <f t="shared" si="0"/>
        <v>0</v>
      </c>
    </row>
    <row r="38" spans="2:8" ht="15.6" customHeight="1" x14ac:dyDescent="0.25">
      <c r="B38" s="4071" t="s">
        <v>2851</v>
      </c>
      <c r="C38" s="2228" t="s">
        <v>2839</v>
      </c>
      <c r="D38" s="2228" t="s">
        <v>2165</v>
      </c>
      <c r="E38" s="2283" t="e">
        <f>E40+E42+E44</f>
        <v>#REF!</v>
      </c>
      <c r="F38" s="2283" t="e">
        <f>F40+F42+F44</f>
        <v>#REF!</v>
      </c>
      <c r="H38" s="58" t="e">
        <f t="shared" si="0"/>
        <v>#REF!</v>
      </c>
    </row>
    <row r="39" spans="2:8" ht="31.5" x14ac:dyDescent="0.25">
      <c r="B39" s="4071"/>
      <c r="C39" s="2228" t="s">
        <v>2841</v>
      </c>
      <c r="D39" s="2228" t="s">
        <v>2842</v>
      </c>
      <c r="E39" s="2283" t="e">
        <f>E41+E43+E45</f>
        <v>#REF!</v>
      </c>
      <c r="F39" s="2283" t="e">
        <f>F41+F43+F45</f>
        <v>#REF!</v>
      </c>
      <c r="H39" s="58" t="e">
        <f t="shared" si="0"/>
        <v>#REF!</v>
      </c>
    </row>
    <row r="40" spans="2:8" x14ac:dyDescent="0.25">
      <c r="B40" s="4066" t="s">
        <v>2843</v>
      </c>
      <c r="C40" s="2227" t="s">
        <v>2839</v>
      </c>
      <c r="D40" s="2227" t="s">
        <v>2165</v>
      </c>
      <c r="E40" s="2284" t="e">
        <f>#REF!</f>
        <v>#REF!</v>
      </c>
      <c r="F40" s="2284" t="e">
        <f>#REF!</f>
        <v>#REF!</v>
      </c>
      <c r="H40" s="58" t="e">
        <f t="shared" si="0"/>
        <v>#REF!</v>
      </c>
    </row>
    <row r="41" spans="2:8" ht="31.5" x14ac:dyDescent="0.25">
      <c r="B41" s="4066"/>
      <c r="C41" s="2227" t="s">
        <v>2841</v>
      </c>
      <c r="D41" s="2227" t="s">
        <v>2842</v>
      </c>
      <c r="E41" s="2284" t="e">
        <f>#REF!/12</f>
        <v>#REF!</v>
      </c>
      <c r="F41" s="2284" t="e">
        <f>#REF!/12</f>
        <v>#REF!</v>
      </c>
      <c r="H41" s="58" t="e">
        <f t="shared" si="0"/>
        <v>#REF!</v>
      </c>
    </row>
    <row r="42" spans="2:8" x14ac:dyDescent="0.25">
      <c r="B42" s="4066" t="s">
        <v>2844</v>
      </c>
      <c r="C42" s="2227" t="s">
        <v>2839</v>
      </c>
      <c r="D42" s="2227" t="s">
        <v>2165</v>
      </c>
      <c r="E42" s="2284" t="e">
        <f>#REF!</f>
        <v>#REF!</v>
      </c>
      <c r="F42" s="2284" t="e">
        <f>#REF!</f>
        <v>#REF!</v>
      </c>
      <c r="H42" s="58" t="e">
        <f t="shared" si="0"/>
        <v>#REF!</v>
      </c>
    </row>
    <row r="43" spans="2:8" ht="31.5" x14ac:dyDescent="0.25">
      <c r="B43" s="4066"/>
      <c r="C43" s="2227" t="s">
        <v>2841</v>
      </c>
      <c r="D43" s="2227" t="s">
        <v>2842</v>
      </c>
      <c r="E43" s="2284" t="e">
        <f>#REF!/12</f>
        <v>#REF!</v>
      </c>
      <c r="F43" s="2284" t="e">
        <f>#REF!/12</f>
        <v>#REF!</v>
      </c>
      <c r="H43" s="58" t="e">
        <f t="shared" si="0"/>
        <v>#REF!</v>
      </c>
    </row>
    <row r="44" spans="2:8" x14ac:dyDescent="0.25">
      <c r="B44" s="4066" t="s">
        <v>2845</v>
      </c>
      <c r="C44" s="2227" t="s">
        <v>2839</v>
      </c>
      <c r="D44" s="2227" t="s">
        <v>2165</v>
      </c>
      <c r="E44" s="2284">
        <v>0</v>
      </c>
      <c r="F44" s="1348">
        <v>0</v>
      </c>
      <c r="H44" s="58">
        <f t="shared" si="0"/>
        <v>0</v>
      </c>
    </row>
    <row r="45" spans="2:8" ht="31.5" x14ac:dyDescent="0.25">
      <c r="B45" s="4066"/>
      <c r="C45" s="2227" t="s">
        <v>2841</v>
      </c>
      <c r="D45" s="2227" t="s">
        <v>2842</v>
      </c>
      <c r="E45" s="2284" t="e">
        <f>#REF!/12</f>
        <v>#REF!</v>
      </c>
      <c r="F45" s="2284" t="e">
        <f>#REF!/12</f>
        <v>#REF!</v>
      </c>
      <c r="H45" s="58" t="e">
        <f t="shared" si="0"/>
        <v>#REF!</v>
      </c>
    </row>
    <row r="46" spans="2:8" x14ac:dyDescent="0.25">
      <c r="B46" s="2175"/>
    </row>
    <row r="47" spans="2:8" x14ac:dyDescent="0.25">
      <c r="B47" s="2175"/>
    </row>
    <row r="48" spans="2:8" x14ac:dyDescent="0.25">
      <c r="B48" s="2175" t="s">
        <v>2846</v>
      </c>
      <c r="D48" s="2175" t="s">
        <v>2847</v>
      </c>
      <c r="E48" s="2175"/>
      <c r="F48" s="2175"/>
      <c r="G48" s="2175"/>
      <c r="H48" s="2175"/>
    </row>
  </sheetData>
  <mergeCells count="26">
    <mergeCell ref="B17:B18"/>
    <mergeCell ref="B19:F19"/>
    <mergeCell ref="B20:B21"/>
    <mergeCell ref="B22:B23"/>
    <mergeCell ref="B7:F7"/>
    <mergeCell ref="B10:F10"/>
    <mergeCell ref="B11:B12"/>
    <mergeCell ref="B13:B14"/>
    <mergeCell ref="B15:B16"/>
    <mergeCell ref="D1:F1"/>
    <mergeCell ref="D2:F2"/>
    <mergeCell ref="D3:F3"/>
    <mergeCell ref="D4:F4"/>
    <mergeCell ref="B6:F6"/>
    <mergeCell ref="B24:B25"/>
    <mergeCell ref="B40:B41"/>
    <mergeCell ref="B42:B43"/>
    <mergeCell ref="B44:B45"/>
    <mergeCell ref="B29:B30"/>
    <mergeCell ref="B31:B32"/>
    <mergeCell ref="B33:B34"/>
    <mergeCell ref="B35:B36"/>
    <mergeCell ref="B37:F37"/>
    <mergeCell ref="B38:B39"/>
    <mergeCell ref="B26:B27"/>
    <mergeCell ref="B28:F28"/>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B1:E247"/>
  <sheetViews>
    <sheetView workbookViewId="0">
      <selection sqref="A1:XFD1048576"/>
    </sheetView>
  </sheetViews>
  <sheetFormatPr defaultColWidth="8.85546875" defaultRowHeight="15.75" x14ac:dyDescent="0.25"/>
  <cols>
    <col min="1" max="2" width="8.85546875" style="58"/>
    <col min="3" max="3" width="31.28515625" style="58" customWidth="1"/>
    <col min="4" max="4" width="24.7109375" style="58" customWidth="1"/>
    <col min="5" max="5" width="19.5703125" style="58" customWidth="1"/>
    <col min="6" max="16384" width="8.85546875" style="58"/>
  </cols>
  <sheetData>
    <row r="1" spans="2:5" x14ac:dyDescent="0.25">
      <c r="D1" s="4075" t="s">
        <v>3089</v>
      </c>
      <c r="E1" s="4075"/>
    </row>
    <row r="2" spans="2:5" ht="49.9" customHeight="1" x14ac:dyDescent="0.25">
      <c r="D2" s="4076" t="s">
        <v>3084</v>
      </c>
      <c r="E2" s="4076"/>
    </row>
    <row r="4" spans="2:5" ht="20.25" x14ac:dyDescent="0.3">
      <c r="B4" s="4077" t="s">
        <v>470</v>
      </c>
      <c r="C4" s="4077"/>
      <c r="D4" s="4077"/>
      <c r="E4" s="4077"/>
    </row>
    <row r="5" spans="2:5" x14ac:dyDescent="0.25">
      <c r="B5" s="4078" t="s">
        <v>1093</v>
      </c>
      <c r="C5" s="4078"/>
      <c r="D5" s="4078"/>
      <c r="E5" s="4078"/>
    </row>
    <row r="6" spans="2:5" ht="28.9" customHeight="1" x14ac:dyDescent="0.25">
      <c r="B6" s="4079" t="s">
        <v>3071</v>
      </c>
      <c r="C6" s="4079"/>
      <c r="D6" s="4079"/>
      <c r="E6" s="4079"/>
    </row>
    <row r="7" spans="2:5" x14ac:dyDescent="0.25">
      <c r="B7" s="4074" t="s">
        <v>367</v>
      </c>
      <c r="C7" s="4074"/>
      <c r="D7" s="4074"/>
      <c r="E7" s="4074"/>
    </row>
    <row r="8" spans="2:5" x14ac:dyDescent="0.25">
      <c r="B8" s="4073" t="s">
        <v>3072</v>
      </c>
      <c r="C8" s="4073"/>
      <c r="D8" s="4073"/>
      <c r="E8" s="4073"/>
    </row>
    <row r="9" spans="2:5" ht="16.5" thickBot="1" x14ac:dyDescent="0.3">
      <c r="B9" s="4074" t="s">
        <v>1094</v>
      </c>
      <c r="C9" s="4074"/>
      <c r="D9" s="4074"/>
      <c r="E9" s="4074"/>
    </row>
    <row r="10" spans="2:5" ht="0.6" customHeight="1" thickBot="1" x14ac:dyDescent="0.3"/>
    <row r="11" spans="2:5" ht="80.45" customHeight="1" thickBot="1" x14ac:dyDescent="0.3">
      <c r="B11" s="2374" t="s">
        <v>7</v>
      </c>
      <c r="C11" s="1928" t="s">
        <v>352</v>
      </c>
      <c r="D11" s="1928" t="s">
        <v>353</v>
      </c>
      <c r="E11" s="1928" t="s">
        <v>3073</v>
      </c>
    </row>
    <row r="12" spans="2:5" ht="16.5" thickBot="1" x14ac:dyDescent="0.3">
      <c r="B12" s="2375">
        <v>1</v>
      </c>
      <c r="C12" s="2376">
        <v>2</v>
      </c>
      <c r="D12" s="2376">
        <v>3</v>
      </c>
      <c r="E12" s="2375">
        <v>4</v>
      </c>
    </row>
    <row r="13" spans="2:5" ht="15.6" customHeight="1" thickBot="1" x14ac:dyDescent="0.3">
      <c r="B13" s="2377">
        <v>1</v>
      </c>
      <c r="C13" s="2378" t="s">
        <v>1102</v>
      </c>
      <c r="D13" s="2379" t="s">
        <v>1103</v>
      </c>
      <c r="E13" s="2377" t="s">
        <v>3074</v>
      </c>
    </row>
    <row r="14" spans="2:5" ht="15.6" customHeight="1" thickBot="1" x14ac:dyDescent="0.3">
      <c r="B14" s="2380">
        <v>2</v>
      </c>
      <c r="C14" s="2378" t="s">
        <v>1104</v>
      </c>
      <c r="D14" s="2379" t="s">
        <v>1103</v>
      </c>
      <c r="E14" s="2377" t="s">
        <v>3074</v>
      </c>
    </row>
    <row r="15" spans="2:5" ht="15.6" customHeight="1" thickBot="1" x14ac:dyDescent="0.3">
      <c r="B15" s="2380">
        <v>3</v>
      </c>
      <c r="C15" s="2378" t="s">
        <v>1105</v>
      </c>
      <c r="D15" s="2379" t="s">
        <v>1103</v>
      </c>
      <c r="E15" s="2377" t="s">
        <v>3074</v>
      </c>
    </row>
    <row r="16" spans="2:5" ht="15.6" customHeight="1" thickBot="1" x14ac:dyDescent="0.3">
      <c r="B16" s="2380">
        <v>4</v>
      </c>
      <c r="C16" s="2378" t="s">
        <v>1106</v>
      </c>
      <c r="D16" s="2379" t="s">
        <v>1103</v>
      </c>
      <c r="E16" s="2377" t="s">
        <v>3074</v>
      </c>
    </row>
    <row r="17" spans="2:5" ht="15.6" customHeight="1" thickBot="1" x14ac:dyDescent="0.3">
      <c r="B17" s="2380">
        <v>5</v>
      </c>
      <c r="C17" s="2378" t="s">
        <v>1107</v>
      </c>
      <c r="D17" s="2379" t="s">
        <v>1103</v>
      </c>
      <c r="E17" s="2377" t="s">
        <v>3074</v>
      </c>
    </row>
    <row r="18" spans="2:5" ht="15.6" customHeight="1" thickBot="1" x14ac:dyDescent="0.3">
      <c r="B18" s="2380">
        <v>6</v>
      </c>
      <c r="C18" s="2378" t="s">
        <v>1108</v>
      </c>
      <c r="D18" s="2379" t="s">
        <v>1103</v>
      </c>
      <c r="E18" s="2377" t="s">
        <v>3074</v>
      </c>
    </row>
    <row r="19" spans="2:5" ht="15.6" customHeight="1" thickBot="1" x14ac:dyDescent="0.3">
      <c r="B19" s="2380">
        <v>7</v>
      </c>
      <c r="C19" s="2378" t="s">
        <v>1109</v>
      </c>
      <c r="D19" s="2379" t="s">
        <v>1103</v>
      </c>
      <c r="E19" s="2377" t="s">
        <v>3074</v>
      </c>
    </row>
    <row r="20" spans="2:5" ht="15.6" customHeight="1" thickBot="1" x14ac:dyDescent="0.3">
      <c r="B20" s="2380">
        <v>8</v>
      </c>
      <c r="C20" s="2378" t="s">
        <v>1110</v>
      </c>
      <c r="D20" s="2379" t="s">
        <v>1103</v>
      </c>
      <c r="E20" s="2377" t="s">
        <v>3074</v>
      </c>
    </row>
    <row r="21" spans="2:5" ht="15.6" customHeight="1" thickBot="1" x14ac:dyDescent="0.3">
      <c r="B21" s="2380">
        <v>10</v>
      </c>
      <c r="C21" s="2378" t="s">
        <v>1111</v>
      </c>
      <c r="D21" s="2379" t="s">
        <v>1103</v>
      </c>
      <c r="E21" s="2377" t="s">
        <v>3074</v>
      </c>
    </row>
    <row r="22" spans="2:5" ht="15.6" customHeight="1" thickBot="1" x14ac:dyDescent="0.3">
      <c r="B22" s="2380">
        <v>11</v>
      </c>
      <c r="C22" s="2378" t="s">
        <v>1112</v>
      </c>
      <c r="D22" s="2379" t="s">
        <v>1103</v>
      </c>
      <c r="E22" s="2377" t="s">
        <v>3074</v>
      </c>
    </row>
    <row r="23" spans="2:5" ht="15.6" customHeight="1" thickBot="1" x14ac:dyDescent="0.3">
      <c r="B23" s="2380">
        <v>13</v>
      </c>
      <c r="C23" s="2378" t="s">
        <v>1113</v>
      </c>
      <c r="D23" s="2379" t="s">
        <v>1103</v>
      </c>
      <c r="E23" s="2377" t="s">
        <v>3074</v>
      </c>
    </row>
    <row r="24" spans="2:5" ht="15.6" customHeight="1" thickBot="1" x14ac:dyDescent="0.3">
      <c r="B24" s="2380">
        <v>14</v>
      </c>
      <c r="C24" s="2378" t="s">
        <v>1114</v>
      </c>
      <c r="D24" s="2379" t="s">
        <v>1103</v>
      </c>
      <c r="E24" s="2377" t="s">
        <v>3074</v>
      </c>
    </row>
    <row r="25" spans="2:5" ht="15.6" customHeight="1" thickBot="1" x14ac:dyDescent="0.3">
      <c r="B25" s="2380">
        <v>15</v>
      </c>
      <c r="C25" s="2378" t="s">
        <v>1115</v>
      </c>
      <c r="D25" s="2379" t="s">
        <v>1103</v>
      </c>
      <c r="E25" s="2377" t="s">
        <v>3074</v>
      </c>
    </row>
    <row r="26" spans="2:5" ht="15.6" customHeight="1" thickBot="1" x14ac:dyDescent="0.3">
      <c r="B26" s="2380">
        <v>16</v>
      </c>
      <c r="C26" s="2378" t="s">
        <v>1116</v>
      </c>
      <c r="D26" s="2379" t="s">
        <v>1103</v>
      </c>
      <c r="E26" s="2377" t="s">
        <v>3074</v>
      </c>
    </row>
    <row r="27" spans="2:5" ht="15.6" customHeight="1" thickBot="1" x14ac:dyDescent="0.3">
      <c r="B27" s="2380">
        <v>17</v>
      </c>
      <c r="C27" s="2378" t="s">
        <v>1117</v>
      </c>
      <c r="D27" s="2379" t="s">
        <v>1103</v>
      </c>
      <c r="E27" s="2377" t="s">
        <v>3074</v>
      </c>
    </row>
    <row r="28" spans="2:5" ht="15.6" customHeight="1" thickBot="1" x14ac:dyDescent="0.3">
      <c r="B28" s="2380">
        <v>18</v>
      </c>
      <c r="C28" s="2378" t="s">
        <v>1118</v>
      </c>
      <c r="D28" s="2379" t="s">
        <v>1103</v>
      </c>
      <c r="E28" s="2377" t="s">
        <v>3074</v>
      </c>
    </row>
    <row r="29" spans="2:5" ht="15.6" customHeight="1" thickBot="1" x14ac:dyDescent="0.3">
      <c r="B29" s="2380">
        <v>19</v>
      </c>
      <c r="C29" s="2378" t="s">
        <v>1119</v>
      </c>
      <c r="D29" s="2379" t="s">
        <v>1103</v>
      </c>
      <c r="E29" s="2377" t="s">
        <v>3074</v>
      </c>
    </row>
    <row r="30" spans="2:5" ht="15.6" customHeight="1" thickBot="1" x14ac:dyDescent="0.3">
      <c r="B30" s="2380">
        <v>20</v>
      </c>
      <c r="C30" s="2378" t="s">
        <v>1120</v>
      </c>
      <c r="D30" s="2379" t="s">
        <v>1103</v>
      </c>
      <c r="E30" s="2377" t="s">
        <v>3075</v>
      </c>
    </row>
    <row r="31" spans="2:5" ht="15.6" customHeight="1" thickBot="1" x14ac:dyDescent="0.3">
      <c r="B31" s="2380">
        <v>21</v>
      </c>
      <c r="C31" s="2378" t="s">
        <v>1121</v>
      </c>
      <c r="D31" s="2379" t="s">
        <v>1103</v>
      </c>
      <c r="E31" s="2377" t="s">
        <v>3074</v>
      </c>
    </row>
    <row r="32" spans="2:5" ht="15.6" customHeight="1" thickBot="1" x14ac:dyDescent="0.3">
      <c r="B32" s="2380">
        <v>22</v>
      </c>
      <c r="C32" s="2378" t="s">
        <v>1122</v>
      </c>
      <c r="D32" s="2379" t="s">
        <v>1103</v>
      </c>
      <c r="E32" s="2377" t="s">
        <v>3075</v>
      </c>
    </row>
    <row r="33" spans="2:5" ht="15.6" customHeight="1" thickBot="1" x14ac:dyDescent="0.3">
      <c r="B33" s="2380">
        <v>23</v>
      </c>
      <c r="C33" s="2378" t="s">
        <v>1123</v>
      </c>
      <c r="D33" s="2379" t="s">
        <v>1103</v>
      </c>
      <c r="E33" s="2377" t="s">
        <v>3074</v>
      </c>
    </row>
    <row r="34" spans="2:5" ht="15.6" customHeight="1" thickBot="1" x14ac:dyDescent="0.3">
      <c r="B34" s="2380">
        <v>24</v>
      </c>
      <c r="C34" s="2378" t="s">
        <v>1124</v>
      </c>
      <c r="D34" s="2379" t="s">
        <v>1103</v>
      </c>
      <c r="E34" s="2377" t="s">
        <v>3074</v>
      </c>
    </row>
    <row r="35" spans="2:5" ht="15.6" customHeight="1" thickBot="1" x14ac:dyDescent="0.3">
      <c r="B35" s="2380">
        <v>25</v>
      </c>
      <c r="C35" s="2378" t="s">
        <v>1125</v>
      </c>
      <c r="D35" s="2379" t="s">
        <v>1103</v>
      </c>
      <c r="E35" s="2377" t="s">
        <v>3074</v>
      </c>
    </row>
    <row r="36" spans="2:5" ht="15.6" customHeight="1" thickBot="1" x14ac:dyDescent="0.3">
      <c r="B36" s="2380">
        <v>26</v>
      </c>
      <c r="C36" s="2378" t="s">
        <v>1126</v>
      </c>
      <c r="D36" s="2379" t="s">
        <v>1103</v>
      </c>
      <c r="E36" s="2377" t="s">
        <v>3074</v>
      </c>
    </row>
    <row r="37" spans="2:5" ht="15.6" customHeight="1" thickBot="1" x14ac:dyDescent="0.3">
      <c r="B37" s="2380">
        <v>27</v>
      </c>
      <c r="C37" s="2378" t="s">
        <v>1127</v>
      </c>
      <c r="D37" s="2379" t="s">
        <v>1103</v>
      </c>
      <c r="E37" s="2377" t="s">
        <v>3075</v>
      </c>
    </row>
    <row r="38" spans="2:5" ht="15.6" customHeight="1" thickBot="1" x14ac:dyDescent="0.3">
      <c r="B38" s="2380">
        <v>28</v>
      </c>
      <c r="C38" s="2378" t="s">
        <v>1128</v>
      </c>
      <c r="D38" s="2379" t="s">
        <v>1103</v>
      </c>
      <c r="E38" s="2377" t="s">
        <v>3074</v>
      </c>
    </row>
    <row r="39" spans="2:5" ht="15.6" customHeight="1" thickBot="1" x14ac:dyDescent="0.3">
      <c r="B39" s="2380">
        <v>29</v>
      </c>
      <c r="C39" s="2378" t="s">
        <v>1129</v>
      </c>
      <c r="D39" s="2379" t="s">
        <v>1103</v>
      </c>
      <c r="E39" s="2377" t="s">
        <v>3075</v>
      </c>
    </row>
    <row r="40" spans="2:5" ht="15.6" customHeight="1" thickBot="1" x14ac:dyDescent="0.3">
      <c r="B40" s="2380">
        <v>30</v>
      </c>
      <c r="C40" s="2378" t="s">
        <v>1130</v>
      </c>
      <c r="D40" s="2379" t="s">
        <v>1103</v>
      </c>
      <c r="E40" s="2377" t="s">
        <v>3075</v>
      </c>
    </row>
    <row r="41" spans="2:5" ht="15.6" customHeight="1" thickBot="1" x14ac:dyDescent="0.3">
      <c r="B41" s="2380">
        <v>31</v>
      </c>
      <c r="C41" s="2378" t="s">
        <v>1131</v>
      </c>
      <c r="D41" s="2379" t="s">
        <v>1103</v>
      </c>
      <c r="E41" s="2377" t="s">
        <v>3075</v>
      </c>
    </row>
    <row r="42" spans="2:5" ht="15.6" customHeight="1" thickBot="1" x14ac:dyDescent="0.3">
      <c r="B42" s="2380">
        <v>32</v>
      </c>
      <c r="C42" s="2378" t="s">
        <v>1132</v>
      </c>
      <c r="D42" s="2379" t="s">
        <v>1103</v>
      </c>
      <c r="E42" s="2377" t="s">
        <v>3074</v>
      </c>
    </row>
    <row r="43" spans="2:5" ht="15.6" customHeight="1" thickBot="1" x14ac:dyDescent="0.3">
      <c r="B43" s="2380">
        <v>33</v>
      </c>
      <c r="C43" s="2378" t="s">
        <v>1133</v>
      </c>
      <c r="D43" s="2379" t="s">
        <v>1103</v>
      </c>
      <c r="E43" s="2377" t="s">
        <v>3074</v>
      </c>
    </row>
    <row r="44" spans="2:5" ht="15.6" customHeight="1" thickBot="1" x14ac:dyDescent="0.3">
      <c r="B44" s="2380">
        <v>34</v>
      </c>
      <c r="C44" s="2378" t="s">
        <v>1134</v>
      </c>
      <c r="D44" s="2379" t="s">
        <v>1103</v>
      </c>
      <c r="E44" s="2377" t="s">
        <v>3074</v>
      </c>
    </row>
    <row r="45" spans="2:5" ht="15.6" customHeight="1" thickBot="1" x14ac:dyDescent="0.3">
      <c r="B45" s="2380">
        <v>35</v>
      </c>
      <c r="C45" s="2378" t="s">
        <v>1135</v>
      </c>
      <c r="D45" s="2379" t="s">
        <v>1103</v>
      </c>
      <c r="E45" s="2377" t="s">
        <v>3074</v>
      </c>
    </row>
    <row r="46" spans="2:5" ht="15.6" customHeight="1" thickBot="1" x14ac:dyDescent="0.3">
      <c r="B46" s="2380">
        <v>36</v>
      </c>
      <c r="C46" s="2378" t="s">
        <v>1136</v>
      </c>
      <c r="D46" s="2379" t="s">
        <v>1103</v>
      </c>
      <c r="E46" s="2377" t="s">
        <v>3075</v>
      </c>
    </row>
    <row r="47" spans="2:5" ht="15.6" customHeight="1" thickBot="1" x14ac:dyDescent="0.3">
      <c r="B47" s="2380">
        <v>37</v>
      </c>
      <c r="C47" s="2378" t="s">
        <v>1137</v>
      </c>
      <c r="D47" s="2379" t="s">
        <v>1103</v>
      </c>
      <c r="E47" s="2377" t="s">
        <v>3074</v>
      </c>
    </row>
    <row r="48" spans="2:5" ht="15.6" customHeight="1" thickBot="1" x14ac:dyDescent="0.3">
      <c r="B48" s="2380">
        <v>38</v>
      </c>
      <c r="C48" s="2378" t="s">
        <v>1138</v>
      </c>
      <c r="D48" s="2379" t="s">
        <v>1103</v>
      </c>
      <c r="E48" s="2377" t="s">
        <v>3074</v>
      </c>
    </row>
    <row r="49" spans="2:5" ht="15.6" customHeight="1" thickBot="1" x14ac:dyDescent="0.3">
      <c r="B49" s="2380">
        <v>39</v>
      </c>
      <c r="C49" s="2378" t="s">
        <v>1927</v>
      </c>
      <c r="D49" s="2379" t="s">
        <v>1103</v>
      </c>
      <c r="E49" s="2377" t="s">
        <v>3075</v>
      </c>
    </row>
    <row r="50" spans="2:5" ht="15.6" customHeight="1" thickBot="1" x14ac:dyDescent="0.3">
      <c r="B50" s="2380">
        <v>40</v>
      </c>
      <c r="C50" s="2378" t="s">
        <v>1139</v>
      </c>
      <c r="D50" s="2379" t="s">
        <v>1103</v>
      </c>
      <c r="E50" s="2377" t="s">
        <v>3074</v>
      </c>
    </row>
    <row r="51" spans="2:5" ht="15.6" customHeight="1" thickBot="1" x14ac:dyDescent="0.3">
      <c r="B51" s="2380">
        <v>41</v>
      </c>
      <c r="C51" s="2378" t="s">
        <v>1140</v>
      </c>
      <c r="D51" s="2379" t="s">
        <v>1103</v>
      </c>
      <c r="E51" s="2377" t="s">
        <v>3075</v>
      </c>
    </row>
    <row r="52" spans="2:5" ht="15.6" customHeight="1" thickBot="1" x14ac:dyDescent="0.3">
      <c r="B52" s="2380">
        <v>42</v>
      </c>
      <c r="C52" s="2378" t="s">
        <v>1141</v>
      </c>
      <c r="D52" s="2379" t="s">
        <v>1103</v>
      </c>
      <c r="E52" s="2377" t="s">
        <v>3074</v>
      </c>
    </row>
    <row r="53" spans="2:5" ht="15.6" customHeight="1" thickBot="1" x14ac:dyDescent="0.3">
      <c r="B53" s="2380">
        <v>44</v>
      </c>
      <c r="C53" s="2378" t="s">
        <v>1142</v>
      </c>
      <c r="D53" s="2379" t="s">
        <v>1103</v>
      </c>
      <c r="E53" s="2377" t="s">
        <v>3074</v>
      </c>
    </row>
    <row r="54" spans="2:5" ht="15.6" customHeight="1" thickBot="1" x14ac:dyDescent="0.3">
      <c r="B54" s="2380">
        <v>47</v>
      </c>
      <c r="C54" s="2378" t="s">
        <v>1143</v>
      </c>
      <c r="D54" s="2379" t="s">
        <v>1103</v>
      </c>
      <c r="E54" s="2377" t="s">
        <v>3075</v>
      </c>
    </row>
    <row r="55" spans="2:5" ht="15.6" customHeight="1" thickBot="1" x14ac:dyDescent="0.3">
      <c r="B55" s="2380">
        <v>48</v>
      </c>
      <c r="C55" s="2378" t="s">
        <v>1144</v>
      </c>
      <c r="D55" s="2379" t="s">
        <v>1103</v>
      </c>
      <c r="E55" s="2381" t="s">
        <v>3075</v>
      </c>
    </row>
    <row r="56" spans="2:5" ht="15.6" customHeight="1" thickBot="1" x14ac:dyDescent="0.3">
      <c r="B56" s="2380">
        <v>49</v>
      </c>
      <c r="C56" s="2378" t="s">
        <v>1145</v>
      </c>
      <c r="D56" s="2379" t="s">
        <v>1103</v>
      </c>
      <c r="E56" s="2377" t="s">
        <v>3075</v>
      </c>
    </row>
    <row r="57" spans="2:5" ht="15.6" customHeight="1" thickBot="1" x14ac:dyDescent="0.3">
      <c r="B57" s="2380">
        <v>50</v>
      </c>
      <c r="C57" s="2378" t="s">
        <v>1146</v>
      </c>
      <c r="D57" s="2379" t="s">
        <v>1103</v>
      </c>
      <c r="E57" s="2381" t="s">
        <v>3075</v>
      </c>
    </row>
    <row r="58" spans="2:5" ht="15.6" customHeight="1" thickBot="1" x14ac:dyDescent="0.3">
      <c r="B58" s="2380">
        <v>51</v>
      </c>
      <c r="C58" s="2378" t="s">
        <v>1147</v>
      </c>
      <c r="D58" s="2379" t="s">
        <v>1103</v>
      </c>
      <c r="E58" s="2381" t="s">
        <v>3075</v>
      </c>
    </row>
    <row r="59" spans="2:5" ht="15.6" customHeight="1" thickBot="1" x14ac:dyDescent="0.3">
      <c r="B59" s="2380">
        <v>52</v>
      </c>
      <c r="C59" s="2378" t="s">
        <v>1148</v>
      </c>
      <c r="D59" s="2379" t="s">
        <v>1103</v>
      </c>
      <c r="E59" s="2381" t="s">
        <v>3075</v>
      </c>
    </row>
    <row r="60" spans="2:5" ht="15.6" customHeight="1" thickBot="1" x14ac:dyDescent="0.3">
      <c r="B60" s="2380">
        <v>53</v>
      </c>
      <c r="C60" s="2378" t="s">
        <v>1149</v>
      </c>
      <c r="D60" s="2379" t="s">
        <v>1103</v>
      </c>
      <c r="E60" s="2381" t="s">
        <v>3075</v>
      </c>
    </row>
    <row r="61" spans="2:5" ht="15.6" customHeight="1" thickBot="1" x14ac:dyDescent="0.3">
      <c r="B61" s="2380">
        <v>54</v>
      </c>
      <c r="C61" s="2378" t="s">
        <v>1150</v>
      </c>
      <c r="D61" s="2379" t="s">
        <v>1103</v>
      </c>
      <c r="E61" s="2381" t="s">
        <v>3075</v>
      </c>
    </row>
    <row r="62" spans="2:5" ht="15.6" customHeight="1" thickBot="1" x14ac:dyDescent="0.3">
      <c r="B62" s="2380">
        <v>55</v>
      </c>
      <c r="C62" s="2378" t="s">
        <v>1151</v>
      </c>
      <c r="D62" s="2379" t="s">
        <v>1103</v>
      </c>
      <c r="E62" s="2381" t="s">
        <v>3075</v>
      </c>
    </row>
    <row r="63" spans="2:5" ht="15.6" customHeight="1" thickBot="1" x14ac:dyDescent="0.3">
      <c r="B63" s="2380">
        <v>56</v>
      </c>
      <c r="C63" s="2378" t="s">
        <v>1152</v>
      </c>
      <c r="D63" s="2379" t="s">
        <v>1103</v>
      </c>
      <c r="E63" s="2381" t="s">
        <v>3075</v>
      </c>
    </row>
    <row r="64" spans="2:5" ht="15.6" customHeight="1" thickBot="1" x14ac:dyDescent="0.3">
      <c r="B64" s="2380">
        <v>57</v>
      </c>
      <c r="C64" s="2378" t="s">
        <v>1153</v>
      </c>
      <c r="D64" s="2379" t="s">
        <v>1103</v>
      </c>
      <c r="E64" s="2381" t="s">
        <v>3075</v>
      </c>
    </row>
    <row r="65" spans="2:5" ht="15.6" customHeight="1" thickBot="1" x14ac:dyDescent="0.3">
      <c r="B65" s="2380">
        <v>58</v>
      </c>
      <c r="C65" s="2378" t="s">
        <v>1154</v>
      </c>
      <c r="D65" s="2379" t="s">
        <v>1103</v>
      </c>
      <c r="E65" s="2381" t="s">
        <v>3075</v>
      </c>
    </row>
    <row r="66" spans="2:5" ht="15.6" customHeight="1" thickBot="1" x14ac:dyDescent="0.3">
      <c r="B66" s="2380">
        <v>59</v>
      </c>
      <c r="C66" s="2378" t="s">
        <v>1155</v>
      </c>
      <c r="D66" s="2379" t="s">
        <v>1103</v>
      </c>
      <c r="E66" s="2381" t="s">
        <v>3075</v>
      </c>
    </row>
    <row r="67" spans="2:5" ht="15.6" customHeight="1" thickBot="1" x14ac:dyDescent="0.3">
      <c r="B67" s="2380">
        <v>60</v>
      </c>
      <c r="C67" s="2378" t="s">
        <v>1156</v>
      </c>
      <c r="D67" s="2379" t="s">
        <v>1103</v>
      </c>
      <c r="E67" s="2381" t="s">
        <v>3075</v>
      </c>
    </row>
    <row r="68" spans="2:5" ht="15.6" customHeight="1" thickBot="1" x14ac:dyDescent="0.3">
      <c r="B68" s="2380">
        <v>61</v>
      </c>
      <c r="C68" s="2378" t="s">
        <v>1157</v>
      </c>
      <c r="D68" s="2379" t="s">
        <v>1103</v>
      </c>
      <c r="E68" s="2377" t="s">
        <v>3074</v>
      </c>
    </row>
    <row r="69" spans="2:5" ht="15.6" customHeight="1" thickBot="1" x14ac:dyDescent="0.3">
      <c r="B69" s="2380">
        <v>62</v>
      </c>
      <c r="C69" s="2378" t="s">
        <v>1158</v>
      </c>
      <c r="D69" s="2379" t="s">
        <v>1103</v>
      </c>
      <c r="E69" s="2377" t="s">
        <v>3074</v>
      </c>
    </row>
    <row r="70" spans="2:5" ht="15.6" customHeight="1" thickBot="1" x14ac:dyDescent="0.3">
      <c r="B70" s="2380">
        <v>63</v>
      </c>
      <c r="C70" s="2378" t="s">
        <v>1159</v>
      </c>
      <c r="D70" s="2379" t="s">
        <v>1103</v>
      </c>
      <c r="E70" s="2377" t="s">
        <v>3074</v>
      </c>
    </row>
    <row r="71" spans="2:5" ht="15.6" customHeight="1" thickBot="1" x14ac:dyDescent="0.3">
      <c r="B71" s="2380">
        <v>64</v>
      </c>
      <c r="C71" s="2378" t="s">
        <v>1160</v>
      </c>
      <c r="D71" s="2379" t="s">
        <v>1103</v>
      </c>
      <c r="E71" s="2377" t="s">
        <v>3074</v>
      </c>
    </row>
    <row r="72" spans="2:5" ht="15.6" customHeight="1" thickBot="1" x14ac:dyDescent="0.3">
      <c r="B72" s="2380">
        <v>65</v>
      </c>
      <c r="C72" s="2378" t="s">
        <v>1161</v>
      </c>
      <c r="D72" s="2379" t="s">
        <v>1103</v>
      </c>
      <c r="E72" s="2377" t="s">
        <v>3074</v>
      </c>
    </row>
    <row r="73" spans="2:5" ht="15.6" customHeight="1" thickBot="1" x14ac:dyDescent="0.3">
      <c r="B73" s="2380">
        <v>66</v>
      </c>
      <c r="C73" s="2378" t="s">
        <v>1162</v>
      </c>
      <c r="D73" s="2379" t="s">
        <v>1103</v>
      </c>
      <c r="E73" s="2377" t="s">
        <v>3074</v>
      </c>
    </row>
    <row r="74" spans="2:5" ht="15.6" customHeight="1" thickBot="1" x14ac:dyDescent="0.3">
      <c r="B74" s="2380">
        <v>67</v>
      </c>
      <c r="C74" s="2378" t="s">
        <v>1163</v>
      </c>
      <c r="D74" s="2379" t="s">
        <v>1103</v>
      </c>
      <c r="E74" s="2377" t="s">
        <v>3074</v>
      </c>
    </row>
    <row r="75" spans="2:5" ht="15.6" customHeight="1" thickBot="1" x14ac:dyDescent="0.3">
      <c r="B75" s="2380">
        <v>68</v>
      </c>
      <c r="C75" s="2378" t="s">
        <v>1164</v>
      </c>
      <c r="D75" s="2379" t="s">
        <v>1103</v>
      </c>
      <c r="E75" s="2377" t="s">
        <v>3074</v>
      </c>
    </row>
    <row r="76" spans="2:5" ht="15.6" customHeight="1" thickBot="1" x14ac:dyDescent="0.3">
      <c r="B76" s="2380">
        <v>70</v>
      </c>
      <c r="C76" s="2378" t="s">
        <v>1165</v>
      </c>
      <c r="D76" s="2379" t="s">
        <v>1103</v>
      </c>
      <c r="E76" s="2377" t="s">
        <v>3074</v>
      </c>
    </row>
    <row r="77" spans="2:5" ht="15.6" customHeight="1" thickBot="1" x14ac:dyDescent="0.3">
      <c r="B77" s="2380">
        <v>72</v>
      </c>
      <c r="C77" s="2378" t="s">
        <v>1166</v>
      </c>
      <c r="D77" s="2379" t="s">
        <v>1103</v>
      </c>
      <c r="E77" s="2377" t="s">
        <v>3074</v>
      </c>
    </row>
    <row r="78" spans="2:5" ht="15.6" customHeight="1" thickBot="1" x14ac:dyDescent="0.3">
      <c r="B78" s="2380">
        <v>73</v>
      </c>
      <c r="C78" s="2378" t="s">
        <v>1167</v>
      </c>
      <c r="D78" s="2379" t="s">
        <v>1103</v>
      </c>
      <c r="E78" s="2377" t="s">
        <v>3074</v>
      </c>
    </row>
    <row r="79" spans="2:5" ht="15.6" customHeight="1" thickBot="1" x14ac:dyDescent="0.3">
      <c r="B79" s="2380">
        <v>74</v>
      </c>
      <c r="C79" s="2378" t="s">
        <v>1168</v>
      </c>
      <c r="D79" s="2379" t="s">
        <v>1103</v>
      </c>
      <c r="E79" s="2377" t="s">
        <v>3074</v>
      </c>
    </row>
    <row r="80" spans="2:5" ht="15.6" customHeight="1" thickBot="1" x14ac:dyDescent="0.3">
      <c r="B80" s="2380">
        <v>76</v>
      </c>
      <c r="C80" s="2378" t="s">
        <v>1169</v>
      </c>
      <c r="D80" s="2379" t="s">
        <v>1103</v>
      </c>
      <c r="E80" s="2377" t="s">
        <v>3074</v>
      </c>
    </row>
    <row r="81" spans="2:5" ht="15.6" customHeight="1" thickBot="1" x14ac:dyDescent="0.3">
      <c r="B81" s="2380">
        <v>77</v>
      </c>
      <c r="C81" s="2378" t="s">
        <v>1170</v>
      </c>
      <c r="D81" s="2379" t="s">
        <v>1103</v>
      </c>
      <c r="E81" s="2377" t="s">
        <v>3074</v>
      </c>
    </row>
    <row r="82" spans="2:5" ht="15.6" customHeight="1" thickBot="1" x14ac:dyDescent="0.3">
      <c r="B82" s="2380">
        <v>78</v>
      </c>
      <c r="C82" s="2378" t="s">
        <v>1171</v>
      </c>
      <c r="D82" s="2379" t="s">
        <v>1103</v>
      </c>
      <c r="E82" s="2377" t="s">
        <v>3074</v>
      </c>
    </row>
    <row r="83" spans="2:5" ht="15.6" customHeight="1" thickBot="1" x14ac:dyDescent="0.3">
      <c r="B83" s="2380">
        <v>80</v>
      </c>
      <c r="C83" s="2378" t="s">
        <v>1172</v>
      </c>
      <c r="D83" s="2379" t="s">
        <v>1103</v>
      </c>
      <c r="E83" s="2377" t="s">
        <v>3074</v>
      </c>
    </row>
    <row r="84" spans="2:5" ht="15.6" customHeight="1" thickBot="1" x14ac:dyDescent="0.3">
      <c r="B84" s="2380">
        <v>81</v>
      </c>
      <c r="C84" s="2378" t="s">
        <v>1173</v>
      </c>
      <c r="D84" s="2379" t="s">
        <v>1103</v>
      </c>
      <c r="E84" s="2377" t="s">
        <v>3074</v>
      </c>
    </row>
    <row r="85" spans="2:5" ht="15.6" customHeight="1" thickBot="1" x14ac:dyDescent="0.3">
      <c r="B85" s="2380">
        <v>82</v>
      </c>
      <c r="C85" s="2378" t="s">
        <v>1174</v>
      </c>
      <c r="D85" s="2379" t="s">
        <v>1103</v>
      </c>
      <c r="E85" s="2377" t="s">
        <v>3074</v>
      </c>
    </row>
    <row r="86" spans="2:5" ht="15.6" customHeight="1" thickBot="1" x14ac:dyDescent="0.3">
      <c r="B86" s="2380">
        <v>83</v>
      </c>
      <c r="C86" s="2378" t="s">
        <v>1175</v>
      </c>
      <c r="D86" s="2379" t="s">
        <v>1103</v>
      </c>
      <c r="E86" s="2377" t="s">
        <v>3074</v>
      </c>
    </row>
    <row r="87" spans="2:5" ht="15.6" customHeight="1" thickBot="1" x14ac:dyDescent="0.3">
      <c r="B87" s="2380">
        <v>84</v>
      </c>
      <c r="C87" s="2378" t="s">
        <v>1176</v>
      </c>
      <c r="D87" s="2379" t="s">
        <v>1103</v>
      </c>
      <c r="E87" s="2377" t="s">
        <v>3074</v>
      </c>
    </row>
    <row r="88" spans="2:5" ht="15.6" customHeight="1" thickBot="1" x14ac:dyDescent="0.3">
      <c r="B88" s="2380">
        <v>85</v>
      </c>
      <c r="C88" s="2378" t="s">
        <v>1177</v>
      </c>
      <c r="D88" s="2379" t="s">
        <v>1103</v>
      </c>
      <c r="E88" s="2377" t="s">
        <v>3074</v>
      </c>
    </row>
    <row r="89" spans="2:5" ht="15.6" customHeight="1" thickBot="1" x14ac:dyDescent="0.3">
      <c r="B89" s="2380">
        <v>86</v>
      </c>
      <c r="C89" s="2378" t="s">
        <v>1178</v>
      </c>
      <c r="D89" s="2379" t="s">
        <v>1103</v>
      </c>
      <c r="E89" s="2377" t="s">
        <v>3074</v>
      </c>
    </row>
    <row r="90" spans="2:5" ht="15.6" customHeight="1" thickBot="1" x14ac:dyDescent="0.3">
      <c r="B90" s="2380">
        <v>87</v>
      </c>
      <c r="C90" s="2378" t="s">
        <v>1179</v>
      </c>
      <c r="D90" s="2379" t="s">
        <v>1103</v>
      </c>
      <c r="E90" s="2377" t="s">
        <v>3074</v>
      </c>
    </row>
    <row r="91" spans="2:5" ht="15.6" customHeight="1" thickBot="1" x14ac:dyDescent="0.3">
      <c r="B91" s="2380">
        <v>89</v>
      </c>
      <c r="C91" s="2378" t="s">
        <v>1180</v>
      </c>
      <c r="D91" s="2379" t="s">
        <v>1103</v>
      </c>
      <c r="E91" s="2377" t="s">
        <v>3074</v>
      </c>
    </row>
    <row r="92" spans="2:5" ht="15.6" customHeight="1" thickBot="1" x14ac:dyDescent="0.3">
      <c r="B92" s="2380">
        <v>90</v>
      </c>
      <c r="C92" s="2378" t="s">
        <v>1181</v>
      </c>
      <c r="D92" s="2379" t="s">
        <v>1103</v>
      </c>
      <c r="E92" s="2377" t="s">
        <v>3074</v>
      </c>
    </row>
    <row r="93" spans="2:5" ht="15.6" customHeight="1" thickBot="1" x14ac:dyDescent="0.3">
      <c r="B93" s="2380">
        <v>91</v>
      </c>
      <c r="C93" s="2378" t="s">
        <v>1182</v>
      </c>
      <c r="D93" s="2379" t="s">
        <v>1103</v>
      </c>
      <c r="E93" s="2381" t="s">
        <v>3075</v>
      </c>
    </row>
    <row r="94" spans="2:5" ht="15.6" customHeight="1" thickBot="1" x14ac:dyDescent="0.3">
      <c r="B94" s="2380">
        <v>92</v>
      </c>
      <c r="C94" s="2378" t="s">
        <v>1183</v>
      </c>
      <c r="D94" s="2379" t="s">
        <v>1103</v>
      </c>
      <c r="E94" s="2377" t="s">
        <v>3074</v>
      </c>
    </row>
    <row r="95" spans="2:5" ht="15.6" customHeight="1" thickBot="1" x14ac:dyDescent="0.3">
      <c r="B95" s="2380">
        <v>94</v>
      </c>
      <c r="C95" s="2378" t="s">
        <v>1184</v>
      </c>
      <c r="D95" s="2379" t="s">
        <v>1103</v>
      </c>
      <c r="E95" s="2377" t="s">
        <v>3074</v>
      </c>
    </row>
    <row r="96" spans="2:5" ht="15.6" customHeight="1" thickBot="1" x14ac:dyDescent="0.3">
      <c r="B96" s="2380">
        <v>95</v>
      </c>
      <c r="C96" s="2378" t="s">
        <v>1185</v>
      </c>
      <c r="D96" s="2379" t="s">
        <v>1103</v>
      </c>
      <c r="E96" s="2377" t="s">
        <v>3074</v>
      </c>
    </row>
    <row r="97" spans="2:5" ht="15.6" customHeight="1" thickBot="1" x14ac:dyDescent="0.3">
      <c r="B97" s="2380">
        <v>96</v>
      </c>
      <c r="C97" s="2378" t="s">
        <v>1186</v>
      </c>
      <c r="D97" s="2379" t="s">
        <v>1103</v>
      </c>
      <c r="E97" s="2377" t="s">
        <v>3074</v>
      </c>
    </row>
    <row r="98" spans="2:5" ht="15.6" customHeight="1" thickBot="1" x14ac:dyDescent="0.3">
      <c r="B98" s="2380">
        <v>98</v>
      </c>
      <c r="C98" s="2378" t="s">
        <v>1187</v>
      </c>
      <c r="D98" s="2379" t="s">
        <v>1103</v>
      </c>
      <c r="E98" s="2377" t="s">
        <v>3074</v>
      </c>
    </row>
    <row r="99" spans="2:5" ht="15.6" customHeight="1" thickBot="1" x14ac:dyDescent="0.3">
      <c r="B99" s="2380">
        <v>99</v>
      </c>
      <c r="C99" s="2378" t="s">
        <v>1188</v>
      </c>
      <c r="D99" s="2379" t="s">
        <v>1103</v>
      </c>
      <c r="E99" s="2377" t="s">
        <v>3074</v>
      </c>
    </row>
    <row r="100" spans="2:5" ht="15.6" customHeight="1" thickBot="1" x14ac:dyDescent="0.3">
      <c r="B100" s="2380">
        <v>100</v>
      </c>
      <c r="C100" s="2378" t="s">
        <v>1189</v>
      </c>
      <c r="D100" s="2379" t="s">
        <v>1103</v>
      </c>
      <c r="E100" s="2377" t="s">
        <v>3074</v>
      </c>
    </row>
    <row r="101" spans="2:5" ht="15.6" customHeight="1" thickBot="1" x14ac:dyDescent="0.3">
      <c r="B101" s="2380">
        <v>101</v>
      </c>
      <c r="C101" s="2378" t="s">
        <v>1190</v>
      </c>
      <c r="D101" s="2379" t="s">
        <v>1103</v>
      </c>
      <c r="E101" s="2377" t="s">
        <v>3074</v>
      </c>
    </row>
    <row r="102" spans="2:5" ht="15.6" customHeight="1" thickBot="1" x14ac:dyDescent="0.3">
      <c r="B102" s="2380">
        <v>102</v>
      </c>
      <c r="C102" s="2378" t="s">
        <v>1191</v>
      </c>
      <c r="D102" s="2379" t="s">
        <v>1103</v>
      </c>
      <c r="E102" s="2377" t="s">
        <v>3074</v>
      </c>
    </row>
    <row r="103" spans="2:5" ht="15.6" customHeight="1" thickBot="1" x14ac:dyDescent="0.3">
      <c r="B103" s="2380">
        <v>104</v>
      </c>
      <c r="C103" s="2378" t="s">
        <v>1192</v>
      </c>
      <c r="D103" s="2379" t="s">
        <v>1103</v>
      </c>
      <c r="E103" s="2377" t="s">
        <v>3074</v>
      </c>
    </row>
    <row r="104" spans="2:5" ht="15.6" customHeight="1" thickBot="1" x14ac:dyDescent="0.3">
      <c r="B104" s="2380">
        <v>105</v>
      </c>
      <c r="C104" s="2378" t="s">
        <v>1193</v>
      </c>
      <c r="D104" s="2379" t="s">
        <v>1103</v>
      </c>
      <c r="E104" s="2377" t="s">
        <v>3074</v>
      </c>
    </row>
    <row r="105" spans="2:5" ht="15.6" customHeight="1" thickBot="1" x14ac:dyDescent="0.3">
      <c r="B105" s="2380">
        <v>106</v>
      </c>
      <c r="C105" s="2378" t="s">
        <v>1194</v>
      </c>
      <c r="D105" s="2379" t="s">
        <v>1103</v>
      </c>
      <c r="E105" s="2377" t="s">
        <v>3074</v>
      </c>
    </row>
    <row r="106" spans="2:5" ht="15.6" customHeight="1" thickBot="1" x14ac:dyDescent="0.3">
      <c r="B106" s="2380">
        <v>107</v>
      </c>
      <c r="C106" s="2378" t="s">
        <v>1195</v>
      </c>
      <c r="D106" s="2379" t="s">
        <v>1103</v>
      </c>
      <c r="E106" s="2377" t="s">
        <v>3074</v>
      </c>
    </row>
    <row r="107" spans="2:5" ht="15.6" customHeight="1" thickBot="1" x14ac:dyDescent="0.3">
      <c r="B107" s="2380">
        <v>108</v>
      </c>
      <c r="C107" s="2378" t="s">
        <v>1196</v>
      </c>
      <c r="D107" s="2379" t="s">
        <v>1103</v>
      </c>
      <c r="E107" s="2377" t="s">
        <v>3074</v>
      </c>
    </row>
    <row r="108" spans="2:5" ht="15.6" customHeight="1" thickBot="1" x14ac:dyDescent="0.3">
      <c r="B108" s="2380">
        <v>109</v>
      </c>
      <c r="C108" s="2378" t="s">
        <v>1197</v>
      </c>
      <c r="D108" s="2379" t="s">
        <v>1103</v>
      </c>
      <c r="E108" s="2377" t="s">
        <v>3074</v>
      </c>
    </row>
    <row r="109" spans="2:5" ht="15.6" customHeight="1" thickBot="1" x14ac:dyDescent="0.3">
      <c r="B109" s="2380">
        <v>110</v>
      </c>
      <c r="C109" s="2378" t="s">
        <v>1198</v>
      </c>
      <c r="D109" s="2379" t="s">
        <v>1103</v>
      </c>
      <c r="E109" s="2377" t="s">
        <v>3074</v>
      </c>
    </row>
    <row r="110" spans="2:5" ht="15.6" customHeight="1" thickBot="1" x14ac:dyDescent="0.3">
      <c r="B110" s="2380">
        <v>111</v>
      </c>
      <c r="C110" s="2378" t="s">
        <v>1199</v>
      </c>
      <c r="D110" s="2379" t="s">
        <v>1103</v>
      </c>
      <c r="E110" s="2377" t="s">
        <v>3074</v>
      </c>
    </row>
    <row r="111" spans="2:5" ht="15.6" customHeight="1" thickBot="1" x14ac:dyDescent="0.3">
      <c r="B111" s="2380">
        <v>113</v>
      </c>
      <c r="C111" s="2378" t="s">
        <v>1200</v>
      </c>
      <c r="D111" s="2379" t="s">
        <v>1103</v>
      </c>
      <c r="E111" s="2377" t="s">
        <v>3074</v>
      </c>
    </row>
    <row r="112" spans="2:5" ht="15.6" customHeight="1" thickBot="1" x14ac:dyDescent="0.3">
      <c r="B112" s="2380">
        <v>114</v>
      </c>
      <c r="C112" s="2378" t="s">
        <v>1201</v>
      </c>
      <c r="D112" s="2379" t="s">
        <v>1103</v>
      </c>
      <c r="E112" s="2377" t="s">
        <v>3074</v>
      </c>
    </row>
    <row r="113" spans="2:5" ht="15.6" customHeight="1" thickBot="1" x14ac:dyDescent="0.3">
      <c r="B113" s="2380">
        <v>115</v>
      </c>
      <c r="C113" s="2378" t="s">
        <v>1202</v>
      </c>
      <c r="D113" s="2379" t="s">
        <v>1103</v>
      </c>
      <c r="E113" s="2377" t="s">
        <v>3074</v>
      </c>
    </row>
    <row r="114" spans="2:5" ht="15.6" customHeight="1" thickBot="1" x14ac:dyDescent="0.3">
      <c r="B114" s="2380">
        <v>116</v>
      </c>
      <c r="C114" s="2378" t="s">
        <v>1203</v>
      </c>
      <c r="D114" s="2379" t="s">
        <v>1103</v>
      </c>
      <c r="E114" s="2381" t="s">
        <v>3075</v>
      </c>
    </row>
    <row r="115" spans="2:5" ht="15.6" customHeight="1" thickBot="1" x14ac:dyDescent="0.3">
      <c r="B115" s="2380">
        <v>117</v>
      </c>
      <c r="C115" s="2378" t="s">
        <v>1204</v>
      </c>
      <c r="D115" s="2379" t="s">
        <v>1103</v>
      </c>
      <c r="E115" s="2381" t="s">
        <v>3075</v>
      </c>
    </row>
    <row r="116" spans="2:5" ht="15.6" customHeight="1" thickBot="1" x14ac:dyDescent="0.3">
      <c r="B116" s="2380">
        <v>118</v>
      </c>
      <c r="C116" s="2378" t="s">
        <v>1205</v>
      </c>
      <c r="D116" s="2379" t="s">
        <v>1103</v>
      </c>
      <c r="E116" s="2381" t="s">
        <v>3075</v>
      </c>
    </row>
    <row r="117" spans="2:5" ht="15.6" customHeight="1" thickBot="1" x14ac:dyDescent="0.3">
      <c r="B117" s="2380">
        <v>119</v>
      </c>
      <c r="C117" s="2378" t="s">
        <v>1206</v>
      </c>
      <c r="D117" s="2379" t="s">
        <v>1103</v>
      </c>
      <c r="E117" s="2377" t="s">
        <v>3074</v>
      </c>
    </row>
    <row r="118" spans="2:5" ht="15.6" customHeight="1" thickBot="1" x14ac:dyDescent="0.3">
      <c r="B118" s="2380">
        <v>121</v>
      </c>
      <c r="C118" s="2378" t="s">
        <v>1207</v>
      </c>
      <c r="D118" s="2379" t="s">
        <v>1103</v>
      </c>
      <c r="E118" s="2377" t="s">
        <v>3074</v>
      </c>
    </row>
    <row r="119" spans="2:5" ht="15.6" customHeight="1" thickBot="1" x14ac:dyDescent="0.3">
      <c r="B119" s="2380">
        <v>122</v>
      </c>
      <c r="C119" s="2378" t="s">
        <v>1208</v>
      </c>
      <c r="D119" s="2379" t="s">
        <v>1103</v>
      </c>
      <c r="E119" s="2377" t="s">
        <v>3074</v>
      </c>
    </row>
    <row r="120" spans="2:5" ht="15.6" customHeight="1" thickBot="1" x14ac:dyDescent="0.3">
      <c r="B120" s="2380">
        <v>123</v>
      </c>
      <c r="C120" s="2378" t="s">
        <v>1209</v>
      </c>
      <c r="D120" s="2379" t="s">
        <v>1103</v>
      </c>
      <c r="E120" s="2377" t="s">
        <v>3074</v>
      </c>
    </row>
    <row r="121" spans="2:5" ht="15.6" customHeight="1" thickBot="1" x14ac:dyDescent="0.3">
      <c r="B121" s="2380">
        <v>125</v>
      </c>
      <c r="C121" s="2378" t="s">
        <v>1210</v>
      </c>
      <c r="D121" s="2379" t="s">
        <v>1103</v>
      </c>
      <c r="E121" s="2381" t="s">
        <v>3075</v>
      </c>
    </row>
    <row r="122" spans="2:5" ht="15.6" customHeight="1" thickBot="1" x14ac:dyDescent="0.3">
      <c r="B122" s="2380">
        <v>126</v>
      </c>
      <c r="C122" s="2378" t="s">
        <v>1211</v>
      </c>
      <c r="D122" s="2379" t="s">
        <v>1103</v>
      </c>
      <c r="E122" s="2377" t="s">
        <v>3074</v>
      </c>
    </row>
    <row r="123" spans="2:5" ht="15.6" customHeight="1" thickBot="1" x14ac:dyDescent="0.3">
      <c r="B123" s="2380">
        <v>127</v>
      </c>
      <c r="C123" s="2378" t="s">
        <v>1212</v>
      </c>
      <c r="D123" s="2379" t="s">
        <v>1103</v>
      </c>
      <c r="E123" s="2381" t="s">
        <v>3075</v>
      </c>
    </row>
    <row r="124" spans="2:5" ht="15.6" customHeight="1" thickBot="1" x14ac:dyDescent="0.3">
      <c r="B124" s="2380">
        <v>128</v>
      </c>
      <c r="C124" s="2378" t="s">
        <v>1213</v>
      </c>
      <c r="D124" s="2379" t="s">
        <v>1103</v>
      </c>
      <c r="E124" s="2381" t="s">
        <v>3075</v>
      </c>
    </row>
    <row r="125" spans="2:5" ht="15.6" customHeight="1" thickBot="1" x14ac:dyDescent="0.3">
      <c r="B125" s="2380">
        <v>129</v>
      </c>
      <c r="C125" s="2378" t="s">
        <v>1214</v>
      </c>
      <c r="D125" s="2379" t="s">
        <v>1103</v>
      </c>
      <c r="E125" s="2377" t="s">
        <v>3074</v>
      </c>
    </row>
    <row r="126" spans="2:5" ht="15.6" customHeight="1" thickBot="1" x14ac:dyDescent="0.3">
      <c r="B126" s="2380">
        <v>130</v>
      </c>
      <c r="C126" s="2378" t="s">
        <v>1215</v>
      </c>
      <c r="D126" s="2379" t="s">
        <v>1103</v>
      </c>
      <c r="E126" s="2377" t="s">
        <v>3074</v>
      </c>
    </row>
    <row r="127" spans="2:5" ht="15.6" customHeight="1" thickBot="1" x14ac:dyDescent="0.3">
      <c r="B127" s="2380">
        <v>131</v>
      </c>
      <c r="C127" s="2378" t="s">
        <v>1216</v>
      </c>
      <c r="D127" s="2379" t="s">
        <v>1103</v>
      </c>
      <c r="E127" s="2377" t="s">
        <v>3074</v>
      </c>
    </row>
    <row r="128" spans="2:5" ht="15.6" customHeight="1" thickBot="1" x14ac:dyDescent="0.3">
      <c r="B128" s="2380">
        <v>132</v>
      </c>
      <c r="C128" s="2378" t="s">
        <v>1217</v>
      </c>
      <c r="D128" s="2379" t="s">
        <v>1103</v>
      </c>
      <c r="E128" s="2377" t="s">
        <v>3074</v>
      </c>
    </row>
    <row r="129" spans="2:5" ht="15.6" customHeight="1" thickBot="1" x14ac:dyDescent="0.3">
      <c r="B129" s="2380">
        <v>135</v>
      </c>
      <c r="C129" s="2378" t="s">
        <v>1218</v>
      </c>
      <c r="D129" s="2379" t="s">
        <v>1103</v>
      </c>
      <c r="E129" s="2377" t="s">
        <v>3074</v>
      </c>
    </row>
    <row r="130" spans="2:5" ht="15.6" customHeight="1" thickBot="1" x14ac:dyDescent="0.3">
      <c r="B130" s="2380">
        <v>136</v>
      </c>
      <c r="C130" s="2378" t="s">
        <v>1219</v>
      </c>
      <c r="D130" s="2379" t="s">
        <v>1103</v>
      </c>
      <c r="E130" s="2377" t="s">
        <v>3074</v>
      </c>
    </row>
    <row r="131" spans="2:5" ht="15.6" customHeight="1" thickBot="1" x14ac:dyDescent="0.3">
      <c r="B131" s="2380">
        <v>137</v>
      </c>
      <c r="C131" s="2378" t="s">
        <v>1220</v>
      </c>
      <c r="D131" s="2379" t="s">
        <v>1103</v>
      </c>
      <c r="E131" s="2377" t="s">
        <v>3074</v>
      </c>
    </row>
    <row r="132" spans="2:5" ht="15.6" customHeight="1" thickBot="1" x14ac:dyDescent="0.3">
      <c r="B132" s="2380">
        <v>138</v>
      </c>
      <c r="C132" s="2378" t="s">
        <v>1221</v>
      </c>
      <c r="D132" s="2379" t="s">
        <v>1103</v>
      </c>
      <c r="E132" s="2381" t="s">
        <v>3075</v>
      </c>
    </row>
    <row r="133" spans="2:5" ht="15.6" customHeight="1" thickBot="1" x14ac:dyDescent="0.3">
      <c r="B133" s="2380">
        <v>139</v>
      </c>
      <c r="C133" s="2378" t="s">
        <v>1222</v>
      </c>
      <c r="D133" s="2379" t="s">
        <v>1103</v>
      </c>
      <c r="E133" s="2377" t="s">
        <v>3074</v>
      </c>
    </row>
    <row r="134" spans="2:5" ht="15.6" customHeight="1" thickBot="1" x14ac:dyDescent="0.3">
      <c r="B134" s="2380">
        <v>140</v>
      </c>
      <c r="C134" s="2378" t="s">
        <v>1223</v>
      </c>
      <c r="D134" s="2379" t="s">
        <v>1103</v>
      </c>
      <c r="E134" s="2381" t="s">
        <v>3075</v>
      </c>
    </row>
    <row r="135" spans="2:5" ht="15.6" customHeight="1" thickBot="1" x14ac:dyDescent="0.3">
      <c r="B135" s="2380">
        <v>141</v>
      </c>
      <c r="C135" s="2378" t="s">
        <v>1224</v>
      </c>
      <c r="D135" s="2379" t="s">
        <v>1103</v>
      </c>
      <c r="E135" s="2377" t="s">
        <v>3074</v>
      </c>
    </row>
    <row r="136" spans="2:5" ht="15.6" customHeight="1" thickBot="1" x14ac:dyDescent="0.3">
      <c r="B136" s="2380">
        <v>142</v>
      </c>
      <c r="C136" s="2378" t="s">
        <v>1225</v>
      </c>
      <c r="D136" s="2379" t="s">
        <v>1103</v>
      </c>
      <c r="E136" s="2381" t="s">
        <v>3075</v>
      </c>
    </row>
    <row r="137" spans="2:5" ht="15.6" customHeight="1" thickBot="1" x14ac:dyDescent="0.3">
      <c r="B137" s="2380">
        <v>146</v>
      </c>
      <c r="C137" s="2378" t="s">
        <v>3076</v>
      </c>
      <c r="D137" s="2379" t="s">
        <v>1103</v>
      </c>
      <c r="E137" s="2377" t="s">
        <v>3074</v>
      </c>
    </row>
    <row r="138" spans="2:5" ht="15.6" customHeight="1" thickBot="1" x14ac:dyDescent="0.3">
      <c r="B138" s="2380">
        <v>148</v>
      </c>
      <c r="C138" s="2378" t="s">
        <v>1226</v>
      </c>
      <c r="D138" s="2379" t="s">
        <v>1103</v>
      </c>
      <c r="E138" s="2381" t="s">
        <v>3075</v>
      </c>
    </row>
    <row r="139" spans="2:5" ht="15.6" customHeight="1" thickBot="1" x14ac:dyDescent="0.3">
      <c r="B139" s="2380">
        <v>149</v>
      </c>
      <c r="C139" s="2378" t="s">
        <v>1227</v>
      </c>
      <c r="D139" s="2379" t="s">
        <v>1103</v>
      </c>
      <c r="E139" s="2381" t="s">
        <v>3075</v>
      </c>
    </row>
    <row r="140" spans="2:5" ht="15.6" customHeight="1" thickBot="1" x14ac:dyDescent="0.3">
      <c r="B140" s="2380">
        <v>150</v>
      </c>
      <c r="C140" s="2382" t="s">
        <v>1228</v>
      </c>
      <c r="D140" s="2379" t="s">
        <v>1103</v>
      </c>
      <c r="E140" s="2377" t="s">
        <v>3074</v>
      </c>
    </row>
    <row r="141" spans="2:5" ht="15.6" customHeight="1" thickBot="1" x14ac:dyDescent="0.3">
      <c r="B141" s="2380">
        <v>152</v>
      </c>
      <c r="C141" s="2378" t="s">
        <v>1229</v>
      </c>
      <c r="D141" s="2379" t="s">
        <v>1103</v>
      </c>
      <c r="E141" s="2377" t="s">
        <v>3074</v>
      </c>
    </row>
    <row r="142" spans="2:5" ht="15.6" customHeight="1" thickBot="1" x14ac:dyDescent="0.3">
      <c r="B142" s="2380">
        <v>153</v>
      </c>
      <c r="C142" s="2378" t="s">
        <v>1230</v>
      </c>
      <c r="D142" s="2379" t="s">
        <v>1103</v>
      </c>
      <c r="E142" s="2377" t="s">
        <v>3074</v>
      </c>
    </row>
    <row r="143" spans="2:5" ht="15.6" customHeight="1" thickBot="1" x14ac:dyDescent="0.3">
      <c r="B143" s="2380">
        <v>155</v>
      </c>
      <c r="C143" s="2378" t="s">
        <v>1231</v>
      </c>
      <c r="D143" s="2379" t="s">
        <v>1103</v>
      </c>
      <c r="E143" s="2377" t="s">
        <v>3074</v>
      </c>
    </row>
    <row r="144" spans="2:5" ht="15.6" customHeight="1" thickBot="1" x14ac:dyDescent="0.3">
      <c r="B144" s="2380">
        <v>156</v>
      </c>
      <c r="C144" s="2378" t="s">
        <v>1232</v>
      </c>
      <c r="D144" s="2379" t="s">
        <v>1103</v>
      </c>
      <c r="E144" s="2377" t="s">
        <v>3074</v>
      </c>
    </row>
    <row r="145" spans="2:5" ht="15.6" customHeight="1" thickBot="1" x14ac:dyDescent="0.3">
      <c r="B145" s="2380">
        <v>157</v>
      </c>
      <c r="C145" s="2378" t="s">
        <v>1233</v>
      </c>
      <c r="D145" s="2379" t="s">
        <v>1103</v>
      </c>
      <c r="E145" s="2377" t="s">
        <v>3074</v>
      </c>
    </row>
    <row r="146" spans="2:5" ht="15.6" customHeight="1" thickBot="1" x14ac:dyDescent="0.3">
      <c r="B146" s="2380">
        <v>159</v>
      </c>
      <c r="C146" s="2378" t="s">
        <v>1234</v>
      </c>
      <c r="D146" s="2379" t="s">
        <v>1103</v>
      </c>
      <c r="E146" s="2377" t="s">
        <v>3074</v>
      </c>
    </row>
    <row r="147" spans="2:5" ht="15.6" customHeight="1" thickBot="1" x14ac:dyDescent="0.3">
      <c r="B147" s="2380">
        <v>160</v>
      </c>
      <c r="C147" s="2378" t="s">
        <v>3077</v>
      </c>
      <c r="D147" s="2379" t="s">
        <v>1103</v>
      </c>
      <c r="E147" s="2377" t="s">
        <v>3074</v>
      </c>
    </row>
    <row r="148" spans="2:5" ht="15.6" customHeight="1" thickBot="1" x14ac:dyDescent="0.3">
      <c r="B148" s="2380">
        <v>161</v>
      </c>
      <c r="C148" s="2378" t="s">
        <v>3078</v>
      </c>
      <c r="D148" s="2379" t="s">
        <v>1103</v>
      </c>
      <c r="E148" s="2377" t="s">
        <v>3074</v>
      </c>
    </row>
    <row r="149" spans="2:5" ht="15.6" customHeight="1" thickBot="1" x14ac:dyDescent="0.3">
      <c r="B149" s="2380">
        <v>162</v>
      </c>
      <c r="C149" s="2378" t="s">
        <v>3079</v>
      </c>
      <c r="D149" s="2379" t="s">
        <v>1103</v>
      </c>
      <c r="E149" s="2377" t="s">
        <v>3074</v>
      </c>
    </row>
    <row r="150" spans="2:5" ht="15.6" customHeight="1" thickBot="1" x14ac:dyDescent="0.3">
      <c r="B150" s="2380">
        <v>163</v>
      </c>
      <c r="C150" s="2378" t="s">
        <v>3080</v>
      </c>
      <c r="D150" s="2379" t="s">
        <v>1103</v>
      </c>
      <c r="E150" s="2377" t="s">
        <v>3074</v>
      </c>
    </row>
    <row r="151" spans="2:5" ht="15.6" customHeight="1" thickBot="1" x14ac:dyDescent="0.3">
      <c r="B151" s="2380">
        <v>164</v>
      </c>
      <c r="C151" s="2378" t="s">
        <v>1235</v>
      </c>
      <c r="D151" s="2379" t="s">
        <v>1103</v>
      </c>
      <c r="E151" s="2377" t="s">
        <v>3074</v>
      </c>
    </row>
    <row r="152" spans="2:5" ht="15.6" customHeight="1" thickBot="1" x14ac:dyDescent="0.3">
      <c r="B152" s="2380">
        <v>166</v>
      </c>
      <c r="C152" s="2378" t="s">
        <v>1236</v>
      </c>
      <c r="D152" s="2379" t="s">
        <v>1103</v>
      </c>
      <c r="E152" s="2377" t="s">
        <v>3074</v>
      </c>
    </row>
    <row r="153" spans="2:5" ht="15.6" customHeight="1" thickBot="1" x14ac:dyDescent="0.3">
      <c r="B153" s="2380">
        <v>167</v>
      </c>
      <c r="C153" s="2378" t="s">
        <v>1237</v>
      </c>
      <c r="D153" s="2379" t="s">
        <v>1103</v>
      </c>
      <c r="E153" s="2377" t="s">
        <v>3074</v>
      </c>
    </row>
    <row r="154" spans="2:5" ht="15.6" customHeight="1" thickBot="1" x14ac:dyDescent="0.3">
      <c r="B154" s="2380">
        <v>168</v>
      </c>
      <c r="C154" s="2378" t="s">
        <v>1238</v>
      </c>
      <c r="D154" s="2379" t="s">
        <v>1103</v>
      </c>
      <c r="E154" s="2377" t="s">
        <v>3074</v>
      </c>
    </row>
    <row r="155" spans="2:5" ht="15.6" customHeight="1" thickBot="1" x14ac:dyDescent="0.3">
      <c r="B155" s="2380">
        <v>169</v>
      </c>
      <c r="C155" s="2382" t="s">
        <v>1239</v>
      </c>
      <c r="D155" s="2379" t="s">
        <v>1103</v>
      </c>
      <c r="E155" s="2377" t="s">
        <v>3074</v>
      </c>
    </row>
    <row r="156" spans="2:5" ht="15.6" customHeight="1" thickBot="1" x14ac:dyDescent="0.3">
      <c r="B156" s="2380">
        <v>170</v>
      </c>
      <c r="C156" s="2378" t="s">
        <v>1240</v>
      </c>
      <c r="D156" s="2379" t="s">
        <v>1103</v>
      </c>
      <c r="E156" s="2377" t="s">
        <v>3074</v>
      </c>
    </row>
    <row r="157" spans="2:5" ht="15.6" customHeight="1" thickBot="1" x14ac:dyDescent="0.3">
      <c r="B157" s="2380">
        <v>171</v>
      </c>
      <c r="C157" s="2378" t="s">
        <v>1241</v>
      </c>
      <c r="D157" s="2379" t="s">
        <v>1103</v>
      </c>
      <c r="E157" s="2381" t="s">
        <v>3075</v>
      </c>
    </row>
    <row r="158" spans="2:5" ht="15.6" customHeight="1" thickBot="1" x14ac:dyDescent="0.3">
      <c r="B158" s="2380">
        <v>172</v>
      </c>
      <c r="C158" s="2378" t="s">
        <v>1242</v>
      </c>
      <c r="D158" s="2379" t="s">
        <v>1103</v>
      </c>
      <c r="E158" s="2381" t="s">
        <v>3075</v>
      </c>
    </row>
    <row r="159" spans="2:5" ht="15.6" customHeight="1" thickBot="1" x14ac:dyDescent="0.3">
      <c r="B159" s="2380">
        <v>175</v>
      </c>
      <c r="C159" s="2378" t="s">
        <v>1243</v>
      </c>
      <c r="D159" s="2379" t="s">
        <v>1103</v>
      </c>
      <c r="E159" s="2377" t="s">
        <v>3074</v>
      </c>
    </row>
    <row r="160" spans="2:5" ht="15.6" customHeight="1" thickBot="1" x14ac:dyDescent="0.3">
      <c r="B160" s="2380">
        <v>179</v>
      </c>
      <c r="C160" s="2378" t="s">
        <v>1244</v>
      </c>
      <c r="D160" s="2379" t="s">
        <v>1103</v>
      </c>
      <c r="E160" s="2381" t="s">
        <v>3075</v>
      </c>
    </row>
    <row r="161" spans="2:5" ht="15.6" customHeight="1" thickBot="1" x14ac:dyDescent="0.3">
      <c r="B161" s="2380">
        <v>180</v>
      </c>
      <c r="C161" s="2378" t="s">
        <v>1245</v>
      </c>
      <c r="D161" s="2379" t="s">
        <v>1103</v>
      </c>
      <c r="E161" s="2381" t="s">
        <v>3075</v>
      </c>
    </row>
    <row r="162" spans="2:5" ht="15.6" customHeight="1" thickBot="1" x14ac:dyDescent="0.3">
      <c r="B162" s="2380">
        <v>183</v>
      </c>
      <c r="C162" s="2378" t="s">
        <v>1246</v>
      </c>
      <c r="D162" s="2379" t="s">
        <v>1103</v>
      </c>
      <c r="E162" s="2381" t="s">
        <v>3075</v>
      </c>
    </row>
    <row r="163" spans="2:5" ht="15.6" customHeight="1" thickBot="1" x14ac:dyDescent="0.3">
      <c r="B163" s="2380">
        <v>184</v>
      </c>
      <c r="C163" s="2378" t="s">
        <v>1247</v>
      </c>
      <c r="D163" s="2379" t="s">
        <v>1103</v>
      </c>
      <c r="E163" s="2381" t="s">
        <v>3075</v>
      </c>
    </row>
    <row r="164" spans="2:5" ht="15.6" customHeight="1" thickBot="1" x14ac:dyDescent="0.3">
      <c r="B164" s="2380">
        <v>186</v>
      </c>
      <c r="C164" s="2378" t="s">
        <v>1248</v>
      </c>
      <c r="D164" s="2379" t="s">
        <v>1103</v>
      </c>
      <c r="E164" s="2381" t="s">
        <v>3075</v>
      </c>
    </row>
    <row r="165" spans="2:5" ht="15.6" customHeight="1" thickBot="1" x14ac:dyDescent="0.3">
      <c r="B165" s="2380">
        <v>187</v>
      </c>
      <c r="C165" s="2378" t="s">
        <v>1249</v>
      </c>
      <c r="D165" s="2379" t="s">
        <v>1103</v>
      </c>
      <c r="E165" s="2381" t="s">
        <v>3075</v>
      </c>
    </row>
    <row r="166" spans="2:5" ht="15.6" customHeight="1" thickBot="1" x14ac:dyDescent="0.3">
      <c r="B166" s="2380">
        <v>188</v>
      </c>
      <c r="C166" s="2378" t="s">
        <v>1250</v>
      </c>
      <c r="D166" s="2379" t="s">
        <v>1103</v>
      </c>
      <c r="E166" s="2377" t="s">
        <v>3074</v>
      </c>
    </row>
    <row r="167" spans="2:5" ht="15.6" customHeight="1" thickBot="1" x14ac:dyDescent="0.3">
      <c r="B167" s="2380">
        <v>189</v>
      </c>
      <c r="C167" s="2378" t="s">
        <v>1251</v>
      </c>
      <c r="D167" s="2379" t="s">
        <v>1103</v>
      </c>
      <c r="E167" s="2381" t="s">
        <v>3075</v>
      </c>
    </row>
    <row r="168" spans="2:5" ht="15.6" customHeight="1" thickBot="1" x14ac:dyDescent="0.3">
      <c r="B168" s="2380">
        <v>190</v>
      </c>
      <c r="C168" s="2378" t="s">
        <v>1252</v>
      </c>
      <c r="D168" s="2379" t="s">
        <v>1103</v>
      </c>
      <c r="E168" s="2377" t="s">
        <v>3074</v>
      </c>
    </row>
    <row r="169" spans="2:5" ht="15.6" customHeight="1" thickBot="1" x14ac:dyDescent="0.3">
      <c r="B169" s="2380">
        <v>191</v>
      </c>
      <c r="C169" s="2378" t="s">
        <v>1253</v>
      </c>
      <c r="D169" s="2379" t="s">
        <v>1103</v>
      </c>
      <c r="E169" s="2377" t="s">
        <v>3074</v>
      </c>
    </row>
    <row r="170" spans="2:5" ht="15.6" customHeight="1" thickBot="1" x14ac:dyDescent="0.3">
      <c r="B170" s="2380">
        <v>192</v>
      </c>
      <c r="C170" s="2378" t="s">
        <v>1254</v>
      </c>
      <c r="D170" s="2379" t="s">
        <v>1103</v>
      </c>
      <c r="E170" s="2377" t="s">
        <v>3074</v>
      </c>
    </row>
    <row r="171" spans="2:5" ht="15.6" customHeight="1" thickBot="1" x14ac:dyDescent="0.3">
      <c r="B171" s="2380">
        <v>193</v>
      </c>
      <c r="C171" s="2378" t="s">
        <v>1255</v>
      </c>
      <c r="D171" s="2379" t="s">
        <v>1103</v>
      </c>
      <c r="E171" s="2377" t="s">
        <v>3074</v>
      </c>
    </row>
    <row r="172" spans="2:5" ht="15.6" customHeight="1" thickBot="1" x14ac:dyDescent="0.3">
      <c r="B172" s="2380">
        <v>194</v>
      </c>
      <c r="C172" s="2378" t="s">
        <v>1256</v>
      </c>
      <c r="D172" s="2379" t="s">
        <v>1103</v>
      </c>
      <c r="E172" s="2377" t="s">
        <v>3074</v>
      </c>
    </row>
    <row r="173" spans="2:5" ht="15.6" customHeight="1" thickBot="1" x14ac:dyDescent="0.3">
      <c r="B173" s="2380">
        <v>195</v>
      </c>
      <c r="C173" s="2378" t="s">
        <v>1257</v>
      </c>
      <c r="D173" s="2379" t="s">
        <v>1103</v>
      </c>
      <c r="E173" s="2377" t="s">
        <v>3074</v>
      </c>
    </row>
    <row r="174" spans="2:5" ht="15.6" customHeight="1" thickBot="1" x14ac:dyDescent="0.3">
      <c r="B174" s="2380">
        <v>196</v>
      </c>
      <c r="C174" s="2378" t="s">
        <v>1258</v>
      </c>
      <c r="D174" s="2379" t="s">
        <v>1103</v>
      </c>
      <c r="E174" s="2377" t="s">
        <v>3074</v>
      </c>
    </row>
    <row r="175" spans="2:5" ht="15.6" customHeight="1" thickBot="1" x14ac:dyDescent="0.3">
      <c r="B175" s="2380">
        <v>197</v>
      </c>
      <c r="C175" s="2378" t="s">
        <v>1259</v>
      </c>
      <c r="D175" s="2379" t="s">
        <v>1103</v>
      </c>
      <c r="E175" s="2377" t="s">
        <v>3074</v>
      </c>
    </row>
    <row r="176" spans="2:5" ht="15.6" customHeight="1" thickBot="1" x14ac:dyDescent="0.3">
      <c r="B176" s="2380">
        <v>198</v>
      </c>
      <c r="C176" s="2378" t="s">
        <v>1260</v>
      </c>
      <c r="D176" s="2379" t="s">
        <v>1103</v>
      </c>
      <c r="E176" s="2377" t="s">
        <v>3074</v>
      </c>
    </row>
    <row r="177" spans="2:5" ht="15.6" customHeight="1" thickBot="1" x14ac:dyDescent="0.3">
      <c r="B177" s="2380">
        <v>199</v>
      </c>
      <c r="C177" s="2378" t="s">
        <v>1261</v>
      </c>
      <c r="D177" s="2379" t="s">
        <v>1103</v>
      </c>
      <c r="E177" s="2377" t="s">
        <v>3074</v>
      </c>
    </row>
    <row r="178" spans="2:5" ht="15.6" customHeight="1" thickBot="1" x14ac:dyDescent="0.3">
      <c r="B178" s="2380">
        <v>201</v>
      </c>
      <c r="C178" s="2378" t="s">
        <v>1262</v>
      </c>
      <c r="D178" s="2379" t="s">
        <v>1103</v>
      </c>
      <c r="E178" s="2377" t="s">
        <v>3074</v>
      </c>
    </row>
    <row r="179" spans="2:5" ht="15.6" customHeight="1" thickBot="1" x14ac:dyDescent="0.3">
      <c r="B179" s="2380">
        <v>202</v>
      </c>
      <c r="C179" s="2378" t="s">
        <v>1263</v>
      </c>
      <c r="D179" s="2379" t="s">
        <v>1103</v>
      </c>
      <c r="E179" s="2377" t="s">
        <v>3074</v>
      </c>
    </row>
    <row r="180" spans="2:5" ht="15.6" customHeight="1" thickBot="1" x14ac:dyDescent="0.3">
      <c r="B180" s="2380">
        <v>204</v>
      </c>
      <c r="C180" s="2378" t="s">
        <v>1264</v>
      </c>
      <c r="D180" s="2379" t="s">
        <v>1103</v>
      </c>
      <c r="E180" s="2377" t="s">
        <v>3074</v>
      </c>
    </row>
    <row r="181" spans="2:5" ht="15.6" customHeight="1" thickBot="1" x14ac:dyDescent="0.3">
      <c r="B181" s="2380">
        <v>205</v>
      </c>
      <c r="C181" s="2378" t="s">
        <v>1265</v>
      </c>
      <c r="D181" s="2379" t="s">
        <v>1103</v>
      </c>
      <c r="E181" s="2381" t="s">
        <v>3075</v>
      </c>
    </row>
    <row r="182" spans="2:5" ht="15.6" customHeight="1" thickBot="1" x14ac:dyDescent="0.3">
      <c r="B182" s="2380">
        <v>206</v>
      </c>
      <c r="C182" s="2378" t="s">
        <v>1266</v>
      </c>
      <c r="D182" s="2379" t="s">
        <v>1103</v>
      </c>
      <c r="E182" s="2377" t="s">
        <v>3074</v>
      </c>
    </row>
    <row r="183" spans="2:5" ht="15.6" customHeight="1" thickBot="1" x14ac:dyDescent="0.3">
      <c r="B183" s="2380">
        <v>207</v>
      </c>
      <c r="C183" s="2378" t="s">
        <v>1267</v>
      </c>
      <c r="D183" s="2379" t="s">
        <v>1103</v>
      </c>
      <c r="E183" s="2377" t="s">
        <v>3074</v>
      </c>
    </row>
    <row r="184" spans="2:5" ht="15.6" customHeight="1" thickBot="1" x14ac:dyDescent="0.3">
      <c r="B184" s="2380">
        <v>208</v>
      </c>
      <c r="C184" s="2378" t="s">
        <v>1268</v>
      </c>
      <c r="D184" s="2379" t="s">
        <v>1103</v>
      </c>
      <c r="E184" s="2377" t="s">
        <v>3074</v>
      </c>
    </row>
    <row r="185" spans="2:5" ht="15.6" customHeight="1" thickBot="1" x14ac:dyDescent="0.3">
      <c r="B185" s="2380">
        <v>209</v>
      </c>
      <c r="C185" s="2378" t="s">
        <v>1269</v>
      </c>
      <c r="D185" s="2379" t="s">
        <v>1103</v>
      </c>
      <c r="E185" s="2377" t="s">
        <v>3074</v>
      </c>
    </row>
    <row r="186" spans="2:5" ht="15.6" customHeight="1" thickBot="1" x14ac:dyDescent="0.3">
      <c r="B186" s="2380">
        <v>210</v>
      </c>
      <c r="C186" s="2378" t="s">
        <v>1270</v>
      </c>
      <c r="D186" s="2379" t="s">
        <v>1103</v>
      </c>
      <c r="E186" s="2377" t="s">
        <v>3074</v>
      </c>
    </row>
    <row r="187" spans="2:5" ht="15.6" customHeight="1" thickBot="1" x14ac:dyDescent="0.3">
      <c r="B187" s="2380">
        <v>212</v>
      </c>
      <c r="C187" s="2378" t="s">
        <v>1271</v>
      </c>
      <c r="D187" s="2379" t="s">
        <v>1103</v>
      </c>
      <c r="E187" s="2377" t="s">
        <v>3074</v>
      </c>
    </row>
    <row r="188" spans="2:5" ht="15.6" customHeight="1" thickBot="1" x14ac:dyDescent="0.3">
      <c r="B188" s="2380">
        <v>213</v>
      </c>
      <c r="C188" s="2378" t="s">
        <v>1272</v>
      </c>
      <c r="D188" s="2379" t="s">
        <v>1103</v>
      </c>
      <c r="E188" s="2377" t="s">
        <v>3074</v>
      </c>
    </row>
    <row r="189" spans="2:5" ht="15.6" customHeight="1" thickBot="1" x14ac:dyDescent="0.3">
      <c r="B189" s="2380">
        <v>214</v>
      </c>
      <c r="C189" s="2378" t="s">
        <v>1273</v>
      </c>
      <c r="D189" s="2379" t="s">
        <v>1103</v>
      </c>
      <c r="E189" s="2381" t="s">
        <v>3075</v>
      </c>
    </row>
    <row r="190" spans="2:5" ht="15.6" customHeight="1" thickBot="1" x14ac:dyDescent="0.3">
      <c r="B190" s="2380">
        <v>215</v>
      </c>
      <c r="C190" s="2378" t="s">
        <v>1274</v>
      </c>
      <c r="D190" s="2379" t="s">
        <v>1103</v>
      </c>
      <c r="E190" s="2377" t="s">
        <v>3074</v>
      </c>
    </row>
    <row r="191" spans="2:5" ht="15.6" customHeight="1" thickBot="1" x14ac:dyDescent="0.3">
      <c r="B191" s="2380">
        <v>216</v>
      </c>
      <c r="C191" s="2378" t="s">
        <v>1275</v>
      </c>
      <c r="D191" s="2379" t="s">
        <v>1103</v>
      </c>
      <c r="E191" s="2381" t="s">
        <v>3075</v>
      </c>
    </row>
    <row r="192" spans="2:5" ht="15.6" customHeight="1" thickBot="1" x14ac:dyDescent="0.3">
      <c r="B192" s="2380">
        <v>217</v>
      </c>
      <c r="C192" s="2378" t="s">
        <v>1276</v>
      </c>
      <c r="D192" s="2379" t="s">
        <v>1103</v>
      </c>
      <c r="E192" s="2381" t="s">
        <v>3075</v>
      </c>
    </row>
    <row r="193" spans="2:5" ht="15.6" customHeight="1" thickBot="1" x14ac:dyDescent="0.3">
      <c r="B193" s="2380">
        <v>218</v>
      </c>
      <c r="C193" s="2378" t="s">
        <v>1277</v>
      </c>
      <c r="D193" s="2379" t="s">
        <v>1103</v>
      </c>
      <c r="E193" s="2377" t="s">
        <v>3074</v>
      </c>
    </row>
    <row r="194" spans="2:5" ht="15.6" customHeight="1" thickBot="1" x14ac:dyDescent="0.3">
      <c r="B194" s="2380">
        <v>219</v>
      </c>
      <c r="C194" s="2378" t="s">
        <v>1278</v>
      </c>
      <c r="D194" s="2379" t="s">
        <v>1103</v>
      </c>
      <c r="E194" s="2377" t="s">
        <v>3074</v>
      </c>
    </row>
    <row r="195" spans="2:5" ht="15.6" customHeight="1" thickBot="1" x14ac:dyDescent="0.3">
      <c r="B195" s="2380">
        <v>221</v>
      </c>
      <c r="C195" s="2378" t="s">
        <v>1279</v>
      </c>
      <c r="D195" s="2379" t="s">
        <v>1103</v>
      </c>
      <c r="E195" s="2377" t="s">
        <v>3075</v>
      </c>
    </row>
    <row r="196" spans="2:5" ht="15.6" customHeight="1" thickBot="1" x14ac:dyDescent="0.3">
      <c r="B196" s="2380">
        <v>222</v>
      </c>
      <c r="C196" s="2378" t="s">
        <v>1280</v>
      </c>
      <c r="D196" s="2379" t="s">
        <v>1103</v>
      </c>
      <c r="E196" s="2377" t="s">
        <v>3075</v>
      </c>
    </row>
    <row r="197" spans="2:5" ht="15.6" customHeight="1" thickBot="1" x14ac:dyDescent="0.3">
      <c r="B197" s="2380">
        <v>223</v>
      </c>
      <c r="C197" s="2378" t="s">
        <v>1281</v>
      </c>
      <c r="D197" s="2379" t="s">
        <v>1103</v>
      </c>
      <c r="E197" s="2377" t="s">
        <v>3075</v>
      </c>
    </row>
    <row r="198" spans="2:5" ht="15.6" customHeight="1" thickBot="1" x14ac:dyDescent="0.3">
      <c r="B198" s="2380">
        <v>224</v>
      </c>
      <c r="C198" s="2378" t="s">
        <v>1282</v>
      </c>
      <c r="D198" s="2379" t="s">
        <v>1103</v>
      </c>
      <c r="E198" s="2377" t="s">
        <v>3074</v>
      </c>
    </row>
    <row r="199" spans="2:5" ht="15.6" customHeight="1" thickBot="1" x14ac:dyDescent="0.3">
      <c r="B199" s="2380">
        <v>225</v>
      </c>
      <c r="C199" s="2378" t="s">
        <v>1283</v>
      </c>
      <c r="D199" s="2379" t="s">
        <v>1103</v>
      </c>
      <c r="E199" s="2381" t="s">
        <v>3075</v>
      </c>
    </row>
    <row r="200" spans="2:5" ht="15.6" customHeight="1" thickBot="1" x14ac:dyDescent="0.3">
      <c r="B200" s="2380">
        <v>226</v>
      </c>
      <c r="C200" s="2378" t="s">
        <v>1284</v>
      </c>
      <c r="D200" s="2379" t="s">
        <v>1103</v>
      </c>
      <c r="E200" s="2381" t="s">
        <v>3075</v>
      </c>
    </row>
    <row r="201" spans="2:5" ht="15.6" customHeight="1" thickBot="1" x14ac:dyDescent="0.3">
      <c r="B201" s="2380">
        <v>227</v>
      </c>
      <c r="C201" s="2378" t="s">
        <v>1285</v>
      </c>
      <c r="D201" s="2379" t="s">
        <v>1103</v>
      </c>
      <c r="E201" s="2377" t="s">
        <v>3074</v>
      </c>
    </row>
    <row r="202" spans="2:5" ht="15.6" customHeight="1" thickBot="1" x14ac:dyDescent="0.3">
      <c r="B202" s="2380">
        <v>229</v>
      </c>
      <c r="C202" s="2378" t="s">
        <v>1286</v>
      </c>
      <c r="D202" s="2379" t="s">
        <v>1103</v>
      </c>
      <c r="E202" s="2377" t="s">
        <v>3074</v>
      </c>
    </row>
    <row r="203" spans="2:5" ht="15.6" customHeight="1" thickBot="1" x14ac:dyDescent="0.3">
      <c r="B203" s="2380">
        <v>231</v>
      </c>
      <c r="C203" s="2378" t="s">
        <v>1287</v>
      </c>
      <c r="D203" s="2379" t="s">
        <v>1103</v>
      </c>
      <c r="E203" s="2381" t="s">
        <v>3075</v>
      </c>
    </row>
    <row r="204" spans="2:5" ht="15.6" customHeight="1" thickBot="1" x14ac:dyDescent="0.3">
      <c r="B204" s="2380">
        <v>232</v>
      </c>
      <c r="C204" s="2378" t="s">
        <v>1288</v>
      </c>
      <c r="D204" s="2379" t="s">
        <v>1103</v>
      </c>
      <c r="E204" s="2381" t="s">
        <v>3075</v>
      </c>
    </row>
    <row r="205" spans="2:5" ht="15.6" customHeight="1" thickBot="1" x14ac:dyDescent="0.3">
      <c r="B205" s="2380">
        <v>233</v>
      </c>
      <c r="C205" s="2378" t="s">
        <v>1289</v>
      </c>
      <c r="D205" s="2379" t="s">
        <v>1103</v>
      </c>
      <c r="E205" s="2381" t="s">
        <v>3075</v>
      </c>
    </row>
    <row r="206" spans="2:5" ht="15.6" customHeight="1" thickBot="1" x14ac:dyDescent="0.3">
      <c r="B206" s="2380">
        <v>234</v>
      </c>
      <c r="C206" s="2378" t="s">
        <v>1290</v>
      </c>
      <c r="D206" s="2379" t="s">
        <v>1103</v>
      </c>
      <c r="E206" s="2381" t="s">
        <v>3075</v>
      </c>
    </row>
    <row r="207" spans="2:5" ht="15.6" customHeight="1" thickBot="1" x14ac:dyDescent="0.3">
      <c r="B207" s="2380">
        <v>235</v>
      </c>
      <c r="C207" s="2378" t="s">
        <v>1291</v>
      </c>
      <c r="D207" s="2379" t="s">
        <v>1103</v>
      </c>
      <c r="E207" s="2381" t="s">
        <v>3075</v>
      </c>
    </row>
    <row r="208" spans="2:5" ht="15.6" customHeight="1" thickBot="1" x14ac:dyDescent="0.3">
      <c r="B208" s="2380">
        <v>236</v>
      </c>
      <c r="C208" s="2378" t="s">
        <v>1292</v>
      </c>
      <c r="D208" s="2379" t="s">
        <v>1103</v>
      </c>
      <c r="E208" s="2381" t="s">
        <v>3075</v>
      </c>
    </row>
    <row r="209" spans="2:5" ht="15.6" customHeight="1" thickBot="1" x14ac:dyDescent="0.3">
      <c r="B209" s="2380">
        <v>237</v>
      </c>
      <c r="C209" s="2378" t="s">
        <v>1293</v>
      </c>
      <c r="D209" s="2379" t="s">
        <v>1103</v>
      </c>
      <c r="E209" s="2381" t="s">
        <v>3075</v>
      </c>
    </row>
    <row r="210" spans="2:5" ht="15.6" customHeight="1" thickBot="1" x14ac:dyDescent="0.3">
      <c r="B210" s="2380">
        <v>238</v>
      </c>
      <c r="C210" s="2378" t="s">
        <v>1294</v>
      </c>
      <c r="D210" s="2379" t="s">
        <v>1103</v>
      </c>
      <c r="E210" s="2381" t="s">
        <v>3075</v>
      </c>
    </row>
    <row r="211" spans="2:5" ht="15.6" customHeight="1" thickBot="1" x14ac:dyDescent="0.3">
      <c r="B211" s="2380">
        <v>239</v>
      </c>
      <c r="C211" s="2378" t="s">
        <v>1295</v>
      </c>
      <c r="D211" s="2379" t="s">
        <v>1103</v>
      </c>
      <c r="E211" s="2377" t="s">
        <v>3074</v>
      </c>
    </row>
    <row r="212" spans="2:5" ht="15.6" customHeight="1" thickBot="1" x14ac:dyDescent="0.3">
      <c r="B212" s="2380">
        <v>241</v>
      </c>
      <c r="C212" s="2378" t="s">
        <v>1296</v>
      </c>
      <c r="D212" s="2379" t="s">
        <v>1103</v>
      </c>
      <c r="E212" s="2377" t="s">
        <v>3074</v>
      </c>
    </row>
    <row r="213" spans="2:5" ht="15.6" customHeight="1" thickBot="1" x14ac:dyDescent="0.3">
      <c r="B213" s="2380">
        <v>242</v>
      </c>
      <c r="C213" s="2378" t="s">
        <v>1297</v>
      </c>
      <c r="D213" s="2379" t="s">
        <v>1103</v>
      </c>
      <c r="E213" s="2377" t="s">
        <v>3074</v>
      </c>
    </row>
    <row r="214" spans="2:5" ht="15.6" customHeight="1" thickBot="1" x14ac:dyDescent="0.3">
      <c r="B214" s="2380">
        <v>243</v>
      </c>
      <c r="C214" s="2378" t="s">
        <v>1298</v>
      </c>
      <c r="D214" s="2379" t="s">
        <v>1103</v>
      </c>
      <c r="E214" s="2377" t="s">
        <v>3074</v>
      </c>
    </row>
    <row r="215" spans="2:5" ht="15.6" customHeight="1" thickBot="1" x14ac:dyDescent="0.3">
      <c r="B215" s="2380">
        <v>244</v>
      </c>
      <c r="C215" s="2378" t="s">
        <v>1299</v>
      </c>
      <c r="D215" s="2379" t="s">
        <v>1103</v>
      </c>
      <c r="E215" s="2377" t="s">
        <v>3074</v>
      </c>
    </row>
    <row r="216" spans="2:5" ht="15.6" customHeight="1" thickBot="1" x14ac:dyDescent="0.3">
      <c r="B216" s="2380">
        <v>245</v>
      </c>
      <c r="C216" s="2378" t="s">
        <v>1300</v>
      </c>
      <c r="D216" s="2379" t="s">
        <v>1103</v>
      </c>
      <c r="E216" s="2377" t="s">
        <v>3074</v>
      </c>
    </row>
    <row r="217" spans="2:5" ht="15.6" customHeight="1" thickBot="1" x14ac:dyDescent="0.3">
      <c r="B217" s="2380">
        <v>247</v>
      </c>
      <c r="C217" s="2378" t="s">
        <v>1301</v>
      </c>
      <c r="D217" s="2379" t="s">
        <v>1103</v>
      </c>
      <c r="E217" s="2377" t="s">
        <v>3074</v>
      </c>
    </row>
    <row r="218" spans="2:5" ht="15.6" customHeight="1" thickBot="1" x14ac:dyDescent="0.3">
      <c r="B218" s="2380">
        <v>248</v>
      </c>
      <c r="C218" s="2378" t="s">
        <v>1302</v>
      </c>
      <c r="D218" s="2379" t="s">
        <v>1103</v>
      </c>
      <c r="E218" s="2377" t="s">
        <v>3074</v>
      </c>
    </row>
    <row r="219" spans="2:5" ht="15.6" customHeight="1" thickBot="1" x14ac:dyDescent="0.3">
      <c r="B219" s="2380">
        <v>250</v>
      </c>
      <c r="C219" s="2378" t="s">
        <v>1303</v>
      </c>
      <c r="D219" s="2379" t="s">
        <v>1103</v>
      </c>
      <c r="E219" s="2377" t="s">
        <v>3074</v>
      </c>
    </row>
    <row r="220" spans="2:5" ht="15.6" customHeight="1" thickBot="1" x14ac:dyDescent="0.3">
      <c r="B220" s="2380">
        <v>251</v>
      </c>
      <c r="C220" s="2378" t="s">
        <v>1304</v>
      </c>
      <c r="D220" s="2379" t="s">
        <v>1103</v>
      </c>
      <c r="E220" s="2377" t="s">
        <v>3074</v>
      </c>
    </row>
    <row r="221" spans="2:5" ht="15.6" customHeight="1" thickBot="1" x14ac:dyDescent="0.3">
      <c r="B221" s="2380">
        <v>252</v>
      </c>
      <c r="C221" s="2378" t="s">
        <v>1305</v>
      </c>
      <c r="D221" s="2379" t="s">
        <v>1103</v>
      </c>
      <c r="E221" s="2377" t="s">
        <v>3074</v>
      </c>
    </row>
    <row r="222" spans="2:5" ht="15.6" customHeight="1" thickBot="1" x14ac:dyDescent="0.3">
      <c r="B222" s="2380">
        <v>253</v>
      </c>
      <c r="C222" s="2378" t="s">
        <v>1306</v>
      </c>
      <c r="D222" s="2379" t="s">
        <v>1103</v>
      </c>
      <c r="E222" s="2381" t="s">
        <v>3075</v>
      </c>
    </row>
    <row r="223" spans="2:5" ht="15.6" customHeight="1" thickBot="1" x14ac:dyDescent="0.3">
      <c r="B223" s="2380">
        <v>254</v>
      </c>
      <c r="C223" s="2378" t="s">
        <v>1307</v>
      </c>
      <c r="D223" s="2379" t="s">
        <v>1103</v>
      </c>
      <c r="E223" s="2381" t="s">
        <v>3075</v>
      </c>
    </row>
    <row r="224" spans="2:5" ht="15.6" customHeight="1" thickBot="1" x14ac:dyDescent="0.3">
      <c r="B224" s="2380">
        <v>257</v>
      </c>
      <c r="C224" s="2378" t="s">
        <v>1308</v>
      </c>
      <c r="D224" s="2379" t="s">
        <v>1103</v>
      </c>
      <c r="E224" s="2381" t="s">
        <v>3075</v>
      </c>
    </row>
    <row r="225" spans="2:5" ht="15.6" customHeight="1" thickBot="1" x14ac:dyDescent="0.3">
      <c r="B225" s="2380">
        <v>258</v>
      </c>
      <c r="C225" s="2378" t="s">
        <v>1309</v>
      </c>
      <c r="D225" s="2379" t="s">
        <v>1103</v>
      </c>
      <c r="E225" s="2381" t="s">
        <v>3075</v>
      </c>
    </row>
    <row r="226" spans="2:5" ht="15.6" customHeight="1" thickBot="1" x14ac:dyDescent="0.3">
      <c r="B226" s="2380">
        <v>259</v>
      </c>
      <c r="C226" s="2378" t="s">
        <v>1310</v>
      </c>
      <c r="D226" s="2379" t="s">
        <v>1103</v>
      </c>
      <c r="E226" s="2381" t="s">
        <v>3075</v>
      </c>
    </row>
    <row r="227" spans="2:5" ht="15.6" customHeight="1" thickBot="1" x14ac:dyDescent="0.3">
      <c r="B227" s="2380">
        <v>261</v>
      </c>
      <c r="C227" s="2378" t="s">
        <v>1311</v>
      </c>
      <c r="D227" s="2379" t="s">
        <v>1103</v>
      </c>
      <c r="E227" s="2381" t="s">
        <v>3075</v>
      </c>
    </row>
    <row r="228" spans="2:5" ht="15.6" customHeight="1" thickBot="1" x14ac:dyDescent="0.3">
      <c r="B228" s="2380">
        <v>263</v>
      </c>
      <c r="C228" s="2378" t="s">
        <v>1312</v>
      </c>
      <c r="D228" s="2379" t="s">
        <v>1103</v>
      </c>
      <c r="E228" s="2377" t="s">
        <v>3074</v>
      </c>
    </row>
    <row r="229" spans="2:5" ht="15.6" customHeight="1" thickBot="1" x14ac:dyDescent="0.3">
      <c r="B229" s="2380">
        <v>265</v>
      </c>
      <c r="C229" s="2378" t="s">
        <v>1313</v>
      </c>
      <c r="D229" s="2379" t="s">
        <v>1103</v>
      </c>
      <c r="E229" s="2381" t="s">
        <v>3075</v>
      </c>
    </row>
    <row r="230" spans="2:5" ht="15.6" customHeight="1" thickBot="1" x14ac:dyDescent="0.3">
      <c r="B230" s="2380">
        <v>266</v>
      </c>
      <c r="C230" s="2378" t="s">
        <v>1314</v>
      </c>
      <c r="D230" s="2379" t="s">
        <v>1103</v>
      </c>
      <c r="E230" s="2381" t="s">
        <v>3075</v>
      </c>
    </row>
    <row r="231" spans="2:5" ht="15.6" customHeight="1" thickBot="1" x14ac:dyDescent="0.3">
      <c r="B231" s="2380">
        <v>267</v>
      </c>
      <c r="C231" s="2378" t="s">
        <v>1315</v>
      </c>
      <c r="D231" s="2379" t="s">
        <v>1103</v>
      </c>
      <c r="E231" s="2381" t="s">
        <v>3075</v>
      </c>
    </row>
    <row r="232" spans="2:5" ht="15.6" customHeight="1" thickBot="1" x14ac:dyDescent="0.3">
      <c r="B232" s="2380">
        <v>270</v>
      </c>
      <c r="C232" s="2378" t="s">
        <v>1316</v>
      </c>
      <c r="D232" s="2379" t="s">
        <v>1103</v>
      </c>
      <c r="E232" s="2381" t="s">
        <v>3075</v>
      </c>
    </row>
    <row r="233" spans="2:5" ht="15.6" customHeight="1" thickBot="1" x14ac:dyDescent="0.3">
      <c r="B233" s="2380">
        <v>271</v>
      </c>
      <c r="C233" s="2378" t="s">
        <v>1317</v>
      </c>
      <c r="D233" s="2379" t="s">
        <v>1103</v>
      </c>
      <c r="E233" s="2381" t="s">
        <v>3075</v>
      </c>
    </row>
    <row r="234" spans="2:5" ht="15.6" customHeight="1" thickBot="1" x14ac:dyDescent="0.3">
      <c r="B234" s="2380">
        <v>272</v>
      </c>
      <c r="C234" s="2378" t="s">
        <v>1318</v>
      </c>
      <c r="D234" s="2379" t="s">
        <v>1103</v>
      </c>
      <c r="E234" s="2381" t="s">
        <v>3075</v>
      </c>
    </row>
    <row r="235" spans="2:5" ht="15.6" customHeight="1" thickBot="1" x14ac:dyDescent="0.3">
      <c r="B235" s="2380">
        <v>274</v>
      </c>
      <c r="C235" s="2378" t="s">
        <v>1319</v>
      </c>
      <c r="D235" s="2379" t="s">
        <v>1103</v>
      </c>
      <c r="E235" s="2381" t="s">
        <v>3075</v>
      </c>
    </row>
    <row r="236" spans="2:5" ht="15.6" customHeight="1" thickBot="1" x14ac:dyDescent="0.3">
      <c r="B236" s="2380">
        <v>275</v>
      </c>
      <c r="C236" s="2378" t="s">
        <v>1320</v>
      </c>
      <c r="D236" s="2379" t="s">
        <v>1103</v>
      </c>
      <c r="E236" s="2381" t="s">
        <v>3075</v>
      </c>
    </row>
    <row r="237" spans="2:5" ht="15.6" customHeight="1" thickBot="1" x14ac:dyDescent="0.3">
      <c r="B237" s="2380">
        <v>276</v>
      </c>
      <c r="C237" s="2378" t="s">
        <v>1321</v>
      </c>
      <c r="D237" s="2379" t="s">
        <v>1103</v>
      </c>
      <c r="E237" s="2381" t="s">
        <v>3075</v>
      </c>
    </row>
    <row r="238" spans="2:5" ht="15.6" customHeight="1" thickBot="1" x14ac:dyDescent="0.3">
      <c r="B238" s="2380">
        <v>277</v>
      </c>
      <c r="C238" s="2378" t="s">
        <v>1322</v>
      </c>
      <c r="D238" s="2379" t="s">
        <v>1103</v>
      </c>
      <c r="E238" s="2381" t="s">
        <v>3075</v>
      </c>
    </row>
    <row r="239" spans="2:5" ht="15.6" customHeight="1" thickBot="1" x14ac:dyDescent="0.3">
      <c r="B239" s="2380">
        <v>279</v>
      </c>
      <c r="C239" s="2378" t="s">
        <v>1323</v>
      </c>
      <c r="D239" s="2379" t="s">
        <v>1103</v>
      </c>
      <c r="E239" s="2379" t="s">
        <v>3074</v>
      </c>
    </row>
    <row r="240" spans="2:5" ht="15.6" customHeight="1" thickBot="1" x14ac:dyDescent="0.3">
      <c r="B240" s="2380">
        <v>280</v>
      </c>
      <c r="C240" s="2378" t="s">
        <v>1324</v>
      </c>
      <c r="D240" s="2379" t="s">
        <v>1103</v>
      </c>
      <c r="E240" s="2379" t="s">
        <v>3074</v>
      </c>
    </row>
    <row r="241" spans="2:5" ht="15.6" customHeight="1" thickBot="1" x14ac:dyDescent="0.3">
      <c r="B241" s="2380">
        <v>281</v>
      </c>
      <c r="C241" s="2378" t="s">
        <v>1325</v>
      </c>
      <c r="D241" s="2379" t="s">
        <v>1103</v>
      </c>
      <c r="E241" s="2379" t="s">
        <v>3074</v>
      </c>
    </row>
    <row r="242" spans="2:5" ht="15.6" customHeight="1" thickBot="1" x14ac:dyDescent="0.3">
      <c r="B242" s="2380">
        <v>282</v>
      </c>
      <c r="C242" s="2378" t="s">
        <v>1326</v>
      </c>
      <c r="D242" s="2379" t="s">
        <v>1103</v>
      </c>
      <c r="E242" s="2379" t="s">
        <v>3074</v>
      </c>
    </row>
    <row r="243" spans="2:5" ht="15.6" customHeight="1" thickBot="1" x14ac:dyDescent="0.3">
      <c r="B243" s="2380">
        <v>283</v>
      </c>
      <c r="C243" s="2378" t="s">
        <v>1327</v>
      </c>
      <c r="D243" s="2379" t="s">
        <v>1103</v>
      </c>
      <c r="E243" s="2379" t="s">
        <v>3074</v>
      </c>
    </row>
    <row r="244" spans="2:5" ht="15.6" customHeight="1" thickBot="1" x14ac:dyDescent="0.3">
      <c r="B244" s="2380">
        <v>284</v>
      </c>
      <c r="C244" s="2378" t="s">
        <v>3081</v>
      </c>
      <c r="D244" s="2379" t="s">
        <v>1103</v>
      </c>
      <c r="E244" s="2379" t="s">
        <v>3074</v>
      </c>
    </row>
    <row r="245" spans="2:5" ht="15.6" customHeight="1" thickBot="1" x14ac:dyDescent="0.3">
      <c r="B245" s="2380">
        <v>284</v>
      </c>
      <c r="C245" s="2378" t="s">
        <v>3082</v>
      </c>
      <c r="D245" s="2379" t="s">
        <v>1103</v>
      </c>
      <c r="E245" s="2379" t="s">
        <v>3074</v>
      </c>
    </row>
    <row r="247" spans="2:5" x14ac:dyDescent="0.25">
      <c r="B247" s="4075" t="s">
        <v>3083</v>
      </c>
      <c r="C247" s="4075"/>
      <c r="D247" s="4075"/>
      <c r="E247" s="4075"/>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94"/>
  <sheetViews>
    <sheetView workbookViewId="0">
      <selection activeCell="D68" sqref="D68"/>
    </sheetView>
  </sheetViews>
  <sheetFormatPr defaultRowHeight="15.75" x14ac:dyDescent="0.25"/>
  <cols>
    <col min="1" max="1" width="7" style="1253" customWidth="1"/>
    <col min="2" max="2" width="38.7109375" style="1254" customWidth="1"/>
    <col min="3" max="3" width="10.5703125" style="1254" customWidth="1"/>
    <col min="4" max="4" width="11.85546875" style="1254" customWidth="1"/>
    <col min="5" max="5" width="12.28515625" style="1254" customWidth="1"/>
    <col min="6" max="6" width="10.42578125" style="1254" customWidth="1"/>
    <col min="7" max="8" width="12" style="1254" customWidth="1"/>
    <col min="9" max="9" width="9.42578125" style="1254" customWidth="1"/>
    <col min="10" max="10" width="12.42578125" style="1254" customWidth="1"/>
    <col min="11" max="11" width="8.7109375" style="1254" customWidth="1"/>
  </cols>
  <sheetData>
    <row r="1" spans="1:11" ht="18.75" x14ac:dyDescent="0.3">
      <c r="A1" s="4080" t="s">
        <v>2258</v>
      </c>
      <c r="B1" s="4080"/>
      <c r="C1" s="4080"/>
      <c r="D1" s="4080"/>
      <c r="E1" s="4080"/>
      <c r="F1" s="4080"/>
      <c r="G1" s="4080"/>
      <c r="H1" s="4080"/>
      <c r="I1" s="4080"/>
      <c r="J1" s="4080"/>
      <c r="K1" s="4080"/>
    </row>
    <row r="2" spans="1:11" ht="16.5" thickBot="1" x14ac:dyDescent="0.3">
      <c r="D2" s="1255"/>
      <c r="E2" s="1255"/>
    </row>
    <row r="3" spans="1:11" ht="16.5" thickBot="1" x14ac:dyDescent="0.3">
      <c r="A3" s="4081" t="s">
        <v>2141</v>
      </c>
      <c r="B3" s="4084" t="s">
        <v>8</v>
      </c>
      <c r="C3" s="4084" t="s">
        <v>2142</v>
      </c>
      <c r="D3" s="4087" t="s">
        <v>2085</v>
      </c>
      <c r="E3" s="4088"/>
      <c r="F3" s="4088"/>
      <c r="G3" s="4088"/>
      <c r="H3" s="4088"/>
      <c r="I3" s="4088"/>
      <c r="J3" s="4088"/>
      <c r="K3" s="4089"/>
    </row>
    <row r="4" spans="1:11" ht="22.15" customHeight="1" thickBot="1" x14ac:dyDescent="0.3">
      <c r="A4" s="4082"/>
      <c r="B4" s="4085"/>
      <c r="C4" s="4085"/>
      <c r="D4" s="4090" t="s">
        <v>2143</v>
      </c>
      <c r="E4" s="4090"/>
      <c r="F4" s="4091" t="s">
        <v>880</v>
      </c>
      <c r="G4" s="4092"/>
      <c r="H4" s="4090" t="s">
        <v>1823</v>
      </c>
      <c r="I4" s="4090"/>
      <c r="J4" s="4091" t="s">
        <v>2117</v>
      </c>
      <c r="K4" s="4092"/>
    </row>
    <row r="5" spans="1:11" ht="32.25" thickBot="1" x14ac:dyDescent="0.3">
      <c r="A5" s="4083"/>
      <c r="B5" s="4086"/>
      <c r="C5" s="4086"/>
      <c r="D5" s="1256" t="s">
        <v>2144</v>
      </c>
      <c r="E5" s="1256" t="s">
        <v>2145</v>
      </c>
      <c r="F5" s="1256" t="s">
        <v>2144</v>
      </c>
      <c r="G5" s="1256" t="s">
        <v>2145</v>
      </c>
      <c r="H5" s="1256" t="s">
        <v>2144</v>
      </c>
      <c r="I5" s="1256" t="s">
        <v>2145</v>
      </c>
      <c r="J5" s="1256" t="s">
        <v>2144</v>
      </c>
      <c r="K5" s="1256" t="s">
        <v>2146</v>
      </c>
    </row>
    <row r="6" spans="1:11" x14ac:dyDescent="0.25">
      <c r="A6" s="1257">
        <v>1</v>
      </c>
      <c r="B6" s="1258">
        <f>A6+1</f>
        <v>2</v>
      </c>
      <c r="C6" s="1258">
        <f t="shared" ref="C6:K6" si="0">B6+1</f>
        <v>3</v>
      </c>
      <c r="D6" s="1258">
        <f t="shared" si="0"/>
        <v>4</v>
      </c>
      <c r="E6" s="1258">
        <f t="shared" si="0"/>
        <v>5</v>
      </c>
      <c r="F6" s="1258">
        <f t="shared" si="0"/>
        <v>6</v>
      </c>
      <c r="G6" s="1258">
        <f t="shared" si="0"/>
        <v>7</v>
      </c>
      <c r="H6" s="1258">
        <f t="shared" si="0"/>
        <v>8</v>
      </c>
      <c r="I6" s="1258">
        <f t="shared" si="0"/>
        <v>9</v>
      </c>
      <c r="J6" s="1258">
        <f t="shared" si="0"/>
        <v>10</v>
      </c>
      <c r="K6" s="1258">
        <f t="shared" si="0"/>
        <v>11</v>
      </c>
    </row>
    <row r="7" spans="1:11" x14ac:dyDescent="0.25">
      <c r="A7" s="1259">
        <v>1</v>
      </c>
      <c r="B7" s="1260" t="s">
        <v>2147</v>
      </c>
      <c r="C7" s="1261" t="s">
        <v>2148</v>
      </c>
      <c r="D7" s="1262" t="e">
        <f>D8+D16+D17+D21</f>
        <v>#REF!</v>
      </c>
      <c r="E7" s="1266" t="e">
        <f>G7+I7+K7</f>
        <v>#REF!</v>
      </c>
      <c r="F7" s="1262" t="e">
        <f>F8+F16+F17+F21</f>
        <v>#REF!</v>
      </c>
      <c r="G7" s="1266" t="e">
        <f>F7/$F$53*1000</f>
        <v>#REF!</v>
      </c>
      <c r="H7" s="1262" t="e">
        <f>H8+H16+H17+H21</f>
        <v>#REF!</v>
      </c>
      <c r="I7" s="1266" t="e">
        <f>H7/$H$51*1000</f>
        <v>#REF!</v>
      </c>
      <c r="J7" s="1262" t="e">
        <f>J8+J16+J17+J21</f>
        <v>#REF!</v>
      </c>
      <c r="K7" s="1266" t="e">
        <f>J7/$J$51*1000</f>
        <v>#REF!</v>
      </c>
    </row>
    <row r="8" spans="1:11" x14ac:dyDescent="0.25">
      <c r="A8" s="1259" t="s">
        <v>23</v>
      </c>
      <c r="B8" s="1260" t="s">
        <v>2149</v>
      </c>
      <c r="C8" s="1261" t="s">
        <v>40</v>
      </c>
      <c r="D8" s="1262" t="e">
        <f>D9+D12+D13+D14+D15</f>
        <v>#REF!</v>
      </c>
      <c r="E8" s="1266" t="e">
        <f t="shared" ref="E8:E50" si="1">G8+I8+K8</f>
        <v>#REF!</v>
      </c>
      <c r="F8" s="1262" t="e">
        <f>F9+F12+F13+F14+F15</f>
        <v>#REF!</v>
      </c>
      <c r="G8" s="1266" t="e">
        <f>F8/$F$53*1000</f>
        <v>#REF!</v>
      </c>
      <c r="H8" s="1262" t="e">
        <f>H9+H12+H13+H14+H15</f>
        <v>#REF!</v>
      </c>
      <c r="I8" s="1266" t="e">
        <f>H8/$H$51*1000</f>
        <v>#REF!</v>
      </c>
      <c r="J8" s="1262" t="e">
        <f>J9+J12+J13+J14+J15</f>
        <v>#REF!</v>
      </c>
      <c r="K8" s="1266" t="e">
        <f t="shared" ref="K8:K50" si="2">J8/$J$51*1000</f>
        <v>#REF!</v>
      </c>
    </row>
    <row r="9" spans="1:11" x14ac:dyDescent="0.25">
      <c r="A9" s="1263" t="s">
        <v>41</v>
      </c>
      <c r="B9" s="1264" t="s">
        <v>2181</v>
      </c>
      <c r="C9" s="1265" t="s">
        <v>40</v>
      </c>
      <c r="D9" s="1266" t="e">
        <f>F9+H9+J9</f>
        <v>#REF!</v>
      </c>
      <c r="E9" s="1266" t="e">
        <f t="shared" si="1"/>
        <v>#REF!</v>
      </c>
      <c r="F9" s="1266" t="e">
        <f>#REF!+#REF!+#REF!</f>
        <v>#REF!</v>
      </c>
      <c r="G9" s="1266" t="e">
        <f>F9/$F$53*1000</f>
        <v>#REF!</v>
      </c>
      <c r="H9" s="1266"/>
      <c r="I9" s="1266" t="e">
        <f>H9/$H$51*1000</f>
        <v>#REF!</v>
      </c>
      <c r="J9" s="1266"/>
      <c r="K9" s="1266" t="e">
        <f t="shared" si="2"/>
        <v>#REF!</v>
      </c>
    </row>
    <row r="10" spans="1:11" ht="16.149999999999999" customHeight="1" x14ac:dyDescent="0.25">
      <c r="A10" s="1263" t="s">
        <v>454</v>
      </c>
      <c r="B10" s="1298" t="s">
        <v>2182</v>
      </c>
      <c r="C10" s="1265" t="s">
        <v>40</v>
      </c>
      <c r="D10" s="1266" t="e">
        <f t="shared" ref="D10:D11" si="3">F10+H10+J10</f>
        <v>#REF!</v>
      </c>
      <c r="E10" s="1266" t="e">
        <f t="shared" si="1"/>
        <v>#REF!</v>
      </c>
      <c r="F10" s="1266" t="e">
        <f>#REF!+#REF!</f>
        <v>#REF!</v>
      </c>
      <c r="G10" s="1266" t="e">
        <f t="shared" ref="G10:G11" si="4">F10/$F$53*1000</f>
        <v>#REF!</v>
      </c>
      <c r="H10" s="1266"/>
      <c r="I10" s="1266" t="e">
        <f t="shared" ref="I10:I11" si="5">H10/$H$51*1000</f>
        <v>#REF!</v>
      </c>
      <c r="J10" s="1266"/>
      <c r="K10" s="1266" t="e">
        <f t="shared" si="2"/>
        <v>#REF!</v>
      </c>
    </row>
    <row r="11" spans="1:11" ht="18.600000000000001" customHeight="1" x14ac:dyDescent="0.25">
      <c r="A11" s="1263" t="s">
        <v>455</v>
      </c>
      <c r="B11" s="1298" t="s">
        <v>1931</v>
      </c>
      <c r="C11" s="1265" t="s">
        <v>40</v>
      </c>
      <c r="D11" s="1266" t="e">
        <f t="shared" si="3"/>
        <v>#REF!</v>
      </c>
      <c r="E11" s="1266" t="e">
        <f t="shared" si="1"/>
        <v>#REF!</v>
      </c>
      <c r="F11" s="1266" t="e">
        <f>#REF!</f>
        <v>#REF!</v>
      </c>
      <c r="G11" s="1266" t="e">
        <f t="shared" si="4"/>
        <v>#REF!</v>
      </c>
      <c r="H11" s="1266"/>
      <c r="I11" s="1266" t="e">
        <f t="shared" si="5"/>
        <v>#REF!</v>
      </c>
      <c r="J11" s="1266"/>
      <c r="K11" s="1266" t="e">
        <f t="shared" si="2"/>
        <v>#REF!</v>
      </c>
    </row>
    <row r="12" spans="1:11" x14ac:dyDescent="0.25">
      <c r="A12" s="1263" t="s">
        <v>42</v>
      </c>
      <c r="B12" s="1264" t="s">
        <v>43</v>
      </c>
      <c r="C12" s="1265" t="s">
        <v>40</v>
      </c>
      <c r="D12" s="1266" t="e">
        <f>F12+H12+J12</f>
        <v>#REF!</v>
      </c>
      <c r="E12" s="1266" t="e">
        <f t="shared" si="1"/>
        <v>#REF!</v>
      </c>
      <c r="F12" s="1266">
        <f>Виробництво_Транспортування_1ст!F15</f>
        <v>466.11</v>
      </c>
      <c r="G12" s="1266" t="e">
        <f t="shared" ref="G12:G37" si="6">F12/$F$53*1000</f>
        <v>#REF!</v>
      </c>
      <c r="H12" s="1266" t="e">
        <f>#REF!</f>
        <v>#REF!</v>
      </c>
      <c r="I12" s="1266" t="e">
        <f t="shared" ref="I12:I37" si="7">H12/$H$51*1000</f>
        <v>#REF!</v>
      </c>
      <c r="J12" s="1266"/>
      <c r="K12" s="1266" t="e">
        <f t="shared" si="2"/>
        <v>#REF!</v>
      </c>
    </row>
    <row r="13" spans="1:11" ht="31.5" x14ac:dyDescent="0.25">
      <c r="A13" s="1263" t="s">
        <v>44</v>
      </c>
      <c r="B13" s="1264" t="s">
        <v>2150</v>
      </c>
      <c r="C13" s="1265" t="s">
        <v>40</v>
      </c>
      <c r="D13" s="1266" t="e">
        <f>F13+H13+J13</f>
        <v>#REF!</v>
      </c>
      <c r="E13" s="1266" t="e">
        <f t="shared" si="1"/>
        <v>#REF!</v>
      </c>
      <c r="F13" s="1266" t="e">
        <f>#REF!</f>
        <v>#REF!</v>
      </c>
      <c r="G13" s="1266" t="e">
        <f t="shared" si="6"/>
        <v>#REF!</v>
      </c>
      <c r="H13" s="1266" t="e">
        <f>#REF!</f>
        <v>#REF!</v>
      </c>
      <c r="I13" s="1266" t="e">
        <f t="shared" si="7"/>
        <v>#REF!</v>
      </c>
      <c r="J13" s="1266">
        <v>0</v>
      </c>
      <c r="K13" s="1266" t="e">
        <f t="shared" si="2"/>
        <v>#REF!</v>
      </c>
    </row>
    <row r="14" spans="1:11" ht="31.5" x14ac:dyDescent="0.25">
      <c r="A14" s="1263" t="s">
        <v>45</v>
      </c>
      <c r="B14" s="1264" t="s">
        <v>2151</v>
      </c>
      <c r="C14" s="1265" t="s">
        <v>40</v>
      </c>
      <c r="D14" s="1266" t="e">
        <f>F14+H14+J14</f>
        <v>#REF!</v>
      </c>
      <c r="E14" s="1266" t="e">
        <f t="shared" si="1"/>
        <v>#REF!</v>
      </c>
      <c r="F14" s="1266" t="e">
        <f>#REF!-#REF!-#REF!-#REF!</f>
        <v>#REF!</v>
      </c>
      <c r="G14" s="1266" t="e">
        <f t="shared" si="6"/>
        <v>#REF!</v>
      </c>
      <c r="H14" s="1266" t="e">
        <f>#REF!-#REF!-#REF!-#REF!</f>
        <v>#REF!</v>
      </c>
      <c r="I14" s="1266" t="e">
        <f t="shared" si="7"/>
        <v>#REF!</v>
      </c>
      <c r="J14" s="1266" t="e">
        <f>#REF!</f>
        <v>#REF!</v>
      </c>
      <c r="K14" s="1266" t="e">
        <f t="shared" si="2"/>
        <v>#REF!</v>
      </c>
    </row>
    <row r="15" spans="1:11" ht="31.5" x14ac:dyDescent="0.25">
      <c r="A15" s="1263" t="s">
        <v>46</v>
      </c>
      <c r="B15" s="1300" t="s">
        <v>1895</v>
      </c>
      <c r="C15" s="1265" t="s">
        <v>40</v>
      </c>
      <c r="D15" s="1266" t="e">
        <f t="shared" ref="D15:D56" si="8">F15+H15+J15</f>
        <v>#REF!</v>
      </c>
      <c r="E15" s="1266" t="e">
        <f t="shared" si="1"/>
        <v>#REF!</v>
      </c>
      <c r="F15" s="1266"/>
      <c r="G15" s="1266" t="e">
        <f t="shared" si="6"/>
        <v>#REF!</v>
      </c>
      <c r="H15" s="1266" t="e">
        <f>#REF!</f>
        <v>#REF!</v>
      </c>
      <c r="I15" s="1266" t="e">
        <f t="shared" si="7"/>
        <v>#REF!</v>
      </c>
      <c r="J15" s="1266"/>
      <c r="K15" s="1266" t="e">
        <f t="shared" si="2"/>
        <v>#REF!</v>
      </c>
    </row>
    <row r="16" spans="1:11" x14ac:dyDescent="0.25">
      <c r="A16" s="1259" t="s">
        <v>24</v>
      </c>
      <c r="B16" s="1260" t="s">
        <v>47</v>
      </c>
      <c r="C16" s="1261" t="s">
        <v>40</v>
      </c>
      <c r="D16" s="1262" t="e">
        <f>F16+H16+J16</f>
        <v>#REF!</v>
      </c>
      <c r="E16" s="1266" t="e">
        <f t="shared" si="1"/>
        <v>#REF!</v>
      </c>
      <c r="F16" s="1262" t="e">
        <f>#REF!</f>
        <v>#REF!</v>
      </c>
      <c r="G16" s="1266" t="e">
        <f t="shared" si="6"/>
        <v>#REF!</v>
      </c>
      <c r="H16" s="1262" t="e">
        <f>#REF!</f>
        <v>#REF!</v>
      </c>
      <c r="I16" s="1266" t="e">
        <f t="shared" si="7"/>
        <v>#REF!</v>
      </c>
      <c r="J16" s="1262" t="e">
        <f>#REF!</f>
        <v>#REF!</v>
      </c>
      <c r="K16" s="1266" t="e">
        <f t="shared" si="2"/>
        <v>#REF!</v>
      </c>
    </row>
    <row r="17" spans="1:11" x14ac:dyDescent="0.25">
      <c r="A17" s="1259" t="s">
        <v>48</v>
      </c>
      <c r="B17" s="1260" t="s">
        <v>2152</v>
      </c>
      <c r="C17" s="1261" t="s">
        <v>40</v>
      </c>
      <c r="D17" s="1262" t="e">
        <f t="shared" si="8"/>
        <v>#REF!</v>
      </c>
      <c r="E17" s="1266" t="e">
        <f t="shared" si="1"/>
        <v>#REF!</v>
      </c>
      <c r="F17" s="1262" t="e">
        <f>F18+F19+F20</f>
        <v>#REF!</v>
      </c>
      <c r="G17" s="1266" t="e">
        <f t="shared" si="6"/>
        <v>#REF!</v>
      </c>
      <c r="H17" s="1262" t="e">
        <f>H18+H19+H20</f>
        <v>#REF!</v>
      </c>
      <c r="I17" s="1266" t="e">
        <f t="shared" si="7"/>
        <v>#REF!</v>
      </c>
      <c r="J17" s="1262" t="e">
        <f>J18+J19+J20</f>
        <v>#REF!</v>
      </c>
      <c r="K17" s="1266" t="e">
        <f t="shared" si="2"/>
        <v>#REF!</v>
      </c>
    </row>
    <row r="18" spans="1:11" x14ac:dyDescent="0.25">
      <c r="A18" s="1263" t="s">
        <v>49</v>
      </c>
      <c r="B18" s="1264" t="s">
        <v>2153</v>
      </c>
      <c r="C18" s="1265" t="s">
        <v>40</v>
      </c>
      <c r="D18" s="1266" t="e">
        <f t="shared" si="8"/>
        <v>#REF!</v>
      </c>
      <c r="E18" s="1266" t="e">
        <f t="shared" si="1"/>
        <v>#REF!</v>
      </c>
      <c r="F18" s="1266" t="e">
        <f>#REF!</f>
        <v>#REF!</v>
      </c>
      <c r="G18" s="1266" t="e">
        <f t="shared" si="6"/>
        <v>#REF!</v>
      </c>
      <c r="H18" s="1266" t="e">
        <f>#REF!</f>
        <v>#REF!</v>
      </c>
      <c r="I18" s="1266" t="e">
        <f t="shared" si="7"/>
        <v>#REF!</v>
      </c>
      <c r="J18" s="1266" t="e">
        <f>#REF!</f>
        <v>#REF!</v>
      </c>
      <c r="K18" s="1266" t="e">
        <f t="shared" si="2"/>
        <v>#REF!</v>
      </c>
    </row>
    <row r="19" spans="1:11" x14ac:dyDescent="0.25">
      <c r="A19" s="1263" t="s">
        <v>50</v>
      </c>
      <c r="B19" s="1264" t="s">
        <v>2154</v>
      </c>
      <c r="C19" s="1265" t="s">
        <v>40</v>
      </c>
      <c r="D19" s="1266" t="e">
        <f t="shared" si="8"/>
        <v>#REF!</v>
      </c>
      <c r="E19" s="1266" t="e">
        <f t="shared" si="1"/>
        <v>#REF!</v>
      </c>
      <c r="F19" s="1266" t="e">
        <f>#REF!</f>
        <v>#REF!</v>
      </c>
      <c r="G19" s="1266" t="e">
        <f t="shared" si="6"/>
        <v>#REF!</v>
      </c>
      <c r="H19" s="1266" t="e">
        <f>#REF!</f>
        <v>#REF!</v>
      </c>
      <c r="I19" s="1266" t="e">
        <f t="shared" si="7"/>
        <v>#REF!</v>
      </c>
      <c r="J19" s="1266" t="e">
        <f>#REF!</f>
        <v>#REF!</v>
      </c>
      <c r="K19" s="1266" t="e">
        <f t="shared" si="2"/>
        <v>#REF!</v>
      </c>
    </row>
    <row r="20" spans="1:11" x14ac:dyDescent="0.25">
      <c r="A20" s="1263" t="s">
        <v>51</v>
      </c>
      <c r="B20" s="1264" t="s">
        <v>82</v>
      </c>
      <c r="C20" s="1265" t="s">
        <v>40</v>
      </c>
      <c r="D20" s="1266" t="e">
        <f t="shared" si="8"/>
        <v>#REF!</v>
      </c>
      <c r="E20" s="1266" t="e">
        <f t="shared" si="1"/>
        <v>#REF!</v>
      </c>
      <c r="F20" s="1266" t="e">
        <f>#REF!-#REF!-#REF!</f>
        <v>#REF!</v>
      </c>
      <c r="G20" s="1266" t="e">
        <f t="shared" si="6"/>
        <v>#REF!</v>
      </c>
      <c r="H20" s="1266" t="e">
        <f>#REF!-#REF!-#REF!</f>
        <v>#REF!</v>
      </c>
      <c r="I20" s="1266" t="e">
        <f t="shared" si="7"/>
        <v>#REF!</v>
      </c>
      <c r="J20" s="1266" t="e">
        <f>#REF!-#REF!-#REF!</f>
        <v>#REF!</v>
      </c>
      <c r="K20" s="1266" t="e">
        <f t="shared" si="2"/>
        <v>#REF!</v>
      </c>
    </row>
    <row r="21" spans="1:11" ht="31.5" x14ac:dyDescent="0.25">
      <c r="A21" s="1259" t="s">
        <v>53</v>
      </c>
      <c r="B21" s="1260" t="s">
        <v>2155</v>
      </c>
      <c r="C21" s="1261" t="s">
        <v>40</v>
      </c>
      <c r="D21" s="1262" t="e">
        <f t="shared" si="8"/>
        <v>#REF!</v>
      </c>
      <c r="E21" s="1266" t="e">
        <f t="shared" si="1"/>
        <v>#REF!</v>
      </c>
      <c r="F21" s="1262" t="e">
        <f>SUM(F22:F24)</f>
        <v>#REF!</v>
      </c>
      <c r="G21" s="1266" t="e">
        <f t="shared" si="6"/>
        <v>#REF!</v>
      </c>
      <c r="H21" s="1262" t="e">
        <f>H22+H23+H24</f>
        <v>#REF!</v>
      </c>
      <c r="I21" s="1266" t="e">
        <f t="shared" si="7"/>
        <v>#REF!</v>
      </c>
      <c r="J21" s="1262" t="e">
        <f>SUM(J22:J24)</f>
        <v>#REF!</v>
      </c>
      <c r="K21" s="1266" t="e">
        <f t="shared" si="2"/>
        <v>#REF!</v>
      </c>
    </row>
    <row r="22" spans="1:11" x14ac:dyDescent="0.25">
      <c r="A22" s="1263" t="s">
        <v>54</v>
      </c>
      <c r="B22" s="1264" t="s">
        <v>55</v>
      </c>
      <c r="C22" s="1265" t="s">
        <v>40</v>
      </c>
      <c r="D22" s="1266" t="e">
        <f t="shared" si="8"/>
        <v>#REF!</v>
      </c>
      <c r="E22" s="1266" t="e">
        <f t="shared" si="1"/>
        <v>#REF!</v>
      </c>
      <c r="F22" s="1266" t="e">
        <f>#REF!</f>
        <v>#REF!</v>
      </c>
      <c r="G22" s="1266" t="e">
        <f t="shared" si="6"/>
        <v>#REF!</v>
      </c>
      <c r="H22" s="1266" t="e">
        <f>#REF!</f>
        <v>#REF!</v>
      </c>
      <c r="I22" s="1266" t="e">
        <f t="shared" si="7"/>
        <v>#REF!</v>
      </c>
      <c r="J22" s="1266" t="e">
        <f>#REF!</f>
        <v>#REF!</v>
      </c>
      <c r="K22" s="1266" t="e">
        <f t="shared" si="2"/>
        <v>#REF!</v>
      </c>
    </row>
    <row r="23" spans="1:11" x14ac:dyDescent="0.25">
      <c r="A23" s="1263" t="s">
        <v>56</v>
      </c>
      <c r="B23" s="1264" t="s">
        <v>2153</v>
      </c>
      <c r="C23" s="1265" t="s">
        <v>40</v>
      </c>
      <c r="D23" s="1266" t="e">
        <f t="shared" si="8"/>
        <v>#REF!</v>
      </c>
      <c r="E23" s="1266" t="e">
        <f t="shared" si="1"/>
        <v>#REF!</v>
      </c>
      <c r="F23" s="1266" t="e">
        <f>#REF!</f>
        <v>#REF!</v>
      </c>
      <c r="G23" s="1266" t="e">
        <f t="shared" si="6"/>
        <v>#REF!</v>
      </c>
      <c r="H23" s="1266" t="e">
        <f>#REF!</f>
        <v>#REF!</v>
      </c>
      <c r="I23" s="1266" t="e">
        <f t="shared" si="7"/>
        <v>#REF!</v>
      </c>
      <c r="J23" s="1266" t="e">
        <f>#REF!</f>
        <v>#REF!</v>
      </c>
      <c r="K23" s="1266" t="e">
        <f t="shared" si="2"/>
        <v>#REF!</v>
      </c>
    </row>
    <row r="24" spans="1:11" x14ac:dyDescent="0.25">
      <c r="A24" s="1263" t="s">
        <v>57</v>
      </c>
      <c r="B24" s="1264" t="s">
        <v>58</v>
      </c>
      <c r="C24" s="1265" t="s">
        <v>40</v>
      </c>
      <c r="D24" s="1266" t="e">
        <f t="shared" si="8"/>
        <v>#REF!</v>
      </c>
      <c r="E24" s="1266" t="e">
        <f t="shared" si="1"/>
        <v>#REF!</v>
      </c>
      <c r="F24" s="1266" t="e">
        <f>#REF!-#REF!-#REF!</f>
        <v>#REF!</v>
      </c>
      <c r="G24" s="1266" t="e">
        <f t="shared" si="6"/>
        <v>#REF!</v>
      </c>
      <c r="H24" s="1266" t="e">
        <f>#REF!-#REF!-#REF!</f>
        <v>#REF!</v>
      </c>
      <c r="I24" s="1266" t="e">
        <f t="shared" si="7"/>
        <v>#REF!</v>
      </c>
      <c r="J24" s="1266" t="e">
        <f>#REF!-#REF!-#REF!</f>
        <v>#REF!</v>
      </c>
      <c r="K24" s="1266" t="e">
        <f t="shared" si="2"/>
        <v>#REF!</v>
      </c>
    </row>
    <row r="25" spans="1:11" x14ac:dyDescent="0.25">
      <c r="A25" s="1259">
        <v>2</v>
      </c>
      <c r="B25" s="1260" t="s">
        <v>2156</v>
      </c>
      <c r="C25" s="1261" t="s">
        <v>40</v>
      </c>
      <c r="D25" s="1262" t="e">
        <f t="shared" si="8"/>
        <v>#REF!</v>
      </c>
      <c r="E25" s="1266" t="e">
        <f t="shared" si="1"/>
        <v>#REF!</v>
      </c>
      <c r="F25" s="1262" t="e">
        <f>F26+F27+F28</f>
        <v>#REF!</v>
      </c>
      <c r="G25" s="1266" t="e">
        <f t="shared" si="6"/>
        <v>#REF!</v>
      </c>
      <c r="H25" s="1262" t="e">
        <f>H26+H27+H28</f>
        <v>#REF!</v>
      </c>
      <c r="I25" s="1266" t="e">
        <f t="shared" si="7"/>
        <v>#REF!</v>
      </c>
      <c r="J25" s="1262" t="e">
        <f>SUM(J26:J28)</f>
        <v>#REF!</v>
      </c>
      <c r="K25" s="1266" t="e">
        <f t="shared" si="2"/>
        <v>#REF!</v>
      </c>
    </row>
    <row r="26" spans="1:11" x14ac:dyDescent="0.25">
      <c r="A26" s="1263" t="s">
        <v>25</v>
      </c>
      <c r="B26" s="1264" t="s">
        <v>55</v>
      </c>
      <c r="C26" s="1265" t="s">
        <v>40</v>
      </c>
      <c r="D26" s="1266">
        <v>2164.88</v>
      </c>
      <c r="E26" s="1266" t="e">
        <f t="shared" si="1"/>
        <v>#REF!</v>
      </c>
      <c r="F26" s="1266" t="e">
        <f>#REF!</f>
        <v>#REF!</v>
      </c>
      <c r="G26" s="1266" t="e">
        <f t="shared" si="6"/>
        <v>#REF!</v>
      </c>
      <c r="H26" s="1266" t="e">
        <f>#REF!</f>
        <v>#REF!</v>
      </c>
      <c r="I26" s="1266" t="e">
        <f t="shared" si="7"/>
        <v>#REF!</v>
      </c>
      <c r="J26" s="1266" t="e">
        <f>#REF!</f>
        <v>#REF!</v>
      </c>
      <c r="K26" s="1266" t="e">
        <f t="shared" si="2"/>
        <v>#REF!</v>
      </c>
    </row>
    <row r="27" spans="1:11" x14ac:dyDescent="0.25">
      <c r="A27" s="1263" t="s">
        <v>26</v>
      </c>
      <c r="B27" s="1264" t="s">
        <v>2153</v>
      </c>
      <c r="C27" s="1265" t="s">
        <v>40</v>
      </c>
      <c r="D27" s="1266">
        <v>476.22</v>
      </c>
      <c r="E27" s="1266" t="e">
        <f t="shared" si="1"/>
        <v>#REF!</v>
      </c>
      <c r="F27" s="1266" t="e">
        <f>#REF!</f>
        <v>#REF!</v>
      </c>
      <c r="G27" s="1266" t="e">
        <f t="shared" si="6"/>
        <v>#REF!</v>
      </c>
      <c r="H27" s="1266" t="e">
        <f>#REF!</f>
        <v>#REF!</v>
      </c>
      <c r="I27" s="1266" t="e">
        <f t="shared" si="7"/>
        <v>#REF!</v>
      </c>
      <c r="J27" s="1266" t="e">
        <f>#REF!</f>
        <v>#REF!</v>
      </c>
      <c r="K27" s="1266" t="e">
        <f t="shared" si="2"/>
        <v>#REF!</v>
      </c>
    </row>
    <row r="28" spans="1:11" x14ac:dyDescent="0.25">
      <c r="A28" s="1263" t="s">
        <v>59</v>
      </c>
      <c r="B28" s="1264" t="s">
        <v>58</v>
      </c>
      <c r="C28" s="1265" t="s">
        <v>40</v>
      </c>
      <c r="D28" s="1266" t="e">
        <f t="shared" si="8"/>
        <v>#REF!</v>
      </c>
      <c r="E28" s="1266" t="e">
        <f t="shared" si="1"/>
        <v>#REF!</v>
      </c>
      <c r="F28" s="1266" t="e">
        <f>#REF!-#REF!</f>
        <v>#REF!</v>
      </c>
      <c r="G28" s="1266" t="e">
        <f t="shared" si="6"/>
        <v>#REF!</v>
      </c>
      <c r="H28" s="1266" t="e">
        <f>#REF!-#REF!</f>
        <v>#REF!</v>
      </c>
      <c r="I28" s="1266" t="e">
        <f t="shared" si="7"/>
        <v>#REF!</v>
      </c>
      <c r="J28" s="1266" t="e">
        <f>#REF!-#REF!</f>
        <v>#REF!</v>
      </c>
      <c r="K28" s="1266" t="e">
        <f t="shared" si="2"/>
        <v>#REF!</v>
      </c>
    </row>
    <row r="29" spans="1:11" x14ac:dyDescent="0.25">
      <c r="A29" s="1259">
        <v>3</v>
      </c>
      <c r="B29" s="1260" t="s">
        <v>2157</v>
      </c>
      <c r="C29" s="1261" t="s">
        <v>40</v>
      </c>
      <c r="D29" s="1262">
        <f t="shared" si="8"/>
        <v>0</v>
      </c>
      <c r="E29" s="1266" t="e">
        <f t="shared" si="1"/>
        <v>#REF!</v>
      </c>
      <c r="F29" s="1262">
        <v>0</v>
      </c>
      <c r="G29" s="1266" t="e">
        <f t="shared" si="6"/>
        <v>#REF!</v>
      </c>
      <c r="H29" s="1262">
        <v>0</v>
      </c>
      <c r="I29" s="1266" t="e">
        <f t="shared" si="7"/>
        <v>#REF!</v>
      </c>
      <c r="J29" s="1262">
        <v>0</v>
      </c>
      <c r="K29" s="1266" t="e">
        <f t="shared" si="2"/>
        <v>#REF!</v>
      </c>
    </row>
    <row r="30" spans="1:11" x14ac:dyDescent="0.25">
      <c r="A30" s="1263" t="s">
        <v>60</v>
      </c>
      <c r="B30" s="1264" t="s">
        <v>55</v>
      </c>
      <c r="C30" s="1265" t="s">
        <v>40</v>
      </c>
      <c r="D30" s="1266">
        <f t="shared" si="8"/>
        <v>0</v>
      </c>
      <c r="E30" s="1266" t="e">
        <f t="shared" si="1"/>
        <v>#REF!</v>
      </c>
      <c r="F30" s="1266"/>
      <c r="G30" s="1266" t="e">
        <f t="shared" si="6"/>
        <v>#REF!</v>
      </c>
      <c r="H30" s="1266"/>
      <c r="I30" s="1266" t="e">
        <f t="shared" si="7"/>
        <v>#REF!</v>
      </c>
      <c r="J30" s="1266"/>
      <c r="K30" s="1266" t="e">
        <f t="shared" si="2"/>
        <v>#REF!</v>
      </c>
    </row>
    <row r="31" spans="1:11" x14ac:dyDescent="0.25">
      <c r="A31" s="1263" t="s">
        <v>61</v>
      </c>
      <c r="B31" s="1264" t="s">
        <v>2153</v>
      </c>
      <c r="C31" s="1265" t="s">
        <v>40</v>
      </c>
      <c r="D31" s="1266">
        <f t="shared" si="8"/>
        <v>0</v>
      </c>
      <c r="E31" s="1266" t="e">
        <f t="shared" si="1"/>
        <v>#REF!</v>
      </c>
      <c r="F31" s="1266"/>
      <c r="G31" s="1266" t="e">
        <f t="shared" si="6"/>
        <v>#REF!</v>
      </c>
      <c r="H31" s="1266"/>
      <c r="I31" s="1266" t="e">
        <f t="shared" si="7"/>
        <v>#REF!</v>
      </c>
      <c r="J31" s="1266"/>
      <c r="K31" s="1266" t="e">
        <f t="shared" si="2"/>
        <v>#REF!</v>
      </c>
    </row>
    <row r="32" spans="1:11" x14ac:dyDescent="0.25">
      <c r="A32" s="1263" t="s">
        <v>62</v>
      </c>
      <c r="B32" s="1264" t="s">
        <v>58</v>
      </c>
      <c r="C32" s="1265" t="s">
        <v>40</v>
      </c>
      <c r="D32" s="1266">
        <f t="shared" si="8"/>
        <v>0</v>
      </c>
      <c r="E32" s="1266" t="e">
        <f t="shared" si="1"/>
        <v>#REF!</v>
      </c>
      <c r="F32" s="1266"/>
      <c r="G32" s="1266" t="e">
        <f t="shared" si="6"/>
        <v>#REF!</v>
      </c>
      <c r="H32" s="1266"/>
      <c r="I32" s="1266" t="e">
        <f t="shared" si="7"/>
        <v>#REF!</v>
      </c>
      <c r="J32" s="1266"/>
      <c r="K32" s="1266" t="e">
        <f t="shared" si="2"/>
        <v>#REF!</v>
      </c>
    </row>
    <row r="33" spans="1:11" x14ac:dyDescent="0.25">
      <c r="A33" s="1263">
        <v>4</v>
      </c>
      <c r="B33" s="1264" t="s">
        <v>2158</v>
      </c>
      <c r="C33" s="1265" t="s">
        <v>40</v>
      </c>
      <c r="D33" s="1266">
        <f t="shared" si="8"/>
        <v>0</v>
      </c>
      <c r="E33" s="1266" t="e">
        <f t="shared" si="1"/>
        <v>#REF!</v>
      </c>
      <c r="F33" s="1266">
        <v>0</v>
      </c>
      <c r="G33" s="1266" t="e">
        <f t="shared" si="6"/>
        <v>#REF!</v>
      </c>
      <c r="H33" s="1266">
        <v>0</v>
      </c>
      <c r="I33" s="1266" t="e">
        <f t="shared" si="7"/>
        <v>#REF!</v>
      </c>
      <c r="J33" s="1266">
        <v>0</v>
      </c>
      <c r="K33" s="1266" t="e">
        <f t="shared" si="2"/>
        <v>#REF!</v>
      </c>
    </row>
    <row r="34" spans="1:11" x14ac:dyDescent="0.25">
      <c r="A34" s="1263">
        <v>5</v>
      </c>
      <c r="B34" s="1264" t="s">
        <v>5</v>
      </c>
      <c r="C34" s="1265" t="s">
        <v>40</v>
      </c>
      <c r="D34" s="1266" t="e">
        <f t="shared" si="8"/>
        <v>#REF!</v>
      </c>
      <c r="E34" s="1266" t="e">
        <f t="shared" si="1"/>
        <v>#REF!</v>
      </c>
      <c r="F34" s="1266" t="e">
        <f>#REF!</f>
        <v>#REF!</v>
      </c>
      <c r="G34" s="1266" t="e">
        <f t="shared" si="6"/>
        <v>#REF!</v>
      </c>
      <c r="H34" s="1266"/>
      <c r="I34" s="1266" t="e">
        <f t="shared" si="7"/>
        <v>#REF!</v>
      </c>
      <c r="J34" s="1266"/>
      <c r="K34" s="1266" t="e">
        <f t="shared" si="2"/>
        <v>#REF!</v>
      </c>
    </row>
    <row r="35" spans="1:11" x14ac:dyDescent="0.25">
      <c r="A35" s="1259">
        <v>6</v>
      </c>
      <c r="B35" s="1260" t="s">
        <v>63</v>
      </c>
      <c r="C35" s="1261" t="s">
        <v>40</v>
      </c>
      <c r="D35" s="1262" t="e">
        <f>F35+H35+J35</f>
        <v>#REF!</v>
      </c>
      <c r="E35" s="1266" t="e">
        <f t="shared" si="1"/>
        <v>#REF!</v>
      </c>
      <c r="F35" s="1262" t="e">
        <f>F7+F25+F34</f>
        <v>#REF!</v>
      </c>
      <c r="G35" s="1266" t="e">
        <f t="shared" si="6"/>
        <v>#REF!</v>
      </c>
      <c r="H35" s="1262" t="e">
        <f>H7+H25+H29+H33+H34</f>
        <v>#REF!</v>
      </c>
      <c r="I35" s="1266" t="e">
        <f t="shared" si="7"/>
        <v>#REF!</v>
      </c>
      <c r="J35" s="1262" t="e">
        <f>J7+J25+J29+J33+J34</f>
        <v>#REF!</v>
      </c>
      <c r="K35" s="1266" t="e">
        <f t="shared" si="2"/>
        <v>#REF!</v>
      </c>
    </row>
    <row r="36" spans="1:11" x14ac:dyDescent="0.25">
      <c r="A36" s="1263" t="s">
        <v>32</v>
      </c>
      <c r="B36" s="1267" t="s">
        <v>2159</v>
      </c>
      <c r="C36" s="1265" t="s">
        <v>40</v>
      </c>
      <c r="D36" s="1266" t="e">
        <f>F36+H36+J36</f>
        <v>#REF!</v>
      </c>
      <c r="E36" s="1266" t="e">
        <f t="shared" si="1"/>
        <v>#REF!</v>
      </c>
      <c r="F36" s="1266" t="e">
        <f>F35-F37</f>
        <v>#REF!</v>
      </c>
      <c r="G36" s="1266" t="e">
        <f t="shared" si="6"/>
        <v>#REF!</v>
      </c>
      <c r="H36" s="1266" t="e">
        <f>H35-H37</f>
        <v>#REF!</v>
      </c>
      <c r="I36" s="1266" t="e">
        <f t="shared" si="7"/>
        <v>#REF!</v>
      </c>
      <c r="J36" s="1266" t="e">
        <f>J35-J37</f>
        <v>#REF!</v>
      </c>
      <c r="K36" s="1266" t="e">
        <f t="shared" si="2"/>
        <v>#REF!</v>
      </c>
    </row>
    <row r="37" spans="1:11" x14ac:dyDescent="0.25">
      <c r="A37" s="1263" t="s">
        <v>33</v>
      </c>
      <c r="B37" s="1267" t="s">
        <v>2087</v>
      </c>
      <c r="C37" s="1265" t="s">
        <v>40</v>
      </c>
      <c r="D37" s="1266" t="e">
        <f t="shared" si="8"/>
        <v>#REF!</v>
      </c>
      <c r="E37" s="1266" t="e">
        <f t="shared" si="1"/>
        <v>#REF!</v>
      </c>
      <c r="F37" s="1266" t="e">
        <f>F9+F12-#REF!</f>
        <v>#REF!</v>
      </c>
      <c r="G37" s="1266" t="e">
        <f t="shared" si="6"/>
        <v>#REF!</v>
      </c>
      <c r="H37" s="1266" t="e">
        <f>H12</f>
        <v>#REF!</v>
      </c>
      <c r="I37" s="1266" t="e">
        <f t="shared" si="7"/>
        <v>#REF!</v>
      </c>
      <c r="J37" s="1266">
        <f>J9+J12+J13</f>
        <v>0</v>
      </c>
      <c r="K37" s="1266" t="e">
        <f t="shared" si="2"/>
        <v>#REF!</v>
      </c>
    </row>
    <row r="38" spans="1:11" x14ac:dyDescent="0.25">
      <c r="A38" s="1263"/>
      <c r="B38" s="1267" t="s">
        <v>2159</v>
      </c>
      <c r="C38" s="1265" t="s">
        <v>4</v>
      </c>
      <c r="D38" s="1268" t="e">
        <f>D36/D35</f>
        <v>#REF!</v>
      </c>
      <c r="E38" s="1266"/>
      <c r="F38" s="1268" t="e">
        <f>F36/F35</f>
        <v>#REF!</v>
      </c>
      <c r="G38" s="1266"/>
      <c r="H38" s="1268" t="e">
        <f>H36/H35</f>
        <v>#REF!</v>
      </c>
      <c r="I38" s="1266"/>
      <c r="J38" s="1268" t="e">
        <f>J36/J35</f>
        <v>#REF!</v>
      </c>
      <c r="K38" s="1266"/>
    </row>
    <row r="39" spans="1:11" x14ac:dyDescent="0.25">
      <c r="A39" s="1263"/>
      <c r="B39" s="1267" t="s">
        <v>2087</v>
      </c>
      <c r="C39" s="1265" t="s">
        <v>4</v>
      </c>
      <c r="D39" s="1268" t="e">
        <f>D37/D35</f>
        <v>#REF!</v>
      </c>
      <c r="E39" s="1266"/>
      <c r="F39" s="1268" t="e">
        <f>F37/F35</f>
        <v>#REF!</v>
      </c>
      <c r="G39" s="1266"/>
      <c r="H39" s="1268" t="e">
        <f>H37/H35</f>
        <v>#REF!</v>
      </c>
      <c r="I39" s="1266"/>
      <c r="J39" s="1268" t="e">
        <f>J37/J35</f>
        <v>#REF!</v>
      </c>
      <c r="K39" s="1266"/>
    </row>
    <row r="40" spans="1:11" ht="31.5" x14ac:dyDescent="0.25">
      <c r="A40" s="1259">
        <v>7</v>
      </c>
      <c r="B40" s="1260" t="s">
        <v>2160</v>
      </c>
      <c r="C40" s="1261" t="s">
        <v>40</v>
      </c>
      <c r="D40" s="1262" t="e">
        <f>F40+H40+J40</f>
        <v>#REF!</v>
      </c>
      <c r="E40" s="1266" t="e">
        <f t="shared" si="1"/>
        <v>#REF!</v>
      </c>
      <c r="F40" s="1262" t="e">
        <f>#REF!</f>
        <v>#REF!</v>
      </c>
      <c r="G40" s="1266" t="e">
        <f t="shared" ref="G40:G50" si="9">F40/$F$53*1000</f>
        <v>#REF!</v>
      </c>
      <c r="H40" s="1262" t="e">
        <f>H45+H44+H43+H42+H41</f>
        <v>#REF!</v>
      </c>
      <c r="I40" s="1266" t="e">
        <f t="shared" ref="I40:I50" si="10">H40/$H$51*1000</f>
        <v>#REF!</v>
      </c>
      <c r="J40" s="1262" t="e">
        <f>J45+J44+J43+J42+J41</f>
        <v>#REF!</v>
      </c>
      <c r="K40" s="1266" t="e">
        <f t="shared" si="2"/>
        <v>#REF!</v>
      </c>
    </row>
    <row r="41" spans="1:11" x14ac:dyDescent="0.25">
      <c r="A41" s="1263" t="s">
        <v>64</v>
      </c>
      <c r="B41" s="1264" t="s">
        <v>65</v>
      </c>
      <c r="C41" s="1265" t="s">
        <v>40</v>
      </c>
      <c r="D41" s="1266" t="e">
        <f t="shared" si="8"/>
        <v>#REF!</v>
      </c>
      <c r="E41" s="1266" t="e">
        <f t="shared" si="1"/>
        <v>#REF!</v>
      </c>
      <c r="F41" s="1266" t="e">
        <f>(F45+F44+F43+F42)/82*18</f>
        <v>#REF!</v>
      </c>
      <c r="G41" s="1266" t="e">
        <f t="shared" si="9"/>
        <v>#REF!</v>
      </c>
      <c r="H41" s="1266" t="e">
        <f>(H45+H44+H43+H42)/82*18</f>
        <v>#REF!</v>
      </c>
      <c r="I41" s="1266" t="e">
        <f t="shared" si="10"/>
        <v>#REF!</v>
      </c>
      <c r="J41" s="1266" t="e">
        <f>(J44+J43+J42)/85*15</f>
        <v>#REF!</v>
      </c>
      <c r="K41" s="1266" t="e">
        <f t="shared" si="2"/>
        <v>#REF!</v>
      </c>
    </row>
    <row r="42" spans="1:11" x14ac:dyDescent="0.25">
      <c r="A42" s="1263" t="s">
        <v>66</v>
      </c>
      <c r="B42" s="1264" t="s">
        <v>85</v>
      </c>
      <c r="C42" s="1265" t="s">
        <v>40</v>
      </c>
      <c r="D42" s="1266" t="e">
        <f t="shared" si="8"/>
        <v>#REF!</v>
      </c>
      <c r="E42" s="1266" t="e">
        <f t="shared" si="1"/>
        <v>#REF!</v>
      </c>
      <c r="F42" s="1266" t="e">
        <f>(F45+F44+F43)/85*15</f>
        <v>#REF!</v>
      </c>
      <c r="G42" s="1266" t="e">
        <f t="shared" si="9"/>
        <v>#REF!</v>
      </c>
      <c r="H42" s="1266" t="e">
        <f>(H45+H44+H43)/85*15</f>
        <v>#REF!</v>
      </c>
      <c r="I42" s="1266" t="e">
        <f t="shared" si="10"/>
        <v>#REF!</v>
      </c>
      <c r="J42" s="1266" t="e">
        <f>(J45+J44)/85*15</f>
        <v>#REF!</v>
      </c>
      <c r="K42" s="1266" t="e">
        <f t="shared" si="2"/>
        <v>#REF!</v>
      </c>
    </row>
    <row r="43" spans="1:11" x14ac:dyDescent="0.25">
      <c r="A43" s="1263" t="s">
        <v>68</v>
      </c>
      <c r="B43" s="1264" t="s">
        <v>86</v>
      </c>
      <c r="C43" s="1265" t="s">
        <v>40</v>
      </c>
      <c r="D43" s="1266">
        <f t="shared" si="8"/>
        <v>0</v>
      </c>
      <c r="E43" s="1266" t="e">
        <f t="shared" si="1"/>
        <v>#REF!</v>
      </c>
      <c r="F43" s="1266">
        <v>0</v>
      </c>
      <c r="G43" s="1266" t="e">
        <f t="shared" si="9"/>
        <v>#REF!</v>
      </c>
      <c r="H43" s="1266">
        <v>0</v>
      </c>
      <c r="I43" s="1266" t="e">
        <f t="shared" si="10"/>
        <v>#REF!</v>
      </c>
      <c r="J43" s="1266">
        <v>0</v>
      </c>
      <c r="K43" s="1266" t="e">
        <f t="shared" si="2"/>
        <v>#REF!</v>
      </c>
    </row>
    <row r="44" spans="1:11" ht="31.5" x14ac:dyDescent="0.25">
      <c r="A44" s="1263" t="s">
        <v>70</v>
      </c>
      <c r="B44" s="1264" t="s">
        <v>71</v>
      </c>
      <c r="C44" s="1265" t="s">
        <v>40</v>
      </c>
      <c r="D44" s="1266">
        <f t="shared" si="8"/>
        <v>0</v>
      </c>
      <c r="E44" s="1266" t="e">
        <f t="shared" si="1"/>
        <v>#REF!</v>
      </c>
      <c r="F44" s="1924"/>
      <c r="G44" s="1266" t="e">
        <f t="shared" si="9"/>
        <v>#REF!</v>
      </c>
      <c r="H44" s="1924"/>
      <c r="I44" s="1266" t="e">
        <f t="shared" si="10"/>
        <v>#REF!</v>
      </c>
      <c r="J44" s="1924"/>
      <c r="K44" s="1266" t="e">
        <f t="shared" si="2"/>
        <v>#REF!</v>
      </c>
    </row>
    <row r="45" spans="1:11" ht="31.5" x14ac:dyDescent="0.25">
      <c r="A45" s="1263" t="s">
        <v>72</v>
      </c>
      <c r="B45" s="1264" t="s">
        <v>2573</v>
      </c>
      <c r="C45" s="1265" t="s">
        <v>40</v>
      </c>
      <c r="D45" s="1266" t="e">
        <f t="shared" si="8"/>
        <v>#REF!</v>
      </c>
      <c r="E45" s="1266" t="e">
        <f t="shared" si="1"/>
        <v>#REF!</v>
      </c>
      <c r="F45" s="1266" t="e">
        <f>F35*2%</f>
        <v>#REF!</v>
      </c>
      <c r="G45" s="1266" t="e">
        <f t="shared" si="9"/>
        <v>#REF!</v>
      </c>
      <c r="H45" s="1266" t="e">
        <f>H35*2%</f>
        <v>#REF!</v>
      </c>
      <c r="I45" s="1266" t="e">
        <f t="shared" si="10"/>
        <v>#REF!</v>
      </c>
      <c r="J45" s="1266" t="e">
        <f>J35*2%</f>
        <v>#REF!</v>
      </c>
      <c r="K45" s="1266" t="e">
        <f t="shared" si="2"/>
        <v>#REF!</v>
      </c>
    </row>
    <row r="46" spans="1:11" s="169" customFormat="1" x14ac:dyDescent="0.25">
      <c r="A46" s="1259"/>
      <c r="B46" s="1925" t="s">
        <v>2159</v>
      </c>
      <c r="C46" s="1261" t="s">
        <v>40</v>
      </c>
      <c r="D46" s="1262" t="e">
        <f t="shared" si="8"/>
        <v>#REF!</v>
      </c>
      <c r="E46" s="1262" t="e">
        <f t="shared" si="1"/>
        <v>#REF!</v>
      </c>
      <c r="F46" s="1262" t="e">
        <f>F40</f>
        <v>#REF!</v>
      </c>
      <c r="G46" s="1262" t="e">
        <f t="shared" si="9"/>
        <v>#REF!</v>
      </c>
      <c r="H46" s="1262" t="e">
        <f>H40</f>
        <v>#REF!</v>
      </c>
      <c r="I46" s="1262" t="e">
        <f t="shared" si="10"/>
        <v>#REF!</v>
      </c>
      <c r="J46" s="1262" t="e">
        <f>J40</f>
        <v>#REF!</v>
      </c>
      <c r="K46" s="1262" t="e">
        <f t="shared" si="2"/>
        <v>#REF!</v>
      </c>
    </row>
    <row r="47" spans="1:11" s="169" customFormat="1" x14ac:dyDescent="0.25">
      <c r="A47" s="1259"/>
      <c r="B47" s="1925" t="s">
        <v>2087</v>
      </c>
      <c r="C47" s="1261" t="s">
        <v>40</v>
      </c>
      <c r="D47" s="1262" t="e">
        <f>F47+H47+J47</f>
        <v>#REF!</v>
      </c>
      <c r="E47" s="1262"/>
      <c r="F47" s="1262" t="e">
        <f>F37*0%</f>
        <v>#REF!</v>
      </c>
      <c r="G47" s="1262"/>
      <c r="H47" s="1262" t="e">
        <f>H37*0%</f>
        <v>#REF!</v>
      </c>
      <c r="I47" s="1262"/>
      <c r="J47" s="1262">
        <f>J37*0%</f>
        <v>0</v>
      </c>
      <c r="K47" s="1262"/>
    </row>
    <row r="48" spans="1:11" ht="31.5" x14ac:dyDescent="0.25">
      <c r="A48" s="1259">
        <v>8</v>
      </c>
      <c r="B48" s="1260" t="s">
        <v>2161</v>
      </c>
      <c r="C48" s="1261" t="s">
        <v>40</v>
      </c>
      <c r="D48" s="1262" t="e">
        <f>F48+H48+J48</f>
        <v>#REF!</v>
      </c>
      <c r="E48" s="1266" t="e">
        <f t="shared" si="1"/>
        <v>#REF!</v>
      </c>
      <c r="F48" s="1262" t="e">
        <f>F35+F40</f>
        <v>#REF!</v>
      </c>
      <c r="G48" s="1299" t="e">
        <f t="shared" si="9"/>
        <v>#REF!</v>
      </c>
      <c r="H48" s="1262" t="e">
        <f>H35+H40</f>
        <v>#REF!</v>
      </c>
      <c r="I48" s="1299" t="e">
        <f t="shared" si="10"/>
        <v>#REF!</v>
      </c>
      <c r="J48" s="1262" t="e">
        <f>J35+J40</f>
        <v>#REF!</v>
      </c>
      <c r="K48" s="1299" t="e">
        <f t="shared" si="2"/>
        <v>#REF!</v>
      </c>
    </row>
    <row r="49" spans="1:11" x14ac:dyDescent="0.25">
      <c r="A49" s="1269" t="s">
        <v>116</v>
      </c>
      <c r="B49" s="1267" t="s">
        <v>2159</v>
      </c>
      <c r="C49" s="1265" t="s">
        <v>40</v>
      </c>
      <c r="D49" s="1270" t="e">
        <f t="shared" si="8"/>
        <v>#REF!</v>
      </c>
      <c r="E49" s="1266" t="e">
        <f t="shared" si="1"/>
        <v>#REF!</v>
      </c>
      <c r="F49" s="1270" t="e">
        <f>F36+F46</f>
        <v>#REF!</v>
      </c>
      <c r="G49" s="1266" t="e">
        <f t="shared" si="9"/>
        <v>#REF!</v>
      </c>
      <c r="H49" s="1270" t="e">
        <f>H36+H46</f>
        <v>#REF!</v>
      </c>
      <c r="I49" s="1266" t="e">
        <f t="shared" si="10"/>
        <v>#REF!</v>
      </c>
      <c r="J49" s="1270" t="e">
        <f>J36+J46</f>
        <v>#REF!</v>
      </c>
      <c r="K49" s="1266" t="e">
        <f t="shared" si="2"/>
        <v>#REF!</v>
      </c>
    </row>
    <row r="50" spans="1:11" ht="16.5" thickBot="1" x14ac:dyDescent="0.3">
      <c r="A50" s="1269" t="s">
        <v>118</v>
      </c>
      <c r="B50" s="1267" t="s">
        <v>2087</v>
      </c>
      <c r="C50" s="1277" t="s">
        <v>40</v>
      </c>
      <c r="D50" s="1270" t="e">
        <f t="shared" si="8"/>
        <v>#REF!</v>
      </c>
      <c r="E50" s="1266" t="e">
        <f t="shared" si="1"/>
        <v>#REF!</v>
      </c>
      <c r="F50" s="1270" t="e">
        <f>F37+F47</f>
        <v>#REF!</v>
      </c>
      <c r="G50" s="1266" t="e">
        <f t="shared" si="9"/>
        <v>#REF!</v>
      </c>
      <c r="H50" s="1270" t="e">
        <f>H37+H47</f>
        <v>#REF!</v>
      </c>
      <c r="I50" s="1266" t="e">
        <f t="shared" si="10"/>
        <v>#REF!</v>
      </c>
      <c r="J50" s="1270">
        <f>J37+J47</f>
        <v>0</v>
      </c>
      <c r="K50" s="1266" t="e">
        <f t="shared" si="2"/>
        <v>#REF!</v>
      </c>
    </row>
    <row r="51" spans="1:11" ht="32.25" thickBot="1" x14ac:dyDescent="0.3">
      <c r="A51" s="1301" t="s">
        <v>194</v>
      </c>
      <c r="B51" s="1306" t="s">
        <v>2162</v>
      </c>
      <c r="C51" s="1271" t="s">
        <v>189</v>
      </c>
      <c r="D51" s="1272" t="e">
        <f>#REF!*1000</f>
        <v>#REF!</v>
      </c>
      <c r="E51" s="1272"/>
      <c r="F51" s="1272" t="e">
        <f>D51</f>
        <v>#REF!</v>
      </c>
      <c r="G51" s="1272"/>
      <c r="H51" s="1316" t="e">
        <f>D51</f>
        <v>#REF!</v>
      </c>
      <c r="I51" s="1285"/>
      <c r="J51" s="1316" t="e">
        <f>D51</f>
        <v>#REF!</v>
      </c>
      <c r="K51" s="1294"/>
    </row>
    <row r="52" spans="1:11" ht="32.25" thickBot="1" x14ac:dyDescent="0.3">
      <c r="A52" s="1302" t="s">
        <v>195</v>
      </c>
      <c r="B52" s="1286" t="s">
        <v>2163</v>
      </c>
      <c r="C52" s="1265" t="s">
        <v>31</v>
      </c>
      <c r="D52" s="1266" t="e">
        <f>#REF!</f>
        <v>#REF!</v>
      </c>
      <c r="E52" s="1266"/>
      <c r="F52" s="1272" t="e">
        <f t="shared" ref="F52" si="11">D52</f>
        <v>#REF!</v>
      </c>
      <c r="G52" s="1266"/>
      <c r="H52" s="1272" t="e">
        <f t="shared" ref="H52:H53" si="12">D52</f>
        <v>#REF!</v>
      </c>
      <c r="I52" s="1262"/>
      <c r="J52" s="1272" t="e">
        <f t="shared" ref="J52:J53" si="13">D52</f>
        <v>#REF!</v>
      </c>
      <c r="K52" s="1295"/>
    </row>
    <row r="53" spans="1:11" ht="31.5" x14ac:dyDescent="0.25">
      <c r="A53" s="1303">
        <v>11</v>
      </c>
      <c r="B53" s="1307" t="s">
        <v>2169</v>
      </c>
      <c r="C53" s="1275" t="s">
        <v>189</v>
      </c>
      <c r="D53" s="1276" t="e">
        <f>#REF!*1000</f>
        <v>#REF!</v>
      </c>
      <c r="E53" s="1276"/>
      <c r="F53" s="1316" t="e">
        <f>D53</f>
        <v>#REF!</v>
      </c>
      <c r="G53" s="1276"/>
      <c r="H53" s="1272" t="e">
        <f t="shared" si="12"/>
        <v>#REF!</v>
      </c>
      <c r="I53" s="1276"/>
      <c r="J53" s="1272" t="e">
        <f t="shared" si="13"/>
        <v>#REF!</v>
      </c>
      <c r="K53" s="1308"/>
    </row>
    <row r="54" spans="1:11" ht="16.5" thickBot="1" x14ac:dyDescent="0.3">
      <c r="A54" s="1304" t="s">
        <v>196</v>
      </c>
      <c r="B54" s="1309" t="s">
        <v>2164</v>
      </c>
      <c r="C54" s="1273" t="s">
        <v>2165</v>
      </c>
      <c r="D54" s="1311" t="e">
        <f>F54+H54+J54</f>
        <v>#REF!</v>
      </c>
      <c r="E54" s="1262"/>
      <c r="F54" s="1311" t="e">
        <f>F48/F53*1000</f>
        <v>#REF!</v>
      </c>
      <c r="G54" s="1262"/>
      <c r="H54" s="1311" t="e">
        <f t="shared" ref="H54:J54" si="14">H48/H51*1000</f>
        <v>#REF!</v>
      </c>
      <c r="I54" s="1262"/>
      <c r="J54" s="1311" t="e">
        <f t="shared" si="14"/>
        <v>#REF!</v>
      </c>
      <c r="K54" s="1295"/>
    </row>
    <row r="55" spans="1:11" ht="31.5" x14ac:dyDescent="0.25">
      <c r="A55" s="1302"/>
      <c r="B55" s="1286" t="s">
        <v>2166</v>
      </c>
      <c r="C55" s="1265" t="s">
        <v>2167</v>
      </c>
      <c r="D55" s="1266" t="e">
        <f t="shared" si="8"/>
        <v>#REF!</v>
      </c>
      <c r="E55" s="1266"/>
      <c r="F55" s="1266" t="e">
        <f>F49*1000/F52/12</f>
        <v>#REF!</v>
      </c>
      <c r="G55" s="1266"/>
      <c r="H55" s="1266" t="e">
        <f>H49*1000/H52/12</f>
        <v>#REF!</v>
      </c>
      <c r="I55" s="1262"/>
      <c r="J55" s="1266" t="e">
        <f>J49*1000/J52/12</f>
        <v>#REF!</v>
      </c>
      <c r="K55" s="1295"/>
    </row>
    <row r="56" spans="1:11" ht="16.5" thickBot="1" x14ac:dyDescent="0.3">
      <c r="A56" s="1305"/>
      <c r="B56" s="1310" t="s">
        <v>2168</v>
      </c>
      <c r="C56" s="1273" t="s">
        <v>2165</v>
      </c>
      <c r="D56" s="1274" t="e">
        <f t="shared" si="8"/>
        <v>#REF!</v>
      </c>
      <c r="E56" s="1274"/>
      <c r="F56" s="1274" t="e">
        <f>F50/F51*1000</f>
        <v>#REF!</v>
      </c>
      <c r="G56" s="1274"/>
      <c r="H56" s="1274" t="e">
        <f>H50/H51*1000</f>
        <v>#REF!</v>
      </c>
      <c r="I56" s="1296"/>
      <c r="J56" s="1274" t="e">
        <f>J50/J51*1000</f>
        <v>#REF!</v>
      </c>
      <c r="K56" s="1297"/>
    </row>
    <row r="57" spans="1:11" hidden="1" x14ac:dyDescent="0.25"/>
    <row r="58" spans="1:11" x14ac:dyDescent="0.25">
      <c r="A58" s="1254" t="s">
        <v>2170</v>
      </c>
    </row>
    <row r="59" spans="1:11" ht="35.450000000000003" customHeight="1" x14ac:dyDescent="0.25">
      <c r="B59" s="1293" t="s">
        <v>422</v>
      </c>
      <c r="C59" s="1280"/>
      <c r="E59" s="1281" t="s">
        <v>603</v>
      </c>
      <c r="F59" s="1281"/>
    </row>
    <row r="60" spans="1:11" x14ac:dyDescent="0.25">
      <c r="A60" s="1282"/>
      <c r="B60" s="1279" t="s">
        <v>2171</v>
      </c>
      <c r="C60" s="1283" t="s">
        <v>2172</v>
      </c>
      <c r="D60" s="1279"/>
      <c r="E60" s="1279"/>
    </row>
    <row r="61" spans="1:11" x14ac:dyDescent="0.25">
      <c r="A61" s="1282"/>
      <c r="B61" s="1284"/>
      <c r="C61" s="1284"/>
    </row>
    <row r="62" spans="1:11" x14ac:dyDescent="0.25">
      <c r="A62" s="1282"/>
      <c r="B62" s="1284"/>
      <c r="C62" s="1284"/>
    </row>
    <row r="63" spans="1:11" ht="32.450000000000003" customHeight="1" x14ac:dyDescent="0.25">
      <c r="A63" s="1282"/>
      <c r="B63" s="3976" t="s">
        <v>2738</v>
      </c>
      <c r="C63" s="3976"/>
      <c r="D63" s="3976"/>
      <c r="E63" s="3976"/>
      <c r="F63" s="3976"/>
      <c r="G63" s="3976"/>
      <c r="H63" s="3976"/>
    </row>
    <row r="64" spans="1:11" x14ac:dyDescent="0.25">
      <c r="A64" s="1282"/>
      <c r="E64" s="3977" t="s">
        <v>1704</v>
      </c>
      <c r="F64" s="3977"/>
    </row>
    <row r="65" spans="2:11" x14ac:dyDescent="0.25">
      <c r="B65" s="1313" t="s">
        <v>355</v>
      </c>
      <c r="C65" s="3975" t="s">
        <v>2184</v>
      </c>
      <c r="D65" s="3975"/>
      <c r="E65" s="3975" t="s">
        <v>2185</v>
      </c>
      <c r="F65" s="3975"/>
      <c r="G65" s="1313" t="s">
        <v>2187</v>
      </c>
      <c r="H65" s="1313" t="s">
        <v>2186</v>
      </c>
      <c r="K65" s="1254">
        <v>6235.51</v>
      </c>
    </row>
    <row r="66" spans="2:11" x14ac:dyDescent="0.25">
      <c r="B66" s="921" t="s">
        <v>2173</v>
      </c>
      <c r="C66" s="1288" t="e">
        <f>D66/D76</f>
        <v>#REF!</v>
      </c>
      <c r="D66" s="1278" t="e">
        <f>D16+D22+D26</f>
        <v>#REF!</v>
      </c>
      <c r="E66" s="1312">
        <f>F66/F$76</f>
        <v>9.8900000000000002E-2</v>
      </c>
      <c r="F66" s="1278">
        <v>16154.18</v>
      </c>
      <c r="G66" s="1315" t="e">
        <f>C66-E66</f>
        <v>#REF!</v>
      </c>
      <c r="H66" s="1278" t="e">
        <f>D66-F66</f>
        <v>#REF!</v>
      </c>
      <c r="K66" s="1254">
        <v>4011.12</v>
      </c>
    </row>
    <row r="67" spans="2:11" x14ac:dyDescent="0.25">
      <c r="B67" s="921" t="s">
        <v>2174</v>
      </c>
      <c r="C67" s="1288" t="e">
        <f>D67/D76</f>
        <v>#REF!</v>
      </c>
      <c r="D67" s="1278" t="e">
        <f>D18+D23+D27</f>
        <v>#REF!</v>
      </c>
      <c r="E67" s="1312">
        <f t="shared" ref="E67:E74" si="15">F67/F$76</f>
        <v>2.07E-2</v>
      </c>
      <c r="F67" s="1278">
        <v>3388.14</v>
      </c>
      <c r="G67" s="1315" t="e">
        <f t="shared" ref="G67:G76" si="16">C67-E67</f>
        <v>#REF!</v>
      </c>
      <c r="H67" s="1278" t="e">
        <f t="shared" ref="H67:H76" si="17">D67-F67</f>
        <v>#REF!</v>
      </c>
      <c r="K67" s="1314">
        <f>1-K66/K65</f>
        <v>0.36</v>
      </c>
    </row>
    <row r="68" spans="2:11" x14ac:dyDescent="0.25">
      <c r="B68" s="921" t="s">
        <v>2175</v>
      </c>
      <c r="C68" s="1288" t="e">
        <f>D68/D76</f>
        <v>#REF!</v>
      </c>
      <c r="D68" s="1278" t="e">
        <f>D9</f>
        <v>#REF!</v>
      </c>
      <c r="E68" s="1312">
        <f t="shared" si="15"/>
        <v>0.7329</v>
      </c>
      <c r="F68" s="1278">
        <v>119721.63</v>
      </c>
      <c r="G68" s="1315" t="e">
        <f t="shared" si="16"/>
        <v>#REF!</v>
      </c>
      <c r="H68" s="1278" t="e">
        <f t="shared" si="17"/>
        <v>#REF!</v>
      </c>
    </row>
    <row r="69" spans="2:11" x14ac:dyDescent="0.25">
      <c r="B69" s="921" t="s">
        <v>43</v>
      </c>
      <c r="C69" s="1288" t="e">
        <f>D69/D76</f>
        <v>#REF!</v>
      </c>
      <c r="D69" s="1278" t="e">
        <f>D12</f>
        <v>#REF!</v>
      </c>
      <c r="E69" s="1312">
        <f t="shared" si="15"/>
        <v>5.6599999999999998E-2</v>
      </c>
      <c r="F69" s="1278">
        <v>9245.7000000000007</v>
      </c>
      <c r="G69" s="1315" t="e">
        <f t="shared" si="16"/>
        <v>#REF!</v>
      </c>
      <c r="H69" s="1278" t="e">
        <f t="shared" si="17"/>
        <v>#REF!</v>
      </c>
    </row>
    <row r="70" spans="2:11" x14ac:dyDescent="0.25">
      <c r="B70" s="921" t="s">
        <v>2176</v>
      </c>
      <c r="C70" s="1288" t="e">
        <f>D70/D76</f>
        <v>#REF!</v>
      </c>
      <c r="D70" s="1278" t="e">
        <f>D13</f>
        <v>#REF!</v>
      </c>
      <c r="E70" s="1312">
        <f t="shared" si="15"/>
        <v>3.5000000000000001E-3</v>
      </c>
      <c r="F70" s="1278">
        <v>564.36</v>
      </c>
      <c r="G70" s="1315" t="e">
        <f t="shared" si="16"/>
        <v>#REF!</v>
      </c>
      <c r="H70" s="1278" t="e">
        <f t="shared" si="17"/>
        <v>#REF!</v>
      </c>
    </row>
    <row r="71" spans="2:11" x14ac:dyDescent="0.25">
      <c r="B71" s="921" t="s">
        <v>459</v>
      </c>
      <c r="C71" s="1288" t="e">
        <f>D71/D76</f>
        <v>#REF!</v>
      </c>
      <c r="D71" s="1278" t="e">
        <f>D19+ЗВВ_1ст!F37+ЗВВ_1ст!F38-ЗВВ_1ст!L37-ЗВВ_1ст!L38+Адміністративні_1ст!F36+Адміністративні_1ст!F37-Адміністративні_1ст!L36-Адміністративні_1ст!L37</f>
        <v>#REF!</v>
      </c>
      <c r="E71" s="1312">
        <f t="shared" si="15"/>
        <v>2.5700000000000001E-2</v>
      </c>
      <c r="F71" s="1278">
        <v>4202.04</v>
      </c>
      <c r="G71" s="1315" t="e">
        <f t="shared" si="16"/>
        <v>#REF!</v>
      </c>
      <c r="H71" s="1278" t="e">
        <f t="shared" si="17"/>
        <v>#REF!</v>
      </c>
    </row>
    <row r="72" spans="2:11" x14ac:dyDescent="0.25">
      <c r="B72" s="921" t="s">
        <v>2177</v>
      </c>
      <c r="C72" s="1288" t="e">
        <f>D72/D76</f>
        <v>#REF!</v>
      </c>
      <c r="D72" s="1278" t="e">
        <f>#REF!+#REF!</f>
        <v>#REF!</v>
      </c>
      <c r="E72" s="1312">
        <f t="shared" si="15"/>
        <v>5.9999999999999995E-4</v>
      </c>
      <c r="F72" s="1278">
        <v>100.63</v>
      </c>
      <c r="G72" s="1315" t="e">
        <f t="shared" si="16"/>
        <v>#REF!</v>
      </c>
      <c r="H72" s="1278" t="e">
        <f t="shared" si="17"/>
        <v>#REF!</v>
      </c>
    </row>
    <row r="73" spans="2:11" x14ac:dyDescent="0.25">
      <c r="B73" s="921" t="s">
        <v>2178</v>
      </c>
      <c r="C73" s="1288" t="e">
        <f>D73/D76</f>
        <v>#REF!</v>
      </c>
      <c r="D73" s="1278" t="e">
        <f>#REF!+#REF!+ЗВВ_1ст!G25+ЗВВ_1ст!G26-ЗВВ_1ст!L25-ЗВВ_1ст!L26+Адміністративні_1ст!F25+Адміністративні_1ст!F26-Адміністративні_1ст!L25-Адміністративні_1ст!L26</f>
        <v>#REF!</v>
      </c>
      <c r="E73" s="1312">
        <f t="shared" si="15"/>
        <v>8.0999999999999996E-3</v>
      </c>
      <c r="F73" s="1278">
        <v>1321.29</v>
      </c>
      <c r="G73" s="1315" t="e">
        <f t="shared" si="16"/>
        <v>#REF!</v>
      </c>
      <c r="H73" s="1278" t="e">
        <f t="shared" si="17"/>
        <v>#REF!</v>
      </c>
    </row>
    <row r="74" spans="2:11" x14ac:dyDescent="0.25">
      <c r="B74" s="921" t="s">
        <v>2179</v>
      </c>
      <c r="C74" s="1288" t="e">
        <f>D74/D76</f>
        <v>#REF!</v>
      </c>
      <c r="D74" s="1278" t="e">
        <f>F35+H35+J35-H15-D66-D67-D68-D69-D70-D71-D72-D73</f>
        <v>#REF!</v>
      </c>
      <c r="E74" s="1312">
        <f t="shared" si="15"/>
        <v>1.0200000000000001E-2</v>
      </c>
      <c r="F74" s="1278">
        <f>2241.6055756519-572.13</f>
        <v>1669.48</v>
      </c>
      <c r="G74" s="1315" t="e">
        <f t="shared" si="16"/>
        <v>#REF!</v>
      </c>
      <c r="H74" s="1278" t="e">
        <f t="shared" si="17"/>
        <v>#REF!</v>
      </c>
    </row>
    <row r="75" spans="2:11" x14ac:dyDescent="0.25">
      <c r="B75" s="921" t="s">
        <v>2183</v>
      </c>
      <c r="C75" s="1288" t="e">
        <f>D75/D76</f>
        <v>#REF!</v>
      </c>
      <c r="D75" s="1278" t="e">
        <f>H40+J40+F40</f>
        <v>#REF!</v>
      </c>
      <c r="E75" s="1312">
        <f>F75/F76</f>
        <v>4.2799999999999998E-2</v>
      </c>
      <c r="F75" s="1278">
        <v>6994.54</v>
      </c>
      <c r="G75" s="1315" t="e">
        <f t="shared" si="16"/>
        <v>#REF!</v>
      </c>
      <c r="H75" s="1278" t="e">
        <f t="shared" si="17"/>
        <v>#REF!</v>
      </c>
    </row>
    <row r="76" spans="2:11" x14ac:dyDescent="0.25">
      <c r="B76" s="1290" t="s">
        <v>1872</v>
      </c>
      <c r="C76" s="1291" t="e">
        <f>SUM(C66:C75)</f>
        <v>#REF!</v>
      </c>
      <c r="D76" s="1278" t="e">
        <f>D66+D67+D68+D69+D70+D71+D72+D73+D74+D75</f>
        <v>#REF!</v>
      </c>
      <c r="E76" s="1291">
        <f>SUM(E66:E75)</f>
        <v>1</v>
      </c>
      <c r="F76" s="1278">
        <f>F66+F67+F68+F69+F70+F71+F72+F73+F74+F75</f>
        <v>163361.99</v>
      </c>
      <c r="G76" s="1315" t="e">
        <f t="shared" si="16"/>
        <v>#REF!</v>
      </c>
      <c r="H76" s="1278" t="e">
        <f t="shared" si="17"/>
        <v>#REF!</v>
      </c>
    </row>
    <row r="77" spans="2:11" x14ac:dyDescent="0.25">
      <c r="D77" s="1287"/>
      <c r="E77" s="1289"/>
      <c r="F77" s="1255">
        <v>163361.99</v>
      </c>
    </row>
    <row r="78" spans="2:11" x14ac:dyDescent="0.25">
      <c r="D78" s="1287"/>
      <c r="E78" s="1255"/>
      <c r="F78" s="1255">
        <f>F76-F77</f>
        <v>0</v>
      </c>
    </row>
    <row r="79" spans="2:11" x14ac:dyDescent="0.25">
      <c r="B79" s="1254" t="s">
        <v>2180</v>
      </c>
      <c r="D79" s="1292"/>
      <c r="E79" s="1292"/>
      <c r="F79" s="1292"/>
      <c r="G79" s="1292"/>
      <c r="H79" s="1292"/>
      <c r="I79" s="1292"/>
      <c r="J79" s="1292"/>
      <c r="K79" s="1292"/>
    </row>
    <row r="81" spans="2:8" ht="30.6" customHeight="1" x14ac:dyDescent="0.25">
      <c r="B81" s="3976" t="s">
        <v>2737</v>
      </c>
      <c r="C81" s="3976"/>
      <c r="D81" s="3976"/>
      <c r="E81" s="3976"/>
      <c r="F81" s="3976"/>
      <c r="G81" s="3976"/>
      <c r="H81" s="3976"/>
    </row>
    <row r="82" spans="2:8" x14ac:dyDescent="0.25">
      <c r="E82" s="3977" t="s">
        <v>1704</v>
      </c>
      <c r="F82" s="3977"/>
    </row>
    <row r="83" spans="2:8" x14ac:dyDescent="0.25">
      <c r="B83" s="1313" t="s">
        <v>355</v>
      </c>
      <c r="C83" s="3975" t="s">
        <v>2184</v>
      </c>
      <c r="D83" s="3975"/>
      <c r="E83" s="3975" t="s">
        <v>2185</v>
      </c>
      <c r="F83" s="3975"/>
      <c r="G83" s="1313" t="s">
        <v>2187</v>
      </c>
      <c r="H83" s="1313" t="s">
        <v>2186</v>
      </c>
    </row>
    <row r="84" spans="2:8" x14ac:dyDescent="0.25">
      <c r="B84" s="921" t="s">
        <v>2173</v>
      </c>
      <c r="C84" s="1288">
        <f>D84/D94</f>
        <v>0.1067</v>
      </c>
      <c r="D84" s="1278">
        <f>'Д 2_Т на В'!H24+'Д 2_Т на В'!H30+'Д 2_Т на В'!H34</f>
        <v>8155.84</v>
      </c>
      <c r="E84" s="1312">
        <f>F84/F$76</f>
        <v>9.8900000000000002E-2</v>
      </c>
      <c r="F84" s="1278">
        <v>16154.18</v>
      </c>
      <c r="G84" s="1315">
        <f>C84-E84</f>
        <v>7.7999999999999996E-3</v>
      </c>
      <c r="H84" s="1278">
        <f>D84-F84</f>
        <v>-7998.34</v>
      </c>
    </row>
    <row r="85" spans="2:8" x14ac:dyDescent="0.25">
      <c r="B85" s="921" t="s">
        <v>2174</v>
      </c>
      <c r="C85" s="1288">
        <f>D85/D94</f>
        <v>2.35E-2</v>
      </c>
      <c r="D85" s="1278">
        <f>'Д 2_Т на В'!H26+'Д 2_Т на В'!H31+'Д 2_Т на В'!H35</f>
        <v>1794.28</v>
      </c>
      <c r="E85" s="1312">
        <f t="shared" ref="E85:E92" si="18">F85/F$76</f>
        <v>2.07E-2</v>
      </c>
      <c r="F85" s="1278">
        <v>3388.14</v>
      </c>
      <c r="G85" s="1315">
        <f t="shared" ref="G85:G94" si="19">C85-E85</f>
        <v>2.8E-3</v>
      </c>
      <c r="H85" s="1278">
        <f t="shared" ref="H85:H94" si="20">D85-F85</f>
        <v>-1593.86</v>
      </c>
    </row>
    <row r="86" spans="2:8" x14ac:dyDescent="0.25">
      <c r="B86" s="921" t="s">
        <v>2175</v>
      </c>
      <c r="C86" s="1288">
        <f>D86/D94</f>
        <v>0.71479999999999999</v>
      </c>
      <c r="D86" s="1278">
        <f>'Д 2_Т на В'!H14</f>
        <v>54631.040000000001</v>
      </c>
      <c r="E86" s="1312">
        <f t="shared" si="18"/>
        <v>0.7329</v>
      </c>
      <c r="F86" s="1278">
        <v>119721.63</v>
      </c>
      <c r="G86" s="1315">
        <f t="shared" si="19"/>
        <v>-1.8100000000000002E-2</v>
      </c>
      <c r="H86" s="1278">
        <f t="shared" si="20"/>
        <v>-65090.59</v>
      </c>
    </row>
    <row r="87" spans="2:8" x14ac:dyDescent="0.25">
      <c r="B87" s="921" t="s">
        <v>43</v>
      </c>
      <c r="C87" s="1288">
        <f>D87/D94</f>
        <v>6.1000000000000004E-3</v>
      </c>
      <c r="D87" s="1278">
        <f>'Д 2_Т на В'!H18</f>
        <v>466.11</v>
      </c>
      <c r="E87" s="1312">
        <f t="shared" si="18"/>
        <v>5.6599999999999998E-2</v>
      </c>
      <c r="F87" s="1278">
        <v>9245.7000000000007</v>
      </c>
      <c r="G87" s="1315">
        <f t="shared" si="19"/>
        <v>-5.0500000000000003E-2</v>
      </c>
      <c r="H87" s="1278">
        <f t="shared" si="20"/>
        <v>-8779.59</v>
      </c>
    </row>
    <row r="88" spans="2:8" x14ac:dyDescent="0.25">
      <c r="B88" s="921" t="s">
        <v>2176</v>
      </c>
      <c r="C88" s="1288">
        <f>D88/D94</f>
        <v>5.0000000000000001E-4</v>
      </c>
      <c r="D88" s="1278">
        <f>'Д 2_Т на В'!H22</f>
        <v>38.79</v>
      </c>
      <c r="E88" s="1312">
        <f t="shared" si="18"/>
        <v>3.5000000000000001E-3</v>
      </c>
      <c r="F88" s="1278">
        <v>564.36</v>
      </c>
      <c r="G88" s="1315">
        <f t="shared" si="19"/>
        <v>-3.0000000000000001E-3</v>
      </c>
      <c r="H88" s="1278">
        <f t="shared" si="20"/>
        <v>-525.57000000000005</v>
      </c>
    </row>
    <row r="89" spans="2:8" x14ac:dyDescent="0.25">
      <c r="B89" s="921" t="s">
        <v>459</v>
      </c>
      <c r="C89" s="1288">
        <f>D89/D94</f>
        <v>3.0200000000000001E-2</v>
      </c>
      <c r="D89" s="1278">
        <f>'Д 2_Т на В'!H27+ЗВВ_1ст!G37+ЗВВ_1ст!G38+Адміністративні_1ст!G36+Адміністративні_1ст!G37</f>
        <v>2307.61</v>
      </c>
      <c r="E89" s="1312">
        <f t="shared" si="18"/>
        <v>2.5700000000000001E-2</v>
      </c>
      <c r="F89" s="1278">
        <v>4202.04</v>
      </c>
      <c r="G89" s="1315">
        <f t="shared" si="19"/>
        <v>4.4999999999999997E-3</v>
      </c>
      <c r="H89" s="1278">
        <f t="shared" si="20"/>
        <v>-1894.43</v>
      </c>
    </row>
    <row r="90" spans="2:8" x14ac:dyDescent="0.25">
      <c r="B90" s="921" t="s">
        <v>2177</v>
      </c>
      <c r="C90" s="1288" t="e">
        <f>D90/D94</f>
        <v>#REF!</v>
      </c>
      <c r="D90" s="1278" t="e">
        <f>#REF!+#REF!</f>
        <v>#REF!</v>
      </c>
      <c r="E90" s="1312">
        <f t="shared" si="18"/>
        <v>5.9999999999999995E-4</v>
      </c>
      <c r="F90" s="1278">
        <v>100.63</v>
      </c>
      <c r="G90" s="1315" t="e">
        <f t="shared" si="19"/>
        <v>#REF!</v>
      </c>
      <c r="H90" s="1278" t="e">
        <f t="shared" si="20"/>
        <v>#REF!</v>
      </c>
    </row>
    <row r="91" spans="2:8" x14ac:dyDescent="0.25">
      <c r="B91" s="921" t="s">
        <v>2178</v>
      </c>
      <c r="C91" s="1288" t="e">
        <f>D91/D94</f>
        <v>#REF!</v>
      </c>
      <c r="D91" s="1278" t="e">
        <f>#REF!+#REF!+ЗВВ_1ст!G43+ЗВВ_1ст!G44-ЗВВ_1ст!L43-ЗВВ_1ст!L44+Адміністративні_1ст!F43+Адміністративні_1ст!F44-Адміністративні_1ст!L43-Адміністративні_1ст!L44</f>
        <v>#REF!</v>
      </c>
      <c r="E91" s="1312">
        <f t="shared" si="18"/>
        <v>8.0999999999999996E-3</v>
      </c>
      <c r="F91" s="1278">
        <v>1321.29</v>
      </c>
      <c r="G91" s="1315" t="e">
        <f t="shared" si="19"/>
        <v>#REF!</v>
      </c>
      <c r="H91" s="1278" t="e">
        <f t="shared" si="20"/>
        <v>#REF!</v>
      </c>
    </row>
    <row r="92" spans="2:8" x14ac:dyDescent="0.25">
      <c r="B92" s="921" t="s">
        <v>2179</v>
      </c>
      <c r="C92" s="1288" t="e">
        <f>D92/D94</f>
        <v>#REF!</v>
      </c>
      <c r="D92" s="1278" t="e">
        <f>D94-D84-D85-D86-D87-D88-D89-D90-D91-D93</f>
        <v>#REF!</v>
      </c>
      <c r="E92" s="1312">
        <f t="shared" si="18"/>
        <v>1.0200000000000001E-2</v>
      </c>
      <c r="F92" s="1278">
        <f>2241.6055756519-572.13</f>
        <v>1669.48</v>
      </c>
      <c r="G92" s="1315" t="e">
        <f t="shared" si="19"/>
        <v>#REF!</v>
      </c>
      <c r="H92" s="1278" t="e">
        <f t="shared" si="20"/>
        <v>#REF!</v>
      </c>
    </row>
    <row r="93" spans="2:8" x14ac:dyDescent="0.25">
      <c r="B93" s="921" t="s">
        <v>2183</v>
      </c>
      <c r="C93" s="1288">
        <f>D93/D94</f>
        <v>5.3999999999999999E-2</v>
      </c>
      <c r="D93" s="1278">
        <f>'Д 2_Т на В'!H45</f>
        <v>4123.9799999999996</v>
      </c>
      <c r="E93" s="1312">
        <f>F93/F94</f>
        <v>4.2799999999999998E-2</v>
      </c>
      <c r="F93" s="1278">
        <v>6994.54</v>
      </c>
      <c r="G93" s="1315">
        <f t="shared" si="19"/>
        <v>1.12E-2</v>
      </c>
      <c r="H93" s="1278">
        <f t="shared" si="20"/>
        <v>-2870.56</v>
      </c>
    </row>
    <row r="94" spans="2:8" x14ac:dyDescent="0.25">
      <c r="B94" s="1290" t="s">
        <v>1872</v>
      </c>
      <c r="C94" s="1291" t="e">
        <f>SUM(C84:C93)</f>
        <v>#REF!</v>
      </c>
      <c r="D94" s="1278">
        <f>'Д 2_Т на В'!H51</f>
        <v>76423.81</v>
      </c>
      <c r="E94" s="1291">
        <f>SUM(E84:E93)</f>
        <v>1</v>
      </c>
      <c r="F94" s="1278">
        <f>F84+F85+F86+F87+F88+F89+F90+F91+F92+F93</f>
        <v>163361.99</v>
      </c>
      <c r="G94" s="1315" t="e">
        <f t="shared" si="19"/>
        <v>#REF!</v>
      </c>
      <c r="H94" s="1278">
        <f t="shared" si="20"/>
        <v>-86938.18</v>
      </c>
    </row>
  </sheetData>
  <mergeCells count="17">
    <mergeCell ref="E82:F82"/>
    <mergeCell ref="C83:D83"/>
    <mergeCell ref="E83:F83"/>
    <mergeCell ref="B81:H81"/>
    <mergeCell ref="A1:K1"/>
    <mergeCell ref="C65:D65"/>
    <mergeCell ref="E65:F65"/>
    <mergeCell ref="E64:F64"/>
    <mergeCell ref="A3:A5"/>
    <mergeCell ref="B3:B5"/>
    <mergeCell ref="C3:C5"/>
    <mergeCell ref="D3:K3"/>
    <mergeCell ref="D4:E4"/>
    <mergeCell ref="F4:G4"/>
    <mergeCell ref="H4:I4"/>
    <mergeCell ref="J4:K4"/>
    <mergeCell ref="B63:H6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M72"/>
  <sheetViews>
    <sheetView topLeftCell="A64" zoomScaleNormal="100" workbookViewId="0">
      <selection activeCell="F3" sqref="F3"/>
    </sheetView>
  </sheetViews>
  <sheetFormatPr defaultColWidth="8.85546875" defaultRowHeight="15.75" x14ac:dyDescent="0.25"/>
  <cols>
    <col min="1" max="1" width="18.7109375" style="1838" customWidth="1"/>
    <col min="2" max="2" width="11.85546875" style="2260" customWidth="1"/>
    <col min="3" max="3" width="11.28515625" style="2260" customWidth="1"/>
    <col min="4" max="4" width="12" style="2260" customWidth="1"/>
    <col min="5" max="5" width="11.7109375" style="2261" customWidth="1"/>
    <col min="6" max="6" width="11" style="58" customWidth="1"/>
    <col min="7" max="7" width="11.7109375" style="58" customWidth="1"/>
    <col min="8" max="8" width="23.140625" style="2058" customWidth="1"/>
    <col min="9" max="9" width="12.42578125" style="58" customWidth="1"/>
    <col min="10" max="10" width="10.7109375" style="58" customWidth="1"/>
    <col min="11" max="16384" width="8.85546875" style="58"/>
  </cols>
  <sheetData>
    <row r="1" spans="1:10" s="53" customFormat="1" x14ac:dyDescent="0.25">
      <c r="A1" s="15"/>
      <c r="B1" s="2256">
        <v>2020</v>
      </c>
      <c r="C1" s="2256">
        <v>2021</v>
      </c>
      <c r="D1" s="2256" t="s">
        <v>3246</v>
      </c>
      <c r="E1" s="2256" t="s">
        <v>3139</v>
      </c>
      <c r="F1" s="2250"/>
      <c r="G1" s="2251"/>
      <c r="H1" s="4093" t="s">
        <v>2889</v>
      </c>
      <c r="I1" s="2280" t="str">
        <f>E1</f>
        <v>2022-2023</v>
      </c>
      <c r="J1" s="2280" t="str">
        <f>D1</f>
        <v>2019-2022</v>
      </c>
    </row>
    <row r="2" spans="1:10" s="2252" customFormat="1" x14ac:dyDescent="0.25">
      <c r="A2" s="2254" t="s">
        <v>2854</v>
      </c>
      <c r="B2" s="2258">
        <f>SUM(B3:B11)</f>
        <v>32090.39</v>
      </c>
      <c r="C2" s="2258">
        <f t="shared" ref="C2" si="0">SUM(C3:C11)</f>
        <v>53281.71</v>
      </c>
      <c r="D2" s="2258">
        <f>SUM(D3:D12)</f>
        <v>46415.46</v>
      </c>
      <c r="E2" s="2258">
        <f>SUM(E3:E12)</f>
        <v>91833.53</v>
      </c>
      <c r="F2" s="1936">
        <f>E2/D2-1</f>
        <v>0.98</v>
      </c>
      <c r="H2" s="4094"/>
      <c r="I2" s="2580">
        <f>SUM(I3:I11)</f>
        <v>100</v>
      </c>
      <c r="J2" s="2281">
        <v>100</v>
      </c>
    </row>
    <row r="3" spans="1:10" x14ac:dyDescent="0.25">
      <c r="A3" s="842" t="s">
        <v>2173</v>
      </c>
      <c r="B3" s="2257">
        <f t="shared" ref="B3:E11" si="1">B16+B28+B40+B52+B64</f>
        <v>11915.21</v>
      </c>
      <c r="C3" s="2257">
        <f t="shared" si="1"/>
        <v>12247.61</v>
      </c>
      <c r="D3" s="2257">
        <f>D16+D28+D40+D52+D64</f>
        <v>9732.7000000000007</v>
      </c>
      <c r="E3" s="2257">
        <f>E16+E28+E40+E52+E64</f>
        <v>12261.32</v>
      </c>
      <c r="F3" s="1936">
        <f>E3/D3-1</f>
        <v>0.26</v>
      </c>
      <c r="G3" s="2416">
        <f>E3/E$2</f>
        <v>0.13</v>
      </c>
      <c r="H3" s="2273" t="s">
        <v>2173</v>
      </c>
      <c r="I3" s="2280">
        <f>E3/E2*100</f>
        <v>13</v>
      </c>
      <c r="J3" s="2282">
        <f>C3/(C$2-C$12)*100</f>
        <v>23</v>
      </c>
    </row>
    <row r="4" spans="1:10" x14ac:dyDescent="0.25">
      <c r="A4" s="842" t="s">
        <v>2174</v>
      </c>
      <c r="B4" s="2257">
        <f t="shared" si="1"/>
        <v>2538.7199999999998</v>
      </c>
      <c r="C4" s="2257">
        <f t="shared" si="1"/>
        <v>2660.49</v>
      </c>
      <c r="D4" s="2257">
        <f t="shared" si="1"/>
        <v>2104.4</v>
      </c>
      <c r="E4" s="2257">
        <f t="shared" si="1"/>
        <v>2697.49</v>
      </c>
      <c r="F4" s="1936">
        <f>E4/D4-1</f>
        <v>0.28000000000000003</v>
      </c>
      <c r="G4" s="2416">
        <f>E4/E$2</f>
        <v>0.03</v>
      </c>
      <c r="H4" s="2273" t="s">
        <v>2890</v>
      </c>
      <c r="I4" s="2280">
        <f>E4/(E$2)*100</f>
        <v>3</v>
      </c>
      <c r="J4" s="2282">
        <f t="shared" ref="J4:J11" si="2">C4/(C$2-C$12)*100</f>
        <v>5</v>
      </c>
    </row>
    <row r="5" spans="1:10" x14ac:dyDescent="0.25">
      <c r="A5" s="842" t="s">
        <v>2175</v>
      </c>
      <c r="B5" s="2257">
        <f t="shared" si="1"/>
        <v>8247.1</v>
      </c>
      <c r="C5" s="2257">
        <f t="shared" si="1"/>
        <v>26361.53</v>
      </c>
      <c r="D5" s="2257">
        <f t="shared" si="1"/>
        <v>27076.400000000001</v>
      </c>
      <c r="E5" s="2257">
        <f t="shared" si="1"/>
        <v>54631.040000000001</v>
      </c>
      <c r="F5" s="1936">
        <f t="shared" ref="F5:F11" si="3">E5/D5-1</f>
        <v>1.02</v>
      </c>
      <c r="G5" s="2416">
        <f t="shared" ref="G5:G12" si="4">E5/E$2</f>
        <v>0.59</v>
      </c>
      <c r="H5" s="2273" t="s">
        <v>2175</v>
      </c>
      <c r="I5" s="2280">
        <f t="shared" ref="I5:I11" si="5">E5/(E$2)*100</f>
        <v>59</v>
      </c>
      <c r="J5" s="2282">
        <f t="shared" si="2"/>
        <v>49.5</v>
      </c>
    </row>
    <row r="6" spans="1:10" x14ac:dyDescent="0.25">
      <c r="A6" s="842" t="s">
        <v>43</v>
      </c>
      <c r="B6" s="2257">
        <f t="shared" si="1"/>
        <v>1792.17</v>
      </c>
      <c r="C6" s="2257">
        <f t="shared" si="1"/>
        <v>2013.58</v>
      </c>
      <c r="D6" s="2257">
        <f t="shared" si="1"/>
        <v>2076.1999999999998</v>
      </c>
      <c r="E6" s="2257">
        <f t="shared" si="1"/>
        <v>2476.41</v>
      </c>
      <c r="F6" s="1936">
        <f t="shared" si="3"/>
        <v>0.19</v>
      </c>
      <c r="G6" s="2416">
        <f t="shared" si="4"/>
        <v>0.03</v>
      </c>
      <c r="H6" s="2273" t="s">
        <v>43</v>
      </c>
      <c r="I6" s="2280">
        <f t="shared" si="5"/>
        <v>3</v>
      </c>
      <c r="J6" s="2282">
        <f t="shared" si="2"/>
        <v>3.8</v>
      </c>
    </row>
    <row r="7" spans="1:10" ht="31.5" x14ac:dyDescent="0.25">
      <c r="A7" s="842" t="s">
        <v>2176</v>
      </c>
      <c r="B7" s="2257">
        <f t="shared" si="1"/>
        <v>221.03</v>
      </c>
      <c r="C7" s="2257">
        <f t="shared" si="1"/>
        <v>263.94</v>
      </c>
      <c r="D7" s="2257">
        <f t="shared" si="1"/>
        <v>159.9</v>
      </c>
      <c r="E7" s="2257">
        <f t="shared" si="1"/>
        <v>514.76</v>
      </c>
      <c r="F7" s="1936">
        <f t="shared" si="3"/>
        <v>2.2200000000000002</v>
      </c>
      <c r="G7" s="2416">
        <f t="shared" si="4"/>
        <v>0.01</v>
      </c>
      <c r="H7" s="2273" t="s">
        <v>2176</v>
      </c>
      <c r="I7" s="2280">
        <f t="shared" si="5"/>
        <v>1</v>
      </c>
      <c r="J7" s="2282">
        <f t="shared" si="2"/>
        <v>0.5</v>
      </c>
    </row>
    <row r="8" spans="1:10" x14ac:dyDescent="0.25">
      <c r="A8" s="842" t="s">
        <v>459</v>
      </c>
      <c r="B8" s="2257">
        <f t="shared" si="1"/>
        <v>1892.76</v>
      </c>
      <c r="C8" s="2257">
        <f t="shared" si="1"/>
        <v>1875.9</v>
      </c>
      <c r="D8" s="2257">
        <f t="shared" si="1"/>
        <v>2409.1999999999998</v>
      </c>
      <c r="E8" s="2257">
        <f t="shared" si="1"/>
        <v>2543.4</v>
      </c>
      <c r="F8" s="1936">
        <f t="shared" si="3"/>
        <v>0.06</v>
      </c>
      <c r="G8" s="2416">
        <f t="shared" si="4"/>
        <v>0.03</v>
      </c>
      <c r="H8" s="2273" t="s">
        <v>459</v>
      </c>
      <c r="I8" s="2280">
        <f t="shared" si="5"/>
        <v>3</v>
      </c>
      <c r="J8" s="2282">
        <f t="shared" si="2"/>
        <v>3.5</v>
      </c>
    </row>
    <row r="9" spans="1:10" x14ac:dyDescent="0.25">
      <c r="A9" s="842" t="s">
        <v>2177</v>
      </c>
      <c r="B9" s="2257">
        <f t="shared" si="1"/>
        <v>113.02</v>
      </c>
      <c r="C9" s="2257">
        <f t="shared" si="1"/>
        <v>379.45</v>
      </c>
      <c r="D9" s="2257">
        <f t="shared" si="1"/>
        <v>17.399999999999999</v>
      </c>
      <c r="E9" s="2257">
        <f t="shared" si="1"/>
        <v>383.73</v>
      </c>
      <c r="F9" s="1936">
        <f t="shared" si="3"/>
        <v>21.05</v>
      </c>
      <c r="G9" s="2416">
        <f t="shared" si="4"/>
        <v>0</v>
      </c>
      <c r="H9" s="2273" t="s">
        <v>2177</v>
      </c>
      <c r="I9" s="2280">
        <f t="shared" si="5"/>
        <v>0</v>
      </c>
      <c r="J9" s="2282">
        <f t="shared" si="2"/>
        <v>0.7</v>
      </c>
    </row>
    <row r="10" spans="1:10" x14ac:dyDescent="0.25">
      <c r="A10" s="842" t="s">
        <v>2178</v>
      </c>
      <c r="B10" s="2257">
        <f t="shared" si="1"/>
        <v>392.85</v>
      </c>
      <c r="C10" s="2257">
        <f t="shared" si="1"/>
        <v>1490.63</v>
      </c>
      <c r="D10" s="2257">
        <f t="shared" si="1"/>
        <v>702.17</v>
      </c>
      <c r="E10" s="2257">
        <f t="shared" si="1"/>
        <v>844.21</v>
      </c>
      <c r="F10" s="1936">
        <f t="shared" si="3"/>
        <v>0.2</v>
      </c>
      <c r="G10" s="2416">
        <f t="shared" si="4"/>
        <v>0.01</v>
      </c>
      <c r="H10" s="2273" t="s">
        <v>2178</v>
      </c>
      <c r="I10" s="2280">
        <f t="shared" si="5"/>
        <v>1</v>
      </c>
      <c r="J10" s="2282">
        <f>C10/(C$2-C$12)*100</f>
        <v>2.8</v>
      </c>
    </row>
    <row r="11" spans="1:10" x14ac:dyDescent="0.25">
      <c r="A11" s="842" t="s">
        <v>2179</v>
      </c>
      <c r="B11" s="2257">
        <f>B24+B36+B48+B60+B72</f>
        <v>4977.53</v>
      </c>
      <c r="C11" s="2257">
        <f t="shared" si="1"/>
        <v>5988.58</v>
      </c>
      <c r="D11" s="2257">
        <f t="shared" si="1"/>
        <v>2137.09</v>
      </c>
      <c r="E11" s="2257">
        <f t="shared" si="1"/>
        <v>15481.17</v>
      </c>
      <c r="F11" s="1936">
        <f t="shared" si="3"/>
        <v>6.24</v>
      </c>
      <c r="G11" s="2416">
        <f t="shared" si="4"/>
        <v>0.17</v>
      </c>
      <c r="H11" s="2273" t="s">
        <v>2179</v>
      </c>
      <c r="I11" s="2280">
        <f t="shared" si="5"/>
        <v>17</v>
      </c>
      <c r="J11" s="2282">
        <f t="shared" si="2"/>
        <v>11.2</v>
      </c>
    </row>
    <row r="12" spans="1:10" x14ac:dyDescent="0.25">
      <c r="A12" s="842" t="s">
        <v>2751</v>
      </c>
      <c r="B12" s="2257"/>
      <c r="C12" s="2257"/>
      <c r="D12" s="2257">
        <f>D25+D37+D50+D62+D73</f>
        <v>0</v>
      </c>
      <c r="E12" s="2257">
        <f>E25+E37+E49+E61+E73</f>
        <v>0</v>
      </c>
      <c r="F12" s="1936"/>
      <c r="G12" s="2416">
        <f t="shared" si="4"/>
        <v>0</v>
      </c>
      <c r="H12" s="2279" t="s">
        <v>2751</v>
      </c>
    </row>
    <row r="13" spans="1:10" x14ac:dyDescent="0.25">
      <c r="A13" s="842" t="s">
        <v>2108</v>
      </c>
      <c r="B13" s="2257"/>
      <c r="C13" s="2257"/>
      <c r="D13" s="2257"/>
      <c r="E13" s="2259"/>
      <c r="F13" s="1541"/>
      <c r="G13" s="2253"/>
    </row>
    <row r="14" spans="1:10" s="53" customFormat="1" x14ac:dyDescent="0.25">
      <c r="A14" s="15"/>
      <c r="B14" s="2256">
        <f>B1</f>
        <v>2020</v>
      </c>
      <c r="C14" s="2256">
        <f>C1</f>
        <v>2021</v>
      </c>
      <c r="D14" s="2256" t="s">
        <v>3246</v>
      </c>
      <c r="E14" s="2256" t="s">
        <v>3139</v>
      </c>
      <c r="F14" s="2250"/>
      <c r="G14" s="2251"/>
      <c r="H14" s="2230"/>
    </row>
    <row r="15" spans="1:10" x14ac:dyDescent="0.25">
      <c r="A15" s="2254" t="s">
        <v>1822</v>
      </c>
      <c r="B15" s="2258">
        <f>SUM(B16:B25)</f>
        <v>17540.38</v>
      </c>
      <c r="C15" s="2258">
        <f t="shared" ref="C15:E15" si="6">SUM(C16:C25)</f>
        <v>37690.85</v>
      </c>
      <c r="D15" s="2258">
        <f t="shared" si="6"/>
        <v>35013.699999999997</v>
      </c>
      <c r="E15" s="2258">
        <f t="shared" si="6"/>
        <v>67516.94</v>
      </c>
      <c r="F15" s="1936">
        <f>E15/D15-1</f>
        <v>0.93</v>
      </c>
      <c r="G15" s="2253"/>
      <c r="H15" s="2274"/>
    </row>
    <row r="16" spans="1:10" x14ac:dyDescent="0.25">
      <c r="A16" s="842" t="s">
        <v>2173</v>
      </c>
      <c r="B16" s="2257">
        <f>Виробництво_Транспортування_1ст!C28</f>
        <v>4059.09</v>
      </c>
      <c r="C16" s="2257">
        <f>Виробництво_Транспортування_1ст!D28</f>
        <v>4389.88</v>
      </c>
      <c r="D16" s="2257">
        <f>Виробництво_Транспортування_1ст!E28</f>
        <v>3975.1</v>
      </c>
      <c r="E16" s="2257">
        <f>Виробництво_Транспортування_1ст!F28</f>
        <v>5029.51</v>
      </c>
      <c r="F16" s="1936">
        <f>E16/D16-1</f>
        <v>0.27</v>
      </c>
      <c r="G16" s="2253"/>
    </row>
    <row r="17" spans="1:8" x14ac:dyDescent="0.25">
      <c r="A17" s="842" t="s">
        <v>2174</v>
      </c>
      <c r="B17" s="2257">
        <f>Виробництво_Транспортування_1ст!C31</f>
        <v>898.92</v>
      </c>
      <c r="C17" s="2257">
        <f>Виробництво_Транспортування_1ст!D31</f>
        <v>978.34</v>
      </c>
      <c r="D17" s="2257">
        <f>Виробництво_Транспортування_1ст!E31</f>
        <v>874.5</v>
      </c>
      <c r="E17" s="2257">
        <f>Виробництво_Транспортування_1ст!F31</f>
        <v>1106.49</v>
      </c>
      <c r="F17" s="1936">
        <f t="shared" ref="F17:F24" si="7">E17/D17-1</f>
        <v>0.27</v>
      </c>
      <c r="G17" s="2253"/>
    </row>
    <row r="18" spans="1:8" x14ac:dyDescent="0.25">
      <c r="A18" s="842" t="s">
        <v>2175</v>
      </c>
      <c r="B18" s="2257">
        <f>Виробництво_Транспортування_1ст!C11</f>
        <v>8247.1</v>
      </c>
      <c r="C18" s="2257">
        <f>Виробництво_Транспортування_1ст!D11</f>
        <v>26361.53</v>
      </c>
      <c r="D18" s="2257">
        <f>Виробництво_Транспортування_1ст!E11</f>
        <v>27076.400000000001</v>
      </c>
      <c r="E18" s="2257">
        <f>Виробництво_Транспортування_1ст!F11</f>
        <v>54631.040000000001</v>
      </c>
      <c r="F18" s="1936">
        <f t="shared" si="7"/>
        <v>1.02</v>
      </c>
      <c r="G18" s="2253"/>
    </row>
    <row r="19" spans="1:8" x14ac:dyDescent="0.25">
      <c r="A19" s="842" t="s">
        <v>43</v>
      </c>
      <c r="B19" s="2257">
        <f>Виробництво_Транспортування_1ст!C15</f>
        <v>331.25</v>
      </c>
      <c r="C19" s="2257">
        <f>Виробництво_Транспортування_1ст!D15</f>
        <v>395.67</v>
      </c>
      <c r="D19" s="2257">
        <f>Виробництво_Транспортування_1ст!E15</f>
        <v>396.4</v>
      </c>
      <c r="E19" s="2257">
        <f>Виробництво_Транспортування_1ст!F15</f>
        <v>466.11</v>
      </c>
      <c r="F19" s="1936">
        <f t="shared" si="7"/>
        <v>0.18</v>
      </c>
      <c r="G19" s="2253"/>
    </row>
    <row r="20" spans="1:8" ht="31.5" x14ac:dyDescent="0.25">
      <c r="A20" s="842" t="s">
        <v>2176</v>
      </c>
      <c r="B20" s="2257">
        <f>Виробництво_Транспортування_1ст!C16</f>
        <v>41.59</v>
      </c>
      <c r="C20" s="2257">
        <f>Виробництво_Транспортування_1ст!D16</f>
        <v>51.02</v>
      </c>
      <c r="D20" s="2257">
        <f>Виробництво_Транспортування_1ст!E16</f>
        <v>29.5</v>
      </c>
      <c r="E20" s="2257">
        <f>Виробництво_Транспортування_1ст!F16</f>
        <v>38.79</v>
      </c>
      <c r="F20" s="1936">
        <f t="shared" si="7"/>
        <v>0.31</v>
      </c>
      <c r="G20" s="2253"/>
    </row>
    <row r="21" spans="1:8" x14ac:dyDescent="0.25">
      <c r="A21" s="842" t="s">
        <v>459</v>
      </c>
      <c r="B21" s="2257">
        <f>Виробництво_Транспортування_1ст!C32</f>
        <v>1513.73</v>
      </c>
      <c r="C21" s="2257">
        <f>Виробництво_Транспортування_1ст!D32</f>
        <v>1500.25</v>
      </c>
      <c r="D21" s="2257">
        <f>Виробництво_Транспортування_1ст!E32</f>
        <v>1870.7</v>
      </c>
      <c r="E21" s="2257">
        <f>Виробництво_Транспортування_1ст!F32</f>
        <v>2255</v>
      </c>
      <c r="F21" s="1936">
        <f t="shared" si="7"/>
        <v>0.21</v>
      </c>
      <c r="G21" s="2253"/>
    </row>
    <row r="22" spans="1:8" x14ac:dyDescent="0.25">
      <c r="A22" s="842" t="s">
        <v>2177</v>
      </c>
      <c r="B22" s="2257">
        <f>Виробництво_Транспортування_1ст!C70</f>
        <v>48.32</v>
      </c>
      <c r="C22" s="2257">
        <f>Виробництво_Транспортування_1ст!D70</f>
        <v>321.38</v>
      </c>
      <c r="D22" s="2257">
        <f>Виробництво_Транспортування_1ст!E70</f>
        <v>0</v>
      </c>
      <c r="E22" s="2257">
        <f>Виробництво_Транспортування_1ст!F70</f>
        <v>319.43</v>
      </c>
      <c r="F22" s="1936">
        <v>0</v>
      </c>
      <c r="G22" s="2253"/>
    </row>
    <row r="23" spans="1:8" x14ac:dyDescent="0.25">
      <c r="A23" s="842" t="s">
        <v>2178</v>
      </c>
      <c r="B23" s="2257">
        <f>Виробництво_Транспортування_1ст!C34</f>
        <v>73.11</v>
      </c>
      <c r="C23" s="2257">
        <f>Виробництво_Транспортування_1ст!D34</f>
        <v>1011.11</v>
      </c>
      <c r="D23" s="2257">
        <f>Виробництво_Транспортування_1ст!E34</f>
        <v>618.29999999999995</v>
      </c>
      <c r="E23" s="2257">
        <f>Виробництво_Транспортування_1ст!F34</f>
        <v>740.1</v>
      </c>
      <c r="F23" s="1936">
        <f t="shared" si="7"/>
        <v>0.2</v>
      </c>
      <c r="G23" s="2253"/>
    </row>
    <row r="24" spans="1:8" x14ac:dyDescent="0.25">
      <c r="A24" s="842" t="s">
        <v>2179</v>
      </c>
      <c r="B24" s="2257">
        <f>Виробництво_Транспортування_1ст!C9-Виробництво_Транспортування_1ст!C11-Виробництво_Транспортування_1ст!C15-Виробництво_Транспортування_1ст!C16-Виробництво_Транспортування_1ст!C28-Виробництво_Транспортування_1ст!C31-Виробництво_Транспортування_1ст!C32-Виробництво_Транспортування_1ст!C34-Виробництво_Транспортування_1ст!C70</f>
        <v>2327.27</v>
      </c>
      <c r="C24" s="2257">
        <f>Виробництво_Транспортування_1ст!D9-Виробництво_Транспортування_1ст!D11-Виробництво_Транспортування_1ст!D15-Виробництво_Транспортування_1ст!D16-Виробництво_Транспортування_1ст!D28-Виробництво_Транспортування_1ст!D31-Виробництво_Транспортування_1ст!D32-Виробництво_Транспортування_1ст!D34-Виробництво_Транспортування_1ст!D70</f>
        <v>2681.67</v>
      </c>
      <c r="D24" s="2257">
        <f>Виробництво_Транспортування_1ст!E9-Виробництво_Транспортування_1ст!E11-Виробництво_Транспортування_1ст!E15-Виробництво_Транспортування_1ст!E16-Виробництво_Транспортування_1ст!E28-Виробництво_Транспортування_1ст!E31-Виробництво_Транспортування_1ст!E32-Виробництво_Транспортування_1ст!E34-Виробництво_Транспортування_1ст!E70</f>
        <v>172.8</v>
      </c>
      <c r="E24" s="2257">
        <f>Виробництво_Транспортування_1ст!F9-Виробництво_Транспортування_1ст!F11-Виробництво_Транспортування_1ст!F15-Виробництво_Транспортування_1ст!F16-Виробництво_Транспортування_1ст!F28-Виробництво_Транспортування_1ст!F31-Виробництво_Транспортування_1ст!F32-Виробництво_Транспортування_1ст!F34-Виробництво_Транспортування_1ст!F70</f>
        <v>2930.47</v>
      </c>
      <c r="F24" s="1936">
        <f t="shared" si="7"/>
        <v>15.96</v>
      </c>
      <c r="G24" s="2253"/>
    </row>
    <row r="25" spans="1:8" x14ac:dyDescent="0.25">
      <c r="A25" s="842" t="s">
        <v>2861</v>
      </c>
      <c r="B25" s="2257">
        <f>'Д 2_Т на В'!E42</f>
        <v>0</v>
      </c>
      <c r="C25" s="2257">
        <f>'Д 2_Т на В'!F42</f>
        <v>0</v>
      </c>
      <c r="D25" s="2257">
        <f>'Д 2_Т на В'!G42</f>
        <v>0</v>
      </c>
      <c r="E25" s="2257">
        <f>'Д 2_Т на В'!H42</f>
        <v>0</v>
      </c>
      <c r="F25" s="1936">
        <v>0</v>
      </c>
      <c r="G25" s="2253"/>
    </row>
    <row r="26" spans="1:8" x14ac:dyDescent="0.25">
      <c r="A26" s="842"/>
      <c r="B26" s="2257"/>
      <c r="C26" s="2257"/>
      <c r="D26" s="2257"/>
      <c r="E26" s="2257"/>
      <c r="F26" s="1541"/>
      <c r="G26" s="2253"/>
    </row>
    <row r="27" spans="1:8" ht="31.5" x14ac:dyDescent="0.25">
      <c r="A27" s="2254" t="s">
        <v>1823</v>
      </c>
      <c r="B27" s="2258">
        <f>SUM(B28:B37)</f>
        <v>7481.71</v>
      </c>
      <c r="C27" s="2258">
        <f t="shared" ref="C27:D27" si="8">SUM(C28:C37)</f>
        <v>8279.9599999999991</v>
      </c>
      <c r="D27" s="2258">
        <f t="shared" si="8"/>
        <v>5258.1</v>
      </c>
      <c r="E27" s="2258">
        <f>SUM(E28:E37)</f>
        <v>17900.45</v>
      </c>
      <c r="F27" s="1936">
        <f>E27/D27-1</f>
        <v>2.4</v>
      </c>
      <c r="G27" s="2253">
        <f>сведено!D5+сведено!E5</f>
        <v>17900.439999999999</v>
      </c>
      <c r="H27" s="2274">
        <f>E27-G27</f>
        <v>0.01</v>
      </c>
    </row>
    <row r="28" spans="1:8" x14ac:dyDescent="0.25">
      <c r="A28" s="842" t="s">
        <v>2173</v>
      </c>
      <c r="B28" s="2257">
        <f>Виробництво_Транспортування_1ст!C118</f>
        <v>2897.51</v>
      </c>
      <c r="C28" s="2257">
        <f>Виробництво_Транспортування_1ст!D118</f>
        <v>2957.1</v>
      </c>
      <c r="D28" s="2257">
        <f>Виробництво_Транспортування_1ст!E118</f>
        <v>2376.1999999999998</v>
      </c>
      <c r="E28" s="2257">
        <f>Виробництво_Транспортування_1ст!F118</f>
        <v>3023.13</v>
      </c>
      <c r="F28" s="1936">
        <f>E28/D28-1</f>
        <v>0.27</v>
      </c>
      <c r="G28" s="2253"/>
    </row>
    <row r="29" spans="1:8" x14ac:dyDescent="0.25">
      <c r="A29" s="842" t="s">
        <v>2174</v>
      </c>
      <c r="B29" s="2257">
        <f>Виробництво_Транспортування_1ст!C121</f>
        <v>610.1</v>
      </c>
      <c r="C29" s="2257">
        <f>Виробництво_Транспортування_1ст!D121</f>
        <v>641.79</v>
      </c>
      <c r="D29" s="2257">
        <f>Виробництво_Транспортування_1ст!E121</f>
        <v>522.70000000000005</v>
      </c>
      <c r="E29" s="2257">
        <f>Виробництво_Транспортування_1ст!F121</f>
        <v>665.09</v>
      </c>
      <c r="F29" s="1936">
        <f t="shared" ref="F29:F36" si="9">E29/D29-1</f>
        <v>0.27</v>
      </c>
      <c r="G29" s="2253"/>
    </row>
    <row r="30" spans="1:8" x14ac:dyDescent="0.25">
      <c r="A30" s="842" t="s">
        <v>2175</v>
      </c>
      <c r="B30" s="2257">
        <f>0</f>
        <v>0</v>
      </c>
      <c r="C30" s="2257">
        <f>0</f>
        <v>0</v>
      </c>
      <c r="D30" s="2257">
        <f>0</f>
        <v>0</v>
      </c>
      <c r="E30" s="2257">
        <f>0</f>
        <v>0</v>
      </c>
      <c r="F30" s="1936"/>
      <c r="G30" s="2253"/>
    </row>
    <row r="31" spans="1:8" x14ac:dyDescent="0.25">
      <c r="A31" s="842" t="s">
        <v>43</v>
      </c>
      <c r="B31" s="2257">
        <f>Виробництво_Транспортування_1ст!C105</f>
        <v>1426.04</v>
      </c>
      <c r="C31" s="2257">
        <f>Виробництво_Транспортування_1ст!D105</f>
        <v>1582.48</v>
      </c>
      <c r="D31" s="2257">
        <f>Виробництво_Транспортування_1ст!E105</f>
        <v>1638.2</v>
      </c>
      <c r="E31" s="2257">
        <f>Виробництво_Транспортування_1ст!F105</f>
        <v>1966.15</v>
      </c>
      <c r="F31" s="1936">
        <f t="shared" si="9"/>
        <v>0.2</v>
      </c>
      <c r="G31" s="2253"/>
    </row>
    <row r="32" spans="1:8" ht="31.5" x14ac:dyDescent="0.25">
      <c r="A32" s="842" t="s">
        <v>2176</v>
      </c>
      <c r="B32" s="2257">
        <f>Виробництво_Транспортування_1ст!C106</f>
        <v>177.76</v>
      </c>
      <c r="C32" s="2257">
        <f>Виробництво_Транспортування_1ст!D106</f>
        <v>210.97</v>
      </c>
      <c r="D32" s="2257">
        <f>Виробництво_Транспортування_1ст!E106</f>
        <v>118</v>
      </c>
      <c r="E32" s="2257">
        <f>Виробництво_Транспортування_1ст!F106</f>
        <v>473.91</v>
      </c>
      <c r="F32" s="1936">
        <f t="shared" si="9"/>
        <v>3.02</v>
      </c>
    </row>
    <row r="33" spans="1:8" x14ac:dyDescent="0.25">
      <c r="A33" s="842" t="s">
        <v>459</v>
      </c>
      <c r="B33" s="2257">
        <f>Виробництво_Транспортування_1ст!C122</f>
        <v>286.93</v>
      </c>
      <c r="C33" s="2257">
        <f>Виробництво_Транспортування_1ст!D122</f>
        <v>286.93</v>
      </c>
      <c r="D33" s="2257">
        <f>Виробництво_Транспортування_1ст!E122</f>
        <v>405.7</v>
      </c>
      <c r="E33" s="2257">
        <f>Виробництво_Транспортування_1ст!F122</f>
        <v>227.88</v>
      </c>
      <c r="F33" s="1936">
        <f t="shared" si="9"/>
        <v>-0.44</v>
      </c>
    </row>
    <row r="34" spans="1:8" x14ac:dyDescent="0.25">
      <c r="A34" s="842" t="s">
        <v>2177</v>
      </c>
      <c r="B34" s="2257">
        <f>Виробництво_Транспортування_1ст!C159</f>
        <v>0</v>
      </c>
      <c r="C34" s="2257">
        <f>Виробництво_Транспортування_1ст!D159</f>
        <v>0</v>
      </c>
      <c r="D34" s="2257">
        <f>Виробництво_Транспортування_1ст!E159</f>
        <v>0</v>
      </c>
      <c r="E34" s="2257">
        <f>Виробництво_Транспортування_1ст!F159</f>
        <v>0</v>
      </c>
      <c r="F34" s="1936">
        <v>0</v>
      </c>
    </row>
    <row r="35" spans="1:8" x14ac:dyDescent="0.25">
      <c r="A35" s="842" t="s">
        <v>2178</v>
      </c>
      <c r="B35" s="2257">
        <f>Виробництво_Транспортування_1ст!C124</f>
        <v>290.76</v>
      </c>
      <c r="C35" s="2257">
        <f>Виробництво_Транспортування_1ст!D124</f>
        <v>372.29</v>
      </c>
      <c r="D35" s="2257">
        <f>Виробництво_Транспортування_1ст!E124</f>
        <v>0</v>
      </c>
      <c r="E35" s="2257">
        <f>Виробництво_Транспортування_1ст!F124</f>
        <v>0</v>
      </c>
      <c r="F35" s="1936">
        <v>0</v>
      </c>
    </row>
    <row r="36" spans="1:8" x14ac:dyDescent="0.25">
      <c r="A36" s="842" t="s">
        <v>2179</v>
      </c>
      <c r="B36" s="2257">
        <f>Виробництво_Транспортування_1ст!C103-Виробництво_Транспортування_1ст!C105-Виробництво_Транспортування_1ст!C106-Виробництво_Транспортування_1ст!C118-Виробництво_Транспортування_1ст!C121-Виробництво_Транспортування_1ст!C122-Виробництво_Транспортування_1ст!C124</f>
        <v>1792.61</v>
      </c>
      <c r="C36" s="2257">
        <f>Виробництво_Транспортування_1ст!D103-Виробництво_Транспортування_1ст!D105-Виробництво_Транспортування_1ст!D106-Виробництво_Транспортування_1ст!D118-Виробництво_Транспортування_1ст!D121-Виробництво_Транспортування_1ст!D122-Виробництво_Транспортування_1ст!D124</f>
        <v>2228.4</v>
      </c>
      <c r="D36" s="2257">
        <f>Виробництво_Транспортування_1ст!E103-Виробництво_Транспортування_1ст!E105-Виробництво_Транспортування_1ст!E106-Виробництво_Транспортування_1ст!E118-Виробництво_Транспортування_1ст!E121-Виробництво_Транспортування_1ст!E122-Виробництво_Транспортування_1ст!E124</f>
        <v>197.3</v>
      </c>
      <c r="E36" s="2257">
        <f>Виробництво_Транспортування_1ст!F103-Виробництво_Транспортування_1ст!F105-Виробництво_Транспортування_1ст!F106-Виробництво_Транспортування_1ст!F118-Виробництво_Транспортування_1ст!F121-Виробництво_Транспортування_1ст!F122-Виробництво_Транспортування_1ст!F124</f>
        <v>11544.29</v>
      </c>
      <c r="F36" s="1936">
        <f t="shared" si="9"/>
        <v>57.51</v>
      </c>
    </row>
    <row r="37" spans="1:8" x14ac:dyDescent="0.25">
      <c r="A37" s="842" t="s">
        <v>2751</v>
      </c>
      <c r="B37" s="2257"/>
      <c r="C37" s="2257"/>
      <c r="D37" s="2257">
        <v>0</v>
      </c>
      <c r="E37" s="2257">
        <v>0</v>
      </c>
      <c r="F37" s="1936">
        <v>0</v>
      </c>
    </row>
    <row r="38" spans="1:8" x14ac:dyDescent="0.25">
      <c r="A38" s="842"/>
      <c r="B38" s="2257"/>
      <c r="C38" s="2257"/>
      <c r="D38" s="2257"/>
      <c r="E38" s="2259"/>
      <c r="F38" s="1541"/>
    </row>
    <row r="39" spans="1:8" x14ac:dyDescent="0.25">
      <c r="A39" s="2254" t="s">
        <v>2117</v>
      </c>
      <c r="B39" s="2258">
        <f>SUM(B40:B48)</f>
        <v>795.08</v>
      </c>
      <c r="C39" s="2258">
        <f t="shared" ref="C39" si="10">SUM(C40:C48)</f>
        <v>922.66</v>
      </c>
      <c r="D39" s="2258">
        <f t="shared" ref="D39" si="11">SUM(D40:D48)</f>
        <v>362.6</v>
      </c>
      <c r="E39" s="2258">
        <f t="shared" ref="E39" si="12">SUM(E40:E48)</f>
        <v>914.12</v>
      </c>
      <c r="F39" s="1936">
        <f>E39/D39-1</f>
        <v>1.52</v>
      </c>
      <c r="G39" s="2253">
        <f>сведено!F5</f>
        <v>914.12</v>
      </c>
      <c r="H39" s="2274">
        <f>E39-G39</f>
        <v>0</v>
      </c>
    </row>
    <row r="40" spans="1:8" x14ac:dyDescent="0.25">
      <c r="A40" s="842" t="s">
        <v>2173</v>
      </c>
      <c r="B40" s="2257">
        <f>Постачання_1ст!C21</f>
        <v>553.54</v>
      </c>
      <c r="C40" s="2257">
        <f>Постачання_1ст!D21</f>
        <v>630.42999999999995</v>
      </c>
      <c r="D40" s="2257">
        <f>Постачання_1ст!E21</f>
        <v>285.60000000000002</v>
      </c>
      <c r="E40" s="2257">
        <f>Постачання_1ст!F21</f>
        <v>612.30999999999995</v>
      </c>
      <c r="F40" s="1936">
        <f>E40/D40-1</f>
        <v>1.1399999999999999</v>
      </c>
    </row>
    <row r="41" spans="1:8" x14ac:dyDescent="0.25">
      <c r="A41" s="842" t="s">
        <v>2174</v>
      </c>
      <c r="B41" s="2257">
        <f>Постачання_1ст!C24</f>
        <v>107.94</v>
      </c>
      <c r="C41" s="2257">
        <f>Постачання_1ст!D24</f>
        <v>125.51</v>
      </c>
      <c r="D41" s="2257">
        <f>Постачання_1ст!E24</f>
        <v>62.8</v>
      </c>
      <c r="E41" s="2257">
        <f>Постачання_1ст!F24</f>
        <v>134.71</v>
      </c>
      <c r="F41" s="1936">
        <f t="shared" ref="F41:F48" si="13">E41/D41-1</f>
        <v>1.1499999999999999</v>
      </c>
    </row>
    <row r="42" spans="1:8" x14ac:dyDescent="0.25">
      <c r="A42" s="842" t="s">
        <v>2175</v>
      </c>
      <c r="B42" s="2257">
        <v>0</v>
      </c>
      <c r="C42" s="2257">
        <v>0</v>
      </c>
      <c r="D42" s="2257">
        <v>0</v>
      </c>
      <c r="E42" s="2257">
        <v>0</v>
      </c>
      <c r="F42" s="1936"/>
    </row>
    <row r="43" spans="1:8" x14ac:dyDescent="0.25">
      <c r="A43" s="842" t="s">
        <v>43</v>
      </c>
      <c r="B43" s="2257">
        <f>Постачання_1ст!C30</f>
        <v>1.1599999999999999</v>
      </c>
      <c r="C43" s="2257">
        <f>Постачання_1ст!D30</f>
        <v>1.32</v>
      </c>
      <c r="D43" s="2257">
        <f>Постачання_1ст!E30</f>
        <v>0</v>
      </c>
      <c r="E43" s="2257">
        <f>Постачання_1ст!F30</f>
        <v>1.94</v>
      </c>
      <c r="F43" s="1936"/>
    </row>
    <row r="44" spans="1:8" ht="31.5" x14ac:dyDescent="0.25">
      <c r="A44" s="842" t="s">
        <v>2176</v>
      </c>
      <c r="B44" s="2257">
        <f>Постачання_1ст!C29</f>
        <v>0.17</v>
      </c>
      <c r="C44" s="2257">
        <f>Постачання_1ст!D29</f>
        <v>0.19</v>
      </c>
      <c r="D44" s="2257">
        <f>Постачання_1ст!E29</f>
        <v>0</v>
      </c>
      <c r="E44" s="2257">
        <f>Постачання_1ст!F29</f>
        <v>0.28000000000000003</v>
      </c>
      <c r="F44" s="1936"/>
    </row>
    <row r="45" spans="1:8" x14ac:dyDescent="0.25">
      <c r="A45" s="842" t="s">
        <v>459</v>
      </c>
      <c r="B45" s="2257">
        <f>Постачання_1ст!C25</f>
        <v>0</v>
      </c>
      <c r="C45" s="2257">
        <f>Постачання_1ст!D25</f>
        <v>7.51</v>
      </c>
      <c r="D45" s="2257">
        <f>Постачання_1ст!E25</f>
        <v>12.8</v>
      </c>
      <c r="E45" s="2257">
        <f>Постачання_1ст!F25</f>
        <v>0</v>
      </c>
      <c r="F45" s="1936">
        <f t="shared" si="13"/>
        <v>-1</v>
      </c>
    </row>
    <row r="46" spans="1:8" x14ac:dyDescent="0.25">
      <c r="A46" s="842" t="s">
        <v>2177</v>
      </c>
      <c r="B46" s="2257">
        <f>Постачання_1ст!C58</f>
        <v>1.87</v>
      </c>
      <c r="C46" s="2257">
        <f>Постачання_1ст!D58</f>
        <v>1.87</v>
      </c>
      <c r="D46" s="2257">
        <f>Постачання_1ст!E58</f>
        <v>0</v>
      </c>
      <c r="E46" s="2257">
        <f>Постачання_1ст!F58</f>
        <v>1.99</v>
      </c>
      <c r="F46" s="1936"/>
    </row>
    <row r="47" spans="1:8" x14ac:dyDescent="0.25">
      <c r="A47" s="842" t="s">
        <v>2178</v>
      </c>
      <c r="B47" s="2257">
        <f>Постачання_1ст!C27</f>
        <v>0</v>
      </c>
      <c r="C47" s="2257">
        <f>Постачання_1ст!D27</f>
        <v>0</v>
      </c>
      <c r="D47" s="2257">
        <f>Постачання_1ст!E27</f>
        <v>0</v>
      </c>
      <c r="E47" s="2257">
        <f>Постачання_1ст!F27</f>
        <v>0</v>
      </c>
      <c r="F47" s="1936"/>
    </row>
    <row r="48" spans="1:8" x14ac:dyDescent="0.25">
      <c r="A48" s="842" t="s">
        <v>2179</v>
      </c>
      <c r="B48" s="2257">
        <f>Постачання_1ст!C9-Постачання_1ст!C21-Постачання_1ст!C24-Постачання_1ст!C25-Постачання_1ст!C29-Постачання_1ст!C30-Постачання_1ст!C58</f>
        <v>130.4</v>
      </c>
      <c r="C48" s="2257">
        <f>Постачання_1ст!D9-Постачання_1ст!D21-Постачання_1ст!D24-Постачання_1ст!D25-Постачання_1ст!D29-Постачання_1ст!D30-Постачання_1ст!D58</f>
        <v>155.83000000000001</v>
      </c>
      <c r="D48" s="2257">
        <f>Постачання_1ст!E9-Постачання_1ст!E21-Постачання_1ст!E24-Постачання_1ст!E25-Постачання_1ст!E29-Постачання_1ст!E30-Постачання_1ст!E58</f>
        <v>1.4</v>
      </c>
      <c r="E48" s="2257">
        <f>Постачання_1ст!F9-Постачання_1ст!F21-Постачання_1ст!F24-Постачання_1ст!F25-Постачання_1ст!F29-Постачання_1ст!F30-Постачання_1ст!F58</f>
        <v>162.88999999999999</v>
      </c>
      <c r="F48" s="1936">
        <f t="shared" si="13"/>
        <v>115.35</v>
      </c>
    </row>
    <row r="49" spans="1:13" x14ac:dyDescent="0.25">
      <c r="A49" s="842"/>
      <c r="B49" s="2257"/>
      <c r="C49" s="2257"/>
      <c r="D49" s="2257"/>
      <c r="E49" s="2257"/>
      <c r="F49" s="1936"/>
    </row>
    <row r="50" spans="1:13" x14ac:dyDescent="0.25">
      <c r="A50" s="842"/>
      <c r="B50" s="2257"/>
      <c r="C50" s="2257"/>
      <c r="D50" s="2257"/>
      <c r="E50" s="2262" t="s">
        <v>2860</v>
      </c>
      <c r="F50" s="1898" t="s">
        <v>2855</v>
      </c>
      <c r="G50" s="1898" t="s">
        <v>2856</v>
      </c>
      <c r="H50" s="2275" t="s">
        <v>2858</v>
      </c>
      <c r="I50" s="1898" t="s">
        <v>2859</v>
      </c>
      <c r="J50" s="1898" t="s">
        <v>2857</v>
      </c>
    </row>
    <row r="51" spans="1:13" ht="31.5" x14ac:dyDescent="0.25">
      <c r="A51" s="2254" t="s">
        <v>1824</v>
      </c>
      <c r="B51" s="2258">
        <f>SUM(B52:B60)</f>
        <v>5011.51</v>
      </c>
      <c r="C51" s="2258">
        <f t="shared" ref="C51:E51" si="14">SUM(C52:C60)</f>
        <v>5040.05</v>
      </c>
      <c r="D51" s="2258">
        <f t="shared" si="14"/>
        <v>4797.8</v>
      </c>
      <c r="E51" s="2258">
        <f t="shared" si="14"/>
        <v>3933.66</v>
      </c>
      <c r="F51" s="2258">
        <f t="shared" ref="F51" si="15">SUM(F52:F60)</f>
        <v>3419.56</v>
      </c>
      <c r="G51" s="2258">
        <f t="shared" ref="G51" si="16">SUM(G52:G60)</f>
        <v>467.75</v>
      </c>
      <c r="H51" s="2276">
        <f t="shared" ref="H51" si="17">SUM(H52:H60)</f>
        <v>76.7</v>
      </c>
      <c r="I51" s="2258">
        <f t="shared" ref="I51" si="18">SUM(I52:I60)</f>
        <v>391.37</v>
      </c>
      <c r="J51" s="2258">
        <f t="shared" ref="J51" si="19">SUM(J52:J60)</f>
        <v>46.41</v>
      </c>
      <c r="L51" s="2253">
        <f>сведено!G6</f>
        <v>3934.06</v>
      </c>
      <c r="M51" s="2253">
        <f>L51-E51</f>
        <v>0.4</v>
      </c>
    </row>
    <row r="52" spans="1:13" x14ac:dyDescent="0.25">
      <c r="A52" s="842" t="s">
        <v>2173</v>
      </c>
      <c r="B52" s="2257">
        <f>ЗВВ_1ст!C21</f>
        <v>3591.75</v>
      </c>
      <c r="C52" s="2257">
        <f>ЗВВ_1ст!D21</f>
        <v>3430.62</v>
      </c>
      <c r="D52" s="2257">
        <f>ЗВВ_1ст!E21</f>
        <v>2429.1999999999998</v>
      </c>
      <c r="E52" s="2257">
        <f>ЗВВ_1ст!F21</f>
        <v>2619.7600000000002</v>
      </c>
      <c r="F52" s="2257">
        <f>ЗВВ_1ст!G21</f>
        <v>2277.36</v>
      </c>
      <c r="G52" s="2257">
        <f>ЗВВ_1ст!H21</f>
        <v>311.49</v>
      </c>
      <c r="H52" s="2257">
        <f>ЗВВ_1ст!I21</f>
        <v>51.09</v>
      </c>
      <c r="I52" s="2257">
        <f>ЗВВ_1ст!J21</f>
        <v>260.67</v>
      </c>
      <c r="J52" s="2257">
        <f>ЗВВ_1ст!K21</f>
        <v>30.91</v>
      </c>
    </row>
    <row r="53" spans="1:13" x14ac:dyDescent="0.25">
      <c r="A53" s="842" t="s">
        <v>2174</v>
      </c>
      <c r="B53" s="2257">
        <f>ЗВВ_1ст!C23</f>
        <v>745.91</v>
      </c>
      <c r="C53" s="2257">
        <f>ЗВВ_1ст!D23</f>
        <v>732.79</v>
      </c>
      <c r="D53" s="2257">
        <f>ЗВВ_1ст!E23</f>
        <v>484.1</v>
      </c>
      <c r="E53" s="2257">
        <f>ЗВВ_1ст!F23</f>
        <v>576.35</v>
      </c>
      <c r="F53" s="2257">
        <f>ЗВВ_1ст!G23</f>
        <v>501.02</v>
      </c>
      <c r="G53" s="2257">
        <f>ЗВВ_1ст!H23</f>
        <v>68.53</v>
      </c>
      <c r="H53" s="2257">
        <f>ЗВВ_1ст!I23</f>
        <v>11.24</v>
      </c>
      <c r="I53" s="2257">
        <f>ЗВВ_1ст!J23</f>
        <v>57.35</v>
      </c>
      <c r="J53" s="2257">
        <f>ЗВВ_1ст!K23</f>
        <v>6.8</v>
      </c>
    </row>
    <row r="54" spans="1:13" x14ac:dyDescent="0.25">
      <c r="A54" s="842" t="s">
        <v>2175</v>
      </c>
      <c r="B54" s="2257">
        <f>ЗВВ_1ст!F81</f>
        <v>0</v>
      </c>
      <c r="C54" s="2257">
        <f>ЗВВ_1ст!G81</f>
        <v>0</v>
      </c>
      <c r="D54" s="2257">
        <f>ЗВВ_1ст!H81</f>
        <v>0</v>
      </c>
      <c r="E54" s="2257">
        <f>ЗВВ_1ст!I81</f>
        <v>0</v>
      </c>
      <c r="F54" s="2257">
        <f>ЗВВ_1ст!J81</f>
        <v>0</v>
      </c>
      <c r="G54" s="2257">
        <f>ЗВВ_1ст!K81</f>
        <v>0</v>
      </c>
      <c r="H54" s="2257">
        <f>ЗВВ_1ст!L81</f>
        <v>0</v>
      </c>
      <c r="I54" s="2257">
        <f>ЗВВ_1ст!M81</f>
        <v>0</v>
      </c>
      <c r="J54" s="2257">
        <f>ЗВВ_1ст!N81</f>
        <v>0</v>
      </c>
    </row>
    <row r="55" spans="1:13" x14ac:dyDescent="0.25">
      <c r="A55" s="842" t="s">
        <v>43</v>
      </c>
      <c r="B55" s="2257">
        <f>ЗВВ_1ст!C28</f>
        <v>19.14</v>
      </c>
      <c r="C55" s="2257">
        <f>ЗВВ_1ст!D28</f>
        <v>18.71</v>
      </c>
      <c r="D55" s="2257">
        <f>ЗВВ_1ст!E28</f>
        <v>10.199999999999999</v>
      </c>
      <c r="E55" s="2257">
        <f>ЗВВ_1ст!F28</f>
        <v>23.09</v>
      </c>
      <c r="F55" s="2257">
        <f>ЗВВ_1ст!G28</f>
        <v>20.07</v>
      </c>
      <c r="G55" s="2257">
        <f>ЗВВ_1ст!H28</f>
        <v>2.75</v>
      </c>
      <c r="H55" s="2257">
        <f>ЗВВ_1ст!I28</f>
        <v>0.45</v>
      </c>
      <c r="I55" s="2257">
        <f>ЗВВ_1ст!J28</f>
        <v>2.2999999999999998</v>
      </c>
      <c r="J55" s="2257">
        <f>ЗВВ_1ст!K28</f>
        <v>0.27</v>
      </c>
      <c r="K55" s="2257"/>
    </row>
    <row r="56" spans="1:13" ht="31.5" x14ac:dyDescent="0.25">
      <c r="A56" s="842" t="s">
        <v>2176</v>
      </c>
      <c r="B56" s="2257">
        <f>ЗВВ_1ст!C27</f>
        <v>0.61</v>
      </c>
      <c r="C56" s="2257">
        <f>ЗВВ_1ст!D27</f>
        <v>0.69</v>
      </c>
      <c r="D56" s="2257">
        <f>ЗВВ_1ст!E27</f>
        <v>10.6</v>
      </c>
      <c r="E56" s="2257">
        <f>ЗВВ_1ст!F27</f>
        <v>0.56000000000000005</v>
      </c>
      <c r="F56" s="2257">
        <f>ЗВВ_1ст!G27</f>
        <v>0.49</v>
      </c>
      <c r="G56" s="2257">
        <f>ЗВВ_1ст!H27</f>
        <v>7.0000000000000007E-2</v>
      </c>
      <c r="H56" s="2257">
        <f>ЗВВ_1ст!I27</f>
        <v>0.01</v>
      </c>
      <c r="I56" s="2257">
        <f>ЗВВ_1ст!J27</f>
        <v>0.06</v>
      </c>
      <c r="J56" s="2257">
        <f>ЗВВ_1ст!K27</f>
        <v>0.01</v>
      </c>
    </row>
    <row r="57" spans="1:13" x14ac:dyDescent="0.25">
      <c r="A57" s="842" t="s">
        <v>459</v>
      </c>
      <c r="B57" s="2257">
        <f>ЗВВ_1ст!C37</f>
        <v>72.33</v>
      </c>
      <c r="C57" s="2257">
        <f>ЗВВ_1ст!D37</f>
        <v>59.46</v>
      </c>
      <c r="D57" s="2257">
        <f>ЗВВ_1ст!E37</f>
        <v>107.8</v>
      </c>
      <c r="E57" s="2257">
        <f>ЗВВ_1ст!F37</f>
        <v>35.74</v>
      </c>
      <c r="F57" s="2257">
        <f>ЗВВ_1ст!G37</f>
        <v>31.07</v>
      </c>
      <c r="G57" s="2257">
        <f>ЗВВ_1ст!H37</f>
        <v>4.25</v>
      </c>
      <c r="H57" s="2257">
        <f>ЗВВ_1ст!I37</f>
        <v>0.7</v>
      </c>
      <c r="I57" s="2257">
        <f>ЗВВ_1ст!J37</f>
        <v>3.56</v>
      </c>
      <c r="J57" s="2257">
        <f>ЗВВ_1ст!K37</f>
        <v>0.42</v>
      </c>
    </row>
    <row r="58" spans="1:13" x14ac:dyDescent="0.25">
      <c r="A58" s="842" t="s">
        <v>2177</v>
      </c>
      <c r="B58" s="2257">
        <f>ЗВВ_1ст!C65</f>
        <v>3.93</v>
      </c>
      <c r="C58" s="2257">
        <f>ЗВВ_1ст!D65</f>
        <v>6.33</v>
      </c>
      <c r="D58" s="2257">
        <f>ЗВВ_1ст!E65</f>
        <v>17.399999999999999</v>
      </c>
      <c r="E58" s="2257">
        <f>ЗВВ_1ст!F65</f>
        <v>5.54</v>
      </c>
      <c r="F58" s="2257">
        <f>ЗВВ_1ст!G65</f>
        <v>4.82</v>
      </c>
      <c r="G58" s="2257">
        <f>ЗВВ_1ст!H65</f>
        <v>0.66</v>
      </c>
      <c r="H58" s="2257">
        <f>ЗВВ_1ст!I65</f>
        <v>0.11</v>
      </c>
      <c r="I58" s="2257">
        <f>ЗВВ_1ст!J65</f>
        <v>0.55000000000000004</v>
      </c>
      <c r="J58" s="2257">
        <f>ЗВВ_1ст!K65</f>
        <v>7.0000000000000007E-2</v>
      </c>
    </row>
    <row r="59" spans="1:13" x14ac:dyDescent="0.25">
      <c r="A59" s="842" t="s">
        <v>2178</v>
      </c>
      <c r="B59" s="2257">
        <f>ЗВВ_1ст!C25</f>
        <v>3.32</v>
      </c>
      <c r="C59" s="2257">
        <f>ЗВВ_1ст!D25</f>
        <v>33.58</v>
      </c>
      <c r="D59" s="2257">
        <f>ЗВВ_1ст!E25</f>
        <v>0</v>
      </c>
      <c r="E59" s="2257">
        <f>ЗВВ_1ст!F25</f>
        <v>20.260000000000002</v>
      </c>
      <c r="F59" s="2257">
        <f>ЗВВ_1ст!G25</f>
        <v>17.61</v>
      </c>
      <c r="G59" s="2257">
        <f>ЗВВ_1ст!H25</f>
        <v>2.41</v>
      </c>
      <c r="H59" s="2257">
        <f>ЗВВ_1ст!I25</f>
        <v>0.4</v>
      </c>
      <c r="I59" s="2257">
        <f>ЗВВ_1ст!J25</f>
        <v>2.02</v>
      </c>
      <c r="J59" s="2257">
        <f>ЗВВ_1ст!K25</f>
        <v>0.24</v>
      </c>
    </row>
    <row r="60" spans="1:13" x14ac:dyDescent="0.25">
      <c r="A60" s="842" t="s">
        <v>2179</v>
      </c>
      <c r="B60" s="2257">
        <f>ЗВВ_1ст!C8-ЗВВ_1ст!C21-ЗВВ_1ст!C23-ЗВВ_1ст!C25-ЗВВ_1ст!C27-ЗВВ_1ст!C28-ЗВВ_1ст!C37-ЗВВ_1ст!C65</f>
        <v>574.52</v>
      </c>
      <c r="C60" s="2257">
        <f>ЗВВ_1ст!D8-ЗВВ_1ст!D21-ЗВВ_1ст!D23-ЗВВ_1ст!D25-ЗВВ_1ст!D27-ЗВВ_1ст!D28-ЗВВ_1ст!D37-ЗВВ_1ст!D65</f>
        <v>757.87</v>
      </c>
      <c r="D60" s="2257">
        <f>ЗВВ_1ст!E8-ЗВВ_1ст!E21-ЗВВ_1ст!E23-ЗВВ_1ст!E25-ЗВВ_1ст!E27-ЗВВ_1ст!E28-ЗВВ_1ст!E37-ЗВВ_1ст!E65</f>
        <v>1738.5</v>
      </c>
      <c r="E60" s="2257">
        <f>ЗВВ_1ст!F8-ЗВВ_1ст!F21-ЗВВ_1ст!F23-ЗВВ_1ст!F25-ЗВВ_1ст!F27-ЗВВ_1ст!F28-ЗВВ_1ст!F37-ЗВВ_1ст!F65</f>
        <v>652.36</v>
      </c>
      <c r="F60" s="2257">
        <f>ЗВВ_1ст!G8-ЗВВ_1ст!G21-ЗВВ_1ст!G23-ЗВВ_1ст!G25-ЗВВ_1ст!G27-ЗВВ_1ст!G28-ЗВВ_1ст!G37-ЗВВ_1ст!G65</f>
        <v>567.12</v>
      </c>
      <c r="G60" s="2257">
        <f>ЗВВ_1ст!H8-ЗВВ_1ст!H21-ЗВВ_1ст!H23-ЗВВ_1ст!H25-ЗВВ_1ст!H27-ЗВВ_1ст!H28-ЗВВ_1ст!H37-ЗВВ_1ст!H65</f>
        <v>77.59</v>
      </c>
      <c r="H60" s="2257">
        <f>ЗВВ_1ст!I8-ЗВВ_1ст!I21-ЗВВ_1ст!I23-ЗВВ_1ст!I25-ЗВВ_1ст!I27-ЗВВ_1ст!I28-ЗВВ_1ст!I37-ЗВВ_1ст!I65</f>
        <v>12.7</v>
      </c>
      <c r="I60" s="2257">
        <f>ЗВВ_1ст!J8-ЗВВ_1ст!J21-ЗВВ_1ст!J23-ЗВВ_1ст!J25-ЗВВ_1ст!J27-ЗВВ_1ст!J28-ЗВВ_1ст!J37-ЗВВ_1ст!J65</f>
        <v>64.86</v>
      </c>
      <c r="J60" s="2257">
        <f>ЗВВ_1ст!K8-ЗВВ_1ст!K21-ЗВВ_1ст!K23-ЗВВ_1ст!K25-ЗВВ_1ст!K27-ЗВВ_1ст!K28-ЗВВ_1ст!K37-ЗВВ_1ст!K65</f>
        <v>7.69</v>
      </c>
    </row>
    <row r="61" spans="1:13" x14ac:dyDescent="0.25">
      <c r="A61" s="842"/>
      <c r="B61" s="2257"/>
      <c r="C61" s="2257"/>
      <c r="D61" s="2257"/>
      <c r="E61" s="2257"/>
      <c r="F61" s="2257"/>
      <c r="G61" s="2257"/>
      <c r="H61" s="2277"/>
      <c r="I61" s="2257"/>
      <c r="J61" s="2257"/>
    </row>
    <row r="62" spans="1:13" x14ac:dyDescent="0.25">
      <c r="A62" s="842"/>
      <c r="B62" s="2257"/>
      <c r="C62" s="2257"/>
      <c r="D62" s="2257"/>
      <c r="E62" s="2262" t="s">
        <v>2860</v>
      </c>
      <c r="F62" s="1898" t="s">
        <v>2855</v>
      </c>
      <c r="G62" s="1898" t="s">
        <v>2856</v>
      </c>
      <c r="H62" s="2275" t="s">
        <v>2858</v>
      </c>
      <c r="I62" s="1898" t="s">
        <v>2859</v>
      </c>
      <c r="J62" s="1898" t="s">
        <v>2857</v>
      </c>
    </row>
    <row r="63" spans="1:13" x14ac:dyDescent="0.25">
      <c r="A63" s="2254" t="s">
        <v>1825</v>
      </c>
      <c r="B63" s="2258">
        <f>SUM(B64:B72)</f>
        <v>1261.71</v>
      </c>
      <c r="C63" s="2258">
        <f t="shared" ref="C63" si="20">SUM(C64:C72)</f>
        <v>1348.19</v>
      </c>
      <c r="D63" s="2258">
        <f t="shared" ref="D63" si="21">SUM(D64:D72)</f>
        <v>983.26</v>
      </c>
      <c r="E63" s="2258">
        <f t="shared" ref="E63" si="22">SUM(E64:E72)</f>
        <v>1568.36</v>
      </c>
      <c r="F63" s="2255">
        <f t="shared" ref="F63" si="23">SUM(F64:F72)</f>
        <v>1363.33</v>
      </c>
      <c r="G63" s="2255">
        <f t="shared" ref="G63" si="24">SUM(G64:G72)</f>
        <v>186.47</v>
      </c>
      <c r="H63" s="2278">
        <f t="shared" ref="H63" si="25">SUM(H64:H72)</f>
        <v>30.58</v>
      </c>
      <c r="I63" s="2255">
        <f t="shared" ref="I63" si="26">SUM(I64:I72)</f>
        <v>156.06</v>
      </c>
      <c r="J63" s="2255">
        <f t="shared" ref="J63" si="27">SUM(J64:J72)</f>
        <v>18.510000000000002</v>
      </c>
      <c r="L63" s="2253">
        <f>сведено!G7</f>
        <v>1568.52</v>
      </c>
      <c r="M63" s="2253">
        <f>E63-L63</f>
        <v>-0.16</v>
      </c>
    </row>
    <row r="64" spans="1:13" x14ac:dyDescent="0.25">
      <c r="A64" s="842" t="s">
        <v>2173</v>
      </c>
      <c r="B64" s="2257">
        <f>Адміністративні_1ст!C21</f>
        <v>813.32</v>
      </c>
      <c r="C64" s="2257">
        <f>Адміністративні_1ст!D21</f>
        <v>839.58</v>
      </c>
      <c r="D64" s="2257">
        <f>Адміністративні_1ст!E21</f>
        <v>666.6</v>
      </c>
      <c r="E64" s="2257">
        <f>Адміністративні_1ст!F21</f>
        <v>976.61</v>
      </c>
      <c r="F64" s="2257">
        <f>Адміністративні_1ст!G21</f>
        <v>848.97</v>
      </c>
      <c r="G64" s="2257">
        <f>Адміністративні_1ст!H21</f>
        <v>116.11</v>
      </c>
      <c r="H64" s="2257">
        <f>Адміністративні_1ст!I21</f>
        <v>19.03</v>
      </c>
      <c r="I64" s="2257">
        <f>Адміністративні_1ст!J21</f>
        <v>97.18</v>
      </c>
      <c r="J64" s="2257">
        <f>Адміністративні_1ст!K21</f>
        <v>11.52</v>
      </c>
    </row>
    <row r="65" spans="1:10" x14ac:dyDescent="0.25">
      <c r="A65" s="842" t="s">
        <v>2174</v>
      </c>
      <c r="B65" s="2257">
        <f>Адміністративні_1ст!C23</f>
        <v>175.85</v>
      </c>
      <c r="C65" s="2257">
        <f>Адміністративні_1ст!D23</f>
        <v>182.06</v>
      </c>
      <c r="D65" s="2257">
        <f>Адміністративні_1ст!E23</f>
        <v>160.30000000000001</v>
      </c>
      <c r="E65" s="2257">
        <f>Адміністративні_1ст!F23</f>
        <v>214.85</v>
      </c>
      <c r="F65" s="2257">
        <f>Адміністративні_1ст!G23</f>
        <v>186.77</v>
      </c>
      <c r="G65" s="2257">
        <f>Адміністративні_1ст!H23</f>
        <v>25.55</v>
      </c>
      <c r="H65" s="2257">
        <f>Адміністративні_1ст!I23</f>
        <v>4.1900000000000004</v>
      </c>
      <c r="I65" s="2257">
        <f>Адміністративні_1ст!J23</f>
        <v>21.38</v>
      </c>
      <c r="J65" s="2257">
        <f>Адміністративні_1ст!K23</f>
        <v>2.54</v>
      </c>
    </row>
    <row r="66" spans="1:10" x14ac:dyDescent="0.25">
      <c r="A66" s="842" t="s">
        <v>2175</v>
      </c>
      <c r="B66" s="2257">
        <v>0</v>
      </c>
      <c r="C66" s="2257">
        <v>0</v>
      </c>
      <c r="D66" s="2257">
        <v>0</v>
      </c>
      <c r="E66" s="2257">
        <v>0</v>
      </c>
      <c r="F66" s="2257">
        <v>0</v>
      </c>
      <c r="G66" s="2257">
        <v>0</v>
      </c>
      <c r="H66" s="2257">
        <v>0</v>
      </c>
      <c r="I66" s="2257">
        <v>0</v>
      </c>
      <c r="J66" s="2257">
        <v>0</v>
      </c>
    </row>
    <row r="67" spans="1:10" x14ac:dyDescent="0.25">
      <c r="A67" s="842" t="s">
        <v>43</v>
      </c>
      <c r="B67" s="2257">
        <f>Адміністративні_1ст!C28</f>
        <v>14.58</v>
      </c>
      <c r="C67" s="2257">
        <f>Адміністративні_1ст!D28</f>
        <v>15.4</v>
      </c>
      <c r="D67" s="2257">
        <f>Адміністративні_1ст!E28</f>
        <v>31.4</v>
      </c>
      <c r="E67" s="2257">
        <f>Адміністративні_1ст!F28</f>
        <v>19.12</v>
      </c>
      <c r="F67" s="2257">
        <f>Адміністративні_1ст!G28</f>
        <v>16.62</v>
      </c>
      <c r="G67" s="2257">
        <f>Адміністративні_1ст!H28</f>
        <v>2.27</v>
      </c>
      <c r="H67" s="2257">
        <f>Адміністративні_1ст!I28</f>
        <v>0.37</v>
      </c>
      <c r="I67" s="2257">
        <f>Адміністративні_1ст!J28</f>
        <v>1.9</v>
      </c>
      <c r="J67" s="2257">
        <f>Адміністративні_1ст!K28</f>
        <v>0.23</v>
      </c>
    </row>
    <row r="68" spans="1:10" ht="31.5" x14ac:dyDescent="0.25">
      <c r="A68" s="842" t="s">
        <v>2176</v>
      </c>
      <c r="B68" s="2257">
        <f>Адміністративні_1ст!C27</f>
        <v>0.9</v>
      </c>
      <c r="C68" s="2257">
        <f>Адміністративні_1ст!D27</f>
        <v>1.07</v>
      </c>
      <c r="D68" s="2257">
        <f>Адміністративні_1ст!E27</f>
        <v>1.8</v>
      </c>
      <c r="E68" s="2257">
        <f>Адміністративні_1ст!F27</f>
        <v>1.22</v>
      </c>
      <c r="F68" s="2257">
        <f>Адміністративні_1ст!G27</f>
        <v>1.06</v>
      </c>
      <c r="G68" s="2257">
        <f>Адміністративні_1ст!H27</f>
        <v>0.15</v>
      </c>
      <c r="H68" s="2257">
        <f>Адміністративні_1ст!I27</f>
        <v>0.02</v>
      </c>
      <c r="I68" s="2257">
        <f>Адміністративні_1ст!J27</f>
        <v>0.12</v>
      </c>
      <c r="J68" s="2257">
        <f>Адміністративні_1ст!K27</f>
        <v>0.01</v>
      </c>
    </row>
    <row r="69" spans="1:10" x14ac:dyDescent="0.25">
      <c r="A69" s="842" t="s">
        <v>459</v>
      </c>
      <c r="B69" s="2257">
        <f>Адміністративні_1ст!C36</f>
        <v>19.77</v>
      </c>
      <c r="C69" s="2257">
        <f>Адміністративні_1ст!D36</f>
        <v>21.75</v>
      </c>
      <c r="D69" s="2257">
        <f>Адміністративні_1ст!E36</f>
        <v>12.2</v>
      </c>
      <c r="E69" s="2257">
        <f>Адміністративні_1ст!F36</f>
        <v>24.78</v>
      </c>
      <c r="F69" s="2257">
        <f>Адміністративні_1ст!G36</f>
        <v>21.54</v>
      </c>
      <c r="G69" s="2257">
        <f>Адміністративні_1ст!H36</f>
        <v>2.95</v>
      </c>
      <c r="H69" s="2257">
        <f>Адміністративні_1ст!I36</f>
        <v>0.48</v>
      </c>
      <c r="I69" s="2257">
        <f>Адміністративні_1ст!J36</f>
        <v>2.4700000000000002</v>
      </c>
      <c r="J69" s="2257">
        <f>Адміністративні_1ст!K36</f>
        <v>0.28999999999999998</v>
      </c>
    </row>
    <row r="70" spans="1:10" x14ac:dyDescent="0.25">
      <c r="A70" s="842" t="s">
        <v>2177</v>
      </c>
      <c r="B70" s="2257">
        <f>Адміністративні_1ст!C57</f>
        <v>58.9</v>
      </c>
      <c r="C70" s="2257">
        <f>Адміністративні_1ст!D57</f>
        <v>49.87</v>
      </c>
      <c r="D70" s="2257">
        <f>Адміністративні_1ст!E57</f>
        <v>0</v>
      </c>
      <c r="E70" s="2257">
        <f>Адміністративні_1ст!F57</f>
        <v>56.77</v>
      </c>
      <c r="F70" s="2257">
        <f>Адміністративні_1ст!G57</f>
        <v>49.35</v>
      </c>
      <c r="G70" s="2257">
        <f>Адміністративні_1ст!H57</f>
        <v>6.75</v>
      </c>
      <c r="H70" s="2257">
        <f>Адміністративні_1ст!I57</f>
        <v>1.1100000000000001</v>
      </c>
      <c r="I70" s="2257">
        <f>Адміністративні_1ст!J57</f>
        <v>5.65</v>
      </c>
      <c r="J70" s="2257">
        <f>Адміністративні_1ст!K57</f>
        <v>0.67</v>
      </c>
    </row>
    <row r="71" spans="1:10" x14ac:dyDescent="0.25">
      <c r="A71" s="842" t="s">
        <v>2178</v>
      </c>
      <c r="B71" s="2257">
        <f>Адміністративні_1ст!C25</f>
        <v>25.66</v>
      </c>
      <c r="C71" s="2257">
        <f>Адміністративні_1ст!D25</f>
        <v>73.650000000000006</v>
      </c>
      <c r="D71" s="2257">
        <f>Адміністративні_1ст!E25</f>
        <v>83.87</v>
      </c>
      <c r="E71" s="2257">
        <f>Адміністративні_1ст!F25</f>
        <v>83.85</v>
      </c>
      <c r="F71" s="2257">
        <f>Адміністративні_1ст!G25</f>
        <v>72.89</v>
      </c>
      <c r="G71" s="2257">
        <f>Адміністративні_1ст!H25</f>
        <v>9.9700000000000006</v>
      </c>
      <c r="H71" s="2257">
        <f>Адміністративні_1ст!I25</f>
        <v>1.64</v>
      </c>
      <c r="I71" s="2257">
        <f>Адміністративні_1ст!J25</f>
        <v>8.34</v>
      </c>
      <c r="J71" s="2257">
        <f>Адміністративні_1ст!K25</f>
        <v>0.99</v>
      </c>
    </row>
    <row r="72" spans="1:10" x14ac:dyDescent="0.25">
      <c r="A72" s="842" t="s">
        <v>2179</v>
      </c>
      <c r="B72" s="2257">
        <f>Адміністративні_1ст!C8-Адміністративні_1ст!C21-Адміністративні_1ст!C23-Адміністративні_1ст!C25-Адміністративні_1ст!C28-Адміністративні_1ст!C27-Адміністративні_1ст!C36-Адміністративні_1ст!C57</f>
        <v>152.72999999999999</v>
      </c>
      <c r="C72" s="2257">
        <f>Адміністративні_1ст!D8-Адміністративні_1ст!D21-Адміністративні_1ст!D23-Адміністративні_1ст!D25-Адміністративні_1ст!D28-Адміністративні_1ст!D27-Адміністративні_1ст!D36-Адміністративні_1ст!D57</f>
        <v>164.81</v>
      </c>
      <c r="D72" s="2257">
        <f>Адміністративні_1ст!E8-Адміністративні_1ст!E21-Адміністративні_1ст!E23-Адміністративні_1ст!E25-Адміністративні_1ст!E28-Адміністративні_1ст!E27-Адміністративні_1ст!E36-Адміністративні_1ст!E57</f>
        <v>27.09</v>
      </c>
      <c r="E72" s="2257">
        <f>Адміністративні_1ст!F8-Адміністративні_1ст!F21-Адміністративні_1ст!F23-Адміністративні_1ст!F25-Адміністративні_1ст!F28-Адміністративні_1ст!F27-Адміністративні_1ст!F36-Адміністративні_1ст!F57</f>
        <v>191.16</v>
      </c>
      <c r="F72" s="2257">
        <f>Адміністративні_1ст!G8-Адміністративні_1ст!G21-Адміністративні_1ст!G23-Адміністративні_1ст!G25-Адміністративні_1ст!G28-Адміністративні_1ст!G27-Адміністративні_1ст!G36-Адміністративні_1ст!G57</f>
        <v>166.13</v>
      </c>
      <c r="G72" s="2257">
        <f>Адміністративні_1ст!H8-Адміністративні_1ст!H21-Адміністративні_1ст!H23-Адміністративні_1ст!H25-Адміністративні_1ст!H28-Адміністративні_1ст!H27-Адміністративні_1ст!H36-Адміністративні_1ст!H57</f>
        <v>22.72</v>
      </c>
      <c r="H72" s="2257">
        <f>Адміністративні_1ст!I8-Адміністративні_1ст!I21-Адміністративні_1ст!I23-Адміністративні_1ст!I25-Адміністративні_1ст!I28-Адміністративні_1ст!I27-Адміністративні_1ст!I36-Адміністративні_1ст!I57</f>
        <v>3.74</v>
      </c>
      <c r="I72" s="2257">
        <f>Адміністративні_1ст!J8-Адміністративні_1ст!J21-Адміністративні_1ст!J23-Адміністративні_1ст!J25-Адміністративні_1ст!J28-Адміністративні_1ст!J27-Адміністративні_1ст!J36-Адміністративні_1ст!J57</f>
        <v>19.02</v>
      </c>
      <c r="J72" s="2257">
        <f>Адміністративні_1ст!K8-Адміністративні_1ст!K21-Адміністративні_1ст!K23-Адміністративні_1ст!K25-Адміністративні_1ст!K28-Адміністративні_1ст!K27-Адміністративні_1ст!K36-Адміністративні_1ст!K57</f>
        <v>2.2599999999999998</v>
      </c>
    </row>
  </sheetData>
  <mergeCells count="1">
    <mergeCell ref="H1:H2"/>
  </mergeCells>
  <pageMargins left="0.7" right="0.7" top="0.75" bottom="0.75" header="0.3" footer="0.3"/>
  <pageSetup paperSize="9"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S90"/>
  <sheetViews>
    <sheetView topLeftCell="E1" zoomScale="110" zoomScaleNormal="110" zoomScaleSheetLayoutView="100" workbookViewId="0">
      <selection activeCell="S1" sqref="S1:X1"/>
    </sheetView>
  </sheetViews>
  <sheetFormatPr defaultColWidth="9.140625" defaultRowHeight="15" x14ac:dyDescent="0.25"/>
  <cols>
    <col min="1" max="1" width="5" style="133" hidden="1" customWidth="1"/>
    <col min="2" max="2" width="6.28515625" style="133" customWidth="1"/>
    <col min="3" max="3" width="39.7109375" style="116" customWidth="1"/>
    <col min="4" max="4" width="8.28515625" style="116" customWidth="1"/>
    <col min="5" max="5" width="9.85546875" style="116" bestFit="1" customWidth="1"/>
    <col min="6" max="6" width="8.85546875" style="116" bestFit="1" customWidth="1"/>
    <col min="7" max="7" width="10" style="116" bestFit="1" customWidth="1"/>
    <col min="8" max="8" width="7.5703125" style="116" bestFit="1" customWidth="1"/>
    <col min="9" max="9" width="8.85546875" style="116" customWidth="1"/>
    <col min="10" max="10" width="9" style="116" bestFit="1" customWidth="1"/>
    <col min="11" max="11" width="9.85546875" style="116" customWidth="1"/>
    <col min="12" max="12" width="8.7109375" style="116" customWidth="1"/>
    <col min="13" max="13" width="6.28515625" style="116" customWidth="1"/>
    <col min="14" max="14" width="6.140625" style="116" bestFit="1" customWidth="1"/>
    <col min="15" max="15" width="7.42578125" style="116" bestFit="1" customWidth="1"/>
    <col min="16" max="16" width="8.28515625" style="116" customWidth="1"/>
    <col min="17" max="17" width="9.28515625" style="116" customWidth="1"/>
    <col min="18" max="18" width="8.140625" style="116" bestFit="1" customWidth="1"/>
    <col min="19" max="19" width="9.140625" style="116" customWidth="1"/>
    <col min="20" max="20" width="7.42578125" style="116" customWidth="1"/>
    <col min="21" max="21" width="8.140625" style="116" bestFit="1" customWidth="1"/>
    <col min="22" max="22" width="10" style="116" bestFit="1" customWidth="1"/>
    <col min="23" max="23" width="9" style="116" bestFit="1" customWidth="1"/>
    <col min="24" max="24" width="8.42578125" style="116" customWidth="1"/>
    <col min="25" max="25" width="13.7109375" style="153" customWidth="1"/>
    <col min="26" max="26" width="10.140625" style="116" customWidth="1"/>
    <col min="27" max="27" width="9.140625" style="116"/>
    <col min="28" max="28" width="12.140625" style="2097" bestFit="1" customWidth="1"/>
    <col min="29" max="29" width="9.85546875" style="2097" customWidth="1"/>
    <col min="30" max="30" width="10.140625" style="2097" customWidth="1"/>
    <col min="31" max="31" width="10.28515625" style="2097" customWidth="1"/>
    <col min="32" max="32" width="13.7109375" style="2097" customWidth="1"/>
    <col min="33" max="33" width="9.140625" style="116"/>
    <col min="34" max="38" width="10.7109375" style="2112" bestFit="1" customWidth="1"/>
    <col min="39" max="39" width="5.7109375" style="2112" customWidth="1"/>
    <col min="40" max="41" width="10.7109375" style="116" bestFit="1" customWidth="1"/>
    <col min="42" max="16384" width="9.140625" style="116"/>
  </cols>
  <sheetData>
    <row r="1" spans="1:45" s="112" customFormat="1" ht="32.450000000000003" customHeight="1" x14ac:dyDescent="0.25">
      <c r="A1" s="110"/>
      <c r="B1" s="2825"/>
      <c r="C1" s="2826"/>
      <c r="D1" s="2823"/>
      <c r="E1" s="2823"/>
      <c r="F1" s="2823"/>
      <c r="G1" s="2823"/>
      <c r="H1" s="2823"/>
      <c r="I1" s="2823"/>
      <c r="J1" s="2823"/>
      <c r="K1" s="2823"/>
      <c r="L1" s="2823"/>
      <c r="M1" s="2823"/>
      <c r="N1" s="2823"/>
      <c r="O1" s="2823"/>
      <c r="P1" s="2878"/>
      <c r="Q1" s="2878"/>
      <c r="R1" s="2878"/>
      <c r="S1" s="3677" t="s">
        <v>3476</v>
      </c>
      <c r="T1" s="3677"/>
      <c r="U1" s="3677"/>
      <c r="V1" s="3677"/>
      <c r="W1" s="3677"/>
      <c r="X1" s="3677"/>
      <c r="Y1" s="895" t="s">
        <v>643</v>
      </c>
      <c r="AB1" s="2095"/>
      <c r="AC1" s="2095"/>
      <c r="AD1" s="2095"/>
      <c r="AE1" s="2095"/>
      <c r="AF1" s="2095"/>
      <c r="AH1" s="2110"/>
      <c r="AI1" s="2110"/>
      <c r="AJ1" s="2110"/>
      <c r="AK1" s="2110"/>
      <c r="AL1" s="2110"/>
      <c r="AM1" s="2110"/>
    </row>
    <row r="2" spans="1:45" s="112" customFormat="1" ht="13.9" customHeight="1" x14ac:dyDescent="0.25">
      <c r="A2" s="110"/>
      <c r="B2" s="2825"/>
      <c r="C2" s="2826"/>
      <c r="D2" s="2823"/>
      <c r="E2" s="2823"/>
      <c r="F2" s="2823"/>
      <c r="G2" s="2823"/>
      <c r="H2" s="2823"/>
      <c r="I2" s="2823"/>
      <c r="J2" s="2823"/>
      <c r="K2" s="2823"/>
      <c r="L2" s="2823"/>
      <c r="M2" s="2823"/>
      <c r="N2" s="2823"/>
      <c r="O2" s="2823"/>
      <c r="P2" s="2878"/>
      <c r="Q2" s="2878"/>
      <c r="R2" s="2878"/>
      <c r="S2" s="3697"/>
      <c r="T2" s="3697"/>
      <c r="U2" s="3697"/>
      <c r="V2" s="3697"/>
      <c r="W2" s="3697"/>
      <c r="X2" s="3697"/>
      <c r="Y2" s="895"/>
      <c r="AB2" s="2095"/>
      <c r="AC2" s="2095"/>
      <c r="AD2" s="2095"/>
      <c r="AE2" s="2095"/>
      <c r="AF2" s="2095"/>
      <c r="AH2" s="2110"/>
      <c r="AI2" s="2110"/>
      <c r="AJ2" s="2110"/>
      <c r="AK2" s="2110"/>
      <c r="AL2" s="2110"/>
      <c r="AM2" s="2110"/>
    </row>
    <row r="3" spans="1:45" s="112" customFormat="1" x14ac:dyDescent="0.25">
      <c r="A3" s="110"/>
      <c r="B3" s="2825"/>
      <c r="C3" s="3678" t="s">
        <v>450</v>
      </c>
      <c r="D3" s="3678"/>
      <c r="E3" s="3678"/>
      <c r="F3" s="3678"/>
      <c r="G3" s="3678"/>
      <c r="H3" s="3678"/>
      <c r="I3" s="3678"/>
      <c r="J3" s="3678"/>
      <c r="K3" s="3678"/>
      <c r="L3" s="3678"/>
      <c r="M3" s="3678"/>
      <c r="N3" s="3678"/>
      <c r="O3" s="3678"/>
      <c r="P3" s="3678"/>
      <c r="Q3" s="3678"/>
      <c r="R3" s="3678"/>
      <c r="S3" s="3678"/>
      <c r="T3" s="3678"/>
      <c r="U3" s="3678"/>
      <c r="V3" s="3678"/>
      <c r="W3" s="3678"/>
      <c r="X3" s="3678"/>
      <c r="Y3" s="895"/>
      <c r="AB3" s="2095"/>
      <c r="AC3" s="2095"/>
      <c r="AD3" s="2095"/>
      <c r="AE3" s="2095"/>
      <c r="AF3" s="2095"/>
      <c r="AH3" s="2110"/>
      <c r="AI3" s="2110"/>
      <c r="AJ3" s="2110"/>
      <c r="AK3" s="2110"/>
      <c r="AL3" s="2110"/>
      <c r="AM3" s="2110"/>
    </row>
    <row r="4" spans="1:45" s="112" customFormat="1" x14ac:dyDescent="0.25">
      <c r="A4" s="110"/>
      <c r="B4" s="2825"/>
      <c r="C4" s="3679" t="s">
        <v>1907</v>
      </c>
      <c r="D4" s="3679"/>
      <c r="E4" s="3679"/>
      <c r="F4" s="3679"/>
      <c r="G4" s="3679"/>
      <c r="H4" s="3679"/>
      <c r="I4" s="3679"/>
      <c r="J4" s="3679"/>
      <c r="K4" s="3679"/>
      <c r="L4" s="3679"/>
      <c r="M4" s="3679"/>
      <c r="N4" s="3679"/>
      <c r="O4" s="3679"/>
      <c r="P4" s="3679"/>
      <c r="Q4" s="3679"/>
      <c r="R4" s="3679"/>
      <c r="S4" s="3679"/>
      <c r="T4" s="3679"/>
      <c r="U4" s="3679"/>
      <c r="V4" s="3679"/>
      <c r="W4" s="3679"/>
      <c r="X4" s="3679"/>
      <c r="Y4" s="895"/>
      <c r="AB4" s="2095"/>
      <c r="AC4" s="2095"/>
      <c r="AD4" s="2095"/>
      <c r="AE4" s="2095"/>
      <c r="AF4" s="2095"/>
      <c r="AH4" s="2110"/>
      <c r="AI4" s="2110"/>
      <c r="AJ4" s="2110"/>
      <c r="AK4" s="2110"/>
      <c r="AL4" s="2110"/>
      <c r="AM4" s="2110"/>
    </row>
    <row r="5" spans="1:45" s="112" customFormat="1" x14ac:dyDescent="0.25">
      <c r="A5" s="110"/>
      <c r="B5" s="2825"/>
      <c r="C5" s="2823"/>
      <c r="D5" s="2929"/>
      <c r="E5" s="2929"/>
      <c r="F5" s="2929"/>
      <c r="G5" s="2929"/>
      <c r="H5" s="2929"/>
      <c r="I5" s="2929"/>
      <c r="J5" s="2929"/>
      <c r="K5" s="2929"/>
      <c r="L5" s="2929"/>
      <c r="M5" s="2929"/>
      <c r="N5" s="2929"/>
      <c r="O5" s="2929"/>
      <c r="P5" s="2929"/>
      <c r="Q5" s="2929"/>
      <c r="R5" s="2929"/>
      <c r="S5" s="2929"/>
      <c r="T5" s="2929"/>
      <c r="U5" s="2929"/>
      <c r="V5" s="2929"/>
      <c r="W5" s="2929"/>
      <c r="X5" s="2929"/>
      <c r="Y5" s="895"/>
      <c r="AB5" s="2095"/>
      <c r="AC5" s="2095"/>
      <c r="AD5" s="2095"/>
      <c r="AE5" s="2095"/>
      <c r="AF5" s="2095"/>
      <c r="AH5" s="2110"/>
      <c r="AI5" s="2110"/>
      <c r="AJ5" s="2110"/>
      <c r="AK5" s="2110"/>
      <c r="AL5" s="2110"/>
      <c r="AM5" s="2110"/>
    </row>
    <row r="6" spans="1:45" s="115" customFormat="1" ht="15.75" thickBot="1" x14ac:dyDescent="0.3">
      <c r="A6" s="114"/>
      <c r="B6" s="2942"/>
      <c r="C6" s="2943"/>
      <c r="D6" s="3680" t="s">
        <v>220</v>
      </c>
      <c r="E6" s="3680"/>
      <c r="F6" s="3680"/>
      <c r="G6" s="3680"/>
      <c r="H6" s="3680"/>
      <c r="I6" s="3680"/>
      <c r="J6" s="3680"/>
      <c r="K6" s="3680"/>
      <c r="L6" s="3680"/>
      <c r="M6" s="3680"/>
      <c r="N6" s="3680"/>
      <c r="O6" s="3680"/>
      <c r="P6" s="3680"/>
      <c r="Q6" s="3680"/>
      <c r="R6" s="3680"/>
      <c r="S6" s="3680"/>
      <c r="T6" s="3680"/>
      <c r="U6" s="3680"/>
      <c r="V6" s="3680"/>
      <c r="W6" s="3680"/>
      <c r="X6" s="3680"/>
      <c r="Y6" s="895"/>
      <c r="Z6" s="112"/>
      <c r="AA6" s="112"/>
      <c r="AB6" s="2095"/>
      <c r="AC6" s="2095"/>
      <c r="AD6" s="2096"/>
      <c r="AE6" s="2096"/>
      <c r="AF6" s="2096"/>
      <c r="AH6" s="2111"/>
      <c r="AI6" s="2111"/>
      <c r="AJ6" s="2111"/>
      <c r="AK6" s="2111"/>
      <c r="AL6" s="2111"/>
      <c r="AM6" s="2111"/>
    </row>
    <row r="7" spans="1:45" ht="16.5" customHeight="1" x14ac:dyDescent="0.25">
      <c r="A7" s="3681" t="s">
        <v>7</v>
      </c>
      <c r="B7" s="3682" t="s">
        <v>7</v>
      </c>
      <c r="C7" s="3685" t="s">
        <v>8</v>
      </c>
      <c r="D7" s="3688" t="s">
        <v>35</v>
      </c>
      <c r="E7" s="3691" t="s">
        <v>36</v>
      </c>
      <c r="F7" s="3692"/>
      <c r="G7" s="3692"/>
      <c r="H7" s="3693"/>
      <c r="I7" s="3691" t="s">
        <v>37</v>
      </c>
      <c r="J7" s="3692"/>
      <c r="K7" s="3692"/>
      <c r="L7" s="3693"/>
      <c r="M7" s="3691" t="s">
        <v>170</v>
      </c>
      <c r="N7" s="3692"/>
      <c r="O7" s="3692"/>
      <c r="P7" s="3693"/>
      <c r="Q7" s="3691" t="s">
        <v>38</v>
      </c>
      <c r="R7" s="3692"/>
      <c r="S7" s="3692"/>
      <c r="T7" s="3693"/>
      <c r="U7" s="3691" t="s">
        <v>39</v>
      </c>
      <c r="V7" s="3692"/>
      <c r="W7" s="3692"/>
      <c r="X7" s="3693"/>
      <c r="Y7" s="895"/>
      <c r="Z7" s="112"/>
      <c r="AA7" s="112"/>
      <c r="AB7" s="2095"/>
      <c r="AC7" s="2095"/>
    </row>
    <row r="8" spans="1:45" ht="24.6" customHeight="1" x14ac:dyDescent="0.25">
      <c r="A8" s="3681"/>
      <c r="B8" s="3683"/>
      <c r="C8" s="3686"/>
      <c r="D8" s="3689"/>
      <c r="E8" s="3694"/>
      <c r="F8" s="3695"/>
      <c r="G8" s="3695"/>
      <c r="H8" s="3696"/>
      <c r="I8" s="3694"/>
      <c r="J8" s="3695"/>
      <c r="K8" s="3695"/>
      <c r="L8" s="3696"/>
      <c r="M8" s="3694"/>
      <c r="N8" s="3695"/>
      <c r="O8" s="3695"/>
      <c r="P8" s="3696"/>
      <c r="Q8" s="3694"/>
      <c r="R8" s="3695"/>
      <c r="S8" s="3695"/>
      <c r="T8" s="3696"/>
      <c r="U8" s="3694"/>
      <c r="V8" s="3695"/>
      <c r="W8" s="3695"/>
      <c r="X8" s="3696"/>
    </row>
    <row r="9" spans="1:45" ht="74.25" x14ac:dyDescent="0.25">
      <c r="A9" s="3681"/>
      <c r="B9" s="3683"/>
      <c r="C9" s="3686"/>
      <c r="D9" s="3689"/>
      <c r="E9" s="2944" t="s">
        <v>221</v>
      </c>
      <c r="F9" s="2789" t="s">
        <v>222</v>
      </c>
      <c r="G9" s="2789" t="s">
        <v>223</v>
      </c>
      <c r="H9" s="2791" t="s">
        <v>457</v>
      </c>
      <c r="I9" s="2944" t="s">
        <v>221</v>
      </c>
      <c r="J9" s="2789" t="s">
        <v>222</v>
      </c>
      <c r="K9" s="2789" t="s">
        <v>223</v>
      </c>
      <c r="L9" s="2791" t="s">
        <v>457</v>
      </c>
      <c r="M9" s="2944" t="s">
        <v>221</v>
      </c>
      <c r="N9" s="2789" t="s">
        <v>222</v>
      </c>
      <c r="O9" s="2789" t="s">
        <v>223</v>
      </c>
      <c r="P9" s="2791" t="s">
        <v>457</v>
      </c>
      <c r="Q9" s="2944" t="s">
        <v>221</v>
      </c>
      <c r="R9" s="2789" t="s">
        <v>222</v>
      </c>
      <c r="S9" s="2789" t="s">
        <v>223</v>
      </c>
      <c r="T9" s="2791" t="s">
        <v>457</v>
      </c>
      <c r="U9" s="2944" t="s">
        <v>221</v>
      </c>
      <c r="V9" s="2789" t="s">
        <v>222</v>
      </c>
      <c r="W9" s="2789" t="s">
        <v>223</v>
      </c>
      <c r="X9" s="2791" t="s">
        <v>457</v>
      </c>
    </row>
    <row r="10" spans="1:45" ht="54" customHeight="1" x14ac:dyDescent="0.25">
      <c r="A10" s="117"/>
      <c r="B10" s="3684"/>
      <c r="C10" s="3687"/>
      <c r="D10" s="3690"/>
      <c r="E10" s="2788">
        <f>'Вхідні дані'!$F$8</f>
        <v>2020</v>
      </c>
      <c r="F10" s="2789">
        <f>'Вхідні дані'!$F$7</f>
        <v>2021</v>
      </c>
      <c r="G10" s="2790" t="str">
        <f>'Вхідні дані'!$F$9</f>
        <v xml:space="preserve">Рішення виконавчого комітету Чорноморської міської ради Одеського району Одеської області № 381 від 27.12.2018 </v>
      </c>
      <c r="H10" s="2791" t="str">
        <f>'Вхідні дані'!$F$6</f>
        <v>2022-2023</v>
      </c>
      <c r="I10" s="2788">
        <f>'Вхідні дані'!$F$8</f>
        <v>2020</v>
      </c>
      <c r="J10" s="2789">
        <f>'Вхідні дані'!$F$7</f>
        <v>2021</v>
      </c>
      <c r="K10" s="2790" t="str">
        <f>'Вхідні дані'!$F$9</f>
        <v xml:space="preserve">Рішення виконавчого комітету Чорноморської міської ради Одеського району Одеської області № 381 від 27.12.2018 </v>
      </c>
      <c r="L10" s="2791" t="str">
        <f>'Вхідні дані'!$F$6</f>
        <v>2022-2023</v>
      </c>
      <c r="M10" s="2788">
        <f>'Вхідні дані'!$F$8</f>
        <v>2020</v>
      </c>
      <c r="N10" s="2789">
        <f>'Вхідні дані'!$F$7</f>
        <v>2021</v>
      </c>
      <c r="O10" s="2790" t="str">
        <f>'Вхідні дані'!$F$9</f>
        <v xml:space="preserve">Рішення виконавчого комітету Чорноморської міської ради Одеського району Одеської області № 381 від 27.12.2018 </v>
      </c>
      <c r="P10" s="2791" t="str">
        <f>'Вхідні дані'!$F$6</f>
        <v>2022-2023</v>
      </c>
      <c r="Q10" s="2788">
        <f>'Вхідні дані'!$F$8</f>
        <v>2020</v>
      </c>
      <c r="R10" s="2789">
        <f>'Вхідні дані'!$F$7</f>
        <v>2021</v>
      </c>
      <c r="S10" s="2790" t="str">
        <f>'Вхідні дані'!$F$9</f>
        <v xml:space="preserve">Рішення виконавчого комітету Чорноморської міської ради Одеського району Одеської області № 381 від 27.12.2018 </v>
      </c>
      <c r="T10" s="2791" t="str">
        <f>'Вхідні дані'!$F$6</f>
        <v>2022-2023</v>
      </c>
      <c r="U10" s="2788">
        <f>'Вхідні дані'!$F$8</f>
        <v>2020</v>
      </c>
      <c r="V10" s="2789">
        <f>'Вхідні дані'!$F$7</f>
        <v>2021</v>
      </c>
      <c r="W10" s="2790" t="str">
        <f>'Вхідні дані'!$F$9</f>
        <v xml:space="preserve">Рішення виконавчого комітету Чорноморської міської ради Одеського району Одеської області № 381 від 27.12.2018 </v>
      </c>
      <c r="X10" s="2791" t="str">
        <f>'Вхідні дані'!$F$6</f>
        <v>2022-2023</v>
      </c>
    </row>
    <row r="11" spans="1:45" x14ac:dyDescent="0.25">
      <c r="A11" s="118">
        <v>1</v>
      </c>
      <c r="B11" s="2945">
        <v>1</v>
      </c>
      <c r="C11" s="2934">
        <v>2</v>
      </c>
      <c r="D11" s="2946">
        <v>3</v>
      </c>
      <c r="E11" s="2947">
        <v>4</v>
      </c>
      <c r="F11" s="2830">
        <v>5</v>
      </c>
      <c r="G11" s="2934">
        <v>6</v>
      </c>
      <c r="H11" s="2948">
        <v>7</v>
      </c>
      <c r="I11" s="2947">
        <v>8</v>
      </c>
      <c r="J11" s="2830">
        <v>9</v>
      </c>
      <c r="K11" s="2934">
        <v>10</v>
      </c>
      <c r="L11" s="2948">
        <v>11</v>
      </c>
      <c r="M11" s="2947">
        <v>12</v>
      </c>
      <c r="N11" s="2830">
        <v>13</v>
      </c>
      <c r="O11" s="2934">
        <v>14</v>
      </c>
      <c r="P11" s="2948">
        <v>15</v>
      </c>
      <c r="Q11" s="2947">
        <v>16</v>
      </c>
      <c r="R11" s="2830">
        <v>17</v>
      </c>
      <c r="S11" s="2934">
        <v>18</v>
      </c>
      <c r="T11" s="2948">
        <v>19</v>
      </c>
      <c r="U11" s="2947">
        <v>20</v>
      </c>
      <c r="V11" s="2830">
        <v>21</v>
      </c>
      <c r="W11" s="2934">
        <v>22</v>
      </c>
      <c r="X11" s="2948">
        <v>23</v>
      </c>
      <c r="Y11" s="895"/>
    </row>
    <row r="12" spans="1:45" s="121" customFormat="1" x14ac:dyDescent="0.25">
      <c r="A12" s="119">
        <v>1</v>
      </c>
      <c r="B12" s="2949">
        <v>1</v>
      </c>
      <c r="C12" s="2799" t="s">
        <v>224</v>
      </c>
      <c r="D12" s="2809" t="s">
        <v>40</v>
      </c>
      <c r="E12" s="2774">
        <f>E13+E24+E25+E29</f>
        <v>20325.79</v>
      </c>
      <c r="F12" s="2772">
        <f t="shared" ref="F12:X12" si="0">F13+F24+F25+F29</f>
        <v>40620.82</v>
      </c>
      <c r="G12" s="2772">
        <f>G13+G24+G25+G29</f>
        <v>38590.5</v>
      </c>
      <c r="H12" s="2770">
        <f t="shared" si="0"/>
        <v>70936.5</v>
      </c>
      <c r="I12" s="2774">
        <f t="shared" si="0"/>
        <v>0</v>
      </c>
      <c r="J12" s="2772">
        <f t="shared" si="0"/>
        <v>0</v>
      </c>
      <c r="K12" s="2772">
        <f>K13+K24+K25+K29</f>
        <v>0</v>
      </c>
      <c r="L12" s="2770">
        <f t="shared" si="0"/>
        <v>0</v>
      </c>
      <c r="M12" s="2774">
        <f t="shared" si="0"/>
        <v>0</v>
      </c>
      <c r="N12" s="2772">
        <f t="shared" si="0"/>
        <v>0</v>
      </c>
      <c r="O12" s="2772">
        <v>0</v>
      </c>
      <c r="P12" s="2977">
        <f t="shared" si="0"/>
        <v>0</v>
      </c>
      <c r="Q12" s="2774">
        <f t="shared" si="0"/>
        <v>0</v>
      </c>
      <c r="R12" s="2781">
        <f t="shared" si="0"/>
        <v>910.62099999999998</v>
      </c>
      <c r="S12" s="2772">
        <f t="shared" si="0"/>
        <v>0</v>
      </c>
      <c r="T12" s="2770">
        <f>T13+T24+T25+T29</f>
        <v>0</v>
      </c>
      <c r="U12" s="2774">
        <f t="shared" si="0"/>
        <v>20325.79</v>
      </c>
      <c r="V12" s="2772">
        <f t="shared" si="0"/>
        <v>39710.21</v>
      </c>
      <c r="W12" s="2772">
        <f t="shared" si="0"/>
        <v>38590.5</v>
      </c>
      <c r="X12" s="2770">
        <f t="shared" si="0"/>
        <v>70936.5</v>
      </c>
      <c r="Y12" s="896"/>
      <c r="AB12" s="1098">
        <f t="shared" ref="AB12:AB51" si="1">H12/H$58*1000</f>
        <v>6648.9422000000004</v>
      </c>
      <c r="AC12" s="1098"/>
      <c r="AD12" s="1098"/>
      <c r="AE12" s="1098">
        <v>0</v>
      </c>
      <c r="AF12" s="1098">
        <f>X12/X$58*1000</f>
        <v>6648.9422000000004</v>
      </c>
      <c r="AH12" s="2115"/>
      <c r="AI12" s="2113"/>
      <c r="AJ12" s="2113"/>
      <c r="AK12" s="2113"/>
      <c r="AL12" s="2113"/>
      <c r="AM12" s="2113"/>
      <c r="AN12" s="2985"/>
      <c r="AO12" s="2985"/>
      <c r="AP12" s="2985"/>
      <c r="AQ12" s="2985"/>
      <c r="AR12" s="2985"/>
      <c r="AS12" s="2981"/>
    </row>
    <row r="13" spans="1:45" x14ac:dyDescent="0.25">
      <c r="A13" s="122" t="s">
        <v>23</v>
      </c>
      <c r="B13" s="2950" t="s">
        <v>23</v>
      </c>
      <c r="C13" s="2799" t="s">
        <v>225</v>
      </c>
      <c r="D13" s="2932" t="s">
        <v>40</v>
      </c>
      <c r="E13" s="2761">
        <f>E14+E18+E19+E22+E23</f>
        <v>8736.7900000000009</v>
      </c>
      <c r="F13" s="2759">
        <f>F14+F18+F19+F22+F23</f>
        <v>26999.07</v>
      </c>
      <c r="G13" s="2759">
        <f t="shared" ref="G13:X13" si="2">G14+G18+G19+G22+G23</f>
        <v>27675.1</v>
      </c>
      <c r="H13" s="2760">
        <f t="shared" si="2"/>
        <v>55382.93</v>
      </c>
      <c r="I13" s="2761">
        <f t="shared" si="2"/>
        <v>0</v>
      </c>
      <c r="J13" s="2759">
        <f t="shared" si="2"/>
        <v>0</v>
      </c>
      <c r="K13" s="2759">
        <f t="shared" si="2"/>
        <v>0</v>
      </c>
      <c r="L13" s="2760">
        <f t="shared" si="2"/>
        <v>0</v>
      </c>
      <c r="M13" s="2761">
        <f t="shared" si="2"/>
        <v>0</v>
      </c>
      <c r="N13" s="2759">
        <f t="shared" si="2"/>
        <v>0</v>
      </c>
      <c r="O13" s="2759">
        <v>0</v>
      </c>
      <c r="P13" s="2973">
        <f t="shared" si="2"/>
        <v>0</v>
      </c>
      <c r="Q13" s="2775">
        <f>Q14+Q18+Q19+Q22+Q23</f>
        <v>0</v>
      </c>
      <c r="R13" s="2763">
        <f t="shared" si="2"/>
        <v>605.25400000000002</v>
      </c>
      <c r="S13" s="2759">
        <f t="shared" si="2"/>
        <v>0</v>
      </c>
      <c r="T13" s="2760">
        <f t="shared" si="2"/>
        <v>0</v>
      </c>
      <c r="U13" s="2761">
        <f t="shared" si="2"/>
        <v>8736.7900000000009</v>
      </c>
      <c r="V13" s="2759">
        <f>V14+V18+V19+V22+V23</f>
        <v>26393.82</v>
      </c>
      <c r="W13" s="2759">
        <f t="shared" si="2"/>
        <v>27675.1</v>
      </c>
      <c r="X13" s="2760">
        <f t="shared" si="2"/>
        <v>55382.93</v>
      </c>
      <c r="AB13" s="1098">
        <f t="shared" si="1"/>
        <v>5191.0919999999996</v>
      </c>
      <c r="AC13" s="1098"/>
      <c r="AD13" s="1098"/>
      <c r="AE13" s="1098">
        <v>0</v>
      </c>
      <c r="AF13" s="1098">
        <f t="shared" ref="AF13:AF51" si="3">X13/X$58*1000</f>
        <v>5191.0919999999996</v>
      </c>
      <c r="AH13" s="2115"/>
      <c r="AI13" s="2113"/>
      <c r="AJ13" s="2113"/>
      <c r="AK13" s="2113"/>
      <c r="AL13" s="2113"/>
      <c r="AN13" s="2985"/>
      <c r="AO13" s="2985"/>
      <c r="AP13" s="2985"/>
      <c r="AQ13" s="2985"/>
      <c r="AR13" s="2985"/>
      <c r="AS13" s="2793"/>
    </row>
    <row r="14" spans="1:45" x14ac:dyDescent="0.25">
      <c r="A14" s="122" t="s">
        <v>41</v>
      </c>
      <c r="B14" s="2951" t="s">
        <v>41</v>
      </c>
      <c r="C14" s="2795" t="s">
        <v>453</v>
      </c>
      <c r="D14" s="2931" t="s">
        <v>40</v>
      </c>
      <c r="E14" s="2761">
        <f>E15+E16+E17</f>
        <v>8247.1</v>
      </c>
      <c r="F14" s="2759">
        <f>F15+F16+F17</f>
        <v>26361.53</v>
      </c>
      <c r="G14" s="2759">
        <f>Виробництво_Транспортування_1ст!E11</f>
        <v>27076.400000000001</v>
      </c>
      <c r="H14" s="2760">
        <f t="shared" ref="H14:H17" si="4">L14+P14+T14+X14</f>
        <v>54631.040000000001</v>
      </c>
      <c r="I14" s="2762">
        <v>0</v>
      </c>
      <c r="J14" s="2762">
        <v>0</v>
      </c>
      <c r="K14" s="2762">
        <f>K15+K16+K17</f>
        <v>0</v>
      </c>
      <c r="L14" s="2782">
        <f>L15+L16+L17</f>
        <v>0</v>
      </c>
      <c r="M14" s="2762">
        <v>0</v>
      </c>
      <c r="N14" s="2762">
        <v>0</v>
      </c>
      <c r="O14" s="2762">
        <v>0</v>
      </c>
      <c r="P14" s="2971">
        <f>P15+P16+P17</f>
        <v>0</v>
      </c>
      <c r="Q14" s="2761">
        <f t="shared" ref="Q14:Q17" si="5">Q15+Q19+Q20+Q23+Q24</f>
        <v>0</v>
      </c>
      <c r="R14" s="2780">
        <f>590.962232</f>
        <v>590.96199999999999</v>
      </c>
      <c r="S14" s="2762">
        <f>S15+S16+S17</f>
        <v>0</v>
      </c>
      <c r="T14" s="2782">
        <f>T15+T16+T17</f>
        <v>0</v>
      </c>
      <c r="U14" s="2762">
        <f>U15+U16+U17</f>
        <v>8247.1</v>
      </c>
      <c r="V14" s="2762">
        <f>F14*(V55/F55)</f>
        <v>25770.57</v>
      </c>
      <c r="W14" s="2762">
        <v>27076.400000000001</v>
      </c>
      <c r="X14" s="2782">
        <f>X15+X16+X17</f>
        <v>54631.040000000001</v>
      </c>
      <c r="Y14" s="903"/>
      <c r="AB14" s="1098">
        <f t="shared" si="1"/>
        <v>5120.6166999999996</v>
      </c>
      <c r="AC14" s="1098"/>
      <c r="AD14" s="1098"/>
      <c r="AE14" s="1098">
        <v>0</v>
      </c>
      <c r="AF14" s="1098">
        <f t="shared" si="3"/>
        <v>5120.6166999999996</v>
      </c>
      <c r="AH14" s="2115"/>
      <c r="AI14" s="2113"/>
      <c r="AJ14" s="2113"/>
      <c r="AK14" s="2113"/>
      <c r="AL14" s="2113"/>
      <c r="AN14" s="2985"/>
      <c r="AO14" s="2985"/>
      <c r="AP14" s="2985"/>
      <c r="AQ14" s="2985"/>
      <c r="AR14" s="2985"/>
      <c r="AS14" s="2793"/>
    </row>
    <row r="15" spans="1:45" x14ac:dyDescent="0.25">
      <c r="A15" s="122"/>
      <c r="B15" s="2951" t="s">
        <v>454</v>
      </c>
      <c r="C15" s="2796" t="s">
        <v>439</v>
      </c>
      <c r="D15" s="2931" t="s">
        <v>40</v>
      </c>
      <c r="E15" s="2761">
        <f>Виробництво_Транспортування_1ст!C12</f>
        <v>6575.47</v>
      </c>
      <c r="F15" s="2759">
        <f>Виробництво_Транспортування_1ст!$D$12</f>
        <v>24699.19</v>
      </c>
      <c r="G15" s="2759">
        <f>Виробництво_Транспортування_1ст!E12</f>
        <v>23642.6</v>
      </c>
      <c r="H15" s="2760">
        <f t="shared" si="4"/>
        <v>52940.37</v>
      </c>
      <c r="I15" s="2762">
        <v>0</v>
      </c>
      <c r="J15" s="2762">
        <v>0</v>
      </c>
      <c r="K15" s="2762">
        <v>0</v>
      </c>
      <c r="L15" s="2760">
        <f>Виробництво_Транспортування_1ст!G12</f>
        <v>0</v>
      </c>
      <c r="M15" s="2762">
        <v>0</v>
      </c>
      <c r="N15" s="2762">
        <v>0</v>
      </c>
      <c r="O15" s="2759">
        <v>0</v>
      </c>
      <c r="P15" s="2973">
        <f>Виробництво_Транспортування_1ст!H12</f>
        <v>0</v>
      </c>
      <c r="Q15" s="2761">
        <f t="shared" si="5"/>
        <v>0</v>
      </c>
      <c r="R15" s="2780">
        <v>553.71</v>
      </c>
      <c r="S15" s="2762">
        <v>0</v>
      </c>
      <c r="T15" s="2760">
        <f>Виробництво_Транспортування_1ст!I12</f>
        <v>0</v>
      </c>
      <c r="U15" s="2761">
        <f>Виробництво_Транспортування_1ст!C12</f>
        <v>6575.47</v>
      </c>
      <c r="V15" s="2762">
        <f>F15*$V$55/$F$55</f>
        <v>24145.49</v>
      </c>
      <c r="W15" s="2762">
        <v>23642.6</v>
      </c>
      <c r="X15" s="2760">
        <f>Виробництво_Транспортування_1ст!J12</f>
        <v>52940.37</v>
      </c>
      <c r="Y15" s="903"/>
      <c r="AB15" s="1098">
        <f t="shared" si="1"/>
        <v>4962.1486000000004</v>
      </c>
      <c r="AC15" s="1098"/>
      <c r="AD15" s="1098"/>
      <c r="AE15" s="1098">
        <v>0</v>
      </c>
      <c r="AF15" s="1098">
        <f t="shared" si="3"/>
        <v>4962.1486000000004</v>
      </c>
      <c r="AH15" s="2115"/>
      <c r="AI15" s="2113"/>
      <c r="AJ15" s="2113"/>
      <c r="AK15" s="2113"/>
      <c r="AL15" s="2113"/>
      <c r="AN15" s="2985"/>
      <c r="AO15" s="2985"/>
      <c r="AP15" s="2985"/>
      <c r="AQ15" s="2985"/>
      <c r="AR15" s="2985"/>
      <c r="AS15" s="2793"/>
    </row>
    <row r="16" spans="1:45" x14ac:dyDescent="0.25">
      <c r="A16" s="122"/>
      <c r="B16" s="2951" t="s">
        <v>455</v>
      </c>
      <c r="C16" s="2796" t="s">
        <v>1832</v>
      </c>
      <c r="D16" s="2931" t="s">
        <v>40</v>
      </c>
      <c r="E16" s="2761">
        <f>Виробництво_Транспортування_1ст!C13</f>
        <v>223.44</v>
      </c>
      <c r="F16" s="2759">
        <f>Виробництво_Транспортування_1ст!D13</f>
        <v>215.84</v>
      </c>
      <c r="G16" s="2759">
        <f>Виробництво_Транспортування_1ст!E13</f>
        <v>869</v>
      </c>
      <c r="H16" s="2760">
        <f t="shared" si="4"/>
        <v>236.45</v>
      </c>
      <c r="I16" s="2762">
        <v>0</v>
      </c>
      <c r="J16" s="2762">
        <v>0</v>
      </c>
      <c r="K16" s="2762">
        <v>0</v>
      </c>
      <c r="L16" s="2760">
        <f>Виробництво_Транспортування_1ст!G13</f>
        <v>0</v>
      </c>
      <c r="M16" s="2762">
        <v>0</v>
      </c>
      <c r="N16" s="2762">
        <v>0</v>
      </c>
      <c r="O16" s="2759">
        <v>0</v>
      </c>
      <c r="P16" s="2973">
        <f>Виробництво_Транспортування_1ст!H13</f>
        <v>0</v>
      </c>
      <c r="Q16" s="2761">
        <f t="shared" si="5"/>
        <v>0</v>
      </c>
      <c r="R16" s="2780">
        <f>F16*($R$55/$F$55)</f>
        <v>4.8390000000000004</v>
      </c>
      <c r="S16" s="2762">
        <v>0</v>
      </c>
      <c r="T16" s="2760">
        <f>Виробництво_Транспортування_1ст!I13</f>
        <v>0</v>
      </c>
      <c r="U16" s="2761">
        <f>Виробництво_Транспортування_1ст!C13</f>
        <v>223.44</v>
      </c>
      <c r="V16" s="2762">
        <f>F16*$V$55/$F$55</f>
        <v>211</v>
      </c>
      <c r="W16" s="2762">
        <v>869</v>
      </c>
      <c r="X16" s="2760">
        <f>Виробництво_Транспортування_1ст!J13</f>
        <v>236.45</v>
      </c>
      <c r="Y16" s="903"/>
      <c r="AB16" s="1098">
        <f t="shared" si="1"/>
        <v>22.162700000000001</v>
      </c>
      <c r="AC16" s="1098"/>
      <c r="AD16" s="1098"/>
      <c r="AE16" s="1098">
        <v>0</v>
      </c>
      <c r="AF16" s="1098">
        <f t="shared" si="3"/>
        <v>22.162700000000001</v>
      </c>
      <c r="AH16" s="2115"/>
      <c r="AI16" s="2113"/>
      <c r="AJ16" s="2113"/>
      <c r="AK16" s="2113"/>
      <c r="AL16" s="2113"/>
      <c r="AN16" s="2985"/>
      <c r="AO16" s="2985"/>
      <c r="AP16" s="2985"/>
      <c r="AQ16" s="2985"/>
      <c r="AR16" s="2985"/>
      <c r="AS16" s="2793"/>
    </row>
    <row r="17" spans="1:45" x14ac:dyDescent="0.25">
      <c r="A17" s="122"/>
      <c r="B17" s="2951" t="s">
        <v>456</v>
      </c>
      <c r="C17" s="2796" t="s">
        <v>1833</v>
      </c>
      <c r="D17" s="2931" t="s">
        <v>40</v>
      </c>
      <c r="E17" s="2761">
        <f>Виробництво_Транспортування_1ст!C14</f>
        <v>1448.19</v>
      </c>
      <c r="F17" s="2759">
        <f>Виробництво_Транспортування_1ст!D14</f>
        <v>1446.5</v>
      </c>
      <c r="G17" s="2759">
        <f>Виробництво_Транспортування_1ст!E14</f>
        <v>882.15</v>
      </c>
      <c r="H17" s="2760">
        <f t="shared" si="4"/>
        <v>1454.22</v>
      </c>
      <c r="I17" s="2762">
        <v>0</v>
      </c>
      <c r="J17" s="2762">
        <v>0</v>
      </c>
      <c r="K17" s="2762">
        <v>0</v>
      </c>
      <c r="L17" s="2760">
        <f>Виробництво_Транспортування_1ст!G14</f>
        <v>0</v>
      </c>
      <c r="M17" s="2762">
        <v>0</v>
      </c>
      <c r="N17" s="2762">
        <v>0</v>
      </c>
      <c r="O17" s="2759">
        <v>0</v>
      </c>
      <c r="P17" s="2973">
        <f>Виробництво_Транспортування_1ст!H14</f>
        <v>0</v>
      </c>
      <c r="Q17" s="2761">
        <f t="shared" si="5"/>
        <v>0</v>
      </c>
      <c r="R17" s="2780">
        <f>F17*$R$55/$F$55</f>
        <v>32.427</v>
      </c>
      <c r="S17" s="2762">
        <v>0</v>
      </c>
      <c r="T17" s="2760">
        <f>Виробництво_Транспортування_1ст!I14</f>
        <v>0</v>
      </c>
      <c r="U17" s="2761">
        <f>Виробництво_Транспортування_1ст!C14</f>
        <v>1448.19</v>
      </c>
      <c r="V17" s="2762">
        <f>F17*$V$55/$F$55</f>
        <v>1414.07</v>
      </c>
      <c r="W17" s="2762">
        <v>882.15</v>
      </c>
      <c r="X17" s="2760">
        <f>Виробництво_Транспортування_1ст!J14</f>
        <v>1454.22</v>
      </c>
      <c r="Y17" s="903"/>
      <c r="AB17" s="1098">
        <f t="shared" si="1"/>
        <v>136.30539999999999</v>
      </c>
      <c r="AC17" s="1098"/>
      <c r="AD17" s="1098"/>
      <c r="AE17" s="1098">
        <v>0</v>
      </c>
      <c r="AF17" s="1098">
        <f t="shared" si="3"/>
        <v>136.30539999999999</v>
      </c>
      <c r="AH17" s="2115"/>
      <c r="AI17" s="2113"/>
      <c r="AJ17" s="2113"/>
      <c r="AK17" s="2113"/>
      <c r="AL17" s="2113"/>
      <c r="AN17" s="2985"/>
      <c r="AO17" s="2985"/>
      <c r="AP17" s="2985"/>
      <c r="AQ17" s="2985"/>
      <c r="AR17" s="2985"/>
      <c r="AS17" s="2793"/>
    </row>
    <row r="18" spans="1:45" x14ac:dyDescent="0.25">
      <c r="A18" s="122" t="s">
        <v>124</v>
      </c>
      <c r="B18" s="2951" t="s">
        <v>42</v>
      </c>
      <c r="C18" s="2797" t="s">
        <v>43</v>
      </c>
      <c r="D18" s="2931" t="s">
        <v>40</v>
      </c>
      <c r="E18" s="2761">
        <f>Виробництво_Транспортування_1ст!C15</f>
        <v>331.25</v>
      </c>
      <c r="F18" s="2759">
        <f>Виробництво_Транспортування_1ст!D15</f>
        <v>395.67</v>
      </c>
      <c r="G18" s="2759">
        <f>Виробництво_Транспортування_1ст!E15</f>
        <v>396.4</v>
      </c>
      <c r="H18" s="2760">
        <f>L18+P18+T18+X18</f>
        <v>466.11</v>
      </c>
      <c r="I18" s="2761">
        <f>E18*($I$55/$E$55)</f>
        <v>0</v>
      </c>
      <c r="J18" s="2759">
        <f>F18*($J$55/$F$55)</f>
        <v>0</v>
      </c>
      <c r="K18" s="2759">
        <v>0</v>
      </c>
      <c r="L18" s="2760">
        <f>Виробництво_Транспортування_1ст!G15</f>
        <v>0</v>
      </c>
      <c r="M18" s="2778">
        <f>E18*($M$55/$E$55)</f>
        <v>0</v>
      </c>
      <c r="N18" s="2762">
        <f>F18*($N$55/$F$55)</f>
        <v>0</v>
      </c>
      <c r="O18" s="2759">
        <v>0</v>
      </c>
      <c r="P18" s="2973">
        <f>Виробництво_Транспортування_1ст!H15</f>
        <v>0</v>
      </c>
      <c r="Q18" s="2779">
        <f>E18*$Q$55/$E$55</f>
        <v>0</v>
      </c>
      <c r="R18" s="2780">
        <f>F18*($R$55/$F$55)</f>
        <v>8.8699999999999992</v>
      </c>
      <c r="S18" s="2762">
        <v>0</v>
      </c>
      <c r="T18" s="2760">
        <f>Виробництво_Транспортування_1ст!I15</f>
        <v>0</v>
      </c>
      <c r="U18" s="2779">
        <f>Виробництво_Транспортування_1ст!C15</f>
        <v>331.25</v>
      </c>
      <c r="V18" s="2762">
        <f>F18*$V$55/$F$55</f>
        <v>386.8</v>
      </c>
      <c r="W18" s="2762">
        <v>396.4</v>
      </c>
      <c r="X18" s="2760">
        <f>Виробництво_Транспортування_1ст!J15</f>
        <v>466.11</v>
      </c>
      <c r="Y18" s="116"/>
      <c r="AB18" s="1098">
        <f t="shared" si="1"/>
        <v>43.688899999999997</v>
      </c>
      <c r="AC18" s="1098"/>
      <c r="AD18" s="1098"/>
      <c r="AE18" s="1098">
        <v>0</v>
      </c>
      <c r="AF18" s="1098">
        <f t="shared" si="3"/>
        <v>43.688899999999997</v>
      </c>
      <c r="AH18" s="2115"/>
      <c r="AI18" s="2113"/>
      <c r="AJ18" s="2113"/>
      <c r="AK18" s="2113"/>
      <c r="AL18" s="2113"/>
      <c r="AN18" s="2985"/>
      <c r="AO18" s="2985"/>
      <c r="AP18" s="2985"/>
      <c r="AQ18" s="2985"/>
      <c r="AR18" s="2985"/>
      <c r="AS18" s="2793"/>
    </row>
    <row r="19" spans="1:45" ht="60.75" customHeight="1" x14ac:dyDescent="0.25">
      <c r="A19" s="122"/>
      <c r="B19" s="2952" t="s">
        <v>44</v>
      </c>
      <c r="C19" s="2798" t="s">
        <v>1908</v>
      </c>
      <c r="D19" s="2931" t="s">
        <v>40</v>
      </c>
      <c r="E19" s="2761">
        <v>0</v>
      </c>
      <c r="F19" s="2759">
        <v>0</v>
      </c>
      <c r="G19" s="2759">
        <v>0</v>
      </c>
      <c r="H19" s="2760">
        <f>H20+H21</f>
        <v>0</v>
      </c>
      <c r="I19" s="2761">
        <f>I20+I21</f>
        <v>0</v>
      </c>
      <c r="J19" s="2759">
        <f>J20+J21</f>
        <v>0</v>
      </c>
      <c r="K19" s="2759">
        <v>0</v>
      </c>
      <c r="L19" s="2760">
        <f>L20+L21</f>
        <v>0</v>
      </c>
      <c r="M19" s="2761">
        <f t="shared" ref="M19:X19" si="6">M20+M21</f>
        <v>0</v>
      </c>
      <c r="N19" s="2759">
        <f t="shared" si="6"/>
        <v>0</v>
      </c>
      <c r="O19" s="2759">
        <v>0</v>
      </c>
      <c r="P19" s="2973">
        <f t="shared" si="6"/>
        <v>0</v>
      </c>
      <c r="Q19" s="2761">
        <f t="shared" si="6"/>
        <v>0</v>
      </c>
      <c r="R19" s="2763">
        <f t="shared" si="6"/>
        <v>0</v>
      </c>
      <c r="S19" s="2759">
        <v>0</v>
      </c>
      <c r="T19" s="2760">
        <f t="shared" si="6"/>
        <v>0</v>
      </c>
      <c r="U19" s="2761">
        <f t="shared" si="6"/>
        <v>0</v>
      </c>
      <c r="V19" s="2759">
        <f t="shared" si="6"/>
        <v>0</v>
      </c>
      <c r="W19" s="2759">
        <v>0</v>
      </c>
      <c r="X19" s="2760">
        <f t="shared" si="6"/>
        <v>0</v>
      </c>
      <c r="Y19" s="903"/>
      <c r="AB19" s="1098">
        <f t="shared" si="1"/>
        <v>0</v>
      </c>
      <c r="AC19" s="1098"/>
      <c r="AD19" s="1098"/>
      <c r="AE19" s="1098">
        <v>0</v>
      </c>
      <c r="AF19" s="1098">
        <f t="shared" si="3"/>
        <v>0</v>
      </c>
      <c r="AH19" s="2115"/>
      <c r="AI19" s="2113"/>
      <c r="AJ19" s="2113"/>
      <c r="AK19" s="2113"/>
      <c r="AL19" s="2113"/>
      <c r="AN19" s="2985"/>
      <c r="AO19" s="2985"/>
      <c r="AP19" s="2985"/>
      <c r="AQ19" s="2985"/>
      <c r="AR19" s="2985"/>
      <c r="AS19" s="2793"/>
    </row>
    <row r="20" spans="1:45" x14ac:dyDescent="0.25">
      <c r="A20" s="122"/>
      <c r="B20" s="2952" t="s">
        <v>558</v>
      </c>
      <c r="C20" s="2798" t="s">
        <v>559</v>
      </c>
      <c r="D20" s="2931" t="s">
        <v>40</v>
      </c>
      <c r="E20" s="2761">
        <v>0</v>
      </c>
      <c r="F20" s="2759">
        <v>0</v>
      </c>
      <c r="G20" s="2759">
        <v>0</v>
      </c>
      <c r="H20" s="2760">
        <f>L20+P20+T20+X20</f>
        <v>0</v>
      </c>
      <c r="I20" s="2779">
        <v>0</v>
      </c>
      <c r="J20" s="2762">
        <v>0</v>
      </c>
      <c r="K20" s="2762">
        <v>0</v>
      </c>
      <c r="L20" s="2760">
        <v>0</v>
      </c>
      <c r="M20" s="2779">
        <v>0</v>
      </c>
      <c r="N20" s="2762">
        <v>0</v>
      </c>
      <c r="O20" s="2759">
        <v>0</v>
      </c>
      <c r="P20" s="2973">
        <v>0</v>
      </c>
      <c r="Q20" s="2779">
        <v>0</v>
      </c>
      <c r="R20" s="2780">
        <v>0</v>
      </c>
      <c r="S20" s="2762">
        <v>0</v>
      </c>
      <c r="T20" s="2760">
        <v>0</v>
      </c>
      <c r="U20" s="2779">
        <v>0</v>
      </c>
      <c r="V20" s="2762">
        <v>0</v>
      </c>
      <c r="W20" s="2762">
        <v>0</v>
      </c>
      <c r="X20" s="2760">
        <v>0</v>
      </c>
      <c r="Y20" s="903"/>
      <c r="AB20" s="1098">
        <f t="shared" si="1"/>
        <v>0</v>
      </c>
      <c r="AC20" s="1098"/>
      <c r="AD20" s="1098"/>
      <c r="AE20" s="1098">
        <v>0</v>
      </c>
      <c r="AF20" s="1098">
        <f t="shared" si="3"/>
        <v>0</v>
      </c>
      <c r="AH20" s="2115"/>
      <c r="AI20" s="2113"/>
      <c r="AJ20" s="2113"/>
      <c r="AK20" s="2113"/>
      <c r="AL20" s="2113"/>
      <c r="AN20" s="2985"/>
      <c r="AO20" s="2985"/>
      <c r="AP20" s="2985"/>
      <c r="AQ20" s="2985"/>
      <c r="AR20" s="2985"/>
      <c r="AS20" s="2793"/>
    </row>
    <row r="21" spans="1:45" ht="22.9" customHeight="1" x14ac:dyDescent="0.25">
      <c r="A21" s="122"/>
      <c r="B21" s="2952" t="s">
        <v>560</v>
      </c>
      <c r="C21" s="2798" t="s">
        <v>561</v>
      </c>
      <c r="D21" s="2931" t="s">
        <v>40</v>
      </c>
      <c r="E21" s="2761">
        <v>0</v>
      </c>
      <c r="F21" s="2759">
        <v>0</v>
      </c>
      <c r="G21" s="2759">
        <v>0</v>
      </c>
      <c r="H21" s="2760">
        <f>L21+P21+T21+X21</f>
        <v>0</v>
      </c>
      <c r="I21" s="2779">
        <v>0</v>
      </c>
      <c r="J21" s="2762">
        <v>0</v>
      </c>
      <c r="K21" s="2762">
        <v>0</v>
      </c>
      <c r="L21" s="2760">
        <v>0</v>
      </c>
      <c r="M21" s="2779">
        <v>0</v>
      </c>
      <c r="N21" s="2762">
        <v>0</v>
      </c>
      <c r="O21" s="2759">
        <v>0</v>
      </c>
      <c r="P21" s="2973">
        <v>0</v>
      </c>
      <c r="Q21" s="2779">
        <v>0</v>
      </c>
      <c r="R21" s="2780">
        <v>0</v>
      </c>
      <c r="S21" s="2762">
        <v>0</v>
      </c>
      <c r="T21" s="2760">
        <v>0</v>
      </c>
      <c r="U21" s="2779">
        <v>0</v>
      </c>
      <c r="V21" s="2762">
        <v>0</v>
      </c>
      <c r="W21" s="2762">
        <v>0</v>
      </c>
      <c r="X21" s="2760">
        <v>0</v>
      </c>
      <c r="Y21" s="903"/>
      <c r="AB21" s="1098">
        <f t="shared" si="1"/>
        <v>0</v>
      </c>
      <c r="AC21" s="1098"/>
      <c r="AD21" s="1098"/>
      <c r="AE21" s="1098">
        <v>0</v>
      </c>
      <c r="AF21" s="1098">
        <f t="shared" si="3"/>
        <v>0</v>
      </c>
      <c r="AH21" s="2115"/>
      <c r="AI21" s="2113"/>
      <c r="AJ21" s="2113"/>
      <c r="AK21" s="2113"/>
      <c r="AL21" s="2113"/>
      <c r="AN21" s="2985"/>
      <c r="AO21" s="2985"/>
      <c r="AP21" s="2985"/>
      <c r="AQ21" s="2985"/>
      <c r="AR21" s="2985"/>
      <c r="AS21" s="2793"/>
    </row>
    <row r="22" spans="1:45" ht="27" customHeight="1" x14ac:dyDescent="0.25">
      <c r="A22" s="122" t="s">
        <v>44</v>
      </c>
      <c r="B22" s="2952" t="s">
        <v>45</v>
      </c>
      <c r="C22" s="2799" t="s">
        <v>1610</v>
      </c>
      <c r="D22" s="2932" t="s">
        <v>40</v>
      </c>
      <c r="E22" s="2761">
        <f>Виробництво_Транспортування_1ст!C16</f>
        <v>41.59</v>
      </c>
      <c r="F22" s="2759">
        <f>Виробництво_Транспортування_1ст!D16</f>
        <v>51.02</v>
      </c>
      <c r="G22" s="2759">
        <f>Виробництво_Транспортування_1ст!E16</f>
        <v>29.5</v>
      </c>
      <c r="H22" s="2760">
        <f>L22+P22+T22+X22</f>
        <v>38.79</v>
      </c>
      <c r="I22" s="2761">
        <f>E22*($I$55/$E$55)</f>
        <v>0</v>
      </c>
      <c r="J22" s="2759">
        <f>F22*($J$55/$F$55)</f>
        <v>0</v>
      </c>
      <c r="K22" s="2759">
        <v>0</v>
      </c>
      <c r="L22" s="2760">
        <f>Виробництво_Транспортування_1ст!G16</f>
        <v>0</v>
      </c>
      <c r="M22" s="2778">
        <f>E22*($M$55/$E$55)</f>
        <v>0</v>
      </c>
      <c r="N22" s="2762">
        <f>F22*($N$55/$F$55)</f>
        <v>0</v>
      </c>
      <c r="O22" s="2763">
        <v>0</v>
      </c>
      <c r="P22" s="2978">
        <f>Виробництво_Транспортування_1ст!H16</f>
        <v>0</v>
      </c>
      <c r="Q22" s="2779">
        <f>E22*$Q$55/$E$55</f>
        <v>0</v>
      </c>
      <c r="R22" s="2780">
        <f>F22*($R$55/$F$55)</f>
        <v>1.1439999999999999</v>
      </c>
      <c r="S22" s="2762">
        <v>0</v>
      </c>
      <c r="T22" s="2760">
        <f>Виробництво_Транспортування_1ст!I16</f>
        <v>0</v>
      </c>
      <c r="U22" s="2779">
        <f>Виробництво_Транспортування_1ст!C16</f>
        <v>41.59</v>
      </c>
      <c r="V22" s="2762">
        <f>F22*$V$55/$F$55</f>
        <v>49.88</v>
      </c>
      <c r="W22" s="2759">
        <v>29.5</v>
      </c>
      <c r="X22" s="2760">
        <f>Виробництво_Транспортування_1ст!J16</f>
        <v>38.79</v>
      </c>
      <c r="Y22" s="154"/>
      <c r="AB22" s="1098">
        <f t="shared" si="1"/>
        <v>3.6358000000000001</v>
      </c>
      <c r="AC22" s="1098"/>
      <c r="AD22" s="1098"/>
      <c r="AE22" s="1098">
        <v>0</v>
      </c>
      <c r="AF22" s="1098">
        <f t="shared" si="3"/>
        <v>3.6358000000000001</v>
      </c>
      <c r="AH22" s="2115"/>
      <c r="AI22" s="2113"/>
      <c r="AJ22" s="2113"/>
      <c r="AK22" s="2113"/>
      <c r="AL22" s="2113"/>
      <c r="AN22" s="2985"/>
      <c r="AO22" s="2985"/>
      <c r="AP22" s="2985"/>
      <c r="AQ22" s="2985"/>
      <c r="AR22" s="2985"/>
      <c r="AS22" s="2793"/>
    </row>
    <row r="23" spans="1:45" ht="15" customHeight="1" x14ac:dyDescent="0.25">
      <c r="A23" s="122"/>
      <c r="B23" s="2952" t="s">
        <v>46</v>
      </c>
      <c r="C23" s="2609" t="s">
        <v>598</v>
      </c>
      <c r="D23" s="2932" t="s">
        <v>40</v>
      </c>
      <c r="E23" s="2761">
        <f>Виробництво_Транспортування_1ст!C10-Виробництво_Транспортування_1ст!C11-Виробництво_Транспортування_1ст!C15-Виробництво_Транспортування_1ст!C16</f>
        <v>116.85</v>
      </c>
      <c r="F23" s="2759">
        <f>Виробництво_Транспортування_1ст!D10-Виробництво_Транспортування_1ст!D11-Виробництво_Транспортування_1ст!D15-Виробництво_Транспортування_1ст!D16</f>
        <v>190.85</v>
      </c>
      <c r="G23" s="2759">
        <f>Виробництво_Транспортування_1ст!E10-Виробництво_Транспортування_1ст!E11-Виробництво_Транспортування_1ст!E15-Виробництво_Транспортування_1ст!E16</f>
        <v>172.8</v>
      </c>
      <c r="H23" s="2760">
        <f>L23+P23+T23+X23</f>
        <v>246.99</v>
      </c>
      <c r="I23" s="2761">
        <f>E23*($I$55/$E$55)</f>
        <v>0</v>
      </c>
      <c r="J23" s="2759">
        <f>F23*($J$55/$F$55)</f>
        <v>0</v>
      </c>
      <c r="K23" s="2759">
        <v>0</v>
      </c>
      <c r="L23" s="2760">
        <f>Виробництво_Транспортування_1ст!G10-Виробництво_Транспортування_1ст!G11-Виробництво_Транспортування_1ст!G15-Виробництво_Транспортування_1ст!G16</f>
        <v>0</v>
      </c>
      <c r="M23" s="2778">
        <f>E23*($M$55/$E$55)</f>
        <v>0</v>
      </c>
      <c r="N23" s="2762">
        <f>F23*($N$55/$F$55)</f>
        <v>0</v>
      </c>
      <c r="O23" s="2759">
        <v>0</v>
      </c>
      <c r="P23" s="2973">
        <f>Виробництво_Транспортування_1ст!H10-Виробництво_Транспортування_1ст!H11-Виробництво_Транспортування_1ст!H15-Виробництво_Транспортування_1ст!H16</f>
        <v>0</v>
      </c>
      <c r="Q23" s="2779">
        <f>E23*$Q$55/$E$55</f>
        <v>0</v>
      </c>
      <c r="R23" s="2780">
        <f>F23*$R$55/$F$55</f>
        <v>4.2779999999999996</v>
      </c>
      <c r="S23" s="2762">
        <v>0</v>
      </c>
      <c r="T23" s="2760">
        <f>Виробництво_Транспортування_1ст!I10-Виробництво_Транспортування_1ст!I11-Виробництво_Транспортування_1ст!I15-Виробництво_Транспортування_1ст!I16</f>
        <v>0</v>
      </c>
      <c r="U23" s="2779">
        <f>Виробництво_Транспортування_1ст!C10-Виробництво_Транспортування_1ст!C11-Виробництво_Транспортування_1ст!C15-Виробництво_Транспортування_1ст!C16</f>
        <v>116.85</v>
      </c>
      <c r="V23" s="2762">
        <f>F23*$V$55/$F$55</f>
        <v>186.57</v>
      </c>
      <c r="W23" s="2759">
        <v>172.8</v>
      </c>
      <c r="X23" s="2760">
        <f>Виробництво_Транспортування_1ст!J10-Виробництво_Транспортування_1ст!J11-Виробництво_Транспортування_1ст!J15-Виробництво_Транспортування_1ст!J16</f>
        <v>246.99</v>
      </c>
      <c r="Y23" s="154"/>
      <c r="AB23" s="1098">
        <f t="shared" si="1"/>
        <v>23.150600000000001</v>
      </c>
      <c r="AC23" s="1098"/>
      <c r="AD23" s="1098"/>
      <c r="AE23" s="1098">
        <v>0</v>
      </c>
      <c r="AF23" s="1098">
        <f t="shared" si="3"/>
        <v>23.150600000000001</v>
      </c>
      <c r="AH23" s="2115"/>
      <c r="AI23" s="2113"/>
      <c r="AJ23" s="2113"/>
      <c r="AK23" s="2113"/>
      <c r="AL23" s="2113"/>
      <c r="AN23" s="2985"/>
      <c r="AO23" s="2985"/>
      <c r="AP23" s="2985"/>
      <c r="AQ23" s="2985"/>
      <c r="AR23" s="2985"/>
      <c r="AS23" s="2793"/>
    </row>
    <row r="24" spans="1:45" x14ac:dyDescent="0.25">
      <c r="A24" s="122" t="s">
        <v>24</v>
      </c>
      <c r="B24" s="2950" t="s">
        <v>24</v>
      </c>
      <c r="C24" s="2799" t="s">
        <v>47</v>
      </c>
      <c r="D24" s="2932" t="s">
        <v>40</v>
      </c>
      <c r="E24" s="2761">
        <f>Виробництво_Транспортування_1ст!C28</f>
        <v>4059.09</v>
      </c>
      <c r="F24" s="2759">
        <f>Виробництво_Транспортування_1ст!D28</f>
        <v>4389.88</v>
      </c>
      <c r="G24" s="2759">
        <f>Виробництво_Транспортування_1ст!E28</f>
        <v>3975.1</v>
      </c>
      <c r="H24" s="2760">
        <f>L24+P24+T24+X24</f>
        <v>5029.51</v>
      </c>
      <c r="I24" s="2761">
        <f>E24*($I$55/$E$55)</f>
        <v>0</v>
      </c>
      <c r="J24" s="2759">
        <f>F24*($J$55/$F$55)</f>
        <v>0</v>
      </c>
      <c r="K24" s="2759">
        <v>0</v>
      </c>
      <c r="L24" s="2760">
        <f>Виробництво_Транспортування_1ст!G28</f>
        <v>0</v>
      </c>
      <c r="M24" s="2778">
        <f>E24*($M$55/$E$55)</f>
        <v>0</v>
      </c>
      <c r="N24" s="2762">
        <f>F24*($N$55/$F$55)</f>
        <v>0</v>
      </c>
      <c r="O24" s="2759">
        <v>0</v>
      </c>
      <c r="P24" s="2973">
        <f>Виробництво_Транспортування_1ст!H28</f>
        <v>0</v>
      </c>
      <c r="Q24" s="2779">
        <f>E24*$Q$55/$E$55</f>
        <v>0</v>
      </c>
      <c r="R24" s="2780">
        <f>F24*$R$55/$F$55</f>
        <v>98.411000000000001</v>
      </c>
      <c r="S24" s="2762">
        <v>0</v>
      </c>
      <c r="T24" s="2760">
        <f>Виробництво_Транспортування_1ст!I28</f>
        <v>0</v>
      </c>
      <c r="U24" s="2779">
        <f>Виробництво_Транспортування_1ст!C28</f>
        <v>4059.09</v>
      </c>
      <c r="V24" s="2762">
        <f>F24*$V$55/$F$55</f>
        <v>4291.47</v>
      </c>
      <c r="W24" s="2759">
        <v>3975.1</v>
      </c>
      <c r="X24" s="2760">
        <f>Виробництво_Транспортування_1ст!J28</f>
        <v>5029.51</v>
      </c>
      <c r="AB24" s="1098">
        <f t="shared" si="1"/>
        <v>471.4205</v>
      </c>
      <c r="AC24" s="1098"/>
      <c r="AD24" s="1098"/>
      <c r="AE24" s="1098">
        <v>0</v>
      </c>
      <c r="AF24" s="1098">
        <f t="shared" si="3"/>
        <v>471.4205</v>
      </c>
      <c r="AH24" s="2115"/>
      <c r="AI24" s="2113"/>
      <c r="AJ24" s="2113"/>
      <c r="AK24" s="2113"/>
      <c r="AL24" s="2113"/>
      <c r="AN24" s="2985"/>
      <c r="AO24" s="2985"/>
      <c r="AP24" s="2985"/>
      <c r="AQ24" s="2985"/>
      <c r="AR24" s="2985"/>
      <c r="AS24" s="2793"/>
    </row>
    <row r="25" spans="1:45" x14ac:dyDescent="0.25">
      <c r="A25" s="122" t="s">
        <v>48</v>
      </c>
      <c r="B25" s="2950" t="s">
        <v>48</v>
      </c>
      <c r="C25" s="2799" t="s">
        <v>226</v>
      </c>
      <c r="D25" s="2932" t="s">
        <v>40</v>
      </c>
      <c r="E25" s="2761">
        <f>Виробництво_Транспортування_1ст!C30</f>
        <v>4744.5</v>
      </c>
      <c r="F25" s="2759">
        <f>Виробництво_Транспортування_1ст!D30</f>
        <v>6301.9</v>
      </c>
      <c r="G25" s="2759">
        <f>Виробництво_Транспортування_1ст!E30</f>
        <v>3363.5</v>
      </c>
      <c r="H25" s="2760">
        <f t="shared" ref="H25:X25" si="7">H26+H27+H28</f>
        <v>7104.5</v>
      </c>
      <c r="I25" s="2761">
        <f t="shared" si="7"/>
        <v>0</v>
      </c>
      <c r="J25" s="2759">
        <f t="shared" si="7"/>
        <v>0</v>
      </c>
      <c r="K25" s="2759">
        <v>0</v>
      </c>
      <c r="L25" s="2760">
        <f t="shared" si="7"/>
        <v>0</v>
      </c>
      <c r="M25" s="2761">
        <f t="shared" si="7"/>
        <v>0</v>
      </c>
      <c r="N25" s="2759">
        <f t="shared" si="7"/>
        <v>0</v>
      </c>
      <c r="O25" s="2759">
        <v>0</v>
      </c>
      <c r="P25" s="2973">
        <f t="shared" si="7"/>
        <v>0</v>
      </c>
      <c r="Q25" s="2761">
        <f t="shared" si="7"/>
        <v>0</v>
      </c>
      <c r="R25" s="2763">
        <f t="shared" si="7"/>
        <v>141.273</v>
      </c>
      <c r="S25" s="2759">
        <v>0</v>
      </c>
      <c r="T25" s="2760">
        <f t="shared" si="7"/>
        <v>0</v>
      </c>
      <c r="U25" s="2761">
        <f>Виробництво_Транспортування_1ст!C30</f>
        <v>4744.5</v>
      </c>
      <c r="V25" s="2759">
        <f t="shared" si="7"/>
        <v>6160.63</v>
      </c>
      <c r="W25" s="2759">
        <v>3363.5</v>
      </c>
      <c r="X25" s="2760">
        <f t="shared" si="7"/>
        <v>7104.5</v>
      </c>
      <c r="AB25" s="1098">
        <f t="shared" si="1"/>
        <v>665.91120000000001</v>
      </c>
      <c r="AC25" s="1098"/>
      <c r="AD25" s="1098"/>
      <c r="AE25" s="1098">
        <v>0</v>
      </c>
      <c r="AF25" s="1098">
        <f t="shared" si="3"/>
        <v>665.91120000000001</v>
      </c>
      <c r="AH25" s="2115"/>
      <c r="AI25" s="2113"/>
      <c r="AJ25" s="2113"/>
      <c r="AK25" s="2113"/>
      <c r="AL25" s="2113"/>
      <c r="AN25" s="2985"/>
      <c r="AO25" s="2985"/>
      <c r="AP25" s="2985"/>
      <c r="AQ25" s="2985"/>
      <c r="AR25" s="2985"/>
      <c r="AS25" s="2793"/>
    </row>
    <row r="26" spans="1:45" ht="22.5" x14ac:dyDescent="0.25">
      <c r="A26" s="122" t="s">
        <v>49</v>
      </c>
      <c r="B26" s="2951" t="s">
        <v>49</v>
      </c>
      <c r="C26" s="2795" t="s">
        <v>451</v>
      </c>
      <c r="D26" s="2931" t="s">
        <v>40</v>
      </c>
      <c r="E26" s="2761">
        <f>Виробництво_Транспортування_1ст!C31</f>
        <v>898.92</v>
      </c>
      <c r="F26" s="2759">
        <f>Виробництво_Транспортування_1ст!D31</f>
        <v>978.34</v>
      </c>
      <c r="G26" s="2759">
        <f>Виробництво_Транспортування_1ст!E31</f>
        <v>874.5</v>
      </c>
      <c r="H26" s="2760">
        <f>L26+P26+T26+X26</f>
        <v>1106.49</v>
      </c>
      <c r="I26" s="2761">
        <f>E26*($I$55/$E$55)</f>
        <v>0</v>
      </c>
      <c r="J26" s="2759">
        <f>F26*($J$55/$F$55)</f>
        <v>0</v>
      </c>
      <c r="K26" s="2759">
        <v>0</v>
      </c>
      <c r="L26" s="2760">
        <f>Виробництво_Транспортування_1ст!G31</f>
        <v>0</v>
      </c>
      <c r="M26" s="2778">
        <f>E26*($M$55/$E$55)</f>
        <v>0</v>
      </c>
      <c r="N26" s="2762">
        <f>F26*($N$55/$F$55)</f>
        <v>0</v>
      </c>
      <c r="O26" s="2759">
        <v>0</v>
      </c>
      <c r="P26" s="2973">
        <f>Виробництво_Транспортування_1ст!H31</f>
        <v>0</v>
      </c>
      <c r="Q26" s="2779">
        <f>E26*$Q$55/$E$55</f>
        <v>0</v>
      </c>
      <c r="R26" s="2780">
        <f>F26*$R$55/$F$55</f>
        <v>21.931999999999999</v>
      </c>
      <c r="S26" s="2762">
        <v>0</v>
      </c>
      <c r="T26" s="2760">
        <f>Виробництво_Транспортування_1ст!I31</f>
        <v>0</v>
      </c>
      <c r="U26" s="2779">
        <f>Виробництво_Транспортування_1ст!C31</f>
        <v>898.92</v>
      </c>
      <c r="V26" s="2762">
        <f>F26*$V$55/$F$55</f>
        <v>956.41</v>
      </c>
      <c r="W26" s="2759">
        <v>874.5</v>
      </c>
      <c r="X26" s="2760">
        <f>Виробництво_Транспортування_1ст!J31</f>
        <v>1106.49</v>
      </c>
      <c r="AB26" s="1098">
        <f t="shared" si="1"/>
        <v>103.7123</v>
      </c>
      <c r="AC26" s="1098"/>
      <c r="AD26" s="1098"/>
      <c r="AE26" s="1098">
        <v>0</v>
      </c>
      <c r="AF26" s="1098">
        <f t="shared" si="3"/>
        <v>103.7123</v>
      </c>
      <c r="AH26" s="2115"/>
      <c r="AI26" s="2113"/>
      <c r="AJ26" s="2113"/>
      <c r="AK26" s="2113"/>
      <c r="AL26" s="2113"/>
      <c r="AN26" s="2985"/>
      <c r="AO26" s="2985"/>
      <c r="AP26" s="2985"/>
      <c r="AQ26" s="2985"/>
      <c r="AR26" s="2985"/>
      <c r="AS26" s="2793"/>
    </row>
    <row r="27" spans="1:45" x14ac:dyDescent="0.25">
      <c r="A27" s="122" t="s">
        <v>50</v>
      </c>
      <c r="B27" s="2951" t="s">
        <v>50</v>
      </c>
      <c r="C27" s="2797" t="s">
        <v>452</v>
      </c>
      <c r="D27" s="2931" t="s">
        <v>40</v>
      </c>
      <c r="E27" s="2761">
        <f>Виробництво_Транспортування_1ст!C32+Виробництво_Транспортування_1ст!C33</f>
        <v>1513.73</v>
      </c>
      <c r="F27" s="2759">
        <f>Виробництво_Транспортування_1ст!D32+Виробництво_Транспортування_1ст!D33</f>
        <v>1500.25</v>
      </c>
      <c r="G27" s="2759">
        <f>Виробництво_Транспортування_1ст!E32+Виробництво_Транспортування_1ст!E33</f>
        <v>1870.7</v>
      </c>
      <c r="H27" s="2760">
        <f>L27+P27+T27+X27</f>
        <v>2255</v>
      </c>
      <c r="I27" s="2761">
        <f>E27*($I$55/$E$55)</f>
        <v>0</v>
      </c>
      <c r="J27" s="2759">
        <f>F27*($J$55/$F$55)</f>
        <v>0</v>
      </c>
      <c r="K27" s="2759">
        <v>0</v>
      </c>
      <c r="L27" s="2760">
        <f>Виробництво_Транспортування_1ст!G32+Виробництво_Транспортування_1ст!G33</f>
        <v>0</v>
      </c>
      <c r="M27" s="2778">
        <f>E27*($M$55/$E$55)</f>
        <v>0</v>
      </c>
      <c r="N27" s="2762">
        <f>F27*($N$55/$F$55)</f>
        <v>0</v>
      </c>
      <c r="O27" s="2759">
        <v>0</v>
      </c>
      <c r="P27" s="2973">
        <f>Виробництво_Транспортування_1ст!H32+Виробництво_Транспортування_1ст!H33</f>
        <v>0</v>
      </c>
      <c r="Q27" s="2779">
        <f>E27*$Q$55/$E$55</f>
        <v>0</v>
      </c>
      <c r="R27" s="2780">
        <f>F27*$R$55/$F$55</f>
        <v>33.631999999999998</v>
      </c>
      <c r="S27" s="2762">
        <v>0</v>
      </c>
      <c r="T27" s="2760">
        <f>Виробництво_Транспортування_1ст!I32+Виробництво_Транспортування_1ст!I33</f>
        <v>0</v>
      </c>
      <c r="U27" s="2779">
        <f>Виробництво_Транспортування_1ст!C32</f>
        <v>1513.73</v>
      </c>
      <c r="V27" s="2762">
        <f>F27*$V$55/$F$55</f>
        <v>1466.62</v>
      </c>
      <c r="W27" s="2759">
        <v>1870.7</v>
      </c>
      <c r="X27" s="2760">
        <f>Виробництво_Транспортування_1ст!J32+Виробництво_Транспортування_1ст!J33</f>
        <v>2255</v>
      </c>
      <c r="AB27" s="1098">
        <f t="shared" si="1"/>
        <v>211.36320000000001</v>
      </c>
      <c r="AC27" s="1098"/>
      <c r="AD27" s="1098"/>
      <c r="AE27" s="1098">
        <v>0</v>
      </c>
      <c r="AF27" s="1098">
        <f t="shared" si="3"/>
        <v>211.36320000000001</v>
      </c>
      <c r="AH27" s="2115"/>
      <c r="AI27" s="2113"/>
      <c r="AJ27" s="2113"/>
      <c r="AK27" s="2113"/>
      <c r="AL27" s="2113"/>
      <c r="AN27" s="2985"/>
      <c r="AO27" s="2985"/>
      <c r="AP27" s="2985"/>
      <c r="AQ27" s="2985"/>
      <c r="AR27" s="2985"/>
      <c r="AS27" s="2793"/>
    </row>
    <row r="28" spans="1:45" x14ac:dyDescent="0.25">
      <c r="A28" s="122" t="s">
        <v>125</v>
      </c>
      <c r="B28" s="2951" t="s">
        <v>51</v>
      </c>
      <c r="C28" s="2797" t="s">
        <v>52</v>
      </c>
      <c r="D28" s="2931" t="s">
        <v>40</v>
      </c>
      <c r="E28" s="2761">
        <f>E25-E26-E27</f>
        <v>2331.85</v>
      </c>
      <c r="F28" s="2759">
        <f>F25-F26-F27</f>
        <v>3823.31</v>
      </c>
      <c r="G28" s="2759">
        <f>G25-G26-G27</f>
        <v>618.29999999999995</v>
      </c>
      <c r="H28" s="2760">
        <f>L28+P28+T28+X28</f>
        <v>3743.01</v>
      </c>
      <c r="I28" s="2761">
        <f>E28*($I$55/$E$55)</f>
        <v>0</v>
      </c>
      <c r="J28" s="2759">
        <f>F28*($J$55/$F$55)</f>
        <v>0</v>
      </c>
      <c r="K28" s="2759">
        <v>0</v>
      </c>
      <c r="L28" s="2760">
        <f>Виробництво_Транспортування_1ст!G30-Виробництво_Транспортування_1ст!G31-Виробництво_Транспортування_1ст!G32-Виробництво_Транспортування_1ст!G33</f>
        <v>0</v>
      </c>
      <c r="M28" s="2778">
        <f>E28*($M$55/$E$55)</f>
        <v>0</v>
      </c>
      <c r="N28" s="2762">
        <f>F28*($N$55/$F$55)</f>
        <v>0</v>
      </c>
      <c r="O28" s="2759">
        <v>0</v>
      </c>
      <c r="P28" s="2973">
        <f>Виробництво_Транспортування_1ст!H30-Виробництво_Транспортування_1ст!H31-Виробництво_Транспортування_1ст!H32-Виробництво_Транспортування_1ст!H33</f>
        <v>0</v>
      </c>
      <c r="Q28" s="2779">
        <f>E28*$Q$55/$E$55</f>
        <v>0</v>
      </c>
      <c r="R28" s="2780">
        <f>F28*$R$55/$F$55</f>
        <v>85.709000000000003</v>
      </c>
      <c r="S28" s="2762">
        <v>0</v>
      </c>
      <c r="T28" s="2760">
        <f>Виробництво_Транспортування_1ст!I30-Виробництво_Транспортування_1ст!I31-Виробництво_Транспортування_1ст!I32-Виробництво_Транспортування_1ст!I33</f>
        <v>0</v>
      </c>
      <c r="U28" s="2779">
        <f>U25-U26-U27</f>
        <v>2331.85</v>
      </c>
      <c r="V28" s="2762">
        <f>F28*$V$55/$F$55</f>
        <v>3737.6</v>
      </c>
      <c r="W28" s="2759">
        <v>618.29999999999995</v>
      </c>
      <c r="X28" s="2760">
        <f>Виробництво_Транспортування_1ст!J30-Виробництво_Транспортування_1ст!J31-Виробництво_Транспортування_1ст!J32-Виробництво_Транспортування_1ст!J33</f>
        <v>3743.01</v>
      </c>
      <c r="Y28" s="907"/>
      <c r="AB28" s="1098">
        <f t="shared" si="1"/>
        <v>350.83569999999997</v>
      </c>
      <c r="AC28" s="1098"/>
      <c r="AD28" s="1098"/>
      <c r="AE28" s="1098">
        <v>0</v>
      </c>
      <c r="AF28" s="1098">
        <f t="shared" si="3"/>
        <v>350.83569999999997</v>
      </c>
      <c r="AH28" s="2115"/>
      <c r="AI28" s="2113"/>
      <c r="AJ28" s="2113"/>
      <c r="AK28" s="2113"/>
      <c r="AL28" s="2113"/>
      <c r="AN28" s="2985"/>
      <c r="AO28" s="2985"/>
      <c r="AP28" s="2985"/>
      <c r="AQ28" s="2985"/>
      <c r="AR28" s="2985"/>
      <c r="AS28" s="2793"/>
    </row>
    <row r="29" spans="1:45" s="121" customFormat="1" x14ac:dyDescent="0.25">
      <c r="A29" s="119" t="s">
        <v>53</v>
      </c>
      <c r="B29" s="2953" t="s">
        <v>53</v>
      </c>
      <c r="C29" s="2800" t="s">
        <v>227</v>
      </c>
      <c r="D29" s="2801" t="s">
        <v>40</v>
      </c>
      <c r="E29" s="2774">
        <f>E30+E31+E32</f>
        <v>2785.41</v>
      </c>
      <c r="F29" s="2772">
        <f>F30+F31+F32</f>
        <v>2929.97</v>
      </c>
      <c r="G29" s="2772">
        <f>G30+G31+G32</f>
        <v>3576.8</v>
      </c>
      <c r="H29" s="2770">
        <f>ЗВВ_1ст!G8</f>
        <v>3419.56</v>
      </c>
      <c r="I29" s="2774">
        <f t="shared" ref="I29:W29" si="8">I30+I31+I32</f>
        <v>0</v>
      </c>
      <c r="J29" s="2772">
        <f t="shared" si="8"/>
        <v>0</v>
      </c>
      <c r="K29" s="2772">
        <v>0</v>
      </c>
      <c r="L29" s="2770">
        <f t="shared" si="8"/>
        <v>0</v>
      </c>
      <c r="M29" s="2774">
        <f t="shared" si="8"/>
        <v>0</v>
      </c>
      <c r="N29" s="2772">
        <f t="shared" si="8"/>
        <v>0</v>
      </c>
      <c r="O29" s="2772">
        <v>0</v>
      </c>
      <c r="P29" s="2977">
        <f t="shared" si="8"/>
        <v>0</v>
      </c>
      <c r="Q29" s="2774">
        <f t="shared" si="8"/>
        <v>0</v>
      </c>
      <c r="R29" s="2781">
        <f t="shared" si="8"/>
        <v>65.683000000000007</v>
      </c>
      <c r="S29" s="2772">
        <f t="shared" si="8"/>
        <v>0</v>
      </c>
      <c r="T29" s="2770">
        <f t="shared" si="8"/>
        <v>0</v>
      </c>
      <c r="U29" s="2774">
        <f t="shared" si="8"/>
        <v>2785.41</v>
      </c>
      <c r="V29" s="2772">
        <f t="shared" si="8"/>
        <v>2864.29</v>
      </c>
      <c r="W29" s="2772">
        <f t="shared" si="8"/>
        <v>3576.8</v>
      </c>
      <c r="X29" s="2770">
        <f>X30+X31+X32</f>
        <v>3419.56</v>
      </c>
      <c r="Y29" s="1820"/>
      <c r="AB29" s="1098">
        <f t="shared" si="1"/>
        <v>320.51839999999999</v>
      </c>
      <c r="AC29" s="1098"/>
      <c r="AD29" s="1098"/>
      <c r="AE29" s="1098">
        <v>0</v>
      </c>
      <c r="AF29" s="1098">
        <f t="shared" si="3"/>
        <v>320.51839999999999</v>
      </c>
      <c r="AH29" s="2115"/>
      <c r="AI29" s="2113"/>
      <c r="AJ29" s="2113"/>
      <c r="AK29" s="2113"/>
      <c r="AL29" s="2113"/>
      <c r="AM29" s="2113"/>
      <c r="AN29" s="2985"/>
      <c r="AO29" s="2985"/>
      <c r="AP29" s="2985"/>
      <c r="AQ29" s="2985"/>
      <c r="AR29" s="2985"/>
      <c r="AS29" s="2981"/>
    </row>
    <row r="30" spans="1:45" x14ac:dyDescent="0.25">
      <c r="A30" s="122" t="s">
        <v>54</v>
      </c>
      <c r="B30" s="2951" t="s">
        <v>54</v>
      </c>
      <c r="C30" s="2797" t="s">
        <v>55</v>
      </c>
      <c r="D30" s="2969" t="s">
        <v>40</v>
      </c>
      <c r="E30" s="2776">
        <v>1999.66</v>
      </c>
      <c r="F30" s="2759">
        <v>2003.4</v>
      </c>
      <c r="G30" s="2759">
        <v>1684.8</v>
      </c>
      <c r="H30" s="2760">
        <f>ЗВВ_1ст!G21</f>
        <v>2277.36</v>
      </c>
      <c r="I30" s="2761">
        <f>E30*($I$55/$E$55)</f>
        <v>0</v>
      </c>
      <c r="J30" s="2759">
        <f>F30*($J$55/$F$55)</f>
        <v>0</v>
      </c>
      <c r="K30" s="2759">
        <v>0</v>
      </c>
      <c r="L30" s="2760">
        <f>H30*Виробництво_Транспортування_1ст!$G$6</f>
        <v>0</v>
      </c>
      <c r="M30" s="2778">
        <f>E30*($M$55/$E$55)</f>
        <v>0</v>
      </c>
      <c r="N30" s="2762">
        <f>F30*($N$55/$F$55)</f>
        <v>0</v>
      </c>
      <c r="O30" s="2759">
        <v>0</v>
      </c>
      <c r="P30" s="2973">
        <f>H30*Виробництво_Транспортування_1ст!$H$6</f>
        <v>0</v>
      </c>
      <c r="Q30" s="2779">
        <f>E30*$Q$55/$E$55</f>
        <v>0</v>
      </c>
      <c r="R30" s="2780">
        <f>F30*$R$55/$F$55</f>
        <v>44.911000000000001</v>
      </c>
      <c r="S30" s="2762">
        <v>0</v>
      </c>
      <c r="T30" s="2760">
        <f>H30*Виробництво_Транспортування_1ст!$I$6</f>
        <v>0</v>
      </c>
      <c r="U30" s="2779">
        <f>E30*$U$55/$E$55</f>
        <v>1999.66</v>
      </c>
      <c r="V30" s="2762">
        <f>F30*$V$55/$F$55</f>
        <v>1958.49</v>
      </c>
      <c r="W30" s="2762">
        <v>1684.8</v>
      </c>
      <c r="X30" s="2760">
        <f>H30*Виробництво_Транспортування_1ст!$J$6</f>
        <v>2277.36</v>
      </c>
      <c r="Y30" s="907"/>
      <c r="AB30" s="1098">
        <f t="shared" si="1"/>
        <v>213.459</v>
      </c>
      <c r="AC30" s="1098"/>
      <c r="AD30" s="1098"/>
      <c r="AE30" s="1098">
        <v>0</v>
      </c>
      <c r="AF30" s="1098">
        <f t="shared" si="3"/>
        <v>213.459</v>
      </c>
      <c r="AH30" s="2115"/>
      <c r="AI30" s="2113"/>
      <c r="AJ30" s="2113"/>
      <c r="AK30" s="2113"/>
      <c r="AL30" s="2113"/>
      <c r="AN30" s="2985"/>
      <c r="AO30" s="2985"/>
      <c r="AP30" s="2985"/>
      <c r="AQ30" s="2985"/>
      <c r="AR30" s="2985"/>
      <c r="AS30" s="2793"/>
    </row>
    <row r="31" spans="1:45" ht="22.5" x14ac:dyDescent="0.25">
      <c r="A31" s="122" t="s">
        <v>56</v>
      </c>
      <c r="B31" s="2951" t="s">
        <v>56</v>
      </c>
      <c r="C31" s="2795" t="s">
        <v>451</v>
      </c>
      <c r="D31" s="2969" t="s">
        <v>40</v>
      </c>
      <c r="E31" s="2776">
        <v>415.25</v>
      </c>
      <c r="F31" s="2759">
        <v>428.17</v>
      </c>
      <c r="G31" s="2759">
        <v>335.5</v>
      </c>
      <c r="H31" s="2760">
        <f>ЗВВ_1ст!G23</f>
        <v>501.02</v>
      </c>
      <c r="I31" s="2761">
        <f>E31*($I$55/$E$55)</f>
        <v>0</v>
      </c>
      <c r="J31" s="2759">
        <f>F31*($J$55/$F$55)</f>
        <v>0</v>
      </c>
      <c r="K31" s="2759">
        <v>0</v>
      </c>
      <c r="L31" s="2760">
        <f>H31*Виробництво_Транспортування_1ст!$G$6</f>
        <v>0</v>
      </c>
      <c r="M31" s="2778">
        <f>E31*($M$55/$E$55)</f>
        <v>0</v>
      </c>
      <c r="N31" s="2762">
        <f>F31*($N$55/$F$55)</f>
        <v>0</v>
      </c>
      <c r="O31" s="2759">
        <v>0</v>
      </c>
      <c r="P31" s="2973">
        <f>H31*Виробництво_Транспортування_1ст!$H$6</f>
        <v>0</v>
      </c>
      <c r="Q31" s="2779">
        <f>E31*$Q$55/$E$55</f>
        <v>0</v>
      </c>
      <c r="R31" s="2780">
        <f>F31*$R$55/$F$55</f>
        <v>9.5990000000000002</v>
      </c>
      <c r="S31" s="2762">
        <v>0</v>
      </c>
      <c r="T31" s="2760">
        <f>H31*Виробництво_Транспортування_1ст!$I$6</f>
        <v>0</v>
      </c>
      <c r="U31" s="2779">
        <f>E31*$U$55/$E$55</f>
        <v>415.25</v>
      </c>
      <c r="V31" s="2762">
        <f>F31*$V$55/$F$55</f>
        <v>418.57</v>
      </c>
      <c r="W31" s="2762">
        <v>335.5</v>
      </c>
      <c r="X31" s="2760">
        <f>H31*Виробництво_Транспортування_1ст!$J$6</f>
        <v>501.02</v>
      </c>
      <c r="AB31" s="1098">
        <f t="shared" si="1"/>
        <v>46.961100000000002</v>
      </c>
      <c r="AC31" s="1098"/>
      <c r="AD31" s="1098"/>
      <c r="AE31" s="1098">
        <v>0</v>
      </c>
      <c r="AF31" s="1098">
        <f t="shared" si="3"/>
        <v>46.961100000000002</v>
      </c>
      <c r="AH31" s="2115"/>
      <c r="AI31" s="2113"/>
      <c r="AJ31" s="2113"/>
      <c r="AK31" s="2113"/>
      <c r="AL31" s="2113"/>
      <c r="AN31" s="2985"/>
      <c r="AO31" s="2985"/>
      <c r="AP31" s="2985"/>
      <c r="AQ31" s="2985"/>
      <c r="AR31" s="2985"/>
      <c r="AS31" s="2793"/>
    </row>
    <row r="32" spans="1:45" x14ac:dyDescent="0.25">
      <c r="A32" s="122" t="s">
        <v>57</v>
      </c>
      <c r="B32" s="2951" t="s">
        <v>57</v>
      </c>
      <c r="C32" s="2797" t="s">
        <v>58</v>
      </c>
      <c r="D32" s="2969" t="s">
        <v>40</v>
      </c>
      <c r="E32" s="2776">
        <v>370.5</v>
      </c>
      <c r="F32" s="2759">
        <v>498.4</v>
      </c>
      <c r="G32" s="2759">
        <v>1556.5</v>
      </c>
      <c r="H32" s="2760">
        <f>H29-H30-H31</f>
        <v>641.17999999999995</v>
      </c>
      <c r="I32" s="2761">
        <f>E32*($I$55/$E$55)</f>
        <v>0</v>
      </c>
      <c r="J32" s="2759">
        <f>F32*($J$55/$F$55)</f>
        <v>0</v>
      </c>
      <c r="K32" s="2759">
        <v>0</v>
      </c>
      <c r="L32" s="2760">
        <f>H32*Виробництво_Транспортування_1ст!$G$6</f>
        <v>0</v>
      </c>
      <c r="M32" s="2778">
        <f>E32*($M$55/$E$55)</f>
        <v>0</v>
      </c>
      <c r="N32" s="2762">
        <f>F32*($N$55/$F$55)</f>
        <v>0</v>
      </c>
      <c r="O32" s="2759">
        <v>0</v>
      </c>
      <c r="P32" s="2973">
        <f>H32*Виробництво_Транспортування_1ст!$H$6</f>
        <v>0</v>
      </c>
      <c r="Q32" s="2779">
        <f>E32*$Q$55/$E$55</f>
        <v>0</v>
      </c>
      <c r="R32" s="2780">
        <f>F32*$R$55/$F$55</f>
        <v>11.173</v>
      </c>
      <c r="S32" s="2762">
        <v>0</v>
      </c>
      <c r="T32" s="2760">
        <f>H32*Виробництво_Транспортування_1ст!$I$6</f>
        <v>0</v>
      </c>
      <c r="U32" s="2779">
        <f>E32*$U$55/$E$55</f>
        <v>370.5</v>
      </c>
      <c r="V32" s="2762">
        <f>F32*$V$55/$F$55</f>
        <v>487.23</v>
      </c>
      <c r="W32" s="2762">
        <v>1556.5</v>
      </c>
      <c r="X32" s="2760">
        <f>H32*Виробництво_Транспортування_1ст!$J$6</f>
        <v>641.17999999999995</v>
      </c>
      <c r="Y32" s="907"/>
      <c r="AB32" s="1098">
        <f t="shared" si="1"/>
        <v>60.098399999999998</v>
      </c>
      <c r="AC32" s="1098"/>
      <c r="AD32" s="1098"/>
      <c r="AE32" s="1098">
        <v>0</v>
      </c>
      <c r="AF32" s="1098">
        <f t="shared" si="3"/>
        <v>60.098399999999998</v>
      </c>
      <c r="AH32" s="2115"/>
      <c r="AI32" s="2113"/>
      <c r="AJ32" s="2113"/>
      <c r="AK32" s="2113"/>
      <c r="AL32" s="2113"/>
      <c r="AN32" s="2985"/>
      <c r="AO32" s="2985"/>
      <c r="AP32" s="2985"/>
      <c r="AQ32" s="2985"/>
      <c r="AR32" s="2985"/>
      <c r="AS32" s="2793"/>
    </row>
    <row r="33" spans="1:45" s="121" customFormat="1" x14ac:dyDescent="0.25">
      <c r="A33" s="119">
        <v>2</v>
      </c>
      <c r="B33" s="2953">
        <v>2</v>
      </c>
      <c r="C33" s="2800" t="s">
        <v>228</v>
      </c>
      <c r="D33" s="2801" t="s">
        <v>40</v>
      </c>
      <c r="E33" s="2774">
        <f>E34+E35+E36</f>
        <v>681.93</v>
      </c>
      <c r="F33" s="2772">
        <f>F34+F35+F36</f>
        <v>740.89</v>
      </c>
      <c r="G33" s="2772">
        <f>G34+G35+G36</f>
        <v>536.6</v>
      </c>
      <c r="H33" s="2770">
        <f>Адміністративні_1ст!G8</f>
        <v>1363.33</v>
      </c>
      <c r="I33" s="2774">
        <f t="shared" ref="I33:X33" si="9">I34+I35+I36</f>
        <v>0</v>
      </c>
      <c r="J33" s="2772">
        <f t="shared" si="9"/>
        <v>0</v>
      </c>
      <c r="K33" s="2976">
        <f t="shared" si="9"/>
        <v>0</v>
      </c>
      <c r="L33" s="2770">
        <f t="shared" si="9"/>
        <v>0</v>
      </c>
      <c r="M33" s="2774">
        <f t="shared" si="9"/>
        <v>0</v>
      </c>
      <c r="N33" s="2772">
        <f t="shared" si="9"/>
        <v>0</v>
      </c>
      <c r="O33" s="2772">
        <v>0</v>
      </c>
      <c r="P33" s="2977">
        <f t="shared" si="9"/>
        <v>0</v>
      </c>
      <c r="Q33" s="2774">
        <f t="shared" si="9"/>
        <v>0</v>
      </c>
      <c r="R33" s="2781">
        <f t="shared" si="9"/>
        <v>16.609000000000002</v>
      </c>
      <c r="S33" s="2772">
        <f t="shared" si="9"/>
        <v>0</v>
      </c>
      <c r="T33" s="2770">
        <f t="shared" si="9"/>
        <v>0</v>
      </c>
      <c r="U33" s="2774">
        <f t="shared" si="9"/>
        <v>681.93</v>
      </c>
      <c r="V33" s="2772">
        <f t="shared" si="9"/>
        <v>724.28</v>
      </c>
      <c r="W33" s="2772">
        <f t="shared" si="9"/>
        <v>536.6</v>
      </c>
      <c r="X33" s="2770">
        <f t="shared" si="9"/>
        <v>1363.33</v>
      </c>
      <c r="Y33" s="1820"/>
      <c r="AB33" s="1098">
        <f t="shared" si="1"/>
        <v>127.78619999999999</v>
      </c>
      <c r="AC33" s="1098"/>
      <c r="AD33" s="1098"/>
      <c r="AE33" s="1098">
        <v>0</v>
      </c>
      <c r="AF33" s="1098">
        <f t="shared" si="3"/>
        <v>127.78619999999999</v>
      </c>
      <c r="AH33" s="2115"/>
      <c r="AI33" s="2113"/>
      <c r="AJ33" s="2113"/>
      <c r="AK33" s="2113"/>
      <c r="AL33" s="2113"/>
      <c r="AM33" s="2113"/>
      <c r="AN33" s="2985"/>
      <c r="AO33" s="2985"/>
      <c r="AP33" s="2985"/>
      <c r="AQ33" s="2985"/>
      <c r="AR33" s="2985"/>
      <c r="AS33" s="2981"/>
    </row>
    <row r="34" spans="1:45" x14ac:dyDescent="0.25">
      <c r="A34" s="122" t="s">
        <v>25</v>
      </c>
      <c r="B34" s="2951" t="s">
        <v>25</v>
      </c>
      <c r="C34" s="2797" t="s">
        <v>55</v>
      </c>
      <c r="D34" s="2969" t="s">
        <v>40</v>
      </c>
      <c r="E34" s="2776">
        <v>439.58</v>
      </c>
      <c r="F34" s="2759">
        <v>448.01</v>
      </c>
      <c r="G34" s="2759">
        <v>399.7</v>
      </c>
      <c r="H34" s="2759">
        <f>Адміністративні_1ст!G21</f>
        <v>848.97</v>
      </c>
      <c r="I34" s="2761">
        <f>E34*($I$55/$E$55)</f>
        <v>0</v>
      </c>
      <c r="J34" s="2759">
        <f>F34*($J$55/$F$55)</f>
        <v>0</v>
      </c>
      <c r="K34" s="2759">
        <v>0</v>
      </c>
      <c r="L34" s="2760">
        <f>H34*Виробництво_Транспортування_1ст!$G$6</f>
        <v>0</v>
      </c>
      <c r="M34" s="2778">
        <f>E34*($M$55/$E$55)</f>
        <v>0</v>
      </c>
      <c r="N34" s="2762">
        <f>F34*($N$55/$F$55)</f>
        <v>0</v>
      </c>
      <c r="O34" s="2759">
        <v>0</v>
      </c>
      <c r="P34" s="2973">
        <f>H34*Виробництво_Транспортування_1ст!$H$6</f>
        <v>0</v>
      </c>
      <c r="Q34" s="2779">
        <f>E34*$Q$55/$E$55</f>
        <v>0</v>
      </c>
      <c r="R34" s="2780">
        <f>F34*$R$55/$F$55</f>
        <v>10.042999999999999</v>
      </c>
      <c r="S34" s="2762">
        <v>0</v>
      </c>
      <c r="T34" s="2760">
        <f>H34*Виробництво_Транспортування_1ст!$I$6</f>
        <v>0</v>
      </c>
      <c r="U34" s="2779">
        <f>E34*$U$55/$E$55</f>
        <v>439.58</v>
      </c>
      <c r="V34" s="2762">
        <f>F34*$V$55/$F$55</f>
        <v>437.97</v>
      </c>
      <c r="W34" s="2762">
        <v>399.7</v>
      </c>
      <c r="X34" s="2760">
        <f>H34*Виробництво_Транспортування_1ст!$J$6</f>
        <v>848.97</v>
      </c>
      <c r="Y34" s="907"/>
      <c r="AB34" s="1098">
        <f t="shared" si="1"/>
        <v>79.574700000000007</v>
      </c>
      <c r="AC34" s="1098"/>
      <c r="AD34" s="1098"/>
      <c r="AE34" s="1098">
        <v>0</v>
      </c>
      <c r="AF34" s="1098">
        <f t="shared" si="3"/>
        <v>79.574700000000007</v>
      </c>
      <c r="AH34" s="2115"/>
      <c r="AI34" s="2113"/>
      <c r="AJ34" s="2113"/>
      <c r="AK34" s="2113"/>
      <c r="AL34" s="2113"/>
      <c r="AN34" s="2985"/>
      <c r="AO34" s="2985"/>
      <c r="AP34" s="2985"/>
      <c r="AQ34" s="2985"/>
      <c r="AR34" s="2985"/>
      <c r="AS34" s="2793"/>
    </row>
    <row r="35" spans="1:45" ht="22.5" x14ac:dyDescent="0.25">
      <c r="A35" s="122" t="s">
        <v>26</v>
      </c>
      <c r="B35" s="2951" t="s">
        <v>26</v>
      </c>
      <c r="C35" s="2795" t="s">
        <v>451</v>
      </c>
      <c r="D35" s="2969" t="s">
        <v>40</v>
      </c>
      <c r="E35" s="2776">
        <v>95.05</v>
      </c>
      <c r="F35" s="2759">
        <v>100.19</v>
      </c>
      <c r="G35" s="2759">
        <v>96</v>
      </c>
      <c r="H35" s="2759">
        <f>Адміністративні_1ст!G23</f>
        <v>186.77</v>
      </c>
      <c r="I35" s="2761">
        <f>E35*($I$55/$E$55)</f>
        <v>0</v>
      </c>
      <c r="J35" s="2759">
        <f>F35*($J$55/$F$55)</f>
        <v>0</v>
      </c>
      <c r="K35" s="2759">
        <v>0</v>
      </c>
      <c r="L35" s="2760">
        <f>H35*Виробництво_Транспортування_1ст!$G$6</f>
        <v>0</v>
      </c>
      <c r="M35" s="2778">
        <f>E35*($M$55/$E$55)</f>
        <v>0</v>
      </c>
      <c r="N35" s="2762">
        <f>F35*($N$55/$F$55)</f>
        <v>0</v>
      </c>
      <c r="O35" s="2759">
        <v>0</v>
      </c>
      <c r="P35" s="2973">
        <f>H35*Виробництво_Транспортування_1ст!$H$6</f>
        <v>0</v>
      </c>
      <c r="Q35" s="2779">
        <f>E35*$Q$55/$E$55</f>
        <v>0</v>
      </c>
      <c r="R35" s="2780">
        <f>F35*$R$55/$F$55</f>
        <v>2.246</v>
      </c>
      <c r="S35" s="2762">
        <v>0</v>
      </c>
      <c r="T35" s="2760">
        <f>H35*Виробництво_Транспортування_1ст!$I$6</f>
        <v>0</v>
      </c>
      <c r="U35" s="2779">
        <f>E35*$U$55/$E$55</f>
        <v>95.05</v>
      </c>
      <c r="V35" s="2762">
        <f>F35*$V$55/$F$55</f>
        <v>97.94</v>
      </c>
      <c r="W35" s="2762">
        <v>96</v>
      </c>
      <c r="X35" s="2760">
        <f>H35*Виробництво_Транспортування_1ст!$J$6</f>
        <v>186.77</v>
      </c>
      <c r="AB35" s="1098">
        <f t="shared" si="1"/>
        <v>17.5061</v>
      </c>
      <c r="AC35" s="1098"/>
      <c r="AD35" s="1098"/>
      <c r="AE35" s="1098">
        <v>0</v>
      </c>
      <c r="AF35" s="1098">
        <f t="shared" si="3"/>
        <v>17.5061</v>
      </c>
      <c r="AH35" s="2115"/>
      <c r="AI35" s="2113"/>
      <c r="AJ35" s="2113"/>
      <c r="AK35" s="2113"/>
      <c r="AL35" s="2113"/>
      <c r="AN35" s="2985"/>
      <c r="AO35" s="2985"/>
      <c r="AP35" s="2985"/>
      <c r="AQ35" s="2985"/>
      <c r="AR35" s="2985"/>
      <c r="AS35" s="2793"/>
    </row>
    <row r="36" spans="1:45" x14ac:dyDescent="0.25">
      <c r="A36" s="122" t="s">
        <v>59</v>
      </c>
      <c r="B36" s="2951" t="s">
        <v>59</v>
      </c>
      <c r="C36" s="2802" t="s">
        <v>58</v>
      </c>
      <c r="D36" s="2969" t="s">
        <v>40</v>
      </c>
      <c r="E36" s="2776">
        <v>147.30000000000001</v>
      </c>
      <c r="F36" s="2759">
        <v>192.69</v>
      </c>
      <c r="G36" s="2759">
        <v>40.9</v>
      </c>
      <c r="H36" s="2759">
        <f>Адміністративні_1ст!G9+Адміністративні_1ст!G24+Адміністративні_1ст!G36+Адміністративні_1ст!G38</f>
        <v>327.58999999999997</v>
      </c>
      <c r="I36" s="2761">
        <f>E36*($I$55/$E$55)</f>
        <v>0</v>
      </c>
      <c r="J36" s="2759">
        <f>F36*($J$55/$F$55)</f>
        <v>0</v>
      </c>
      <c r="K36" s="2759">
        <v>0</v>
      </c>
      <c r="L36" s="2760">
        <f>H36*Виробництво_Транспортування_1ст!$G$6</f>
        <v>0</v>
      </c>
      <c r="M36" s="2778">
        <f>E36*($M$55/$E$55)</f>
        <v>0</v>
      </c>
      <c r="N36" s="2762">
        <f>F36*($N$55/$F$55)</f>
        <v>0</v>
      </c>
      <c r="O36" s="2759">
        <v>0</v>
      </c>
      <c r="P36" s="2973">
        <f>H36*Виробництво_Транспортування_1ст!$H$6</f>
        <v>0</v>
      </c>
      <c r="Q36" s="2779">
        <f>E36*$Q$55/$E$55</f>
        <v>0</v>
      </c>
      <c r="R36" s="2780">
        <f>F36*$R$55/$F$55</f>
        <v>4.32</v>
      </c>
      <c r="S36" s="2762">
        <v>0</v>
      </c>
      <c r="T36" s="2760">
        <f>H36*Виробництво_Транспортування_1ст!$I$6</f>
        <v>0</v>
      </c>
      <c r="U36" s="2779">
        <f>E36*$U$55/$E$55</f>
        <v>147.30000000000001</v>
      </c>
      <c r="V36" s="2762">
        <f>F36*$V$55/$F$55</f>
        <v>188.37</v>
      </c>
      <c r="W36" s="2762">
        <v>40.9</v>
      </c>
      <c r="X36" s="2760">
        <f>H36*Виробництво_Транспортування_1ст!$J$6</f>
        <v>327.58999999999997</v>
      </c>
      <c r="Y36" s="907"/>
      <c r="AB36" s="1098">
        <f t="shared" si="1"/>
        <v>30.705300000000001</v>
      </c>
      <c r="AC36" s="1098"/>
      <c r="AD36" s="1098"/>
      <c r="AE36" s="1098">
        <v>0</v>
      </c>
      <c r="AF36" s="1098">
        <f t="shared" si="3"/>
        <v>30.705300000000001</v>
      </c>
      <c r="AH36" s="2115"/>
      <c r="AI36" s="2113"/>
      <c r="AJ36" s="2113"/>
      <c r="AK36" s="2113"/>
      <c r="AL36" s="2113"/>
      <c r="AN36" s="2985"/>
      <c r="AO36" s="2985"/>
      <c r="AP36" s="2985"/>
      <c r="AQ36" s="2985"/>
      <c r="AR36" s="2985"/>
      <c r="AS36" s="2793"/>
    </row>
    <row r="37" spans="1:45" x14ac:dyDescent="0.25">
      <c r="A37" s="122"/>
      <c r="B37" s="2950" t="s">
        <v>180</v>
      </c>
      <c r="C37" s="2799" t="s">
        <v>229</v>
      </c>
      <c r="D37" s="2931" t="s">
        <v>40</v>
      </c>
      <c r="E37" s="2761">
        <f>E38+E39+E40</f>
        <v>0</v>
      </c>
      <c r="F37" s="2759">
        <f>F38+F39+F40</f>
        <v>0</v>
      </c>
      <c r="G37" s="2759">
        <f>G38+G39+G40</f>
        <v>0</v>
      </c>
      <c r="H37" s="2760">
        <v>0</v>
      </c>
      <c r="I37" s="2761">
        <f t="shared" ref="I37:X37" si="10">I38+I39+I40</f>
        <v>0</v>
      </c>
      <c r="J37" s="2759">
        <f t="shared" si="10"/>
        <v>0</v>
      </c>
      <c r="K37" s="2759">
        <v>0</v>
      </c>
      <c r="L37" s="2760">
        <f t="shared" si="10"/>
        <v>0</v>
      </c>
      <c r="M37" s="2761">
        <f t="shared" si="10"/>
        <v>0</v>
      </c>
      <c r="N37" s="2759">
        <f t="shared" si="10"/>
        <v>0</v>
      </c>
      <c r="O37" s="2759">
        <v>0</v>
      </c>
      <c r="P37" s="2973">
        <f>H37*Виробництво_Транспортування_1ст!$H$6</f>
        <v>0</v>
      </c>
      <c r="Q37" s="2761">
        <f t="shared" si="10"/>
        <v>0</v>
      </c>
      <c r="R37" s="2763">
        <f t="shared" si="10"/>
        <v>0</v>
      </c>
      <c r="S37" s="2759">
        <f t="shared" si="10"/>
        <v>0</v>
      </c>
      <c r="T37" s="2760">
        <f t="shared" si="10"/>
        <v>0</v>
      </c>
      <c r="U37" s="2761">
        <f t="shared" si="10"/>
        <v>0</v>
      </c>
      <c r="V37" s="2759">
        <f t="shared" si="10"/>
        <v>0</v>
      </c>
      <c r="W37" s="2759">
        <f t="shared" si="10"/>
        <v>0</v>
      </c>
      <c r="X37" s="2760">
        <f t="shared" si="10"/>
        <v>0</v>
      </c>
      <c r="Y37" s="907"/>
      <c r="AB37" s="1098">
        <f t="shared" si="1"/>
        <v>0</v>
      </c>
      <c r="AC37" s="1098"/>
      <c r="AD37" s="1098"/>
      <c r="AE37" s="1098">
        <v>0</v>
      </c>
      <c r="AF37" s="1098">
        <f t="shared" si="3"/>
        <v>0</v>
      </c>
      <c r="AH37" s="2115"/>
      <c r="AI37" s="2113"/>
      <c r="AJ37" s="2113"/>
      <c r="AK37" s="2113"/>
      <c r="AL37" s="2113"/>
      <c r="AN37" s="2985"/>
      <c r="AO37" s="2985"/>
      <c r="AP37" s="2985"/>
      <c r="AQ37" s="2985"/>
      <c r="AR37" s="2985"/>
      <c r="AS37" s="2793"/>
    </row>
    <row r="38" spans="1:45" x14ac:dyDescent="0.25">
      <c r="A38" s="122"/>
      <c r="B38" s="2950" t="s">
        <v>60</v>
      </c>
      <c r="C38" s="2799" t="s">
        <v>55</v>
      </c>
      <c r="D38" s="2931" t="s">
        <v>40</v>
      </c>
      <c r="E38" s="2775">
        <v>0</v>
      </c>
      <c r="F38" s="2759">
        <v>0</v>
      </c>
      <c r="G38" s="2759">
        <v>0</v>
      </c>
      <c r="H38" s="2776">
        <v>0</v>
      </c>
      <c r="I38" s="2775">
        <v>0</v>
      </c>
      <c r="J38" s="2759">
        <v>0</v>
      </c>
      <c r="K38" s="2759">
        <v>0</v>
      </c>
      <c r="L38" s="2776">
        <v>0</v>
      </c>
      <c r="M38" s="2775">
        <v>0</v>
      </c>
      <c r="N38" s="2759">
        <v>0</v>
      </c>
      <c r="O38" s="2759">
        <v>0</v>
      </c>
      <c r="P38" s="2973">
        <f>H38*Виробництво_Транспортування_1ст!$H$6</f>
        <v>0</v>
      </c>
      <c r="Q38" s="2775">
        <v>0</v>
      </c>
      <c r="R38" s="2763">
        <v>0</v>
      </c>
      <c r="S38" s="2759">
        <v>0</v>
      </c>
      <c r="T38" s="2776">
        <v>0</v>
      </c>
      <c r="U38" s="2775">
        <v>0</v>
      </c>
      <c r="V38" s="2759">
        <v>0</v>
      </c>
      <c r="W38" s="2759">
        <v>0</v>
      </c>
      <c r="X38" s="2760">
        <v>0</v>
      </c>
      <c r="Y38" s="907"/>
      <c r="AB38" s="1098">
        <f t="shared" si="1"/>
        <v>0</v>
      </c>
      <c r="AC38" s="1098"/>
      <c r="AD38" s="1098"/>
      <c r="AE38" s="1098">
        <v>0</v>
      </c>
      <c r="AF38" s="1098">
        <f t="shared" si="3"/>
        <v>0</v>
      </c>
      <c r="AH38" s="2115"/>
      <c r="AI38" s="2113"/>
      <c r="AJ38" s="2113"/>
      <c r="AK38" s="2113"/>
      <c r="AL38" s="2113"/>
      <c r="AN38" s="2985"/>
      <c r="AO38" s="2985"/>
      <c r="AP38" s="2985"/>
      <c r="AQ38" s="2985"/>
      <c r="AR38" s="2985"/>
      <c r="AS38" s="2793"/>
    </row>
    <row r="39" spans="1:45" ht="22.5" x14ac:dyDescent="0.25">
      <c r="A39" s="122"/>
      <c r="B39" s="2950" t="s">
        <v>61</v>
      </c>
      <c r="C39" s="2795" t="s">
        <v>451</v>
      </c>
      <c r="D39" s="2931" t="s">
        <v>40</v>
      </c>
      <c r="E39" s="2975">
        <v>0</v>
      </c>
      <c r="F39" s="2759">
        <v>0</v>
      </c>
      <c r="G39" s="2759">
        <v>0</v>
      </c>
      <c r="H39" s="2776">
        <v>0</v>
      </c>
      <c r="I39" s="2775">
        <v>0</v>
      </c>
      <c r="J39" s="2759">
        <v>0</v>
      </c>
      <c r="K39" s="2759">
        <v>0</v>
      </c>
      <c r="L39" s="2776">
        <v>0</v>
      </c>
      <c r="M39" s="2775">
        <v>0</v>
      </c>
      <c r="N39" s="2759">
        <v>0</v>
      </c>
      <c r="O39" s="2759">
        <v>0</v>
      </c>
      <c r="P39" s="2973">
        <f>H39*Виробництво_Транспортування_1ст!$H$6</f>
        <v>0</v>
      </c>
      <c r="Q39" s="2775">
        <v>0</v>
      </c>
      <c r="R39" s="2763">
        <v>0</v>
      </c>
      <c r="S39" s="2759">
        <v>0</v>
      </c>
      <c r="T39" s="2776">
        <v>0</v>
      </c>
      <c r="U39" s="2775">
        <v>0</v>
      </c>
      <c r="V39" s="2759">
        <v>0</v>
      </c>
      <c r="W39" s="2759">
        <v>0</v>
      </c>
      <c r="X39" s="2760">
        <v>0</v>
      </c>
      <c r="AB39" s="1098">
        <f t="shared" si="1"/>
        <v>0</v>
      </c>
      <c r="AC39" s="1098"/>
      <c r="AD39" s="1098"/>
      <c r="AE39" s="1098">
        <v>0</v>
      </c>
      <c r="AF39" s="1098">
        <f t="shared" si="3"/>
        <v>0</v>
      </c>
      <c r="AH39" s="2115"/>
      <c r="AI39" s="2113"/>
      <c r="AJ39" s="2113"/>
      <c r="AK39" s="2113"/>
      <c r="AL39" s="2113"/>
      <c r="AN39" s="2985"/>
      <c r="AO39" s="2985"/>
      <c r="AP39" s="2985"/>
      <c r="AQ39" s="2985"/>
      <c r="AR39" s="2985"/>
      <c r="AS39" s="2793"/>
    </row>
    <row r="40" spans="1:45" x14ac:dyDescent="0.25">
      <c r="A40" s="122"/>
      <c r="B40" s="2950" t="s">
        <v>62</v>
      </c>
      <c r="C40" s="2799" t="s">
        <v>58</v>
      </c>
      <c r="D40" s="2931" t="s">
        <v>40</v>
      </c>
      <c r="E40" s="2761">
        <v>0</v>
      </c>
      <c r="F40" s="2759">
        <v>0</v>
      </c>
      <c r="G40" s="2759">
        <v>0</v>
      </c>
      <c r="H40" s="2776">
        <v>0</v>
      </c>
      <c r="I40" s="2775">
        <v>0</v>
      </c>
      <c r="J40" s="2759">
        <v>0</v>
      </c>
      <c r="K40" s="2759">
        <v>0</v>
      </c>
      <c r="L40" s="2776">
        <v>0</v>
      </c>
      <c r="M40" s="2775">
        <v>0</v>
      </c>
      <c r="N40" s="2759">
        <v>0</v>
      </c>
      <c r="O40" s="2759">
        <v>0</v>
      </c>
      <c r="P40" s="2973">
        <f>H40*Виробництво_Транспортування_1ст!$H$6</f>
        <v>0</v>
      </c>
      <c r="Q40" s="2775">
        <v>0</v>
      </c>
      <c r="R40" s="2763">
        <v>0</v>
      </c>
      <c r="S40" s="2759">
        <v>0</v>
      </c>
      <c r="T40" s="2776">
        <v>0</v>
      </c>
      <c r="U40" s="2775">
        <v>0</v>
      </c>
      <c r="V40" s="2759">
        <v>0</v>
      </c>
      <c r="W40" s="2759">
        <v>0</v>
      </c>
      <c r="X40" s="2760">
        <v>0</v>
      </c>
      <c r="AB40" s="1098">
        <f t="shared" si="1"/>
        <v>0</v>
      </c>
      <c r="AC40" s="1098"/>
      <c r="AD40" s="1098"/>
      <c r="AE40" s="1098">
        <v>0</v>
      </c>
      <c r="AF40" s="1098">
        <f t="shared" si="3"/>
        <v>0</v>
      </c>
      <c r="AH40" s="2115"/>
      <c r="AI40" s="2113"/>
      <c r="AJ40" s="2113"/>
      <c r="AK40" s="2113"/>
      <c r="AL40" s="2113"/>
      <c r="AN40" s="2985"/>
      <c r="AO40" s="2985"/>
      <c r="AP40" s="2985"/>
      <c r="AQ40" s="2985"/>
      <c r="AR40" s="2985"/>
      <c r="AS40" s="2793"/>
    </row>
    <row r="41" spans="1:45" x14ac:dyDescent="0.25">
      <c r="A41" s="122" t="s">
        <v>180</v>
      </c>
      <c r="B41" s="2951" t="s">
        <v>181</v>
      </c>
      <c r="C41" s="2795" t="s">
        <v>182</v>
      </c>
      <c r="D41" s="2931" t="s">
        <v>40</v>
      </c>
      <c r="E41" s="2761">
        <v>0</v>
      </c>
      <c r="F41" s="2759">
        <v>0</v>
      </c>
      <c r="G41" s="2759">
        <v>0</v>
      </c>
      <c r="H41" s="2760">
        <v>0</v>
      </c>
      <c r="I41" s="2761">
        <f>E41*($I$55/$E$55)</f>
        <v>0</v>
      </c>
      <c r="J41" s="2759">
        <f>F41*($J$55/$F$55)</f>
        <v>0</v>
      </c>
      <c r="K41" s="2759">
        <v>0</v>
      </c>
      <c r="L41" s="2760">
        <f>H41*$L$58/$H$58</f>
        <v>0</v>
      </c>
      <c r="M41" s="2778">
        <f>E41*($M$55/$E$55)</f>
        <v>0</v>
      </c>
      <c r="N41" s="2762">
        <f>F41*($N$55/$F$55)</f>
        <v>0</v>
      </c>
      <c r="O41" s="2759">
        <v>0</v>
      </c>
      <c r="P41" s="2973">
        <f>H41*Виробництво_Транспортування_1ст!$H$6</f>
        <v>0</v>
      </c>
      <c r="Q41" s="2779">
        <f>E41*$Q$55/$E$55</f>
        <v>0</v>
      </c>
      <c r="R41" s="2780">
        <f>F41*$R$55/$F$55</f>
        <v>0</v>
      </c>
      <c r="S41" s="2762">
        <f>G41*$S$55/$G$55</f>
        <v>0</v>
      </c>
      <c r="T41" s="2760">
        <f>H41*$T$58/$H$58</f>
        <v>0</v>
      </c>
      <c r="U41" s="2779">
        <f>E41*$U$55/$E$55</f>
        <v>0</v>
      </c>
      <c r="V41" s="2762">
        <f>F41*$V$55/$F$55</f>
        <v>0</v>
      </c>
      <c r="W41" s="2762">
        <f>G41*$W$55/$G$55</f>
        <v>0</v>
      </c>
      <c r="X41" s="2782">
        <v>0</v>
      </c>
      <c r="AB41" s="1098">
        <f t="shared" si="1"/>
        <v>0</v>
      </c>
      <c r="AC41" s="1098"/>
      <c r="AD41" s="1098"/>
      <c r="AE41" s="1098">
        <v>0</v>
      </c>
      <c r="AF41" s="1098">
        <f t="shared" si="3"/>
        <v>0</v>
      </c>
      <c r="AH41" s="2115"/>
      <c r="AI41" s="2113"/>
      <c r="AJ41" s="2113"/>
      <c r="AK41" s="2113"/>
      <c r="AL41" s="2113"/>
      <c r="AN41" s="2985"/>
      <c r="AO41" s="2985"/>
      <c r="AP41" s="2985"/>
      <c r="AQ41" s="2985"/>
      <c r="AR41" s="2985"/>
      <c r="AS41" s="2793"/>
    </row>
    <row r="42" spans="1:45" x14ac:dyDescent="0.25">
      <c r="A42" s="122" t="s">
        <v>181</v>
      </c>
      <c r="B42" s="2951" t="s">
        <v>176</v>
      </c>
      <c r="C42" s="2797" t="s">
        <v>5</v>
      </c>
      <c r="D42" s="2969" t="s">
        <v>40</v>
      </c>
      <c r="E42" s="2776"/>
      <c r="F42" s="2759"/>
      <c r="G42" s="2759"/>
      <c r="H42" s="2760"/>
      <c r="I42" s="2761">
        <f>E42*($I$55/$E$55)</f>
        <v>0</v>
      </c>
      <c r="J42" s="2759">
        <f>F42*($J$55/$F$55)</f>
        <v>0</v>
      </c>
      <c r="K42" s="2759">
        <v>0</v>
      </c>
      <c r="L42" s="2760">
        <f>H42*Виробництво_Транспортування_1ст!$G$6</f>
        <v>0</v>
      </c>
      <c r="M42" s="2778">
        <f>E42*($M$55/$E$55)</f>
        <v>0</v>
      </c>
      <c r="N42" s="2762">
        <f>F42*($N$55/$F$55)</f>
        <v>0</v>
      </c>
      <c r="O42" s="2759">
        <v>0</v>
      </c>
      <c r="P42" s="2973">
        <f>H42*Виробництво_Транспортування_1ст!$H$6</f>
        <v>0</v>
      </c>
      <c r="Q42" s="2779">
        <f>E42*$Q$55/$E$55</f>
        <v>0</v>
      </c>
      <c r="R42" s="2780">
        <f>F42*$R$55/$F$55</f>
        <v>0</v>
      </c>
      <c r="S42" s="2762">
        <v>0</v>
      </c>
      <c r="T42" s="2760">
        <f>H42*$T$58/$H$58</f>
        <v>0</v>
      </c>
      <c r="U42" s="2779">
        <f>E42*$U$55/$E$55</f>
        <v>0</v>
      </c>
      <c r="V42" s="2762">
        <f>F42*$V$55/$F$55</f>
        <v>0</v>
      </c>
      <c r="W42" s="2762"/>
      <c r="X42" s="2760">
        <f>H42*$X$58/$H$58</f>
        <v>0</v>
      </c>
      <c r="AB42" s="1098">
        <f t="shared" si="1"/>
        <v>0</v>
      </c>
      <c r="AC42" s="1098"/>
      <c r="AD42" s="1098"/>
      <c r="AE42" s="1098">
        <v>0</v>
      </c>
      <c r="AF42" s="1098">
        <f t="shared" si="3"/>
        <v>0</v>
      </c>
      <c r="AH42" s="2115"/>
      <c r="AI42" s="2113"/>
      <c r="AJ42" s="2113"/>
      <c r="AK42" s="2113"/>
      <c r="AL42" s="2113"/>
      <c r="AN42" s="2985"/>
      <c r="AO42" s="2985"/>
      <c r="AP42" s="2985"/>
      <c r="AQ42" s="2985"/>
      <c r="AR42" s="2985"/>
      <c r="AS42" s="2793"/>
    </row>
    <row r="43" spans="1:45" s="121" customFormat="1" x14ac:dyDescent="0.25">
      <c r="A43" s="119" t="s">
        <v>176</v>
      </c>
      <c r="B43" s="2953" t="s">
        <v>177</v>
      </c>
      <c r="C43" s="2800" t="s">
        <v>183</v>
      </c>
      <c r="D43" s="2970" t="s">
        <v>40</v>
      </c>
      <c r="E43" s="2773">
        <f>E42+E41+E37+E33+E12</f>
        <v>21007.72</v>
      </c>
      <c r="F43" s="2772">
        <f t="shared" ref="F43:W43" si="11">F42+F41+F37+F33+F12</f>
        <v>41361.71</v>
      </c>
      <c r="G43" s="2772">
        <f t="shared" si="11"/>
        <v>39127.1</v>
      </c>
      <c r="H43" s="2770">
        <f>H42+H41+H37+H33+H12</f>
        <v>72299.83</v>
      </c>
      <c r="I43" s="2774">
        <f t="shared" si="11"/>
        <v>0</v>
      </c>
      <c r="J43" s="2772">
        <f t="shared" si="11"/>
        <v>0</v>
      </c>
      <c r="K43" s="2772">
        <f>K42+K41+K37+K33+K12</f>
        <v>0</v>
      </c>
      <c r="L43" s="2770">
        <f t="shared" si="11"/>
        <v>0</v>
      </c>
      <c r="M43" s="2774">
        <f t="shared" si="11"/>
        <v>0</v>
      </c>
      <c r="N43" s="2772">
        <f t="shared" si="11"/>
        <v>0</v>
      </c>
      <c r="O43" s="2772">
        <v>0</v>
      </c>
      <c r="P43" s="2977">
        <f>P42+P41+P37+P33+P12</f>
        <v>0</v>
      </c>
      <c r="Q43" s="2774">
        <f t="shared" si="11"/>
        <v>0</v>
      </c>
      <c r="R43" s="2781">
        <f>R42+R41+R37+R33+R12</f>
        <v>927.23</v>
      </c>
      <c r="S43" s="2772">
        <v>0</v>
      </c>
      <c r="T43" s="2770">
        <f>T42+T41+T37+T33+T12</f>
        <v>0</v>
      </c>
      <c r="U43" s="2774">
        <f t="shared" si="11"/>
        <v>21007.72</v>
      </c>
      <c r="V43" s="2772">
        <f>V42+V41+V37+V33+V12</f>
        <v>40434.49</v>
      </c>
      <c r="W43" s="2772">
        <f t="shared" si="11"/>
        <v>39127.1</v>
      </c>
      <c r="X43" s="2770">
        <f>X42+X41+X37+X33+X12</f>
        <v>72299.83</v>
      </c>
      <c r="Y43" s="917">
        <f>Виробництво_Транспортування_1ст!F9+ЗВВ_1ст!G8+Адміністративні_1ст!G8</f>
        <v>72299.83</v>
      </c>
      <c r="Z43" s="919">
        <f>Y43-H43+H42</f>
        <v>0</v>
      </c>
      <c r="AB43" s="1098">
        <f t="shared" si="1"/>
        <v>6776.7282999999998</v>
      </c>
      <c r="AC43" s="1098"/>
      <c r="AD43" s="1098"/>
      <c r="AE43" s="1098">
        <v>0</v>
      </c>
      <c r="AF43" s="1098">
        <f t="shared" si="3"/>
        <v>6776.7282999999998</v>
      </c>
      <c r="AH43" s="2115"/>
      <c r="AI43" s="2113"/>
      <c r="AJ43" s="2113"/>
      <c r="AK43" s="2113"/>
      <c r="AL43" s="2113"/>
      <c r="AM43" s="2113"/>
      <c r="AN43" s="2985"/>
      <c r="AO43" s="2985"/>
      <c r="AP43" s="2985"/>
      <c r="AQ43" s="2985"/>
      <c r="AR43" s="2985"/>
      <c r="AS43" s="2981"/>
    </row>
    <row r="44" spans="1:45" s="121" customFormat="1" ht="21" x14ac:dyDescent="0.25">
      <c r="A44" s="119" t="s">
        <v>177</v>
      </c>
      <c r="B44" s="2953" t="s">
        <v>178</v>
      </c>
      <c r="C44" s="2800" t="s">
        <v>2725</v>
      </c>
      <c r="D44" s="2801" t="s">
        <v>40</v>
      </c>
      <c r="E44" s="2761">
        <v>0</v>
      </c>
      <c r="F44" s="2759">
        <v>0</v>
      </c>
      <c r="G44" s="2759">
        <v>0</v>
      </c>
      <c r="H44" s="2760">
        <f>L44+P44+T44+X44</f>
        <v>0</v>
      </c>
      <c r="I44" s="2761">
        <v>0</v>
      </c>
      <c r="J44" s="2759">
        <v>0</v>
      </c>
      <c r="K44" s="2762">
        <v>0</v>
      </c>
      <c r="L44" s="2760">
        <v>0</v>
      </c>
      <c r="M44" s="2761">
        <v>0</v>
      </c>
      <c r="N44" s="2759">
        <v>0</v>
      </c>
      <c r="O44" s="2762">
        <v>0</v>
      </c>
      <c r="P44" s="2971">
        <v>0</v>
      </c>
      <c r="Q44" s="2761">
        <v>0</v>
      </c>
      <c r="R44" s="2763">
        <v>0</v>
      </c>
      <c r="S44" s="2762">
        <v>0</v>
      </c>
      <c r="T44" s="2760">
        <v>0</v>
      </c>
      <c r="U44" s="2761">
        <v>0</v>
      </c>
      <c r="V44" s="2759">
        <v>0</v>
      </c>
      <c r="W44" s="2762">
        <v>0</v>
      </c>
      <c r="X44" s="2760">
        <v>0</v>
      </c>
      <c r="Y44" s="1187">
        <f>H44-L44-P44-T44-X44</f>
        <v>0</v>
      </c>
      <c r="AB44" s="1098">
        <f t="shared" si="1"/>
        <v>0</v>
      </c>
      <c r="AC44" s="1098"/>
      <c r="AD44" s="1098"/>
      <c r="AE44" s="1098">
        <v>0</v>
      </c>
      <c r="AF44" s="1098">
        <f t="shared" si="3"/>
        <v>0</v>
      </c>
      <c r="AH44" s="2115"/>
      <c r="AI44" s="2113"/>
      <c r="AJ44" s="2113"/>
      <c r="AK44" s="2113"/>
      <c r="AL44" s="2113"/>
      <c r="AM44" s="2113"/>
      <c r="AN44" s="2985"/>
      <c r="AO44" s="2985"/>
      <c r="AP44" s="2985"/>
      <c r="AQ44" s="2985"/>
      <c r="AR44" s="2985"/>
      <c r="AS44" s="2981"/>
    </row>
    <row r="45" spans="1:45" s="121" customFormat="1" x14ac:dyDescent="0.25">
      <c r="A45" s="119">
        <v>7</v>
      </c>
      <c r="B45" s="2953" t="s">
        <v>179</v>
      </c>
      <c r="C45" s="2803" t="s">
        <v>231</v>
      </c>
      <c r="D45" s="2801" t="s">
        <v>40</v>
      </c>
      <c r="E45" s="2783">
        <f>I45+M45+Q45+U45</f>
        <v>0</v>
      </c>
      <c r="F45" s="2784">
        <f>J45+N45+R45+V45</f>
        <v>0</v>
      </c>
      <c r="G45" s="2785">
        <f>G46+G47+G48+G49+G50</f>
        <v>0</v>
      </c>
      <c r="H45" s="2786">
        <f>H46+H47+H48+H49+H50</f>
        <v>4123.9799999999996</v>
      </c>
      <c r="I45" s="2783"/>
      <c r="J45" s="2784"/>
      <c r="K45" s="2785">
        <f>K46+K47+K48+K49+K50</f>
        <v>0</v>
      </c>
      <c r="L45" s="2786">
        <f>L46+L47+L48+L49+L50</f>
        <v>0</v>
      </c>
      <c r="M45" s="2783"/>
      <c r="N45" s="2784"/>
      <c r="O45" s="2785">
        <v>0</v>
      </c>
      <c r="P45" s="2972">
        <f>P46+P47+P48+P49+P50</f>
        <v>0</v>
      </c>
      <c r="Q45" s="2783"/>
      <c r="R45" s="2787"/>
      <c r="S45" s="2785">
        <f>S46+S47+S48+S49+S50</f>
        <v>0</v>
      </c>
      <c r="T45" s="2786">
        <f>T46+T47+T48+T49+T50</f>
        <v>0</v>
      </c>
      <c r="U45" s="2783"/>
      <c r="V45" s="2784"/>
      <c r="W45" s="2785">
        <f>W46+W47+W48+W49+W50</f>
        <v>0</v>
      </c>
      <c r="X45" s="2786">
        <f>X46+X47+X48+X49+X50</f>
        <v>4123.9799999999996</v>
      </c>
      <c r="Y45" s="918"/>
      <c r="Z45" s="918"/>
      <c r="AA45" s="918"/>
      <c r="AB45" s="1098">
        <f t="shared" si="1"/>
        <v>386.5444</v>
      </c>
      <c r="AC45" s="1098"/>
      <c r="AD45" s="1098"/>
      <c r="AE45" s="1098">
        <v>0</v>
      </c>
      <c r="AF45" s="1098">
        <f t="shared" si="3"/>
        <v>386.5444</v>
      </c>
      <c r="AH45" s="2115"/>
      <c r="AI45" s="2113"/>
      <c r="AJ45" s="2113"/>
      <c r="AK45" s="2113"/>
      <c r="AL45" s="2113"/>
      <c r="AM45" s="2113"/>
      <c r="AN45" s="2985"/>
      <c r="AO45" s="2985"/>
      <c r="AP45" s="2985"/>
      <c r="AQ45" s="2985"/>
      <c r="AR45" s="2985"/>
      <c r="AS45" s="2981"/>
    </row>
    <row r="46" spans="1:45" x14ac:dyDescent="0.25">
      <c r="A46" s="122" t="s">
        <v>64</v>
      </c>
      <c r="B46" s="2951" t="s">
        <v>116</v>
      </c>
      <c r="C46" s="2797" t="s">
        <v>65</v>
      </c>
      <c r="D46" s="2931" t="s">
        <v>40</v>
      </c>
      <c r="E46" s="2764" t="s">
        <v>233</v>
      </c>
      <c r="F46" s="2765" t="s">
        <v>233</v>
      </c>
      <c r="G46" s="2759">
        <f>K46+O46+S46+W46</f>
        <v>0</v>
      </c>
      <c r="H46" s="2760">
        <f>L46+P46+T46+X46</f>
        <v>520.55999999999995</v>
      </c>
      <c r="I46" s="2764" t="s">
        <v>233</v>
      </c>
      <c r="J46" s="2765" t="s">
        <v>233</v>
      </c>
      <c r="K46" s="2759">
        <v>0</v>
      </c>
      <c r="L46" s="2760">
        <f>(L47+L48+L49+L50)/(100%-'Вхідні дані'!$D$47)-(L47+L48+L49+L50)</f>
        <v>0</v>
      </c>
      <c r="M46" s="2764" t="s">
        <v>233</v>
      </c>
      <c r="N46" s="2765" t="s">
        <v>233</v>
      </c>
      <c r="O46" s="2759">
        <v>0</v>
      </c>
      <c r="P46" s="2973">
        <f>(P47+P48+P49+P50)/(100%-'Вхідні дані'!$D$47)-(P47+P48+P49+P50)</f>
        <v>0</v>
      </c>
      <c r="Q46" s="2764" t="s">
        <v>233</v>
      </c>
      <c r="R46" s="2766" t="s">
        <v>233</v>
      </c>
      <c r="S46" s="2762">
        <v>0</v>
      </c>
      <c r="T46" s="2760">
        <f>(T47+T48+T49+T50)/(100%-'Вхідні дані'!$D$47)-(T47+T48+T49+T50)</f>
        <v>0</v>
      </c>
      <c r="U46" s="2764" t="s">
        <v>233</v>
      </c>
      <c r="V46" s="2765" t="s">
        <v>233</v>
      </c>
      <c r="W46" s="2762">
        <v>0</v>
      </c>
      <c r="X46" s="2760">
        <f>X50*'Вхідні дані'!D47</f>
        <v>520.55999999999995</v>
      </c>
      <c r="AB46" s="1098">
        <f t="shared" si="1"/>
        <v>48.7926</v>
      </c>
      <c r="AC46" s="1098"/>
      <c r="AD46" s="1098"/>
      <c r="AE46" s="1098">
        <v>0</v>
      </c>
      <c r="AF46" s="1098">
        <f t="shared" si="3"/>
        <v>48.7926</v>
      </c>
      <c r="AH46" s="2115"/>
      <c r="AI46" s="2113"/>
      <c r="AJ46" s="2113"/>
      <c r="AK46" s="2113"/>
      <c r="AL46" s="2113"/>
      <c r="AN46" s="2985"/>
      <c r="AO46" s="2985"/>
      <c r="AP46" s="2985"/>
      <c r="AQ46" s="2985"/>
      <c r="AR46" s="2985"/>
      <c r="AS46" s="2793"/>
    </row>
    <row r="47" spans="1:45" x14ac:dyDescent="0.25">
      <c r="A47" s="122" t="s">
        <v>66</v>
      </c>
      <c r="B47" s="2951" t="s">
        <v>118</v>
      </c>
      <c r="C47" s="2797" t="s">
        <v>67</v>
      </c>
      <c r="D47" s="2931" t="s">
        <v>40</v>
      </c>
      <c r="E47" s="2764" t="s">
        <v>233</v>
      </c>
      <c r="F47" s="2765" t="s">
        <v>233</v>
      </c>
      <c r="G47" s="2759">
        <f t="shared" ref="G47:G50" si="12">K47+O47+S47+W47</f>
        <v>0</v>
      </c>
      <c r="H47" s="2760">
        <f>L47+P47+T47+X47</f>
        <v>711.43</v>
      </c>
      <c r="I47" s="2764" t="s">
        <v>233</v>
      </c>
      <c r="J47" s="2765" t="s">
        <v>233</v>
      </c>
      <c r="K47" s="2762">
        <v>0</v>
      </c>
      <c r="L47" s="2760">
        <f>(L49+L50)/(100%-'Вхідні дані'!$D$48)*'Вхідні дані'!$D$48</f>
        <v>0</v>
      </c>
      <c r="M47" s="2764" t="s">
        <v>233</v>
      </c>
      <c r="N47" s="2765" t="s">
        <v>233</v>
      </c>
      <c r="O47" s="2762">
        <v>0</v>
      </c>
      <c r="P47" s="2973">
        <f>(P49+P50)/(100%-'Вхідні дані'!$D$48)*'Вхідні дані'!$D$48</f>
        <v>0</v>
      </c>
      <c r="Q47" s="2764" t="s">
        <v>233</v>
      </c>
      <c r="R47" s="2766" t="s">
        <v>233</v>
      </c>
      <c r="S47" s="2762">
        <v>0</v>
      </c>
      <c r="T47" s="2760">
        <f>(T49+T50)/(100%-'Вхідні дані'!$D$48)*'Вхідні дані'!$D$48</f>
        <v>0</v>
      </c>
      <c r="U47" s="2764" t="s">
        <v>233</v>
      </c>
      <c r="V47" s="2765" t="s">
        <v>233</v>
      </c>
      <c r="W47" s="2762">
        <v>0</v>
      </c>
      <c r="X47" s="2760">
        <f>(X50-X46)*'Вхідні дані'!D48</f>
        <v>711.43</v>
      </c>
      <c r="AB47" s="1098">
        <f t="shared" si="1"/>
        <v>66.683000000000007</v>
      </c>
      <c r="AC47" s="1098"/>
      <c r="AD47" s="1098"/>
      <c r="AE47" s="1098">
        <v>0</v>
      </c>
      <c r="AF47" s="1098">
        <f t="shared" si="3"/>
        <v>66.683000000000007</v>
      </c>
      <c r="AH47" s="2115"/>
      <c r="AI47" s="2113"/>
      <c r="AJ47" s="2113"/>
      <c r="AK47" s="2113"/>
      <c r="AL47" s="2113"/>
      <c r="AN47" s="2985"/>
      <c r="AO47" s="2985"/>
      <c r="AP47" s="2985"/>
      <c r="AQ47" s="2985"/>
      <c r="AR47" s="2985"/>
      <c r="AS47" s="2793"/>
    </row>
    <row r="48" spans="1:45" x14ac:dyDescent="0.25">
      <c r="A48" s="122" t="s">
        <v>68</v>
      </c>
      <c r="B48" s="2951" t="s">
        <v>120</v>
      </c>
      <c r="C48" s="2797" t="s">
        <v>69</v>
      </c>
      <c r="D48" s="2931" t="s">
        <v>40</v>
      </c>
      <c r="E48" s="2764" t="s">
        <v>233</v>
      </c>
      <c r="F48" s="2765" t="s">
        <v>233</v>
      </c>
      <c r="G48" s="2759">
        <f t="shared" si="12"/>
        <v>0</v>
      </c>
      <c r="H48" s="2760">
        <v>0</v>
      </c>
      <c r="I48" s="2764" t="s">
        <v>233</v>
      </c>
      <c r="J48" s="2765" t="s">
        <v>233</v>
      </c>
      <c r="K48" s="2762">
        <v>0</v>
      </c>
      <c r="L48" s="2760">
        <f>H48*$L$58/$H$58</f>
        <v>0</v>
      </c>
      <c r="M48" s="2764" t="s">
        <v>233</v>
      </c>
      <c r="N48" s="2765" t="s">
        <v>233</v>
      </c>
      <c r="O48" s="2762">
        <v>0</v>
      </c>
      <c r="P48" s="2973">
        <f>H48*$P$58/$H$58</f>
        <v>0</v>
      </c>
      <c r="Q48" s="2764" t="s">
        <v>233</v>
      </c>
      <c r="R48" s="2766" t="s">
        <v>233</v>
      </c>
      <c r="S48" s="2762">
        <v>0</v>
      </c>
      <c r="T48" s="2760">
        <f>H48*$T$58/$H$58</f>
        <v>0</v>
      </c>
      <c r="U48" s="2764" t="s">
        <v>233</v>
      </c>
      <c r="V48" s="2765" t="s">
        <v>233</v>
      </c>
      <c r="W48" s="2762">
        <v>0</v>
      </c>
      <c r="X48" s="2760">
        <f>H48*$X$58/$H$58</f>
        <v>0</v>
      </c>
      <c r="AB48" s="1098">
        <f t="shared" si="1"/>
        <v>0</v>
      </c>
      <c r="AC48" s="1098"/>
      <c r="AD48" s="1098"/>
      <c r="AE48" s="1098">
        <v>0</v>
      </c>
      <c r="AF48" s="1098">
        <f t="shared" si="3"/>
        <v>0</v>
      </c>
      <c r="AH48" s="2115"/>
      <c r="AI48" s="2113"/>
      <c r="AJ48" s="2113"/>
      <c r="AK48" s="2113"/>
      <c r="AL48" s="2113"/>
      <c r="AN48" s="2985"/>
      <c r="AO48" s="2985"/>
      <c r="AP48" s="2985"/>
      <c r="AQ48" s="2985"/>
      <c r="AR48" s="2985"/>
      <c r="AS48" s="2793"/>
    </row>
    <row r="49" spans="1:45" x14ac:dyDescent="0.25">
      <c r="A49" s="122" t="s">
        <v>70</v>
      </c>
      <c r="B49" s="2951" t="s">
        <v>122</v>
      </c>
      <c r="C49" s="2797" t="s">
        <v>71</v>
      </c>
      <c r="D49" s="2931" t="s">
        <v>40</v>
      </c>
      <c r="E49" s="2764" t="s">
        <v>233</v>
      </c>
      <c r="F49" s="2765" t="s">
        <v>233</v>
      </c>
      <c r="G49" s="2759">
        <f t="shared" si="12"/>
        <v>0</v>
      </c>
      <c r="H49" s="2760">
        <v>0</v>
      </c>
      <c r="I49" s="2764" t="s">
        <v>233</v>
      </c>
      <c r="J49" s="2765" t="s">
        <v>233</v>
      </c>
      <c r="K49" s="2762">
        <v>0</v>
      </c>
      <c r="L49" s="2760">
        <f>H49*$L$58/$H$58</f>
        <v>0</v>
      </c>
      <c r="M49" s="2764" t="s">
        <v>233</v>
      </c>
      <c r="N49" s="2765" t="s">
        <v>233</v>
      </c>
      <c r="O49" s="2762">
        <v>0</v>
      </c>
      <c r="P49" s="2973">
        <f>H49*$P$58/$H$58</f>
        <v>0</v>
      </c>
      <c r="Q49" s="2764" t="s">
        <v>233</v>
      </c>
      <c r="R49" s="2766" t="s">
        <v>233</v>
      </c>
      <c r="S49" s="2762">
        <v>0</v>
      </c>
      <c r="T49" s="2760">
        <f>H49*$T$58/$H$58</f>
        <v>0</v>
      </c>
      <c r="U49" s="2764" t="s">
        <v>233</v>
      </c>
      <c r="V49" s="2765" t="s">
        <v>233</v>
      </c>
      <c r="W49" s="2762">
        <v>0</v>
      </c>
      <c r="X49" s="2760">
        <f>H49*$X$58/$H$58</f>
        <v>0</v>
      </c>
      <c r="AB49" s="1098">
        <f t="shared" si="1"/>
        <v>0</v>
      </c>
      <c r="AC49" s="1098"/>
      <c r="AD49" s="1098"/>
      <c r="AE49" s="1098">
        <v>0</v>
      </c>
      <c r="AF49" s="1098">
        <f t="shared" si="3"/>
        <v>0</v>
      </c>
      <c r="AH49" s="2115"/>
      <c r="AI49" s="2113"/>
      <c r="AJ49" s="2113"/>
      <c r="AK49" s="2113"/>
      <c r="AL49" s="2113"/>
      <c r="AN49" s="2985"/>
      <c r="AO49" s="2985"/>
      <c r="AP49" s="2985"/>
      <c r="AQ49" s="2985"/>
      <c r="AR49" s="2985"/>
      <c r="AS49" s="2793"/>
    </row>
    <row r="50" spans="1:45" x14ac:dyDescent="0.25">
      <c r="A50" s="122" t="s">
        <v>72</v>
      </c>
      <c r="B50" s="2951" t="s">
        <v>232</v>
      </c>
      <c r="C50" s="2797" t="s">
        <v>87</v>
      </c>
      <c r="D50" s="2931" t="s">
        <v>40</v>
      </c>
      <c r="E50" s="2764" t="s">
        <v>233</v>
      </c>
      <c r="F50" s="2765" t="s">
        <v>233</v>
      </c>
      <c r="G50" s="2759">
        <f t="shared" si="12"/>
        <v>0</v>
      </c>
      <c r="H50" s="2760">
        <f>L50+P50+T50+X50</f>
        <v>2891.99</v>
      </c>
      <c r="I50" s="2764" t="s">
        <v>233</v>
      </c>
      <c r="J50" s="2765" t="s">
        <v>233</v>
      </c>
      <c r="K50" s="2759">
        <v>0</v>
      </c>
      <c r="L50" s="2760">
        <f>L43*'Вхідні дані'!$D$46</f>
        <v>0</v>
      </c>
      <c r="M50" s="2764" t="s">
        <v>233</v>
      </c>
      <c r="N50" s="2765" t="s">
        <v>233</v>
      </c>
      <c r="O50" s="2759">
        <v>0</v>
      </c>
      <c r="P50" s="2973">
        <f>P43*'Вхідні дані'!$D$46</f>
        <v>0</v>
      </c>
      <c r="Q50" s="2764" t="s">
        <v>233</v>
      </c>
      <c r="R50" s="2766" t="s">
        <v>233</v>
      </c>
      <c r="S50" s="2762">
        <v>0</v>
      </c>
      <c r="T50" s="2760">
        <f>T43*'Вхідні дані'!$D$46</f>
        <v>0</v>
      </c>
      <c r="U50" s="2764" t="s">
        <v>233</v>
      </c>
      <c r="V50" s="2765" t="s">
        <v>233</v>
      </c>
      <c r="W50" s="2762">
        <v>0</v>
      </c>
      <c r="X50" s="2760">
        <f>X43*'Вхідні дані'!$D$46</f>
        <v>2891.99</v>
      </c>
      <c r="Y50" s="2161"/>
      <c r="AB50" s="1098">
        <f t="shared" si="1"/>
        <v>271.06880000000001</v>
      </c>
      <c r="AC50" s="1098"/>
      <c r="AD50" s="1098"/>
      <c r="AE50" s="1098">
        <v>0</v>
      </c>
      <c r="AF50" s="1098">
        <f t="shared" si="3"/>
        <v>271.06880000000001</v>
      </c>
      <c r="AH50" s="2115"/>
      <c r="AI50" s="2113"/>
      <c r="AJ50" s="2113"/>
      <c r="AK50" s="2113"/>
      <c r="AL50" s="2113"/>
      <c r="AN50" s="2985"/>
      <c r="AO50" s="2985"/>
      <c r="AP50" s="2985"/>
      <c r="AQ50" s="2985"/>
      <c r="AR50" s="2985"/>
      <c r="AS50" s="2793"/>
    </row>
    <row r="51" spans="1:45" s="121" customFormat="1" ht="22.9" customHeight="1" x14ac:dyDescent="0.25">
      <c r="A51" s="119">
        <v>8</v>
      </c>
      <c r="B51" s="2953" t="s">
        <v>194</v>
      </c>
      <c r="C51" s="2800" t="s">
        <v>73</v>
      </c>
      <c r="D51" s="2801" t="s">
        <v>40</v>
      </c>
      <c r="E51" s="2769">
        <f>E43+E44+E45</f>
        <v>21007.72</v>
      </c>
      <c r="F51" s="2767">
        <f t="shared" ref="F51:W51" si="13">F43+F44+F45</f>
        <v>41361.71</v>
      </c>
      <c r="G51" s="2767">
        <f t="shared" si="13"/>
        <v>39127.1</v>
      </c>
      <c r="H51" s="2768">
        <f>H43+H44+H45</f>
        <v>76423.81</v>
      </c>
      <c r="I51" s="2769">
        <f>I43+I44+I45</f>
        <v>0</v>
      </c>
      <c r="J51" s="2767">
        <f t="shared" si="13"/>
        <v>0</v>
      </c>
      <c r="K51" s="2767">
        <f>K43+K44+K45</f>
        <v>0</v>
      </c>
      <c r="L51" s="2768">
        <f t="shared" si="13"/>
        <v>0</v>
      </c>
      <c r="M51" s="2769">
        <f t="shared" si="13"/>
        <v>0</v>
      </c>
      <c r="N51" s="2767">
        <f t="shared" si="13"/>
        <v>0</v>
      </c>
      <c r="O51" s="2767">
        <v>0</v>
      </c>
      <c r="P51" s="2974">
        <f>P43+P44+P45</f>
        <v>0</v>
      </c>
      <c r="Q51" s="2769">
        <f t="shared" si="13"/>
        <v>0</v>
      </c>
      <c r="R51" s="2767">
        <f t="shared" si="13"/>
        <v>927.23</v>
      </c>
      <c r="S51" s="2767">
        <f>S43+S44+S45</f>
        <v>0</v>
      </c>
      <c r="T51" s="2768">
        <f>T43+T44+T45</f>
        <v>0</v>
      </c>
      <c r="U51" s="2769">
        <f t="shared" si="13"/>
        <v>21007.72</v>
      </c>
      <c r="V51" s="2767">
        <f>V43+V44+V45</f>
        <v>40434.49</v>
      </c>
      <c r="W51" s="2767">
        <f t="shared" si="13"/>
        <v>39127.1</v>
      </c>
      <c r="X51" s="2768">
        <f>X43+X44+X45</f>
        <v>76423.81</v>
      </c>
      <c r="Y51" s="153"/>
      <c r="AB51" s="1098">
        <f t="shared" si="1"/>
        <v>7163.2727000000004</v>
      </c>
      <c r="AC51" s="1098"/>
      <c r="AD51" s="1098"/>
      <c r="AE51" s="1098">
        <v>0</v>
      </c>
      <c r="AF51" s="1098">
        <f t="shared" si="3"/>
        <v>7163.2727000000004</v>
      </c>
      <c r="AH51" s="2115"/>
      <c r="AI51" s="2113"/>
      <c r="AJ51" s="2113"/>
      <c r="AK51" s="2113"/>
      <c r="AL51" s="2113"/>
      <c r="AM51" s="2113"/>
      <c r="AN51" s="2985"/>
      <c r="AO51" s="2985"/>
      <c r="AP51" s="2985"/>
      <c r="AQ51" s="2985"/>
      <c r="AR51" s="2985"/>
      <c r="AS51" s="2981"/>
    </row>
    <row r="52" spans="1:45" s="121" customFormat="1" x14ac:dyDescent="0.25">
      <c r="A52" s="119">
        <v>9</v>
      </c>
      <c r="B52" s="2953" t="s">
        <v>195</v>
      </c>
      <c r="C52" s="2804" t="s">
        <v>234</v>
      </c>
      <c r="D52" s="2801" t="s">
        <v>74</v>
      </c>
      <c r="E52" s="2771">
        <f>E51/E55*1000</f>
        <v>2191.56</v>
      </c>
      <c r="F52" s="2772">
        <f>F51/F55*1000</f>
        <v>4671.8900000000003</v>
      </c>
      <c r="G52" s="2765" t="s">
        <v>233</v>
      </c>
      <c r="H52" s="2770">
        <f>H51/H58*1000</f>
        <v>7163.27</v>
      </c>
      <c r="I52" s="2771">
        <v>0</v>
      </c>
      <c r="J52" s="2772">
        <v>0</v>
      </c>
      <c r="K52" s="2773">
        <v>0</v>
      </c>
      <c r="L52" s="2770">
        <v>0</v>
      </c>
      <c r="M52" s="2771">
        <v>0</v>
      </c>
      <c r="N52" s="2772">
        <v>0</v>
      </c>
      <c r="O52" s="2772">
        <v>0</v>
      </c>
      <c r="P52" s="2977">
        <v>0</v>
      </c>
      <c r="Q52" s="2774">
        <v>0</v>
      </c>
      <c r="R52" s="2772">
        <f>R51/R55*1000</f>
        <v>4671.8900000000003</v>
      </c>
      <c r="S52" s="2772">
        <v>0</v>
      </c>
      <c r="T52" s="2770">
        <v>0</v>
      </c>
      <c r="U52" s="2774">
        <f>U51/U55*1000</f>
        <v>2191.56</v>
      </c>
      <c r="V52" s="2772">
        <f>V51/V55*1000</f>
        <v>4671.8900000000003</v>
      </c>
      <c r="W52" s="2772">
        <v>2565.2399999999998</v>
      </c>
      <c r="X52" s="2770">
        <f>X51/X58*1000</f>
        <v>7163.27</v>
      </c>
      <c r="Y52" s="2979"/>
      <c r="Z52" s="2980"/>
      <c r="AA52" s="116"/>
      <c r="AB52" s="1098"/>
      <c r="AC52" s="1098"/>
      <c r="AD52" s="1098"/>
      <c r="AE52" s="1098"/>
      <c r="AF52" s="1098"/>
      <c r="AH52" s="2113"/>
      <c r="AI52" s="2113"/>
      <c r="AJ52" s="2113"/>
      <c r="AK52" s="2113"/>
      <c r="AL52" s="2113"/>
      <c r="AM52" s="2113"/>
    </row>
    <row r="53" spans="1:45" s="121" customFormat="1" x14ac:dyDescent="0.25">
      <c r="A53" s="119"/>
      <c r="B53" s="2950" t="s">
        <v>89</v>
      </c>
      <c r="C53" s="2799" t="s">
        <v>235</v>
      </c>
      <c r="D53" s="2801" t="s">
        <v>74</v>
      </c>
      <c r="E53" s="2775">
        <f>E14/E51*1000</f>
        <v>392.57</v>
      </c>
      <c r="F53" s="2759">
        <f>F14/F55*1000</f>
        <v>2977.59</v>
      </c>
      <c r="G53" s="2765" t="s">
        <v>233</v>
      </c>
      <c r="H53" s="2770">
        <f>H14/H58*1000</f>
        <v>5120.62</v>
      </c>
      <c r="I53" s="2775">
        <v>0</v>
      </c>
      <c r="J53" s="2759">
        <v>0</v>
      </c>
      <c r="K53" s="2776">
        <v>0</v>
      </c>
      <c r="L53" s="2770">
        <v>0</v>
      </c>
      <c r="M53" s="2775">
        <v>0</v>
      </c>
      <c r="N53" s="2759">
        <v>0</v>
      </c>
      <c r="O53" s="2759">
        <v>0</v>
      </c>
      <c r="P53" s="2977">
        <v>0</v>
      </c>
      <c r="Q53" s="2761">
        <v>0</v>
      </c>
      <c r="R53" s="2759">
        <f>R14/R55*1000</f>
        <v>2977.59</v>
      </c>
      <c r="S53" s="2759">
        <v>0</v>
      </c>
      <c r="T53" s="2770">
        <v>0</v>
      </c>
      <c r="U53" s="2761">
        <f>U14/U58*1000</f>
        <v>860.35</v>
      </c>
      <c r="V53" s="2759">
        <f>V14/V55*1000</f>
        <v>2977.59</v>
      </c>
      <c r="W53" s="2759">
        <f>W14/W58*1000</f>
        <v>1775.18</v>
      </c>
      <c r="X53" s="2777">
        <f>X14/X58*1000</f>
        <v>5120.62</v>
      </c>
      <c r="Y53" s="2979"/>
      <c r="Z53" s="2981"/>
      <c r="AB53" s="1098"/>
      <c r="AC53" s="1098"/>
      <c r="AD53" s="1098"/>
      <c r="AE53" s="1098"/>
      <c r="AF53" s="1098"/>
      <c r="AH53" s="2113"/>
      <c r="AI53" s="2113"/>
      <c r="AJ53" s="2113"/>
      <c r="AK53" s="2113"/>
      <c r="AL53" s="2113"/>
      <c r="AM53" s="2113"/>
    </row>
    <row r="54" spans="1:45" s="121" customFormat="1" x14ac:dyDescent="0.25">
      <c r="A54" s="119"/>
      <c r="B54" s="2950" t="s">
        <v>91</v>
      </c>
      <c r="C54" s="2799" t="s">
        <v>236</v>
      </c>
      <c r="D54" s="2801" t="s">
        <v>74</v>
      </c>
      <c r="E54" s="2775">
        <f>(E43-E14)/E51*1000</f>
        <v>607.42999999999995</v>
      </c>
      <c r="F54" s="2759">
        <f>(F43-F14)/F55*1000</f>
        <v>1694.3</v>
      </c>
      <c r="G54" s="2765" t="s">
        <v>233</v>
      </c>
      <c r="H54" s="2770">
        <f>(H43-H14)/H58*1000</f>
        <v>1656.11</v>
      </c>
      <c r="I54" s="2775">
        <v>0</v>
      </c>
      <c r="J54" s="2759">
        <v>0</v>
      </c>
      <c r="K54" s="2776">
        <v>0</v>
      </c>
      <c r="L54" s="2770">
        <v>0</v>
      </c>
      <c r="M54" s="2775">
        <v>0</v>
      </c>
      <c r="N54" s="2759">
        <v>0</v>
      </c>
      <c r="O54" s="2759">
        <v>0</v>
      </c>
      <c r="P54" s="2977">
        <v>0</v>
      </c>
      <c r="Q54" s="2761">
        <v>0</v>
      </c>
      <c r="R54" s="2759">
        <f>(R43-R14)/R55*1000</f>
        <v>1694.3</v>
      </c>
      <c r="S54" s="2759">
        <v>0</v>
      </c>
      <c r="T54" s="2770">
        <v>0</v>
      </c>
      <c r="U54" s="2761">
        <f>(U43-U14)/U58*1000</f>
        <v>1331.21</v>
      </c>
      <c r="V54" s="2759">
        <f>(V43-V14)/V55*1000</f>
        <v>1694.3</v>
      </c>
      <c r="W54" s="2759">
        <f>(W43-W14)/W58*1000</f>
        <v>790.07</v>
      </c>
      <c r="X54" s="2777">
        <f>(X43-X14)/X58*1000</f>
        <v>1656.11</v>
      </c>
      <c r="Y54" s="2979"/>
      <c r="Z54" s="2981"/>
      <c r="AB54" s="1098"/>
      <c r="AC54" s="1098"/>
      <c r="AD54" s="1098"/>
      <c r="AE54" s="1098"/>
      <c r="AF54" s="1098"/>
      <c r="AH54" s="2113"/>
      <c r="AI54" s="2113"/>
      <c r="AJ54" s="2113"/>
      <c r="AK54" s="2113"/>
      <c r="AL54" s="2113"/>
      <c r="AM54" s="2113"/>
    </row>
    <row r="55" spans="1:45" s="121" customFormat="1" ht="21" x14ac:dyDescent="0.25">
      <c r="A55" s="119">
        <v>10</v>
      </c>
      <c r="B55" s="2954" t="s">
        <v>196</v>
      </c>
      <c r="C55" s="2805" t="s">
        <v>562</v>
      </c>
      <c r="D55" s="2801" t="s">
        <v>22</v>
      </c>
      <c r="E55" s="2761">
        <f t="shared" ref="E55:H56" si="14">I55+M55+Q55+U55</f>
        <v>9585.7199999999993</v>
      </c>
      <c r="F55" s="2759">
        <f>J55+N55+R55+V55</f>
        <v>8853.31</v>
      </c>
      <c r="G55" s="2759">
        <f t="shared" si="14"/>
        <v>15252.76</v>
      </c>
      <c r="H55" s="2760">
        <f t="shared" si="14"/>
        <v>9459.3799999999992</v>
      </c>
      <c r="I55" s="2761">
        <f>'Д 7_РП'!E75</f>
        <v>0</v>
      </c>
      <c r="J55" s="2759">
        <f>'Д 7_РП'!F75</f>
        <v>0</v>
      </c>
      <c r="K55" s="2762">
        <f>'Д 4_Т на П'!F45</f>
        <v>0</v>
      </c>
      <c r="L55" s="2760">
        <f>'Д 7_РП'!G75</f>
        <v>0</v>
      </c>
      <c r="M55" s="2761">
        <f>'Д 7_РП'!E83</f>
        <v>0</v>
      </c>
      <c r="N55" s="2759">
        <f>'Д 7_РП'!F83</f>
        <v>0</v>
      </c>
      <c r="O55" s="2759">
        <v>0</v>
      </c>
      <c r="P55" s="2973">
        <f>'Д 7_РП'!G83</f>
        <v>0</v>
      </c>
      <c r="Q55" s="2761">
        <f>'Д 7_РП'!E87</f>
        <v>0</v>
      </c>
      <c r="R55" s="2763">
        <f>'Д 7_РП'!F87</f>
        <v>198.47</v>
      </c>
      <c r="S55" s="2762">
        <v>0</v>
      </c>
      <c r="T55" s="2760">
        <f>'Д 7_РП'!G87</f>
        <v>0</v>
      </c>
      <c r="U55" s="2761">
        <f>'Д 7_РП'!E91</f>
        <v>9585.7199999999993</v>
      </c>
      <c r="V55" s="2759">
        <f>'Д 7_РП'!F91</f>
        <v>8654.84</v>
      </c>
      <c r="W55" s="2762">
        <f>'Д 4_Т на П'!F48</f>
        <v>15252.76</v>
      </c>
      <c r="X55" s="2760">
        <f>'Д 7_РП'!G91</f>
        <v>9459.3799999999992</v>
      </c>
      <c r="Y55" s="2979"/>
      <c r="Z55" s="2981"/>
      <c r="AB55" s="1098"/>
      <c r="AC55" s="1098"/>
      <c r="AD55" s="1098"/>
      <c r="AE55" s="1098"/>
      <c r="AF55" s="1098"/>
      <c r="AH55" s="2113"/>
      <c r="AI55" s="2113"/>
      <c r="AJ55" s="2113"/>
      <c r="AK55" s="2113"/>
      <c r="AL55" s="2113"/>
      <c r="AM55" s="2113"/>
    </row>
    <row r="56" spans="1:45" s="121" customFormat="1" ht="15" customHeight="1" x14ac:dyDescent="0.25">
      <c r="A56" s="119">
        <v>11</v>
      </c>
      <c r="B56" s="2954" t="s">
        <v>197</v>
      </c>
      <c r="C56" s="2806" t="s">
        <v>76</v>
      </c>
      <c r="D56" s="2801" t="s">
        <v>22</v>
      </c>
      <c r="E56" s="2761">
        <f t="shared" si="14"/>
        <v>0</v>
      </c>
      <c r="F56" s="2759">
        <f t="shared" si="14"/>
        <v>0</v>
      </c>
      <c r="G56" s="2759">
        <f t="shared" si="14"/>
        <v>0</v>
      </c>
      <c r="H56" s="2760">
        <f t="shared" si="14"/>
        <v>0</v>
      </c>
      <c r="I56" s="2779">
        <v>0</v>
      </c>
      <c r="J56" s="2762">
        <v>0</v>
      </c>
      <c r="K56" s="2762">
        <v>0</v>
      </c>
      <c r="L56" s="2782">
        <v>0</v>
      </c>
      <c r="M56" s="2779">
        <v>0</v>
      </c>
      <c r="N56" s="2762">
        <v>0</v>
      </c>
      <c r="O56" s="2762">
        <v>0</v>
      </c>
      <c r="P56" s="2971">
        <v>0</v>
      </c>
      <c r="Q56" s="2779">
        <v>0</v>
      </c>
      <c r="R56" s="2780">
        <v>0</v>
      </c>
      <c r="S56" s="2762">
        <v>0</v>
      </c>
      <c r="T56" s="2782">
        <v>0</v>
      </c>
      <c r="U56" s="2779">
        <v>0</v>
      </c>
      <c r="V56" s="2762">
        <v>0</v>
      </c>
      <c r="W56" s="2762">
        <v>0</v>
      </c>
      <c r="X56" s="2782">
        <v>0</v>
      </c>
      <c r="Y56" s="2979"/>
      <c r="Z56" s="2981"/>
      <c r="AB56" s="1098"/>
      <c r="AC56" s="1098"/>
      <c r="AD56" s="1098"/>
      <c r="AE56" s="1098"/>
      <c r="AF56" s="1098"/>
      <c r="AH56" s="2113"/>
      <c r="AI56" s="2113"/>
      <c r="AJ56" s="2113"/>
      <c r="AK56" s="2113"/>
      <c r="AL56" s="2113"/>
      <c r="AM56" s="2113"/>
    </row>
    <row r="57" spans="1:45" s="121" customFormat="1" x14ac:dyDescent="0.25">
      <c r="A57" s="119">
        <v>12</v>
      </c>
      <c r="B57" s="2954" t="s">
        <v>198</v>
      </c>
      <c r="C57" s="2807" t="s">
        <v>77</v>
      </c>
      <c r="D57" s="2801" t="s">
        <v>74</v>
      </c>
      <c r="E57" s="2779">
        <v>0</v>
      </c>
      <c r="F57" s="2762">
        <v>0</v>
      </c>
      <c r="G57" s="2762">
        <v>0</v>
      </c>
      <c r="H57" s="2782">
        <v>0</v>
      </c>
      <c r="I57" s="2779">
        <v>0</v>
      </c>
      <c r="J57" s="2762">
        <v>0</v>
      </c>
      <c r="K57" s="2762">
        <v>0</v>
      </c>
      <c r="L57" s="2782">
        <v>0</v>
      </c>
      <c r="M57" s="2779">
        <v>0</v>
      </c>
      <c r="N57" s="2762">
        <v>0</v>
      </c>
      <c r="O57" s="2762">
        <v>0</v>
      </c>
      <c r="P57" s="2971">
        <v>0</v>
      </c>
      <c r="Q57" s="2779">
        <v>0</v>
      </c>
      <c r="R57" s="2780">
        <v>0</v>
      </c>
      <c r="S57" s="2762">
        <v>0</v>
      </c>
      <c r="T57" s="2782">
        <v>0</v>
      </c>
      <c r="U57" s="2779">
        <v>0</v>
      </c>
      <c r="V57" s="2762">
        <v>0</v>
      </c>
      <c r="W57" s="2762">
        <v>0</v>
      </c>
      <c r="X57" s="2782">
        <v>0</v>
      </c>
      <c r="Y57" s="2979"/>
      <c r="Z57" s="2981"/>
      <c r="AB57" s="1098"/>
      <c r="AC57" s="1098"/>
      <c r="AD57" s="1098"/>
      <c r="AE57" s="1098"/>
      <c r="AF57" s="1098"/>
      <c r="AH57" s="2113"/>
      <c r="AI57" s="2113"/>
      <c r="AJ57" s="2113"/>
      <c r="AK57" s="2113"/>
      <c r="AL57" s="2113"/>
      <c r="AM57" s="2113"/>
    </row>
    <row r="58" spans="1:45" s="121" customFormat="1" ht="21" x14ac:dyDescent="0.25">
      <c r="A58" s="119">
        <v>13</v>
      </c>
      <c r="B58" s="2954" t="s">
        <v>199</v>
      </c>
      <c r="C58" s="2808" t="s">
        <v>1964</v>
      </c>
      <c r="D58" s="2809" t="s">
        <v>22</v>
      </c>
      <c r="E58" s="2761">
        <f>I58+M58+Q58+U58</f>
        <v>9585.7199999999993</v>
      </c>
      <c r="F58" s="2759">
        <f>J58+N58+R58+V58</f>
        <v>10760.19</v>
      </c>
      <c r="G58" s="2759">
        <f>K58+O58+S58+W58</f>
        <v>15269.14</v>
      </c>
      <c r="H58" s="2760">
        <f>L58+P58+T58+X58</f>
        <v>10668.84</v>
      </c>
      <c r="I58" s="2761">
        <f>'Д 7_РП'!E27</f>
        <v>0</v>
      </c>
      <c r="J58" s="2759">
        <f>'Д 7_РП'!F27</f>
        <v>0</v>
      </c>
      <c r="K58" s="2762">
        <v>0</v>
      </c>
      <c r="L58" s="2760">
        <f>'Д 7_РП'!G27</f>
        <v>0</v>
      </c>
      <c r="M58" s="2761">
        <f>'Д 7_РП'!E30</f>
        <v>0</v>
      </c>
      <c r="N58" s="2759">
        <f>'Д 7_РП'!F30</f>
        <v>0</v>
      </c>
      <c r="O58" s="2759">
        <v>16.38</v>
      </c>
      <c r="P58" s="2973">
        <f>'Д 7_РП'!G30</f>
        <v>0</v>
      </c>
      <c r="Q58" s="2761">
        <f>'Д 7_РП'!E33</f>
        <v>0</v>
      </c>
      <c r="R58" s="2763">
        <f>'Д 7_РП'!F33</f>
        <v>214.44</v>
      </c>
      <c r="S58" s="2762">
        <v>0</v>
      </c>
      <c r="T58" s="2760">
        <f>'Д 7_РП'!G33</f>
        <v>0</v>
      </c>
      <c r="U58" s="2761">
        <f>'Д 7_РП'!E36</f>
        <v>9585.7199999999993</v>
      </c>
      <c r="V58" s="2759">
        <f>'Д 7_РП'!F36</f>
        <v>10545.75</v>
      </c>
      <c r="W58" s="2762">
        <v>15252.76</v>
      </c>
      <c r="X58" s="2760">
        <f>'Д 7_РП'!G36</f>
        <v>10668.84</v>
      </c>
      <c r="Y58" s="2979"/>
      <c r="Z58" s="2981"/>
      <c r="AB58" s="1098">
        <f>H58</f>
        <v>10668.84</v>
      </c>
      <c r="AC58" s="1098"/>
      <c r="AD58" s="1098"/>
      <c r="AE58" s="1098">
        <f>T58</f>
        <v>0</v>
      </c>
      <c r="AF58" s="1098">
        <f>X58</f>
        <v>10668.84</v>
      </c>
      <c r="AG58" s="1098">
        <f>AB58-AC58-AD58-AE58-AF58</f>
        <v>0</v>
      </c>
      <c r="AH58" s="2113"/>
      <c r="AI58" s="2113"/>
      <c r="AJ58" s="2113"/>
      <c r="AK58" s="2113"/>
      <c r="AL58" s="2113"/>
      <c r="AM58" s="2113"/>
    </row>
    <row r="59" spans="1:45" s="121" customFormat="1" ht="21.75" thickBot="1" x14ac:dyDescent="0.3">
      <c r="A59" s="119">
        <v>14</v>
      </c>
      <c r="B59" s="2955" t="s">
        <v>200</v>
      </c>
      <c r="C59" s="2810" t="s">
        <v>237</v>
      </c>
      <c r="D59" s="2811" t="s">
        <v>74</v>
      </c>
      <c r="E59" s="2956">
        <f>E43/E55*1000</f>
        <v>2191.56</v>
      </c>
      <c r="F59" s="2957">
        <f t="shared" ref="F59" si="15">F43/F55*1000</f>
        <v>4671.8900000000003</v>
      </c>
      <c r="G59" s="2958">
        <f>G43/G58*1000</f>
        <v>2562.5</v>
      </c>
      <c r="H59" s="2958">
        <f>H43/H58*1000</f>
        <v>6776.73</v>
      </c>
      <c r="I59" s="2956">
        <v>0</v>
      </c>
      <c r="J59" s="2957">
        <v>0</v>
      </c>
      <c r="K59" s="2958">
        <v>0</v>
      </c>
      <c r="L59" s="2958">
        <v>0</v>
      </c>
      <c r="M59" s="2956">
        <v>0</v>
      </c>
      <c r="N59" s="2957">
        <v>0</v>
      </c>
      <c r="O59" s="2958">
        <v>0</v>
      </c>
      <c r="P59" s="2958">
        <v>0</v>
      </c>
      <c r="Q59" s="2959">
        <v>0</v>
      </c>
      <c r="R59" s="2957">
        <f>R43/R55*1000</f>
        <v>4671.8900000000003</v>
      </c>
      <c r="S59" s="2957">
        <v>0</v>
      </c>
      <c r="T59" s="2960">
        <v>0</v>
      </c>
      <c r="U59" s="2959">
        <f>U43/U55*1000</f>
        <v>2191.56</v>
      </c>
      <c r="V59" s="2957">
        <f>V43/V55*1000</f>
        <v>4671.8900000000003</v>
      </c>
      <c r="W59" s="2957">
        <v>2565.2399999999998</v>
      </c>
      <c r="X59" s="2960">
        <f>X43/X58*1000</f>
        <v>6776.73</v>
      </c>
      <c r="Y59" s="1186"/>
      <c r="AB59" s="1098"/>
      <c r="AC59" s="1098"/>
      <c r="AD59" s="1098"/>
      <c r="AE59" s="1098"/>
      <c r="AF59" s="1098"/>
      <c r="AH59" s="2113"/>
      <c r="AI59" s="2113"/>
      <c r="AJ59" s="2113"/>
      <c r="AK59" s="2113"/>
      <c r="AL59" s="2113"/>
      <c r="AM59" s="2113"/>
    </row>
    <row r="60" spans="1:45" s="121" customFormat="1" x14ac:dyDescent="0.25">
      <c r="A60" s="130"/>
      <c r="B60" s="2961"/>
      <c r="C60" s="2962"/>
      <c r="D60" s="2963"/>
      <c r="E60" s="2964"/>
      <c r="F60" s="2964"/>
      <c r="G60" s="2964"/>
      <c r="H60" s="2964"/>
      <c r="I60" s="2964"/>
      <c r="J60" s="2964"/>
      <c r="K60" s="2964"/>
      <c r="L60" s="2964"/>
      <c r="M60" s="2964"/>
      <c r="N60" s="2964"/>
      <c r="O60" s="2964"/>
      <c r="P60" s="2964"/>
      <c r="Q60" s="2964"/>
      <c r="R60" s="2964"/>
      <c r="S60" s="2964"/>
      <c r="T60" s="2964"/>
      <c r="U60" s="2964"/>
      <c r="V60" s="2964"/>
      <c r="W60" s="2964"/>
      <c r="X60" s="2964"/>
      <c r="Y60" s="1187"/>
      <c r="AB60" s="1098"/>
      <c r="AC60" s="1098"/>
      <c r="AD60" s="1098"/>
      <c r="AE60" s="1098"/>
      <c r="AF60" s="1098"/>
      <c r="AH60" s="2113"/>
      <c r="AI60" s="2113"/>
      <c r="AJ60" s="2113"/>
      <c r="AK60" s="2113"/>
      <c r="AL60" s="2113"/>
      <c r="AM60" s="2113"/>
    </row>
    <row r="61" spans="1:45" x14ac:dyDescent="0.25">
      <c r="A61" s="132"/>
      <c r="B61" s="2965"/>
      <c r="C61" s="3700" t="s">
        <v>238</v>
      </c>
      <c r="D61" s="3700"/>
      <c r="E61" s="3700"/>
      <c r="F61" s="3700"/>
      <c r="G61" s="3700"/>
      <c r="H61" s="3700"/>
      <c r="I61" s="3700"/>
      <c r="J61" s="3700"/>
      <c r="K61" s="3700"/>
      <c r="L61" s="3700"/>
      <c r="M61" s="3700"/>
      <c r="N61" s="3700"/>
      <c r="O61" s="3700"/>
      <c r="P61" s="3700"/>
      <c r="Q61" s="3700"/>
      <c r="R61" s="3700"/>
      <c r="S61" s="3700"/>
      <c r="T61" s="3700"/>
      <c r="U61" s="3700"/>
      <c r="V61" s="3700"/>
      <c r="W61" s="3700"/>
      <c r="X61" s="3700"/>
    </row>
    <row r="62" spans="1:45" ht="15" customHeight="1" x14ac:dyDescent="0.25">
      <c r="B62" s="2966"/>
      <c r="C62" s="3701" t="s">
        <v>184</v>
      </c>
      <c r="D62" s="3701"/>
      <c r="E62" s="3701"/>
      <c r="F62" s="3701"/>
      <c r="G62" s="3701"/>
      <c r="H62" s="3701"/>
      <c r="I62" s="3701"/>
      <c r="J62" s="3701"/>
      <c r="K62" s="3701"/>
      <c r="L62" s="3701"/>
      <c r="M62" s="3701"/>
      <c r="N62" s="3701"/>
      <c r="O62" s="3701"/>
      <c r="P62" s="3701"/>
      <c r="Q62" s="2792"/>
      <c r="R62" s="2792"/>
      <c r="S62" s="2792"/>
      <c r="T62" s="2792"/>
      <c r="U62" s="2793"/>
      <c r="V62" s="2793"/>
      <c r="W62" s="2793"/>
      <c r="X62" s="2793"/>
    </row>
    <row r="63" spans="1:45" ht="15" customHeight="1" x14ac:dyDescent="0.25">
      <c r="B63" s="2966"/>
      <c r="C63" s="2792"/>
      <c r="D63" s="2792"/>
      <c r="E63" s="2792"/>
      <c r="F63" s="2792"/>
      <c r="G63" s="2792"/>
      <c r="H63" s="2792"/>
      <c r="I63" s="2792"/>
      <c r="J63" s="2792"/>
      <c r="K63" s="2792"/>
      <c r="L63" s="2792"/>
      <c r="M63" s="2792"/>
      <c r="N63" s="2792"/>
      <c r="O63" s="2792"/>
      <c r="P63" s="2792"/>
      <c r="Q63" s="2792"/>
      <c r="R63" s="2792"/>
      <c r="S63" s="2792"/>
      <c r="T63" s="2792"/>
      <c r="U63" s="2793"/>
      <c r="V63" s="2793"/>
      <c r="W63" s="2793"/>
      <c r="X63" s="2793"/>
    </row>
    <row r="64" spans="1:45" ht="15" customHeight="1" x14ac:dyDescent="0.25">
      <c r="B64" s="2966"/>
      <c r="C64" s="2792"/>
      <c r="D64" s="2792"/>
      <c r="E64" s="2792"/>
      <c r="F64" s="2792"/>
      <c r="G64" s="2792"/>
      <c r="H64" s="2792"/>
      <c r="I64" s="2792"/>
      <c r="J64" s="2792"/>
      <c r="K64" s="2792"/>
      <c r="L64" s="2792"/>
      <c r="M64" s="2792"/>
      <c r="N64" s="2792"/>
      <c r="O64" s="2792"/>
      <c r="P64" s="2792"/>
      <c r="Q64" s="2792"/>
      <c r="R64" s="2792"/>
      <c r="S64" s="2792"/>
      <c r="T64" s="2792"/>
      <c r="U64" s="2793"/>
      <c r="V64" s="2793"/>
      <c r="W64" s="2793"/>
      <c r="X64" s="2793"/>
    </row>
    <row r="65" spans="1:39" ht="15" customHeight="1" x14ac:dyDescent="0.25">
      <c r="B65" s="2966"/>
      <c r="C65" s="2792"/>
      <c r="D65" s="2792"/>
      <c r="E65" s="2792"/>
      <c r="F65" s="2792"/>
      <c r="G65" s="2792"/>
      <c r="H65" s="2792"/>
      <c r="I65" s="2792"/>
      <c r="J65" s="2792"/>
      <c r="K65" s="2792"/>
      <c r="L65" s="2792"/>
      <c r="M65" s="2792"/>
      <c r="N65" s="2792"/>
      <c r="O65" s="2792"/>
      <c r="P65" s="2792"/>
      <c r="Q65" s="2792"/>
      <c r="R65" s="2792"/>
      <c r="S65" s="2792"/>
      <c r="T65" s="2792"/>
      <c r="U65" s="2793"/>
      <c r="V65" s="2793"/>
      <c r="W65" s="2793"/>
      <c r="X65" s="2793"/>
    </row>
    <row r="66" spans="1:39" ht="15" customHeight="1" x14ac:dyDescent="0.25">
      <c r="B66" s="2966"/>
      <c r="C66" s="2792"/>
      <c r="D66" s="2792"/>
      <c r="E66" s="2792"/>
      <c r="F66" s="2792"/>
      <c r="G66" s="2792"/>
      <c r="H66" s="2792"/>
      <c r="I66" s="2792"/>
      <c r="J66" s="2792"/>
      <c r="K66" s="2792"/>
      <c r="L66" s="2792"/>
      <c r="M66" s="2792"/>
      <c r="N66" s="2792"/>
      <c r="O66" s="2792"/>
      <c r="P66" s="2792"/>
      <c r="Q66" s="2792"/>
      <c r="R66" s="2792"/>
      <c r="S66" s="2792"/>
      <c r="T66" s="2792"/>
      <c r="U66" s="2793"/>
      <c r="V66" s="2793"/>
      <c r="W66" s="2793"/>
      <c r="X66" s="2793"/>
    </row>
    <row r="67" spans="1:39" ht="15" customHeight="1" x14ac:dyDescent="0.25">
      <c r="B67" s="2966"/>
      <c r="C67" s="2792"/>
      <c r="D67" s="2792"/>
      <c r="E67" s="2792"/>
      <c r="F67" s="2792"/>
      <c r="G67" s="2792"/>
      <c r="H67" s="2792"/>
      <c r="I67" s="2792"/>
      <c r="J67" s="2792"/>
      <c r="K67" s="2792"/>
      <c r="L67" s="2792"/>
      <c r="M67" s="2792"/>
      <c r="N67" s="2792"/>
      <c r="O67" s="2792"/>
      <c r="P67" s="2792"/>
      <c r="Q67" s="2792"/>
      <c r="R67" s="2792"/>
      <c r="S67" s="2792"/>
      <c r="T67" s="2792"/>
      <c r="U67" s="2793"/>
      <c r="V67" s="2793"/>
      <c r="W67" s="2793"/>
      <c r="X67" s="2793"/>
    </row>
    <row r="68" spans="1:39" ht="15" customHeight="1" x14ac:dyDescent="0.25">
      <c r="B68" s="2966"/>
      <c r="C68" s="2792"/>
      <c r="D68" s="2792"/>
      <c r="E68" s="2792"/>
      <c r="F68" s="2792"/>
      <c r="G68" s="2792"/>
      <c r="H68" s="2792"/>
      <c r="I68" s="2792"/>
      <c r="J68" s="2792"/>
      <c r="K68" s="2792"/>
      <c r="L68" s="2792"/>
      <c r="M68" s="2792"/>
      <c r="N68" s="2792"/>
      <c r="O68" s="2792"/>
      <c r="P68" s="2792"/>
      <c r="Q68" s="2792"/>
      <c r="R68" s="2792"/>
      <c r="S68" s="2792"/>
      <c r="T68" s="2792"/>
      <c r="U68" s="2793"/>
      <c r="V68" s="2793"/>
      <c r="W68" s="2793"/>
      <c r="X68" s="2793"/>
    </row>
    <row r="69" spans="1:39" ht="15" customHeight="1" x14ac:dyDescent="0.25">
      <c r="B69" s="2966"/>
      <c r="C69" s="2792"/>
      <c r="D69" s="2792"/>
      <c r="E69" s="2792"/>
      <c r="F69" s="2792"/>
      <c r="G69" s="2792"/>
      <c r="H69" s="2792"/>
      <c r="I69" s="2792"/>
      <c r="J69" s="2793"/>
      <c r="K69" s="2793"/>
      <c r="L69" s="2793"/>
      <c r="M69" s="2793"/>
      <c r="N69" s="2792"/>
      <c r="O69" s="2794"/>
      <c r="P69" s="2792"/>
      <c r="Q69" s="2793"/>
      <c r="R69" s="2793"/>
      <c r="S69" s="2793"/>
      <c r="T69" s="2793"/>
      <c r="U69" s="2793"/>
      <c r="V69" s="2793"/>
      <c r="W69" s="2793"/>
      <c r="X69" s="2793"/>
    </row>
    <row r="70" spans="1:39" s="135" customFormat="1" ht="15" customHeight="1" x14ac:dyDescent="0.25">
      <c r="A70" s="134"/>
      <c r="B70" s="2967"/>
      <c r="C70" s="2756" t="str">
        <f>'Вхідні дані'!B13</f>
        <v>Начальник Адміністрації морського порту Чорноморськ</v>
      </c>
      <c r="D70" s="2757"/>
      <c r="E70" s="2757"/>
      <c r="F70" s="2757"/>
      <c r="G70" s="2757"/>
      <c r="H70" s="2757"/>
      <c r="I70" s="2757"/>
      <c r="J70" s="3702" t="s">
        <v>240</v>
      </c>
      <c r="K70" s="3703"/>
      <c r="L70" s="3703"/>
      <c r="M70" s="3703"/>
      <c r="N70" s="2757"/>
      <c r="O70" s="2757"/>
      <c r="P70" s="2757"/>
      <c r="Q70" s="2758" t="str">
        <f>'Вхідні дані'!F13</f>
        <v>Максим ШИРОКОВ</v>
      </c>
      <c r="R70" s="2938"/>
      <c r="S70" s="2938"/>
      <c r="T70" s="2938"/>
      <c r="U70" s="2757"/>
      <c r="V70" s="2757"/>
      <c r="W70" s="2757"/>
      <c r="X70" s="2757"/>
      <c r="Y70" s="897"/>
      <c r="AB70" s="2098"/>
      <c r="AC70" s="2098"/>
      <c r="AD70" s="2098"/>
      <c r="AE70" s="2098"/>
      <c r="AF70" s="2098"/>
      <c r="AH70" s="2114"/>
      <c r="AI70" s="2114"/>
      <c r="AJ70" s="2114"/>
      <c r="AK70" s="2114"/>
      <c r="AL70" s="2114"/>
      <c r="AM70" s="2114"/>
    </row>
    <row r="71" spans="1:39" s="135" customFormat="1" ht="15.75" x14ac:dyDescent="0.25">
      <c r="A71" s="134"/>
      <c r="B71" s="2967"/>
      <c r="C71" s="2968" t="s">
        <v>241</v>
      </c>
      <c r="D71" s="2757"/>
      <c r="E71" s="2757"/>
      <c r="F71" s="2757"/>
      <c r="G71" s="2757"/>
      <c r="H71" s="2757"/>
      <c r="I71" s="2757"/>
      <c r="J71" s="3698" t="s">
        <v>219</v>
      </c>
      <c r="K71" s="3698"/>
      <c r="L71" s="3698"/>
      <c r="M71" s="3698"/>
      <c r="N71" s="2757"/>
      <c r="O71" s="2757"/>
      <c r="P71" s="2757"/>
      <c r="Q71" s="3699" t="s">
        <v>239</v>
      </c>
      <c r="R71" s="3699"/>
      <c r="S71" s="3699"/>
      <c r="T71" s="3699"/>
      <c r="U71" s="2757"/>
      <c r="V71" s="2757"/>
      <c r="W71" s="2757"/>
      <c r="X71" s="2757"/>
      <c r="Y71" s="897"/>
      <c r="AB71" s="2098"/>
      <c r="AC71" s="2098"/>
      <c r="AD71" s="2098"/>
      <c r="AE71" s="2098"/>
      <c r="AF71" s="2098"/>
      <c r="AH71" s="2114"/>
      <c r="AI71" s="2114"/>
      <c r="AJ71" s="2114"/>
      <c r="AK71" s="2114"/>
      <c r="AL71" s="2114"/>
      <c r="AM71" s="2114"/>
    </row>
    <row r="72" spans="1:39" x14ac:dyDescent="0.25">
      <c r="C72"/>
      <c r="D72"/>
      <c r="E72"/>
      <c r="F72"/>
      <c r="G72"/>
      <c r="H72"/>
      <c r="I72"/>
      <c r="J72"/>
      <c r="K72"/>
      <c r="L72"/>
      <c r="M72"/>
      <c r="N72"/>
      <c r="O72"/>
      <c r="P72"/>
      <c r="Q72"/>
      <c r="R72"/>
      <c r="S72"/>
      <c r="T72"/>
      <c r="U72"/>
      <c r="V72"/>
      <c r="W72"/>
      <c r="X72"/>
      <c r="Y72" s="898"/>
    </row>
    <row r="73" spans="1:39" x14ac:dyDescent="0.25">
      <c r="C73"/>
      <c r="D73"/>
      <c r="E73"/>
      <c r="F73"/>
      <c r="G73"/>
      <c r="H73"/>
      <c r="I73"/>
      <c r="J73"/>
      <c r="K73"/>
      <c r="L73"/>
      <c r="M73"/>
      <c r="N73"/>
      <c r="O73"/>
      <c r="P73"/>
      <c r="Q73"/>
      <c r="R73"/>
      <c r="S73"/>
      <c r="T73"/>
      <c r="U73"/>
      <c r="V73"/>
      <c r="W73"/>
      <c r="X73"/>
      <c r="Y73" s="898"/>
    </row>
    <row r="74" spans="1:39" s="112" customFormat="1" x14ac:dyDescent="0.25">
      <c r="A74" s="110"/>
      <c r="B74" s="110"/>
      <c r="C74" s="922" t="s">
        <v>2403</v>
      </c>
      <c r="D74" s="922"/>
      <c r="E74" s="922"/>
      <c r="F74" s="922"/>
      <c r="G74" s="922"/>
      <c r="H74" s="922"/>
      <c r="I74" s="922"/>
      <c r="J74" s="922"/>
      <c r="K74" s="922"/>
      <c r="L74" s="922"/>
      <c r="M74" s="922"/>
      <c r="N74" s="922"/>
      <c r="O74" s="922"/>
      <c r="P74" s="922"/>
      <c r="Q74" s="922"/>
      <c r="R74" s="922"/>
      <c r="S74" s="922"/>
      <c r="T74" s="922"/>
      <c r="U74" s="922"/>
      <c r="V74" s="922"/>
      <c r="W74" s="922"/>
      <c r="X74" s="922"/>
      <c r="Y74" s="155"/>
      <c r="AB74" s="2095"/>
      <c r="AC74" s="2095"/>
      <c r="AD74" s="2095"/>
      <c r="AE74" s="2095"/>
      <c r="AF74" s="2095"/>
      <c r="AH74" s="2110"/>
      <c r="AI74" s="2110"/>
      <c r="AJ74" s="2110"/>
      <c r="AK74" s="2110"/>
      <c r="AL74" s="2110"/>
      <c r="AM74" s="2110"/>
    </row>
    <row r="75" spans="1:39" x14ac:dyDescent="0.25">
      <c r="C75"/>
      <c r="D75"/>
      <c r="E75"/>
      <c r="F75"/>
      <c r="G75"/>
      <c r="H75"/>
      <c r="I75"/>
      <c r="J75"/>
      <c r="K75"/>
      <c r="L75"/>
      <c r="M75"/>
      <c r="N75"/>
      <c r="O75"/>
      <c r="P75"/>
    </row>
    <row r="76" spans="1:39" x14ac:dyDescent="0.25">
      <c r="C76"/>
      <c r="D76"/>
      <c r="E76" s="2793"/>
      <c r="F76" s="2793"/>
      <c r="G76" s="2793"/>
      <c r="H76" s="2793"/>
      <c r="I76" s="2793"/>
      <c r="J76" s="2793"/>
      <c r="K76" s="2793"/>
      <c r="L76" s="2980"/>
      <c r="M76" s="2793"/>
      <c r="N76" s="2793"/>
      <c r="O76" s="2793"/>
      <c r="P76" s="2793"/>
      <c r="Q76" s="2793"/>
      <c r="R76" s="2793"/>
      <c r="S76" s="2793"/>
      <c r="T76" s="2793"/>
      <c r="U76" s="2793"/>
      <c r="V76" s="2793"/>
      <c r="W76" s="2793"/>
      <c r="X76" s="2793"/>
      <c r="Y76" s="2979"/>
    </row>
    <row r="77" spans="1:39" x14ac:dyDescent="0.25">
      <c r="C77"/>
      <c r="D77"/>
      <c r="E77" s="2793"/>
      <c r="F77" s="2793"/>
      <c r="G77" s="2793"/>
      <c r="H77" s="2793"/>
      <c r="I77" s="2793"/>
      <c r="J77" s="2793"/>
      <c r="K77" s="2793"/>
      <c r="L77" s="2980"/>
      <c r="M77" s="2793"/>
      <c r="N77" s="2793"/>
      <c r="O77" s="2793"/>
      <c r="P77" s="2793"/>
      <c r="Q77" s="2793"/>
      <c r="R77" s="2793"/>
      <c r="S77" s="2793"/>
      <c r="T77" s="2793"/>
      <c r="U77" s="2793"/>
      <c r="V77" s="2793"/>
      <c r="W77" s="2793"/>
      <c r="X77" s="2793"/>
      <c r="Y77" s="2979"/>
    </row>
    <row r="78" spans="1:39" x14ac:dyDescent="0.25">
      <c r="C78"/>
      <c r="D78"/>
      <c r="E78" s="2618"/>
      <c r="F78" s="2618"/>
      <c r="G78" s="2618"/>
      <c r="H78" s="2618"/>
      <c r="I78" s="2618"/>
      <c r="J78" s="2618"/>
      <c r="K78" s="2618"/>
      <c r="L78" s="2618"/>
      <c r="M78" s="2618"/>
      <c r="N78" s="2618"/>
      <c r="O78" s="2618"/>
      <c r="P78" s="2618"/>
      <c r="Q78" s="2793"/>
      <c r="R78" s="2793"/>
      <c r="S78" s="2793"/>
      <c r="T78" s="2793"/>
      <c r="U78" s="2793"/>
      <c r="V78" s="2793"/>
      <c r="W78" s="2793"/>
      <c r="X78" s="2793"/>
      <c r="Y78" s="2979"/>
    </row>
    <row r="79" spans="1:39" x14ac:dyDescent="0.25">
      <c r="C79"/>
      <c r="D79"/>
      <c r="E79" s="2982"/>
      <c r="F79" s="2982"/>
      <c r="G79" s="2982"/>
      <c r="H79" s="2982"/>
      <c r="I79" s="2982"/>
      <c r="J79" s="2982"/>
      <c r="K79" s="2982"/>
      <c r="L79" s="2982"/>
      <c r="M79" s="2982"/>
      <c r="N79" s="2982"/>
      <c r="O79" s="2982"/>
      <c r="P79" s="2982"/>
      <c r="Q79" s="2982"/>
      <c r="R79" s="2982"/>
      <c r="S79" s="2982"/>
      <c r="T79" s="2982"/>
      <c r="U79" s="2982"/>
      <c r="V79" s="2983"/>
      <c r="W79" s="2982"/>
      <c r="X79" s="2982"/>
      <c r="Y79" s="2979"/>
    </row>
    <row r="80" spans="1:39" x14ac:dyDescent="0.25">
      <c r="C80"/>
      <c r="D80"/>
      <c r="E80" s="2984"/>
      <c r="F80" s="2984"/>
      <c r="G80" s="2984"/>
      <c r="H80" s="2984"/>
      <c r="I80" s="2984"/>
      <c r="J80" s="2984"/>
      <c r="K80" s="2984"/>
      <c r="L80" s="2984"/>
      <c r="M80" s="2984"/>
      <c r="N80" s="2984"/>
      <c r="O80" s="2984"/>
      <c r="P80" s="2984"/>
      <c r="Q80" s="2984"/>
      <c r="R80" s="2984"/>
      <c r="S80" s="2984"/>
      <c r="T80" s="2984"/>
      <c r="U80" s="2984"/>
      <c r="V80" s="2984"/>
      <c r="W80" s="2984"/>
      <c r="X80" s="2984"/>
      <c r="Y80" s="2979"/>
    </row>
    <row r="81" spans="3:25" x14ac:dyDescent="0.25">
      <c r="C81"/>
      <c r="D81"/>
      <c r="E81" s="2618"/>
      <c r="F81" s="2618"/>
      <c r="G81" s="2618"/>
      <c r="H81" s="2618"/>
      <c r="I81" s="2618"/>
      <c r="J81" s="2618"/>
      <c r="K81" s="2618"/>
      <c r="L81" s="2618"/>
      <c r="M81" s="2618"/>
      <c r="N81" s="2618"/>
      <c r="O81" s="2618"/>
      <c r="P81" s="2618"/>
      <c r="Q81" s="2793"/>
      <c r="R81" s="2793"/>
      <c r="S81" s="2793"/>
      <c r="T81" s="2618"/>
      <c r="U81" s="2793"/>
      <c r="V81" s="2793"/>
      <c r="W81" s="2793"/>
      <c r="X81" s="2618"/>
      <c r="Y81" s="2979"/>
    </row>
    <row r="82" spans="3:25" x14ac:dyDescent="0.25">
      <c r="C82"/>
      <c r="D82"/>
      <c r="E82"/>
      <c r="F82"/>
      <c r="G82"/>
      <c r="H82"/>
      <c r="I82"/>
      <c r="J82"/>
      <c r="K82"/>
      <c r="L82"/>
      <c r="M82"/>
      <c r="N82"/>
      <c r="O82"/>
      <c r="P82"/>
    </row>
    <row r="83" spans="3:25" x14ac:dyDescent="0.25">
      <c r="C83"/>
      <c r="D83"/>
      <c r="E83"/>
      <c r="F83"/>
      <c r="G83"/>
      <c r="H83"/>
      <c r="I83"/>
      <c r="J83"/>
      <c r="K83"/>
      <c r="L83"/>
      <c r="M83"/>
      <c r="N83"/>
      <c r="O83"/>
      <c r="P83"/>
    </row>
    <row r="84" spans="3:25" x14ac:dyDescent="0.25">
      <c r="C84"/>
      <c r="D84"/>
      <c r="E84"/>
      <c r="F84"/>
      <c r="G84"/>
      <c r="H84"/>
      <c r="I84"/>
      <c r="J84"/>
      <c r="K84"/>
      <c r="L84"/>
      <c r="M84"/>
      <c r="N84"/>
      <c r="O84"/>
      <c r="P84"/>
    </row>
    <row r="85" spans="3:25" x14ac:dyDescent="0.25">
      <c r="C85"/>
      <c r="D85"/>
      <c r="E85"/>
      <c r="F85"/>
      <c r="G85"/>
      <c r="H85"/>
      <c r="I85"/>
      <c r="J85"/>
      <c r="K85"/>
      <c r="L85"/>
      <c r="M85"/>
      <c r="N85"/>
      <c r="O85"/>
      <c r="P85"/>
    </row>
    <row r="86" spans="3:25" x14ac:dyDescent="0.25">
      <c r="C86"/>
      <c r="D86"/>
      <c r="E86"/>
      <c r="F86"/>
      <c r="G86"/>
      <c r="H86"/>
      <c r="I86"/>
      <c r="J86"/>
      <c r="K86"/>
      <c r="L86"/>
      <c r="M86"/>
      <c r="N86"/>
      <c r="O86"/>
      <c r="P86"/>
    </row>
    <row r="87" spans="3:25" x14ac:dyDescent="0.25">
      <c r="C87"/>
      <c r="D87"/>
      <c r="E87"/>
      <c r="F87"/>
      <c r="G87"/>
      <c r="H87"/>
      <c r="I87"/>
      <c r="J87"/>
      <c r="K87"/>
      <c r="L87"/>
      <c r="M87"/>
      <c r="N87"/>
      <c r="O87"/>
      <c r="P87"/>
    </row>
    <row r="88" spans="3:25" x14ac:dyDescent="0.25">
      <c r="C88"/>
      <c r="D88"/>
      <c r="E88"/>
      <c r="F88"/>
      <c r="G88"/>
      <c r="H88"/>
      <c r="I88"/>
      <c r="J88"/>
      <c r="K88"/>
      <c r="L88"/>
      <c r="M88"/>
      <c r="N88"/>
      <c r="O88"/>
      <c r="P88"/>
    </row>
    <row r="89" spans="3:25" x14ac:dyDescent="0.25">
      <c r="C89"/>
      <c r="D89"/>
      <c r="E89"/>
      <c r="F89"/>
      <c r="G89"/>
      <c r="H89"/>
      <c r="I89"/>
      <c r="J89"/>
      <c r="K89"/>
      <c r="L89"/>
      <c r="M89"/>
      <c r="N89"/>
      <c r="O89"/>
      <c r="P89"/>
    </row>
    <row r="90" spans="3:25" x14ac:dyDescent="0.25">
      <c r="C90"/>
      <c r="D90"/>
      <c r="E90"/>
      <c r="F90"/>
      <c r="G90"/>
      <c r="H90"/>
      <c r="I90"/>
      <c r="J90"/>
      <c r="K90"/>
      <c r="L90"/>
      <c r="M90"/>
      <c r="N90"/>
      <c r="O90"/>
      <c r="P90"/>
    </row>
  </sheetData>
  <mergeCells count="19">
    <mergeCell ref="J71:M71"/>
    <mergeCell ref="Q71:T71"/>
    <mergeCell ref="M7:P8"/>
    <mergeCell ref="Q7:T8"/>
    <mergeCell ref="U7:X8"/>
    <mergeCell ref="C61:X61"/>
    <mergeCell ref="C62:P62"/>
    <mergeCell ref="J70:M70"/>
    <mergeCell ref="S1:X1"/>
    <mergeCell ref="C3:X3"/>
    <mergeCell ref="C4:X4"/>
    <mergeCell ref="D6:X6"/>
    <mergeCell ref="A7:A9"/>
    <mergeCell ref="B7:B10"/>
    <mergeCell ref="C7:C10"/>
    <mergeCell ref="D7:D10"/>
    <mergeCell ref="E7:H8"/>
    <mergeCell ref="I7:L8"/>
    <mergeCell ref="S2:X2"/>
  </mergeCells>
  <conditionalFormatting sqref="C1:C2">
    <cfRule type="containsText" dxfId="46" priority="1" operator="containsText" text="Для корек">
      <formula>NOT(ISERROR(SEARCH("Для корек",C1)))</formula>
    </cfRule>
  </conditionalFormatting>
  <pageMargins left="0.43307086614173229" right="0.27559055118110237" top="0.78740157480314965" bottom="0.23622047244094491" header="0.62992125984251968" footer="0.31496062992125984"/>
  <pageSetup paperSize="9" scale="62" fitToHeight="0" orientation="landscape" r:id="rId1"/>
  <headerFooter differentFirst="1">
    <oddHeader>&amp;Rпродовження додатку 2</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499984740745262"/>
    <pageSetUpPr fitToPage="1"/>
  </sheetPr>
  <dimension ref="B1:X298"/>
  <sheetViews>
    <sheetView topLeftCell="A34" workbookViewId="0">
      <selection activeCell="G69" sqref="G69"/>
    </sheetView>
  </sheetViews>
  <sheetFormatPr defaultColWidth="9.140625" defaultRowHeight="12.75" x14ac:dyDescent="0.2"/>
  <cols>
    <col min="1" max="1" width="4" style="286" customWidth="1"/>
    <col min="2" max="2" width="31.140625" style="284" customWidth="1"/>
    <col min="3" max="3" width="19.42578125" style="343" customWidth="1"/>
    <col min="4" max="4" width="10.85546875" style="284" customWidth="1"/>
    <col min="5" max="5" width="9.28515625" style="284" customWidth="1"/>
    <col min="6" max="6" width="12.42578125" style="284" customWidth="1"/>
    <col min="7" max="7" width="12" style="284" customWidth="1"/>
    <col min="8" max="8" width="11.28515625" style="284" customWidth="1"/>
    <col min="9" max="9" width="11.42578125" style="284" customWidth="1"/>
    <col min="10" max="10" width="8.85546875" style="284" bestFit="1" customWidth="1"/>
    <col min="11" max="11" width="12.7109375" style="284" customWidth="1"/>
    <col min="12" max="12" width="9.5703125" style="284" bestFit="1" customWidth="1"/>
    <col min="13" max="13" width="10.28515625" style="284" customWidth="1"/>
    <col min="14" max="15" width="8.85546875" style="285" hidden="1" customWidth="1"/>
    <col min="16" max="16" width="10.28515625" style="285" hidden="1" customWidth="1"/>
    <col min="17" max="17" width="10.7109375" style="285" hidden="1" customWidth="1"/>
    <col min="18" max="19" width="8.85546875" style="285" hidden="1" customWidth="1"/>
    <col min="20" max="21" width="9.140625" style="286" hidden="1" customWidth="1"/>
    <col min="22" max="22" width="9.140625" style="286" customWidth="1"/>
    <col min="23" max="257" width="9.140625" style="286"/>
    <col min="258" max="258" width="34.7109375" style="286" customWidth="1"/>
    <col min="259" max="259" width="22" style="286" customWidth="1"/>
    <col min="260" max="260" width="11.140625" style="286" customWidth="1"/>
    <col min="261" max="261" width="8.42578125" style="286" customWidth="1"/>
    <col min="262" max="262" width="12.42578125" style="286" customWidth="1"/>
    <col min="263" max="263" width="10.85546875" style="286" customWidth="1"/>
    <col min="264" max="264" width="11.28515625" style="286" customWidth="1"/>
    <col min="265" max="266" width="11.42578125" style="286" customWidth="1"/>
    <col min="267" max="267" width="12.7109375" style="286" customWidth="1"/>
    <col min="268" max="268" width="9.5703125" style="286" bestFit="1" customWidth="1"/>
    <col min="269" max="269" width="12.7109375" style="286" customWidth="1"/>
    <col min="270" max="278" width="0" style="286" hidden="1" customWidth="1"/>
    <col min="279" max="513" width="9.140625" style="286"/>
    <col min="514" max="514" width="34.7109375" style="286" customWidth="1"/>
    <col min="515" max="515" width="22" style="286" customWidth="1"/>
    <col min="516" max="516" width="11.140625" style="286" customWidth="1"/>
    <col min="517" max="517" width="8.42578125" style="286" customWidth="1"/>
    <col min="518" max="518" width="12.42578125" style="286" customWidth="1"/>
    <col min="519" max="519" width="10.85546875" style="286" customWidth="1"/>
    <col min="520" max="520" width="11.28515625" style="286" customWidth="1"/>
    <col min="521" max="522" width="11.42578125" style="286" customWidth="1"/>
    <col min="523" max="523" width="12.7109375" style="286" customWidth="1"/>
    <col min="524" max="524" width="9.5703125" style="286" bestFit="1" customWidth="1"/>
    <col min="525" max="525" width="12.7109375" style="286" customWidth="1"/>
    <col min="526" max="534" width="0" style="286" hidden="1" customWidth="1"/>
    <col min="535" max="769" width="9.140625" style="286"/>
    <col min="770" max="770" width="34.7109375" style="286" customWidth="1"/>
    <col min="771" max="771" width="22" style="286" customWidth="1"/>
    <col min="772" max="772" width="11.140625" style="286" customWidth="1"/>
    <col min="773" max="773" width="8.42578125" style="286" customWidth="1"/>
    <col min="774" max="774" width="12.42578125" style="286" customWidth="1"/>
    <col min="775" max="775" width="10.85546875" style="286" customWidth="1"/>
    <col min="776" max="776" width="11.28515625" style="286" customWidth="1"/>
    <col min="777" max="778" width="11.42578125" style="286" customWidth="1"/>
    <col min="779" max="779" width="12.7109375" style="286" customWidth="1"/>
    <col min="780" max="780" width="9.5703125" style="286" bestFit="1" customWidth="1"/>
    <col min="781" max="781" width="12.7109375" style="286" customWidth="1"/>
    <col min="782" max="790" width="0" style="286" hidden="1" customWidth="1"/>
    <col min="791" max="1025" width="9.140625" style="286"/>
    <col min="1026" max="1026" width="34.7109375" style="286" customWidth="1"/>
    <col min="1027" max="1027" width="22" style="286" customWidth="1"/>
    <col min="1028" max="1028" width="11.140625" style="286" customWidth="1"/>
    <col min="1029" max="1029" width="8.42578125" style="286" customWidth="1"/>
    <col min="1030" max="1030" width="12.42578125" style="286" customWidth="1"/>
    <col min="1031" max="1031" width="10.85546875" style="286" customWidth="1"/>
    <col min="1032" max="1032" width="11.28515625" style="286" customWidth="1"/>
    <col min="1033" max="1034" width="11.42578125" style="286" customWidth="1"/>
    <col min="1035" max="1035" width="12.7109375" style="286" customWidth="1"/>
    <col min="1036" max="1036" width="9.5703125" style="286" bestFit="1" customWidth="1"/>
    <col min="1037" max="1037" width="12.7109375" style="286" customWidth="1"/>
    <col min="1038" max="1046" width="0" style="286" hidden="1" customWidth="1"/>
    <col min="1047" max="1281" width="9.140625" style="286"/>
    <col min="1282" max="1282" width="34.7109375" style="286" customWidth="1"/>
    <col min="1283" max="1283" width="22" style="286" customWidth="1"/>
    <col min="1284" max="1284" width="11.140625" style="286" customWidth="1"/>
    <col min="1285" max="1285" width="8.42578125" style="286" customWidth="1"/>
    <col min="1286" max="1286" width="12.42578125" style="286" customWidth="1"/>
    <col min="1287" max="1287" width="10.85546875" style="286" customWidth="1"/>
    <col min="1288" max="1288" width="11.28515625" style="286" customWidth="1"/>
    <col min="1289" max="1290" width="11.42578125" style="286" customWidth="1"/>
    <col min="1291" max="1291" width="12.7109375" style="286" customWidth="1"/>
    <col min="1292" max="1292" width="9.5703125" style="286" bestFit="1" customWidth="1"/>
    <col min="1293" max="1293" width="12.7109375" style="286" customWidth="1"/>
    <col min="1294" max="1302" width="0" style="286" hidden="1" customWidth="1"/>
    <col min="1303" max="1537" width="9.140625" style="286"/>
    <col min="1538" max="1538" width="34.7109375" style="286" customWidth="1"/>
    <col min="1539" max="1539" width="22" style="286" customWidth="1"/>
    <col min="1540" max="1540" width="11.140625" style="286" customWidth="1"/>
    <col min="1541" max="1541" width="8.42578125" style="286" customWidth="1"/>
    <col min="1542" max="1542" width="12.42578125" style="286" customWidth="1"/>
    <col min="1543" max="1543" width="10.85546875" style="286" customWidth="1"/>
    <col min="1544" max="1544" width="11.28515625" style="286" customWidth="1"/>
    <col min="1545" max="1546" width="11.42578125" style="286" customWidth="1"/>
    <col min="1547" max="1547" width="12.7109375" style="286" customWidth="1"/>
    <col min="1548" max="1548" width="9.5703125" style="286" bestFit="1" customWidth="1"/>
    <col min="1549" max="1549" width="12.7109375" style="286" customWidth="1"/>
    <col min="1550" max="1558" width="0" style="286" hidden="1" customWidth="1"/>
    <col min="1559" max="1793" width="9.140625" style="286"/>
    <col min="1794" max="1794" width="34.7109375" style="286" customWidth="1"/>
    <col min="1795" max="1795" width="22" style="286" customWidth="1"/>
    <col min="1796" max="1796" width="11.140625" style="286" customWidth="1"/>
    <col min="1797" max="1797" width="8.42578125" style="286" customWidth="1"/>
    <col min="1798" max="1798" width="12.42578125" style="286" customWidth="1"/>
    <col min="1799" max="1799" width="10.85546875" style="286" customWidth="1"/>
    <col min="1800" max="1800" width="11.28515625" style="286" customWidth="1"/>
    <col min="1801" max="1802" width="11.42578125" style="286" customWidth="1"/>
    <col min="1803" max="1803" width="12.7109375" style="286" customWidth="1"/>
    <col min="1804" max="1804" width="9.5703125" style="286" bestFit="1" customWidth="1"/>
    <col min="1805" max="1805" width="12.7109375" style="286" customWidth="1"/>
    <col min="1806" max="1814" width="0" style="286" hidden="1" customWidth="1"/>
    <col min="1815" max="2049" width="9.140625" style="286"/>
    <col min="2050" max="2050" width="34.7109375" style="286" customWidth="1"/>
    <col min="2051" max="2051" width="22" style="286" customWidth="1"/>
    <col min="2052" max="2052" width="11.140625" style="286" customWidth="1"/>
    <col min="2053" max="2053" width="8.42578125" style="286" customWidth="1"/>
    <col min="2054" max="2054" width="12.42578125" style="286" customWidth="1"/>
    <col min="2055" max="2055" width="10.85546875" style="286" customWidth="1"/>
    <col min="2056" max="2056" width="11.28515625" style="286" customWidth="1"/>
    <col min="2057" max="2058" width="11.42578125" style="286" customWidth="1"/>
    <col min="2059" max="2059" width="12.7109375" style="286" customWidth="1"/>
    <col min="2060" max="2060" width="9.5703125" style="286" bestFit="1" customWidth="1"/>
    <col min="2061" max="2061" width="12.7109375" style="286" customWidth="1"/>
    <col min="2062" max="2070" width="0" style="286" hidden="1" customWidth="1"/>
    <col min="2071" max="2305" width="9.140625" style="286"/>
    <col min="2306" max="2306" width="34.7109375" style="286" customWidth="1"/>
    <col min="2307" max="2307" width="22" style="286" customWidth="1"/>
    <col min="2308" max="2308" width="11.140625" style="286" customWidth="1"/>
    <col min="2309" max="2309" width="8.42578125" style="286" customWidth="1"/>
    <col min="2310" max="2310" width="12.42578125" style="286" customWidth="1"/>
    <col min="2311" max="2311" width="10.85546875" style="286" customWidth="1"/>
    <col min="2312" max="2312" width="11.28515625" style="286" customWidth="1"/>
    <col min="2313" max="2314" width="11.42578125" style="286" customWidth="1"/>
    <col min="2315" max="2315" width="12.7109375" style="286" customWidth="1"/>
    <col min="2316" max="2316" width="9.5703125" style="286" bestFit="1" customWidth="1"/>
    <col min="2317" max="2317" width="12.7109375" style="286" customWidth="1"/>
    <col min="2318" max="2326" width="0" style="286" hidden="1" customWidth="1"/>
    <col min="2327" max="2561" width="9.140625" style="286"/>
    <col min="2562" max="2562" width="34.7109375" style="286" customWidth="1"/>
    <col min="2563" max="2563" width="22" style="286" customWidth="1"/>
    <col min="2564" max="2564" width="11.140625" style="286" customWidth="1"/>
    <col min="2565" max="2565" width="8.42578125" style="286" customWidth="1"/>
    <col min="2566" max="2566" width="12.42578125" style="286" customWidth="1"/>
    <col min="2567" max="2567" width="10.85546875" style="286" customWidth="1"/>
    <col min="2568" max="2568" width="11.28515625" style="286" customWidth="1"/>
    <col min="2569" max="2570" width="11.42578125" style="286" customWidth="1"/>
    <col min="2571" max="2571" width="12.7109375" style="286" customWidth="1"/>
    <col min="2572" max="2572" width="9.5703125" style="286" bestFit="1" customWidth="1"/>
    <col min="2573" max="2573" width="12.7109375" style="286" customWidth="1"/>
    <col min="2574" max="2582" width="0" style="286" hidden="1" customWidth="1"/>
    <col min="2583" max="2817" width="9.140625" style="286"/>
    <col min="2818" max="2818" width="34.7109375" style="286" customWidth="1"/>
    <col min="2819" max="2819" width="22" style="286" customWidth="1"/>
    <col min="2820" max="2820" width="11.140625" style="286" customWidth="1"/>
    <col min="2821" max="2821" width="8.42578125" style="286" customWidth="1"/>
    <col min="2822" max="2822" width="12.42578125" style="286" customWidth="1"/>
    <col min="2823" max="2823" width="10.85546875" style="286" customWidth="1"/>
    <col min="2824" max="2824" width="11.28515625" style="286" customWidth="1"/>
    <col min="2825" max="2826" width="11.42578125" style="286" customWidth="1"/>
    <col min="2827" max="2827" width="12.7109375" style="286" customWidth="1"/>
    <col min="2828" max="2828" width="9.5703125" style="286" bestFit="1" customWidth="1"/>
    <col min="2829" max="2829" width="12.7109375" style="286" customWidth="1"/>
    <col min="2830" max="2838" width="0" style="286" hidden="1" customWidth="1"/>
    <col min="2839" max="3073" width="9.140625" style="286"/>
    <col min="3074" max="3074" width="34.7109375" style="286" customWidth="1"/>
    <col min="3075" max="3075" width="22" style="286" customWidth="1"/>
    <col min="3076" max="3076" width="11.140625" style="286" customWidth="1"/>
    <col min="3077" max="3077" width="8.42578125" style="286" customWidth="1"/>
    <col min="3078" max="3078" width="12.42578125" style="286" customWidth="1"/>
    <col min="3079" max="3079" width="10.85546875" style="286" customWidth="1"/>
    <col min="3080" max="3080" width="11.28515625" style="286" customWidth="1"/>
    <col min="3081" max="3082" width="11.42578125" style="286" customWidth="1"/>
    <col min="3083" max="3083" width="12.7109375" style="286" customWidth="1"/>
    <col min="3084" max="3084" width="9.5703125" style="286" bestFit="1" customWidth="1"/>
    <col min="3085" max="3085" width="12.7109375" style="286" customWidth="1"/>
    <col min="3086" max="3094" width="0" style="286" hidden="1" customWidth="1"/>
    <col min="3095" max="3329" width="9.140625" style="286"/>
    <col min="3330" max="3330" width="34.7109375" style="286" customWidth="1"/>
    <col min="3331" max="3331" width="22" style="286" customWidth="1"/>
    <col min="3332" max="3332" width="11.140625" style="286" customWidth="1"/>
    <col min="3333" max="3333" width="8.42578125" style="286" customWidth="1"/>
    <col min="3334" max="3334" width="12.42578125" style="286" customWidth="1"/>
    <col min="3335" max="3335" width="10.85546875" style="286" customWidth="1"/>
    <col min="3336" max="3336" width="11.28515625" style="286" customWidth="1"/>
    <col min="3337" max="3338" width="11.42578125" style="286" customWidth="1"/>
    <col min="3339" max="3339" width="12.7109375" style="286" customWidth="1"/>
    <col min="3340" max="3340" width="9.5703125" style="286" bestFit="1" customWidth="1"/>
    <col min="3341" max="3341" width="12.7109375" style="286" customWidth="1"/>
    <col min="3342" max="3350" width="0" style="286" hidden="1" customWidth="1"/>
    <col min="3351" max="3585" width="9.140625" style="286"/>
    <col min="3586" max="3586" width="34.7109375" style="286" customWidth="1"/>
    <col min="3587" max="3587" width="22" style="286" customWidth="1"/>
    <col min="3588" max="3588" width="11.140625" style="286" customWidth="1"/>
    <col min="3589" max="3589" width="8.42578125" style="286" customWidth="1"/>
    <col min="3590" max="3590" width="12.42578125" style="286" customWidth="1"/>
    <col min="3591" max="3591" width="10.85546875" style="286" customWidth="1"/>
    <col min="3592" max="3592" width="11.28515625" style="286" customWidth="1"/>
    <col min="3593" max="3594" width="11.42578125" style="286" customWidth="1"/>
    <col min="3595" max="3595" width="12.7109375" style="286" customWidth="1"/>
    <col min="3596" max="3596" width="9.5703125" style="286" bestFit="1" customWidth="1"/>
    <col min="3597" max="3597" width="12.7109375" style="286" customWidth="1"/>
    <col min="3598" max="3606" width="0" style="286" hidden="1" customWidth="1"/>
    <col min="3607" max="3841" width="9.140625" style="286"/>
    <col min="3842" max="3842" width="34.7109375" style="286" customWidth="1"/>
    <col min="3843" max="3843" width="22" style="286" customWidth="1"/>
    <col min="3844" max="3844" width="11.140625" style="286" customWidth="1"/>
    <col min="3845" max="3845" width="8.42578125" style="286" customWidth="1"/>
    <col min="3846" max="3846" width="12.42578125" style="286" customWidth="1"/>
    <col min="3847" max="3847" width="10.85546875" style="286" customWidth="1"/>
    <col min="3848" max="3848" width="11.28515625" style="286" customWidth="1"/>
    <col min="3849" max="3850" width="11.42578125" style="286" customWidth="1"/>
    <col min="3851" max="3851" width="12.7109375" style="286" customWidth="1"/>
    <col min="3852" max="3852" width="9.5703125" style="286" bestFit="1" customWidth="1"/>
    <col min="3853" max="3853" width="12.7109375" style="286" customWidth="1"/>
    <col min="3854" max="3862" width="0" style="286" hidden="1" customWidth="1"/>
    <col min="3863" max="4097" width="9.140625" style="286"/>
    <col min="4098" max="4098" width="34.7109375" style="286" customWidth="1"/>
    <col min="4099" max="4099" width="22" style="286" customWidth="1"/>
    <col min="4100" max="4100" width="11.140625" style="286" customWidth="1"/>
    <col min="4101" max="4101" width="8.42578125" style="286" customWidth="1"/>
    <col min="4102" max="4102" width="12.42578125" style="286" customWidth="1"/>
    <col min="4103" max="4103" width="10.85546875" style="286" customWidth="1"/>
    <col min="4104" max="4104" width="11.28515625" style="286" customWidth="1"/>
    <col min="4105" max="4106" width="11.42578125" style="286" customWidth="1"/>
    <col min="4107" max="4107" width="12.7109375" style="286" customWidth="1"/>
    <col min="4108" max="4108" width="9.5703125" style="286" bestFit="1" customWidth="1"/>
    <col min="4109" max="4109" width="12.7109375" style="286" customWidth="1"/>
    <col min="4110" max="4118" width="0" style="286" hidden="1" customWidth="1"/>
    <col min="4119" max="4353" width="9.140625" style="286"/>
    <col min="4354" max="4354" width="34.7109375" style="286" customWidth="1"/>
    <col min="4355" max="4355" width="22" style="286" customWidth="1"/>
    <col min="4356" max="4356" width="11.140625" style="286" customWidth="1"/>
    <col min="4357" max="4357" width="8.42578125" style="286" customWidth="1"/>
    <col min="4358" max="4358" width="12.42578125" style="286" customWidth="1"/>
    <col min="4359" max="4359" width="10.85546875" style="286" customWidth="1"/>
    <col min="4360" max="4360" width="11.28515625" style="286" customWidth="1"/>
    <col min="4361" max="4362" width="11.42578125" style="286" customWidth="1"/>
    <col min="4363" max="4363" width="12.7109375" style="286" customWidth="1"/>
    <col min="4364" max="4364" width="9.5703125" style="286" bestFit="1" customWidth="1"/>
    <col min="4365" max="4365" width="12.7109375" style="286" customWidth="1"/>
    <col min="4366" max="4374" width="0" style="286" hidden="1" customWidth="1"/>
    <col min="4375" max="4609" width="9.140625" style="286"/>
    <col min="4610" max="4610" width="34.7109375" style="286" customWidth="1"/>
    <col min="4611" max="4611" width="22" style="286" customWidth="1"/>
    <col min="4612" max="4612" width="11.140625" style="286" customWidth="1"/>
    <col min="4613" max="4613" width="8.42578125" style="286" customWidth="1"/>
    <col min="4614" max="4614" width="12.42578125" style="286" customWidth="1"/>
    <col min="4615" max="4615" width="10.85546875" style="286" customWidth="1"/>
    <col min="4616" max="4616" width="11.28515625" style="286" customWidth="1"/>
    <col min="4617" max="4618" width="11.42578125" style="286" customWidth="1"/>
    <col min="4619" max="4619" width="12.7109375" style="286" customWidth="1"/>
    <col min="4620" max="4620" width="9.5703125" style="286" bestFit="1" customWidth="1"/>
    <col min="4621" max="4621" width="12.7109375" style="286" customWidth="1"/>
    <col min="4622" max="4630" width="0" style="286" hidden="1" customWidth="1"/>
    <col min="4631" max="4865" width="9.140625" style="286"/>
    <col min="4866" max="4866" width="34.7109375" style="286" customWidth="1"/>
    <col min="4867" max="4867" width="22" style="286" customWidth="1"/>
    <col min="4868" max="4868" width="11.140625" style="286" customWidth="1"/>
    <col min="4869" max="4869" width="8.42578125" style="286" customWidth="1"/>
    <col min="4870" max="4870" width="12.42578125" style="286" customWidth="1"/>
    <col min="4871" max="4871" width="10.85546875" style="286" customWidth="1"/>
    <col min="4872" max="4872" width="11.28515625" style="286" customWidth="1"/>
    <col min="4873" max="4874" width="11.42578125" style="286" customWidth="1"/>
    <col min="4875" max="4875" width="12.7109375" style="286" customWidth="1"/>
    <col min="4876" max="4876" width="9.5703125" style="286" bestFit="1" customWidth="1"/>
    <col min="4877" max="4877" width="12.7109375" style="286" customWidth="1"/>
    <col min="4878" max="4886" width="0" style="286" hidden="1" customWidth="1"/>
    <col min="4887" max="5121" width="9.140625" style="286"/>
    <col min="5122" max="5122" width="34.7109375" style="286" customWidth="1"/>
    <col min="5123" max="5123" width="22" style="286" customWidth="1"/>
    <col min="5124" max="5124" width="11.140625" style="286" customWidth="1"/>
    <col min="5125" max="5125" width="8.42578125" style="286" customWidth="1"/>
    <col min="5126" max="5126" width="12.42578125" style="286" customWidth="1"/>
    <col min="5127" max="5127" width="10.85546875" style="286" customWidth="1"/>
    <col min="5128" max="5128" width="11.28515625" style="286" customWidth="1"/>
    <col min="5129" max="5130" width="11.42578125" style="286" customWidth="1"/>
    <col min="5131" max="5131" width="12.7109375" style="286" customWidth="1"/>
    <col min="5132" max="5132" width="9.5703125" style="286" bestFit="1" customWidth="1"/>
    <col min="5133" max="5133" width="12.7109375" style="286" customWidth="1"/>
    <col min="5134" max="5142" width="0" style="286" hidden="1" customWidth="1"/>
    <col min="5143" max="5377" width="9.140625" style="286"/>
    <col min="5378" max="5378" width="34.7109375" style="286" customWidth="1"/>
    <col min="5379" max="5379" width="22" style="286" customWidth="1"/>
    <col min="5380" max="5380" width="11.140625" style="286" customWidth="1"/>
    <col min="5381" max="5381" width="8.42578125" style="286" customWidth="1"/>
    <col min="5382" max="5382" width="12.42578125" style="286" customWidth="1"/>
    <col min="5383" max="5383" width="10.85546875" style="286" customWidth="1"/>
    <col min="5384" max="5384" width="11.28515625" style="286" customWidth="1"/>
    <col min="5385" max="5386" width="11.42578125" style="286" customWidth="1"/>
    <col min="5387" max="5387" width="12.7109375" style="286" customWidth="1"/>
    <col min="5388" max="5388" width="9.5703125" style="286" bestFit="1" customWidth="1"/>
    <col min="5389" max="5389" width="12.7109375" style="286" customWidth="1"/>
    <col min="5390" max="5398" width="0" style="286" hidden="1" customWidth="1"/>
    <col min="5399" max="5633" width="9.140625" style="286"/>
    <col min="5634" max="5634" width="34.7109375" style="286" customWidth="1"/>
    <col min="5635" max="5635" width="22" style="286" customWidth="1"/>
    <col min="5636" max="5636" width="11.140625" style="286" customWidth="1"/>
    <col min="5637" max="5637" width="8.42578125" style="286" customWidth="1"/>
    <col min="5638" max="5638" width="12.42578125" style="286" customWidth="1"/>
    <col min="5639" max="5639" width="10.85546875" style="286" customWidth="1"/>
    <col min="5640" max="5640" width="11.28515625" style="286" customWidth="1"/>
    <col min="5641" max="5642" width="11.42578125" style="286" customWidth="1"/>
    <col min="5643" max="5643" width="12.7109375" style="286" customWidth="1"/>
    <col min="5644" max="5644" width="9.5703125" style="286" bestFit="1" customWidth="1"/>
    <col min="5645" max="5645" width="12.7109375" style="286" customWidth="1"/>
    <col min="5646" max="5654" width="0" style="286" hidden="1" customWidth="1"/>
    <col min="5655" max="5889" width="9.140625" style="286"/>
    <col min="5890" max="5890" width="34.7109375" style="286" customWidth="1"/>
    <col min="5891" max="5891" width="22" style="286" customWidth="1"/>
    <col min="5892" max="5892" width="11.140625" style="286" customWidth="1"/>
    <col min="5893" max="5893" width="8.42578125" style="286" customWidth="1"/>
    <col min="5894" max="5894" width="12.42578125" style="286" customWidth="1"/>
    <col min="5895" max="5895" width="10.85546875" style="286" customWidth="1"/>
    <col min="5896" max="5896" width="11.28515625" style="286" customWidth="1"/>
    <col min="5897" max="5898" width="11.42578125" style="286" customWidth="1"/>
    <col min="5899" max="5899" width="12.7109375" style="286" customWidth="1"/>
    <col min="5900" max="5900" width="9.5703125" style="286" bestFit="1" customWidth="1"/>
    <col min="5901" max="5901" width="12.7109375" style="286" customWidth="1"/>
    <col min="5902" max="5910" width="0" style="286" hidden="1" customWidth="1"/>
    <col min="5911" max="6145" width="9.140625" style="286"/>
    <col min="6146" max="6146" width="34.7109375" style="286" customWidth="1"/>
    <col min="6147" max="6147" width="22" style="286" customWidth="1"/>
    <col min="6148" max="6148" width="11.140625" style="286" customWidth="1"/>
    <col min="6149" max="6149" width="8.42578125" style="286" customWidth="1"/>
    <col min="6150" max="6150" width="12.42578125" style="286" customWidth="1"/>
    <col min="6151" max="6151" width="10.85546875" style="286" customWidth="1"/>
    <col min="6152" max="6152" width="11.28515625" style="286" customWidth="1"/>
    <col min="6153" max="6154" width="11.42578125" style="286" customWidth="1"/>
    <col min="6155" max="6155" width="12.7109375" style="286" customWidth="1"/>
    <col min="6156" max="6156" width="9.5703125" style="286" bestFit="1" customWidth="1"/>
    <col min="6157" max="6157" width="12.7109375" style="286" customWidth="1"/>
    <col min="6158" max="6166" width="0" style="286" hidden="1" customWidth="1"/>
    <col min="6167" max="6401" width="9.140625" style="286"/>
    <col min="6402" max="6402" width="34.7109375" style="286" customWidth="1"/>
    <col min="6403" max="6403" width="22" style="286" customWidth="1"/>
    <col min="6404" max="6404" width="11.140625" style="286" customWidth="1"/>
    <col min="6405" max="6405" width="8.42578125" style="286" customWidth="1"/>
    <col min="6406" max="6406" width="12.42578125" style="286" customWidth="1"/>
    <col min="6407" max="6407" width="10.85546875" style="286" customWidth="1"/>
    <col min="6408" max="6408" width="11.28515625" style="286" customWidth="1"/>
    <col min="6409" max="6410" width="11.42578125" style="286" customWidth="1"/>
    <col min="6411" max="6411" width="12.7109375" style="286" customWidth="1"/>
    <col min="6412" max="6412" width="9.5703125" style="286" bestFit="1" customWidth="1"/>
    <col min="6413" max="6413" width="12.7109375" style="286" customWidth="1"/>
    <col min="6414" max="6422" width="0" style="286" hidden="1" customWidth="1"/>
    <col min="6423" max="6657" width="9.140625" style="286"/>
    <col min="6658" max="6658" width="34.7109375" style="286" customWidth="1"/>
    <col min="6659" max="6659" width="22" style="286" customWidth="1"/>
    <col min="6660" max="6660" width="11.140625" style="286" customWidth="1"/>
    <col min="6661" max="6661" width="8.42578125" style="286" customWidth="1"/>
    <col min="6662" max="6662" width="12.42578125" style="286" customWidth="1"/>
    <col min="6663" max="6663" width="10.85546875" style="286" customWidth="1"/>
    <col min="6664" max="6664" width="11.28515625" style="286" customWidth="1"/>
    <col min="6665" max="6666" width="11.42578125" style="286" customWidth="1"/>
    <col min="6667" max="6667" width="12.7109375" style="286" customWidth="1"/>
    <col min="6668" max="6668" width="9.5703125" style="286" bestFit="1" customWidth="1"/>
    <col min="6669" max="6669" width="12.7109375" style="286" customWidth="1"/>
    <col min="6670" max="6678" width="0" style="286" hidden="1" customWidth="1"/>
    <col min="6679" max="6913" width="9.140625" style="286"/>
    <col min="6914" max="6914" width="34.7109375" style="286" customWidth="1"/>
    <col min="6915" max="6915" width="22" style="286" customWidth="1"/>
    <col min="6916" max="6916" width="11.140625" style="286" customWidth="1"/>
    <col min="6917" max="6917" width="8.42578125" style="286" customWidth="1"/>
    <col min="6918" max="6918" width="12.42578125" style="286" customWidth="1"/>
    <col min="6919" max="6919" width="10.85546875" style="286" customWidth="1"/>
    <col min="6920" max="6920" width="11.28515625" style="286" customWidth="1"/>
    <col min="6921" max="6922" width="11.42578125" style="286" customWidth="1"/>
    <col min="6923" max="6923" width="12.7109375" style="286" customWidth="1"/>
    <col min="6924" max="6924" width="9.5703125" style="286" bestFit="1" customWidth="1"/>
    <col min="6925" max="6925" width="12.7109375" style="286" customWidth="1"/>
    <col min="6926" max="6934" width="0" style="286" hidden="1" customWidth="1"/>
    <col min="6935" max="7169" width="9.140625" style="286"/>
    <col min="7170" max="7170" width="34.7109375" style="286" customWidth="1"/>
    <col min="7171" max="7171" width="22" style="286" customWidth="1"/>
    <col min="7172" max="7172" width="11.140625" style="286" customWidth="1"/>
    <col min="7173" max="7173" width="8.42578125" style="286" customWidth="1"/>
    <col min="7174" max="7174" width="12.42578125" style="286" customWidth="1"/>
    <col min="7175" max="7175" width="10.85546875" style="286" customWidth="1"/>
    <col min="7176" max="7176" width="11.28515625" style="286" customWidth="1"/>
    <col min="7177" max="7178" width="11.42578125" style="286" customWidth="1"/>
    <col min="7179" max="7179" width="12.7109375" style="286" customWidth="1"/>
    <col min="7180" max="7180" width="9.5703125" style="286" bestFit="1" customWidth="1"/>
    <col min="7181" max="7181" width="12.7109375" style="286" customWidth="1"/>
    <col min="7182" max="7190" width="0" style="286" hidden="1" customWidth="1"/>
    <col min="7191" max="7425" width="9.140625" style="286"/>
    <col min="7426" max="7426" width="34.7109375" style="286" customWidth="1"/>
    <col min="7427" max="7427" width="22" style="286" customWidth="1"/>
    <col min="7428" max="7428" width="11.140625" style="286" customWidth="1"/>
    <col min="7429" max="7429" width="8.42578125" style="286" customWidth="1"/>
    <col min="7430" max="7430" width="12.42578125" style="286" customWidth="1"/>
    <col min="7431" max="7431" width="10.85546875" style="286" customWidth="1"/>
    <col min="7432" max="7432" width="11.28515625" style="286" customWidth="1"/>
    <col min="7433" max="7434" width="11.42578125" style="286" customWidth="1"/>
    <col min="7435" max="7435" width="12.7109375" style="286" customWidth="1"/>
    <col min="7436" max="7436" width="9.5703125" style="286" bestFit="1" customWidth="1"/>
    <col min="7437" max="7437" width="12.7109375" style="286" customWidth="1"/>
    <col min="7438" max="7446" width="0" style="286" hidden="1" customWidth="1"/>
    <col min="7447" max="7681" width="9.140625" style="286"/>
    <col min="7682" max="7682" width="34.7109375" style="286" customWidth="1"/>
    <col min="7683" max="7683" width="22" style="286" customWidth="1"/>
    <col min="7684" max="7684" width="11.140625" style="286" customWidth="1"/>
    <col min="7685" max="7685" width="8.42578125" style="286" customWidth="1"/>
    <col min="7686" max="7686" width="12.42578125" style="286" customWidth="1"/>
    <col min="7687" max="7687" width="10.85546875" style="286" customWidth="1"/>
    <col min="7688" max="7688" width="11.28515625" style="286" customWidth="1"/>
    <col min="7689" max="7690" width="11.42578125" style="286" customWidth="1"/>
    <col min="7691" max="7691" width="12.7109375" style="286" customWidth="1"/>
    <col min="7692" max="7692" width="9.5703125" style="286" bestFit="1" customWidth="1"/>
    <col min="7693" max="7693" width="12.7109375" style="286" customWidth="1"/>
    <col min="7694" max="7702" width="0" style="286" hidden="1" customWidth="1"/>
    <col min="7703" max="7937" width="9.140625" style="286"/>
    <col min="7938" max="7938" width="34.7109375" style="286" customWidth="1"/>
    <col min="7939" max="7939" width="22" style="286" customWidth="1"/>
    <col min="7940" max="7940" width="11.140625" style="286" customWidth="1"/>
    <col min="7941" max="7941" width="8.42578125" style="286" customWidth="1"/>
    <col min="7942" max="7942" width="12.42578125" style="286" customWidth="1"/>
    <col min="7943" max="7943" width="10.85546875" style="286" customWidth="1"/>
    <col min="7944" max="7944" width="11.28515625" style="286" customWidth="1"/>
    <col min="7945" max="7946" width="11.42578125" style="286" customWidth="1"/>
    <col min="7947" max="7947" width="12.7109375" style="286" customWidth="1"/>
    <col min="7948" max="7948" width="9.5703125" style="286" bestFit="1" customWidth="1"/>
    <col min="7949" max="7949" width="12.7109375" style="286" customWidth="1"/>
    <col min="7950" max="7958" width="0" style="286" hidden="1" customWidth="1"/>
    <col min="7959" max="8193" width="9.140625" style="286"/>
    <col min="8194" max="8194" width="34.7109375" style="286" customWidth="1"/>
    <col min="8195" max="8195" width="22" style="286" customWidth="1"/>
    <col min="8196" max="8196" width="11.140625" style="286" customWidth="1"/>
    <col min="8197" max="8197" width="8.42578125" style="286" customWidth="1"/>
    <col min="8198" max="8198" width="12.42578125" style="286" customWidth="1"/>
    <col min="8199" max="8199" width="10.85546875" style="286" customWidth="1"/>
    <col min="8200" max="8200" width="11.28515625" style="286" customWidth="1"/>
    <col min="8201" max="8202" width="11.42578125" style="286" customWidth="1"/>
    <col min="8203" max="8203" width="12.7109375" style="286" customWidth="1"/>
    <col min="8204" max="8204" width="9.5703125" style="286" bestFit="1" customWidth="1"/>
    <col min="8205" max="8205" width="12.7109375" style="286" customWidth="1"/>
    <col min="8206" max="8214" width="0" style="286" hidden="1" customWidth="1"/>
    <col min="8215" max="8449" width="9.140625" style="286"/>
    <col min="8450" max="8450" width="34.7109375" style="286" customWidth="1"/>
    <col min="8451" max="8451" width="22" style="286" customWidth="1"/>
    <col min="8452" max="8452" width="11.140625" style="286" customWidth="1"/>
    <col min="8453" max="8453" width="8.42578125" style="286" customWidth="1"/>
    <col min="8454" max="8454" width="12.42578125" style="286" customWidth="1"/>
    <col min="8455" max="8455" width="10.85546875" style="286" customWidth="1"/>
    <col min="8456" max="8456" width="11.28515625" style="286" customWidth="1"/>
    <col min="8457" max="8458" width="11.42578125" style="286" customWidth="1"/>
    <col min="8459" max="8459" width="12.7109375" style="286" customWidth="1"/>
    <col min="8460" max="8460" width="9.5703125" style="286" bestFit="1" customWidth="1"/>
    <col min="8461" max="8461" width="12.7109375" style="286" customWidth="1"/>
    <col min="8462" max="8470" width="0" style="286" hidden="1" customWidth="1"/>
    <col min="8471" max="8705" width="9.140625" style="286"/>
    <col min="8706" max="8706" width="34.7109375" style="286" customWidth="1"/>
    <col min="8707" max="8707" width="22" style="286" customWidth="1"/>
    <col min="8708" max="8708" width="11.140625" style="286" customWidth="1"/>
    <col min="8709" max="8709" width="8.42578125" style="286" customWidth="1"/>
    <col min="8710" max="8710" width="12.42578125" style="286" customWidth="1"/>
    <col min="8711" max="8711" width="10.85546875" style="286" customWidth="1"/>
    <col min="8712" max="8712" width="11.28515625" style="286" customWidth="1"/>
    <col min="8713" max="8714" width="11.42578125" style="286" customWidth="1"/>
    <col min="8715" max="8715" width="12.7109375" style="286" customWidth="1"/>
    <col min="8716" max="8716" width="9.5703125" style="286" bestFit="1" customWidth="1"/>
    <col min="8717" max="8717" width="12.7109375" style="286" customWidth="1"/>
    <col min="8718" max="8726" width="0" style="286" hidden="1" customWidth="1"/>
    <col min="8727" max="8961" width="9.140625" style="286"/>
    <col min="8962" max="8962" width="34.7109375" style="286" customWidth="1"/>
    <col min="8963" max="8963" width="22" style="286" customWidth="1"/>
    <col min="8964" max="8964" width="11.140625" style="286" customWidth="1"/>
    <col min="8965" max="8965" width="8.42578125" style="286" customWidth="1"/>
    <col min="8966" max="8966" width="12.42578125" style="286" customWidth="1"/>
    <col min="8967" max="8967" width="10.85546875" style="286" customWidth="1"/>
    <col min="8968" max="8968" width="11.28515625" style="286" customWidth="1"/>
    <col min="8969" max="8970" width="11.42578125" style="286" customWidth="1"/>
    <col min="8971" max="8971" width="12.7109375" style="286" customWidth="1"/>
    <col min="8972" max="8972" width="9.5703125" style="286" bestFit="1" customWidth="1"/>
    <col min="8973" max="8973" width="12.7109375" style="286" customWidth="1"/>
    <col min="8974" max="8982" width="0" style="286" hidden="1" customWidth="1"/>
    <col min="8983" max="9217" width="9.140625" style="286"/>
    <col min="9218" max="9218" width="34.7109375" style="286" customWidth="1"/>
    <col min="9219" max="9219" width="22" style="286" customWidth="1"/>
    <col min="9220" max="9220" width="11.140625" style="286" customWidth="1"/>
    <col min="9221" max="9221" width="8.42578125" style="286" customWidth="1"/>
    <col min="9222" max="9222" width="12.42578125" style="286" customWidth="1"/>
    <col min="9223" max="9223" width="10.85546875" style="286" customWidth="1"/>
    <col min="9224" max="9224" width="11.28515625" style="286" customWidth="1"/>
    <col min="9225" max="9226" width="11.42578125" style="286" customWidth="1"/>
    <col min="9227" max="9227" width="12.7109375" style="286" customWidth="1"/>
    <col min="9228" max="9228" width="9.5703125" style="286" bestFit="1" customWidth="1"/>
    <col min="9229" max="9229" width="12.7109375" style="286" customWidth="1"/>
    <col min="9230" max="9238" width="0" style="286" hidden="1" customWidth="1"/>
    <col min="9239" max="9473" width="9.140625" style="286"/>
    <col min="9474" max="9474" width="34.7109375" style="286" customWidth="1"/>
    <col min="9475" max="9475" width="22" style="286" customWidth="1"/>
    <col min="9476" max="9476" width="11.140625" style="286" customWidth="1"/>
    <col min="9477" max="9477" width="8.42578125" style="286" customWidth="1"/>
    <col min="9478" max="9478" width="12.42578125" style="286" customWidth="1"/>
    <col min="9479" max="9479" width="10.85546875" style="286" customWidth="1"/>
    <col min="9480" max="9480" width="11.28515625" style="286" customWidth="1"/>
    <col min="9481" max="9482" width="11.42578125" style="286" customWidth="1"/>
    <col min="9483" max="9483" width="12.7109375" style="286" customWidth="1"/>
    <col min="9484" max="9484" width="9.5703125" style="286" bestFit="1" customWidth="1"/>
    <col min="9485" max="9485" width="12.7109375" style="286" customWidth="1"/>
    <col min="9486" max="9494" width="0" style="286" hidden="1" customWidth="1"/>
    <col min="9495" max="9729" width="9.140625" style="286"/>
    <col min="9730" max="9730" width="34.7109375" style="286" customWidth="1"/>
    <col min="9731" max="9731" width="22" style="286" customWidth="1"/>
    <col min="9732" max="9732" width="11.140625" style="286" customWidth="1"/>
    <col min="9733" max="9733" width="8.42578125" style="286" customWidth="1"/>
    <col min="9734" max="9734" width="12.42578125" style="286" customWidth="1"/>
    <col min="9735" max="9735" width="10.85546875" style="286" customWidth="1"/>
    <col min="9736" max="9736" width="11.28515625" style="286" customWidth="1"/>
    <col min="9737" max="9738" width="11.42578125" style="286" customWidth="1"/>
    <col min="9739" max="9739" width="12.7109375" style="286" customWidth="1"/>
    <col min="9740" max="9740" width="9.5703125" style="286" bestFit="1" customWidth="1"/>
    <col min="9741" max="9741" width="12.7109375" style="286" customWidth="1"/>
    <col min="9742" max="9750" width="0" style="286" hidden="1" customWidth="1"/>
    <col min="9751" max="9985" width="9.140625" style="286"/>
    <col min="9986" max="9986" width="34.7109375" style="286" customWidth="1"/>
    <col min="9987" max="9987" width="22" style="286" customWidth="1"/>
    <col min="9988" max="9988" width="11.140625" style="286" customWidth="1"/>
    <col min="9989" max="9989" width="8.42578125" style="286" customWidth="1"/>
    <col min="9990" max="9990" width="12.42578125" style="286" customWidth="1"/>
    <col min="9991" max="9991" width="10.85546875" style="286" customWidth="1"/>
    <col min="9992" max="9992" width="11.28515625" style="286" customWidth="1"/>
    <col min="9993" max="9994" width="11.42578125" style="286" customWidth="1"/>
    <col min="9995" max="9995" width="12.7109375" style="286" customWidth="1"/>
    <col min="9996" max="9996" width="9.5703125" style="286" bestFit="1" customWidth="1"/>
    <col min="9997" max="9997" width="12.7109375" style="286" customWidth="1"/>
    <col min="9998" max="10006" width="0" style="286" hidden="1" customWidth="1"/>
    <col min="10007" max="10241" width="9.140625" style="286"/>
    <col min="10242" max="10242" width="34.7109375" style="286" customWidth="1"/>
    <col min="10243" max="10243" width="22" style="286" customWidth="1"/>
    <col min="10244" max="10244" width="11.140625" style="286" customWidth="1"/>
    <col min="10245" max="10245" width="8.42578125" style="286" customWidth="1"/>
    <col min="10246" max="10246" width="12.42578125" style="286" customWidth="1"/>
    <col min="10247" max="10247" width="10.85546875" style="286" customWidth="1"/>
    <col min="10248" max="10248" width="11.28515625" style="286" customWidth="1"/>
    <col min="10249" max="10250" width="11.42578125" style="286" customWidth="1"/>
    <col min="10251" max="10251" width="12.7109375" style="286" customWidth="1"/>
    <col min="10252" max="10252" width="9.5703125" style="286" bestFit="1" customWidth="1"/>
    <col min="10253" max="10253" width="12.7109375" style="286" customWidth="1"/>
    <col min="10254" max="10262" width="0" style="286" hidden="1" customWidth="1"/>
    <col min="10263" max="10497" width="9.140625" style="286"/>
    <col min="10498" max="10498" width="34.7109375" style="286" customWidth="1"/>
    <col min="10499" max="10499" width="22" style="286" customWidth="1"/>
    <col min="10500" max="10500" width="11.140625" style="286" customWidth="1"/>
    <col min="10501" max="10501" width="8.42578125" style="286" customWidth="1"/>
    <col min="10502" max="10502" width="12.42578125" style="286" customWidth="1"/>
    <col min="10503" max="10503" width="10.85546875" style="286" customWidth="1"/>
    <col min="10504" max="10504" width="11.28515625" style="286" customWidth="1"/>
    <col min="10505" max="10506" width="11.42578125" style="286" customWidth="1"/>
    <col min="10507" max="10507" width="12.7109375" style="286" customWidth="1"/>
    <col min="10508" max="10508" width="9.5703125" style="286" bestFit="1" customWidth="1"/>
    <col min="10509" max="10509" width="12.7109375" style="286" customWidth="1"/>
    <col min="10510" max="10518" width="0" style="286" hidden="1" customWidth="1"/>
    <col min="10519" max="10753" width="9.140625" style="286"/>
    <col min="10754" max="10754" width="34.7109375" style="286" customWidth="1"/>
    <col min="10755" max="10755" width="22" style="286" customWidth="1"/>
    <col min="10756" max="10756" width="11.140625" style="286" customWidth="1"/>
    <col min="10757" max="10757" width="8.42578125" style="286" customWidth="1"/>
    <col min="10758" max="10758" width="12.42578125" style="286" customWidth="1"/>
    <col min="10759" max="10759" width="10.85546875" style="286" customWidth="1"/>
    <col min="10760" max="10760" width="11.28515625" style="286" customWidth="1"/>
    <col min="10761" max="10762" width="11.42578125" style="286" customWidth="1"/>
    <col min="10763" max="10763" width="12.7109375" style="286" customWidth="1"/>
    <col min="10764" max="10764" width="9.5703125" style="286" bestFit="1" customWidth="1"/>
    <col min="10765" max="10765" width="12.7109375" style="286" customWidth="1"/>
    <col min="10766" max="10774" width="0" style="286" hidden="1" customWidth="1"/>
    <col min="10775" max="11009" width="9.140625" style="286"/>
    <col min="11010" max="11010" width="34.7109375" style="286" customWidth="1"/>
    <col min="11011" max="11011" width="22" style="286" customWidth="1"/>
    <col min="11012" max="11012" width="11.140625" style="286" customWidth="1"/>
    <col min="11013" max="11013" width="8.42578125" style="286" customWidth="1"/>
    <col min="11014" max="11014" width="12.42578125" style="286" customWidth="1"/>
    <col min="11015" max="11015" width="10.85546875" style="286" customWidth="1"/>
    <col min="11016" max="11016" width="11.28515625" style="286" customWidth="1"/>
    <col min="11017" max="11018" width="11.42578125" style="286" customWidth="1"/>
    <col min="11019" max="11019" width="12.7109375" style="286" customWidth="1"/>
    <col min="11020" max="11020" width="9.5703125" style="286" bestFit="1" customWidth="1"/>
    <col min="11021" max="11021" width="12.7109375" style="286" customWidth="1"/>
    <col min="11022" max="11030" width="0" style="286" hidden="1" customWidth="1"/>
    <col min="11031" max="11265" width="9.140625" style="286"/>
    <col min="11266" max="11266" width="34.7109375" style="286" customWidth="1"/>
    <col min="11267" max="11267" width="22" style="286" customWidth="1"/>
    <col min="11268" max="11268" width="11.140625" style="286" customWidth="1"/>
    <col min="11269" max="11269" width="8.42578125" style="286" customWidth="1"/>
    <col min="11270" max="11270" width="12.42578125" style="286" customWidth="1"/>
    <col min="11271" max="11271" width="10.85546875" style="286" customWidth="1"/>
    <col min="11272" max="11272" width="11.28515625" style="286" customWidth="1"/>
    <col min="11273" max="11274" width="11.42578125" style="286" customWidth="1"/>
    <col min="11275" max="11275" width="12.7109375" style="286" customWidth="1"/>
    <col min="11276" max="11276" width="9.5703125" style="286" bestFit="1" customWidth="1"/>
    <col min="11277" max="11277" width="12.7109375" style="286" customWidth="1"/>
    <col min="11278" max="11286" width="0" style="286" hidden="1" customWidth="1"/>
    <col min="11287" max="11521" width="9.140625" style="286"/>
    <col min="11522" max="11522" width="34.7109375" style="286" customWidth="1"/>
    <col min="11523" max="11523" width="22" style="286" customWidth="1"/>
    <col min="11524" max="11524" width="11.140625" style="286" customWidth="1"/>
    <col min="11525" max="11525" width="8.42578125" style="286" customWidth="1"/>
    <col min="11526" max="11526" width="12.42578125" style="286" customWidth="1"/>
    <col min="11527" max="11527" width="10.85546875" style="286" customWidth="1"/>
    <col min="11528" max="11528" width="11.28515625" style="286" customWidth="1"/>
    <col min="11529" max="11530" width="11.42578125" style="286" customWidth="1"/>
    <col min="11531" max="11531" width="12.7109375" style="286" customWidth="1"/>
    <col min="11532" max="11532" width="9.5703125" style="286" bestFit="1" customWidth="1"/>
    <col min="11533" max="11533" width="12.7109375" style="286" customWidth="1"/>
    <col min="11534" max="11542" width="0" style="286" hidden="1" customWidth="1"/>
    <col min="11543" max="11777" width="9.140625" style="286"/>
    <col min="11778" max="11778" width="34.7109375" style="286" customWidth="1"/>
    <col min="11779" max="11779" width="22" style="286" customWidth="1"/>
    <col min="11780" max="11780" width="11.140625" style="286" customWidth="1"/>
    <col min="11781" max="11781" width="8.42578125" style="286" customWidth="1"/>
    <col min="11782" max="11782" width="12.42578125" style="286" customWidth="1"/>
    <col min="11783" max="11783" width="10.85546875" style="286" customWidth="1"/>
    <col min="11784" max="11784" width="11.28515625" style="286" customWidth="1"/>
    <col min="11785" max="11786" width="11.42578125" style="286" customWidth="1"/>
    <col min="11787" max="11787" width="12.7109375" style="286" customWidth="1"/>
    <col min="11788" max="11788" width="9.5703125" style="286" bestFit="1" customWidth="1"/>
    <col min="11789" max="11789" width="12.7109375" style="286" customWidth="1"/>
    <col min="11790" max="11798" width="0" style="286" hidden="1" customWidth="1"/>
    <col min="11799" max="12033" width="9.140625" style="286"/>
    <col min="12034" max="12034" width="34.7109375" style="286" customWidth="1"/>
    <col min="12035" max="12035" width="22" style="286" customWidth="1"/>
    <col min="12036" max="12036" width="11.140625" style="286" customWidth="1"/>
    <col min="12037" max="12037" width="8.42578125" style="286" customWidth="1"/>
    <col min="12038" max="12038" width="12.42578125" style="286" customWidth="1"/>
    <col min="12039" max="12039" width="10.85546875" style="286" customWidth="1"/>
    <col min="12040" max="12040" width="11.28515625" style="286" customWidth="1"/>
    <col min="12041" max="12042" width="11.42578125" style="286" customWidth="1"/>
    <col min="12043" max="12043" width="12.7109375" style="286" customWidth="1"/>
    <col min="12044" max="12044" width="9.5703125" style="286" bestFit="1" customWidth="1"/>
    <col min="12045" max="12045" width="12.7109375" style="286" customWidth="1"/>
    <col min="12046" max="12054" width="0" style="286" hidden="1" customWidth="1"/>
    <col min="12055" max="12289" width="9.140625" style="286"/>
    <col min="12290" max="12290" width="34.7109375" style="286" customWidth="1"/>
    <col min="12291" max="12291" width="22" style="286" customWidth="1"/>
    <col min="12292" max="12292" width="11.140625" style="286" customWidth="1"/>
    <col min="12293" max="12293" width="8.42578125" style="286" customWidth="1"/>
    <col min="12294" max="12294" width="12.42578125" style="286" customWidth="1"/>
    <col min="12295" max="12295" width="10.85546875" style="286" customWidth="1"/>
    <col min="12296" max="12296" width="11.28515625" style="286" customWidth="1"/>
    <col min="12297" max="12298" width="11.42578125" style="286" customWidth="1"/>
    <col min="12299" max="12299" width="12.7109375" style="286" customWidth="1"/>
    <col min="12300" max="12300" width="9.5703125" style="286" bestFit="1" customWidth="1"/>
    <col min="12301" max="12301" width="12.7109375" style="286" customWidth="1"/>
    <col min="12302" max="12310" width="0" style="286" hidden="1" customWidth="1"/>
    <col min="12311" max="12545" width="9.140625" style="286"/>
    <col min="12546" max="12546" width="34.7109375" style="286" customWidth="1"/>
    <col min="12547" max="12547" width="22" style="286" customWidth="1"/>
    <col min="12548" max="12548" width="11.140625" style="286" customWidth="1"/>
    <col min="12549" max="12549" width="8.42578125" style="286" customWidth="1"/>
    <col min="12550" max="12550" width="12.42578125" style="286" customWidth="1"/>
    <col min="12551" max="12551" width="10.85546875" style="286" customWidth="1"/>
    <col min="12552" max="12552" width="11.28515625" style="286" customWidth="1"/>
    <col min="12553" max="12554" width="11.42578125" style="286" customWidth="1"/>
    <col min="12555" max="12555" width="12.7109375" style="286" customWidth="1"/>
    <col min="12556" max="12556" width="9.5703125" style="286" bestFit="1" customWidth="1"/>
    <col min="12557" max="12557" width="12.7109375" style="286" customWidth="1"/>
    <col min="12558" max="12566" width="0" style="286" hidden="1" customWidth="1"/>
    <col min="12567" max="12801" width="9.140625" style="286"/>
    <col min="12802" max="12802" width="34.7109375" style="286" customWidth="1"/>
    <col min="12803" max="12803" width="22" style="286" customWidth="1"/>
    <col min="12804" max="12804" width="11.140625" style="286" customWidth="1"/>
    <col min="12805" max="12805" width="8.42578125" style="286" customWidth="1"/>
    <col min="12806" max="12806" width="12.42578125" style="286" customWidth="1"/>
    <col min="12807" max="12807" width="10.85546875" style="286" customWidth="1"/>
    <col min="12808" max="12808" width="11.28515625" style="286" customWidth="1"/>
    <col min="12809" max="12810" width="11.42578125" style="286" customWidth="1"/>
    <col min="12811" max="12811" width="12.7109375" style="286" customWidth="1"/>
    <col min="12812" max="12812" width="9.5703125" style="286" bestFit="1" customWidth="1"/>
    <col min="12813" max="12813" width="12.7109375" style="286" customWidth="1"/>
    <col min="12814" max="12822" width="0" style="286" hidden="1" customWidth="1"/>
    <col min="12823" max="13057" width="9.140625" style="286"/>
    <col min="13058" max="13058" width="34.7109375" style="286" customWidth="1"/>
    <col min="13059" max="13059" width="22" style="286" customWidth="1"/>
    <col min="13060" max="13060" width="11.140625" style="286" customWidth="1"/>
    <col min="13061" max="13061" width="8.42578125" style="286" customWidth="1"/>
    <col min="13062" max="13062" width="12.42578125" style="286" customWidth="1"/>
    <col min="13063" max="13063" width="10.85546875" style="286" customWidth="1"/>
    <col min="13064" max="13064" width="11.28515625" style="286" customWidth="1"/>
    <col min="13065" max="13066" width="11.42578125" style="286" customWidth="1"/>
    <col min="13067" max="13067" width="12.7109375" style="286" customWidth="1"/>
    <col min="13068" max="13068" width="9.5703125" style="286" bestFit="1" customWidth="1"/>
    <col min="13069" max="13069" width="12.7109375" style="286" customWidth="1"/>
    <col min="13070" max="13078" width="0" style="286" hidden="1" customWidth="1"/>
    <col min="13079" max="13313" width="9.140625" style="286"/>
    <col min="13314" max="13314" width="34.7109375" style="286" customWidth="1"/>
    <col min="13315" max="13315" width="22" style="286" customWidth="1"/>
    <col min="13316" max="13316" width="11.140625" style="286" customWidth="1"/>
    <col min="13317" max="13317" width="8.42578125" style="286" customWidth="1"/>
    <col min="13318" max="13318" width="12.42578125" style="286" customWidth="1"/>
    <col min="13319" max="13319" width="10.85546875" style="286" customWidth="1"/>
    <col min="13320" max="13320" width="11.28515625" style="286" customWidth="1"/>
    <col min="13321" max="13322" width="11.42578125" style="286" customWidth="1"/>
    <col min="13323" max="13323" width="12.7109375" style="286" customWidth="1"/>
    <col min="13324" max="13324" width="9.5703125" style="286" bestFit="1" customWidth="1"/>
    <col min="13325" max="13325" width="12.7109375" style="286" customWidth="1"/>
    <col min="13326" max="13334" width="0" style="286" hidden="1" customWidth="1"/>
    <col min="13335" max="13569" width="9.140625" style="286"/>
    <col min="13570" max="13570" width="34.7109375" style="286" customWidth="1"/>
    <col min="13571" max="13571" width="22" style="286" customWidth="1"/>
    <col min="13572" max="13572" width="11.140625" style="286" customWidth="1"/>
    <col min="13573" max="13573" width="8.42578125" style="286" customWidth="1"/>
    <col min="13574" max="13574" width="12.42578125" style="286" customWidth="1"/>
    <col min="13575" max="13575" width="10.85546875" style="286" customWidth="1"/>
    <col min="13576" max="13576" width="11.28515625" style="286" customWidth="1"/>
    <col min="13577" max="13578" width="11.42578125" style="286" customWidth="1"/>
    <col min="13579" max="13579" width="12.7109375" style="286" customWidth="1"/>
    <col min="13580" max="13580" width="9.5703125" style="286" bestFit="1" customWidth="1"/>
    <col min="13581" max="13581" width="12.7109375" style="286" customWidth="1"/>
    <col min="13582" max="13590" width="0" style="286" hidden="1" customWidth="1"/>
    <col min="13591" max="13825" width="9.140625" style="286"/>
    <col min="13826" max="13826" width="34.7109375" style="286" customWidth="1"/>
    <col min="13827" max="13827" width="22" style="286" customWidth="1"/>
    <col min="13828" max="13828" width="11.140625" style="286" customWidth="1"/>
    <col min="13829" max="13829" width="8.42578125" style="286" customWidth="1"/>
    <col min="13830" max="13830" width="12.42578125" style="286" customWidth="1"/>
    <col min="13831" max="13831" width="10.85546875" style="286" customWidth="1"/>
    <col min="13832" max="13832" width="11.28515625" style="286" customWidth="1"/>
    <col min="13833" max="13834" width="11.42578125" style="286" customWidth="1"/>
    <col min="13835" max="13835" width="12.7109375" style="286" customWidth="1"/>
    <col min="13836" max="13836" width="9.5703125" style="286" bestFit="1" customWidth="1"/>
    <col min="13837" max="13837" width="12.7109375" style="286" customWidth="1"/>
    <col min="13838" max="13846" width="0" style="286" hidden="1" customWidth="1"/>
    <col min="13847" max="14081" width="9.140625" style="286"/>
    <col min="14082" max="14082" width="34.7109375" style="286" customWidth="1"/>
    <col min="14083" max="14083" width="22" style="286" customWidth="1"/>
    <col min="14084" max="14084" width="11.140625" style="286" customWidth="1"/>
    <col min="14085" max="14085" width="8.42578125" style="286" customWidth="1"/>
    <col min="14086" max="14086" width="12.42578125" style="286" customWidth="1"/>
    <col min="14087" max="14087" width="10.85546875" style="286" customWidth="1"/>
    <col min="14088" max="14088" width="11.28515625" style="286" customWidth="1"/>
    <col min="14089" max="14090" width="11.42578125" style="286" customWidth="1"/>
    <col min="14091" max="14091" width="12.7109375" style="286" customWidth="1"/>
    <col min="14092" max="14092" width="9.5703125" style="286" bestFit="1" customWidth="1"/>
    <col min="14093" max="14093" width="12.7109375" style="286" customWidth="1"/>
    <col min="14094" max="14102" width="0" style="286" hidden="1" customWidth="1"/>
    <col min="14103" max="14337" width="9.140625" style="286"/>
    <col min="14338" max="14338" width="34.7109375" style="286" customWidth="1"/>
    <col min="14339" max="14339" width="22" style="286" customWidth="1"/>
    <col min="14340" max="14340" width="11.140625" style="286" customWidth="1"/>
    <col min="14341" max="14341" width="8.42578125" style="286" customWidth="1"/>
    <col min="14342" max="14342" width="12.42578125" style="286" customWidth="1"/>
    <col min="14343" max="14343" width="10.85546875" style="286" customWidth="1"/>
    <col min="14344" max="14344" width="11.28515625" style="286" customWidth="1"/>
    <col min="14345" max="14346" width="11.42578125" style="286" customWidth="1"/>
    <col min="14347" max="14347" width="12.7109375" style="286" customWidth="1"/>
    <col min="14348" max="14348" width="9.5703125" style="286" bestFit="1" customWidth="1"/>
    <col min="14349" max="14349" width="12.7109375" style="286" customWidth="1"/>
    <col min="14350" max="14358" width="0" style="286" hidden="1" customWidth="1"/>
    <col min="14359" max="14593" width="9.140625" style="286"/>
    <col min="14594" max="14594" width="34.7109375" style="286" customWidth="1"/>
    <col min="14595" max="14595" width="22" style="286" customWidth="1"/>
    <col min="14596" max="14596" width="11.140625" style="286" customWidth="1"/>
    <col min="14597" max="14597" width="8.42578125" style="286" customWidth="1"/>
    <col min="14598" max="14598" width="12.42578125" style="286" customWidth="1"/>
    <col min="14599" max="14599" width="10.85546875" style="286" customWidth="1"/>
    <col min="14600" max="14600" width="11.28515625" style="286" customWidth="1"/>
    <col min="14601" max="14602" width="11.42578125" style="286" customWidth="1"/>
    <col min="14603" max="14603" width="12.7109375" style="286" customWidth="1"/>
    <col min="14604" max="14604" width="9.5703125" style="286" bestFit="1" customWidth="1"/>
    <col min="14605" max="14605" width="12.7109375" style="286" customWidth="1"/>
    <col min="14606" max="14614" width="0" style="286" hidden="1" customWidth="1"/>
    <col min="14615" max="14849" width="9.140625" style="286"/>
    <col min="14850" max="14850" width="34.7109375" style="286" customWidth="1"/>
    <col min="14851" max="14851" width="22" style="286" customWidth="1"/>
    <col min="14852" max="14852" width="11.140625" style="286" customWidth="1"/>
    <col min="14853" max="14853" width="8.42578125" style="286" customWidth="1"/>
    <col min="14854" max="14854" width="12.42578125" style="286" customWidth="1"/>
    <col min="14855" max="14855" width="10.85546875" style="286" customWidth="1"/>
    <col min="14856" max="14856" width="11.28515625" style="286" customWidth="1"/>
    <col min="14857" max="14858" width="11.42578125" style="286" customWidth="1"/>
    <col min="14859" max="14859" width="12.7109375" style="286" customWidth="1"/>
    <col min="14860" max="14860" width="9.5703125" style="286" bestFit="1" customWidth="1"/>
    <col min="14861" max="14861" width="12.7109375" style="286" customWidth="1"/>
    <col min="14862" max="14870" width="0" style="286" hidden="1" customWidth="1"/>
    <col min="14871" max="15105" width="9.140625" style="286"/>
    <col min="15106" max="15106" width="34.7109375" style="286" customWidth="1"/>
    <col min="15107" max="15107" width="22" style="286" customWidth="1"/>
    <col min="15108" max="15108" width="11.140625" style="286" customWidth="1"/>
    <col min="15109" max="15109" width="8.42578125" style="286" customWidth="1"/>
    <col min="15110" max="15110" width="12.42578125" style="286" customWidth="1"/>
    <col min="15111" max="15111" width="10.85546875" style="286" customWidth="1"/>
    <col min="15112" max="15112" width="11.28515625" style="286" customWidth="1"/>
    <col min="15113" max="15114" width="11.42578125" style="286" customWidth="1"/>
    <col min="15115" max="15115" width="12.7109375" style="286" customWidth="1"/>
    <col min="15116" max="15116" width="9.5703125" style="286" bestFit="1" customWidth="1"/>
    <col min="15117" max="15117" width="12.7109375" style="286" customWidth="1"/>
    <col min="15118" max="15126" width="0" style="286" hidden="1" customWidth="1"/>
    <col min="15127" max="15361" width="9.140625" style="286"/>
    <col min="15362" max="15362" width="34.7109375" style="286" customWidth="1"/>
    <col min="15363" max="15363" width="22" style="286" customWidth="1"/>
    <col min="15364" max="15364" width="11.140625" style="286" customWidth="1"/>
    <col min="15365" max="15365" width="8.42578125" style="286" customWidth="1"/>
    <col min="15366" max="15366" width="12.42578125" style="286" customWidth="1"/>
    <col min="15367" max="15367" width="10.85546875" style="286" customWidth="1"/>
    <col min="15368" max="15368" width="11.28515625" style="286" customWidth="1"/>
    <col min="15369" max="15370" width="11.42578125" style="286" customWidth="1"/>
    <col min="15371" max="15371" width="12.7109375" style="286" customWidth="1"/>
    <col min="15372" max="15372" width="9.5703125" style="286" bestFit="1" customWidth="1"/>
    <col min="15373" max="15373" width="12.7109375" style="286" customWidth="1"/>
    <col min="15374" max="15382" width="0" style="286" hidden="1" customWidth="1"/>
    <col min="15383" max="15617" width="9.140625" style="286"/>
    <col min="15618" max="15618" width="34.7109375" style="286" customWidth="1"/>
    <col min="15619" max="15619" width="22" style="286" customWidth="1"/>
    <col min="15620" max="15620" width="11.140625" style="286" customWidth="1"/>
    <col min="15621" max="15621" width="8.42578125" style="286" customWidth="1"/>
    <col min="15622" max="15622" width="12.42578125" style="286" customWidth="1"/>
    <col min="15623" max="15623" width="10.85546875" style="286" customWidth="1"/>
    <col min="15624" max="15624" width="11.28515625" style="286" customWidth="1"/>
    <col min="15625" max="15626" width="11.42578125" style="286" customWidth="1"/>
    <col min="15627" max="15627" width="12.7109375" style="286" customWidth="1"/>
    <col min="15628" max="15628" width="9.5703125" style="286" bestFit="1" customWidth="1"/>
    <col min="15629" max="15629" width="12.7109375" style="286" customWidth="1"/>
    <col min="15630" max="15638" width="0" style="286" hidden="1" customWidth="1"/>
    <col min="15639" max="15873" width="9.140625" style="286"/>
    <col min="15874" max="15874" width="34.7109375" style="286" customWidth="1"/>
    <col min="15875" max="15875" width="22" style="286" customWidth="1"/>
    <col min="15876" max="15876" width="11.140625" style="286" customWidth="1"/>
    <col min="15877" max="15877" width="8.42578125" style="286" customWidth="1"/>
    <col min="15878" max="15878" width="12.42578125" style="286" customWidth="1"/>
    <col min="15879" max="15879" width="10.85546875" style="286" customWidth="1"/>
    <col min="15880" max="15880" width="11.28515625" style="286" customWidth="1"/>
    <col min="15881" max="15882" width="11.42578125" style="286" customWidth="1"/>
    <col min="15883" max="15883" width="12.7109375" style="286" customWidth="1"/>
    <col min="15884" max="15884" width="9.5703125" style="286" bestFit="1" customWidth="1"/>
    <col min="15885" max="15885" width="12.7109375" style="286" customWidth="1"/>
    <col min="15886" max="15894" width="0" style="286" hidden="1" customWidth="1"/>
    <col min="15895" max="16129" width="9.140625" style="286"/>
    <col min="16130" max="16130" width="34.7109375" style="286" customWidth="1"/>
    <col min="16131" max="16131" width="22" style="286" customWidth="1"/>
    <col min="16132" max="16132" width="11.140625" style="286" customWidth="1"/>
    <col min="16133" max="16133" width="8.42578125" style="286" customWidth="1"/>
    <col min="16134" max="16134" width="12.42578125" style="286" customWidth="1"/>
    <col min="16135" max="16135" width="10.85546875" style="286" customWidth="1"/>
    <col min="16136" max="16136" width="11.28515625" style="286" customWidth="1"/>
    <col min="16137" max="16138" width="11.42578125" style="286" customWidth="1"/>
    <col min="16139" max="16139" width="12.7109375" style="286" customWidth="1"/>
    <col min="16140" max="16140" width="9.5703125" style="286" bestFit="1" customWidth="1"/>
    <col min="16141" max="16141" width="12.7109375" style="286" customWidth="1"/>
    <col min="16142" max="16150" width="0" style="286" hidden="1" customWidth="1"/>
    <col min="16151" max="16384" width="9.140625" style="286"/>
  </cols>
  <sheetData>
    <row r="1" spans="2:23" ht="15.75" x14ac:dyDescent="0.25">
      <c r="L1" s="1075" t="s">
        <v>829</v>
      </c>
      <c r="N1" s="285" t="s">
        <v>870</v>
      </c>
      <c r="W1" s="1512" t="s">
        <v>2319</v>
      </c>
    </row>
    <row r="4" spans="2:23" ht="16.149999999999999" customHeight="1" x14ac:dyDescent="0.25">
      <c r="B4" s="286"/>
      <c r="C4" s="344" t="s">
        <v>1924</v>
      </c>
      <c r="D4" s="286"/>
      <c r="E4" s="325" t="str">
        <f>'Вхідні дані'!$F$5</f>
        <v>ЧФ ДП "АМПУ"</v>
      </c>
      <c r="F4" s="325"/>
      <c r="G4" s="325"/>
      <c r="H4" s="1076" t="s">
        <v>460</v>
      </c>
      <c r="I4" s="323" t="str">
        <f>'Вхідні дані'!$F$6</f>
        <v>2022-2023</v>
      </c>
      <c r="J4" s="322" t="s">
        <v>647</v>
      </c>
      <c r="K4" s="286"/>
      <c r="L4" s="286"/>
      <c r="M4" s="322"/>
    </row>
    <row r="5" spans="2:23" ht="16.149999999999999" customHeight="1" thickBot="1" x14ac:dyDescent="0.25">
      <c r="B5" s="287"/>
      <c r="C5" s="345"/>
      <c r="D5" s="287"/>
      <c r="E5" s="287"/>
      <c r="F5" s="287"/>
      <c r="G5" s="4113" t="s">
        <v>871</v>
      </c>
      <c r="H5" s="4113"/>
      <c r="I5" s="4113"/>
      <c r="J5" s="4113"/>
      <c r="K5" s="4113"/>
      <c r="L5" s="4113"/>
      <c r="M5" s="4113"/>
      <c r="N5" s="288"/>
      <c r="O5" s="288"/>
      <c r="P5" s="288"/>
      <c r="Q5" s="288"/>
      <c r="R5" s="288"/>
      <c r="S5" s="288"/>
    </row>
    <row r="6" spans="2:23" ht="16.149999999999999" customHeight="1" x14ac:dyDescent="0.2">
      <c r="B6" s="4114" t="s">
        <v>872</v>
      </c>
      <c r="C6" s="4117" t="s">
        <v>873</v>
      </c>
      <c r="D6" s="4117" t="s">
        <v>874</v>
      </c>
      <c r="E6" s="4120" t="s">
        <v>875</v>
      </c>
      <c r="F6" s="4123" t="s">
        <v>876</v>
      </c>
      <c r="G6" s="4126" t="s">
        <v>877</v>
      </c>
      <c r="H6" s="4127"/>
      <c r="I6" s="4127"/>
      <c r="J6" s="4127"/>
      <c r="K6" s="4128"/>
      <c r="L6" s="4129" t="s">
        <v>878</v>
      </c>
      <c r="M6" s="4129" t="s">
        <v>879</v>
      </c>
      <c r="N6" s="4095" t="s">
        <v>877</v>
      </c>
      <c r="O6" s="4096"/>
      <c r="P6" s="4096"/>
      <c r="Q6" s="4097"/>
      <c r="R6" s="4098" t="s">
        <v>878</v>
      </c>
      <c r="S6" s="4098" t="s">
        <v>879</v>
      </c>
    </row>
    <row r="7" spans="2:23" ht="12.75" customHeight="1" x14ac:dyDescent="0.2">
      <c r="B7" s="4115"/>
      <c r="C7" s="4118"/>
      <c r="D7" s="4118"/>
      <c r="E7" s="4121"/>
      <c r="F7" s="4124"/>
      <c r="G7" s="4101" t="s">
        <v>880</v>
      </c>
      <c r="H7" s="4103" t="s">
        <v>881</v>
      </c>
      <c r="I7" s="4105" t="s">
        <v>921</v>
      </c>
      <c r="J7" s="4103" t="s">
        <v>883</v>
      </c>
      <c r="K7" s="4107" t="s">
        <v>884</v>
      </c>
      <c r="L7" s="4130"/>
      <c r="M7" s="4130"/>
      <c r="N7" s="4101" t="s">
        <v>885</v>
      </c>
      <c r="O7" s="4103" t="s">
        <v>881</v>
      </c>
      <c r="P7" s="4105" t="s">
        <v>882</v>
      </c>
      <c r="Q7" s="4105" t="s">
        <v>886</v>
      </c>
      <c r="R7" s="4099"/>
      <c r="S7" s="4099"/>
    </row>
    <row r="8" spans="2:23" ht="13.5" thickBot="1" x14ac:dyDescent="0.25">
      <c r="B8" s="4116"/>
      <c r="C8" s="4119"/>
      <c r="D8" s="4119"/>
      <c r="E8" s="4122"/>
      <c r="F8" s="4125"/>
      <c r="G8" s="4102"/>
      <c r="H8" s="4104"/>
      <c r="I8" s="4106"/>
      <c r="J8" s="4104"/>
      <c r="K8" s="4108"/>
      <c r="L8" s="4131"/>
      <c r="M8" s="4131"/>
      <c r="N8" s="4109"/>
      <c r="O8" s="4110"/>
      <c r="P8" s="4105"/>
      <c r="Q8" s="4105"/>
      <c r="R8" s="4100"/>
      <c r="S8" s="4100"/>
      <c r="T8" s="286" t="s">
        <v>887</v>
      </c>
    </row>
    <row r="9" spans="2:23" x14ac:dyDescent="0.2">
      <c r="B9" s="326" t="s">
        <v>888</v>
      </c>
      <c r="C9" s="346" t="s">
        <v>889</v>
      </c>
      <c r="D9" s="327">
        <v>110800</v>
      </c>
      <c r="E9" s="329" t="s">
        <v>890</v>
      </c>
      <c r="F9" s="392">
        <f>SUM(G9:M9)</f>
        <v>1</v>
      </c>
      <c r="G9" s="384"/>
      <c r="H9" s="327"/>
      <c r="I9" s="327"/>
      <c r="J9" s="327"/>
      <c r="K9" s="329"/>
      <c r="L9" s="330"/>
      <c r="M9" s="429">
        <v>1</v>
      </c>
      <c r="N9" s="289"/>
      <c r="O9" s="290"/>
      <c r="P9" s="290"/>
      <c r="Q9" s="290"/>
      <c r="R9" s="290"/>
      <c r="S9" s="291"/>
      <c r="T9" s="286">
        <f>SUM(N9:S9)</f>
        <v>0</v>
      </c>
    </row>
    <row r="10" spans="2:23" ht="13.5" thickBot="1" x14ac:dyDescent="0.25">
      <c r="B10" s="418" t="s">
        <v>891</v>
      </c>
      <c r="C10" s="337"/>
      <c r="D10" s="337">
        <v>110793</v>
      </c>
      <c r="E10" s="338" t="s">
        <v>890</v>
      </c>
      <c r="F10" s="421">
        <f>SUM(G10:M10)</f>
        <v>1</v>
      </c>
      <c r="G10" s="420"/>
      <c r="H10" s="337"/>
      <c r="I10" s="337"/>
      <c r="J10" s="337"/>
      <c r="K10" s="338"/>
      <c r="L10" s="419">
        <v>1</v>
      </c>
      <c r="M10" s="422"/>
      <c r="N10" s="289"/>
      <c r="O10" s="290"/>
      <c r="P10" s="290"/>
      <c r="Q10" s="290"/>
      <c r="R10" s="290"/>
      <c r="S10" s="291"/>
      <c r="T10" s="286">
        <f t="shared" ref="T10:T60" si="0">SUM(N10:S10)</f>
        <v>0</v>
      </c>
    </row>
    <row r="11" spans="2:23" x14ac:dyDescent="0.2">
      <c r="B11" s="326" t="s">
        <v>892</v>
      </c>
      <c r="C11" s="327"/>
      <c r="D11" s="327"/>
      <c r="E11" s="329" t="s">
        <v>890</v>
      </c>
      <c r="F11" s="392">
        <f t="shared" ref="F11:K11" si="1">F9+F10</f>
        <v>2</v>
      </c>
      <c r="G11" s="423">
        <f t="shared" si="1"/>
        <v>0</v>
      </c>
      <c r="H11" s="328">
        <f t="shared" si="1"/>
        <v>0</v>
      </c>
      <c r="I11" s="328">
        <f t="shared" si="1"/>
        <v>0</v>
      </c>
      <c r="J11" s="328">
        <f t="shared" si="1"/>
        <v>0</v>
      </c>
      <c r="K11" s="328">
        <f t="shared" si="1"/>
        <v>0</v>
      </c>
      <c r="L11" s="392">
        <v>1</v>
      </c>
      <c r="M11" s="392">
        <v>1</v>
      </c>
      <c r="N11" s="292"/>
      <c r="O11" s="293"/>
      <c r="P11" s="293"/>
      <c r="Q11" s="293"/>
      <c r="R11" s="293"/>
      <c r="S11" s="293"/>
      <c r="T11" s="286">
        <f t="shared" si="0"/>
        <v>0</v>
      </c>
    </row>
    <row r="12" spans="2:23" x14ac:dyDescent="0.2">
      <c r="B12" s="372" t="s">
        <v>925</v>
      </c>
      <c r="C12" s="332"/>
      <c r="D12" s="373"/>
      <c r="E12" s="379" t="s">
        <v>152</v>
      </c>
      <c r="F12" s="1407">
        <v>41.67</v>
      </c>
      <c r="G12" s="386"/>
      <c r="H12" s="335"/>
      <c r="I12" s="332"/>
      <c r="J12" s="332"/>
      <c r="K12" s="333"/>
      <c r="L12" s="336">
        <f>F12</f>
        <v>41.67</v>
      </c>
      <c r="M12" s="336">
        <f>F12</f>
        <v>41.67</v>
      </c>
      <c r="N12" s="294"/>
      <c r="O12" s="295"/>
      <c r="P12" s="290"/>
      <c r="Q12" s="290"/>
      <c r="R12" s="290"/>
      <c r="S12" s="295"/>
      <c r="T12" s="286">
        <f t="shared" si="0"/>
        <v>0</v>
      </c>
    </row>
    <row r="13" spans="2:23" ht="13.5" thickBot="1" x14ac:dyDescent="0.25">
      <c r="B13" s="401" t="s">
        <v>924</v>
      </c>
      <c r="C13" s="363"/>
      <c r="D13" s="424"/>
      <c r="E13" s="402" t="s">
        <v>446</v>
      </c>
      <c r="F13" s="425">
        <f>F12*F11*12</f>
        <v>1000.08</v>
      </c>
      <c r="G13" s="426"/>
      <c r="H13" s="427"/>
      <c r="I13" s="363"/>
      <c r="J13" s="363"/>
      <c r="K13" s="375"/>
      <c r="L13" s="428">
        <f>L12*L11*12</f>
        <v>500.04</v>
      </c>
      <c r="M13" s="428">
        <f>M12*M11*12</f>
        <v>500.04</v>
      </c>
      <c r="N13" s="294"/>
      <c r="O13" s="295"/>
      <c r="P13" s="290"/>
      <c r="Q13" s="290"/>
      <c r="R13" s="290"/>
      <c r="S13" s="295"/>
      <c r="T13" s="286">
        <f t="shared" si="0"/>
        <v>0</v>
      </c>
    </row>
    <row r="14" spans="2:23" ht="13.5" thickBot="1" x14ac:dyDescent="0.25">
      <c r="B14" s="339" t="s">
        <v>923</v>
      </c>
      <c r="C14" s="349"/>
      <c r="D14" s="340"/>
      <c r="E14" s="341" t="s">
        <v>446</v>
      </c>
      <c r="F14" s="342">
        <f>SUM(G14:M14)</f>
        <v>1000.08</v>
      </c>
      <c r="G14" s="387">
        <f t="shared" ref="G14:M14" si="2">G13</f>
        <v>0</v>
      </c>
      <c r="H14" s="340">
        <f t="shared" si="2"/>
        <v>0</v>
      </c>
      <c r="I14" s="340">
        <f t="shared" si="2"/>
        <v>0</v>
      </c>
      <c r="J14" s="340">
        <f>J13</f>
        <v>0</v>
      </c>
      <c r="K14" s="341">
        <f>K13</f>
        <v>0</v>
      </c>
      <c r="L14" s="342">
        <f t="shared" si="2"/>
        <v>500.04</v>
      </c>
      <c r="M14" s="342">
        <f t="shared" si="2"/>
        <v>500.04</v>
      </c>
      <c r="N14" s="296"/>
      <c r="O14" s="297"/>
      <c r="P14" s="297"/>
      <c r="Q14" s="297"/>
      <c r="R14" s="297"/>
      <c r="S14" s="297">
        <v>625.04999999999995</v>
      </c>
      <c r="T14" s="286">
        <f t="shared" si="0"/>
        <v>625.04999999999995</v>
      </c>
      <c r="U14" s="298">
        <f>T14-F14</f>
        <v>-375.03</v>
      </c>
    </row>
    <row r="15" spans="2:23" x14ac:dyDescent="0.2">
      <c r="B15" s="360" t="s">
        <v>894</v>
      </c>
      <c r="C15" s="346" t="s">
        <v>895</v>
      </c>
      <c r="D15" s="327">
        <v>205115618</v>
      </c>
      <c r="E15" s="380" t="s">
        <v>446</v>
      </c>
      <c r="F15" s="393">
        <v>10.029999999999999</v>
      </c>
      <c r="G15" s="384"/>
      <c r="H15" s="327"/>
      <c r="I15" s="327"/>
      <c r="J15" s="327">
        <f>F15</f>
        <v>10.029999999999999</v>
      </c>
      <c r="K15" s="329"/>
      <c r="L15" s="330"/>
      <c r="M15" s="330"/>
      <c r="N15" s="289"/>
      <c r="O15" s="290"/>
      <c r="P15" s="290"/>
      <c r="Q15" s="290"/>
      <c r="R15" s="290"/>
      <c r="S15" s="290"/>
      <c r="T15" s="286">
        <f t="shared" si="0"/>
        <v>0</v>
      </c>
    </row>
    <row r="16" spans="2:23" s="301" customFormat="1" ht="13.5" thickBot="1" x14ac:dyDescent="0.25">
      <c r="B16" s="1475" t="s">
        <v>892</v>
      </c>
      <c r="C16" s="374"/>
      <c r="D16" s="374"/>
      <c r="E16" s="381" t="s">
        <v>890</v>
      </c>
      <c r="F16" s="1476">
        <f>SUM(G16:M16)</f>
        <v>170</v>
      </c>
      <c r="G16" s="388"/>
      <c r="H16" s="357"/>
      <c r="I16" s="357"/>
      <c r="J16" s="357">
        <v>170</v>
      </c>
      <c r="K16" s="358"/>
      <c r="L16" s="359"/>
      <c r="M16" s="359"/>
      <c r="N16" s="299"/>
      <c r="O16" s="300">
        <f>10487.37+280.95</f>
        <v>10768.32</v>
      </c>
      <c r="P16" s="300"/>
      <c r="Q16" s="300"/>
      <c r="R16" s="300"/>
      <c r="S16" s="300"/>
      <c r="T16" s="301">
        <f t="shared" si="0"/>
        <v>10768.32</v>
      </c>
    </row>
    <row r="17" spans="2:20" ht="13.5" thickBot="1" x14ac:dyDescent="0.25">
      <c r="B17" s="339" t="s">
        <v>896</v>
      </c>
      <c r="C17" s="352"/>
      <c r="D17" s="352"/>
      <c r="E17" s="382"/>
      <c r="F17" s="355">
        <f>SUM(G17:M17)</f>
        <v>20461.2</v>
      </c>
      <c r="G17" s="432">
        <f t="shared" ref="G17:M17" si="3">G16</f>
        <v>0</v>
      </c>
      <c r="H17" s="353">
        <f t="shared" si="3"/>
        <v>0</v>
      </c>
      <c r="I17" s="353">
        <f t="shared" si="3"/>
        <v>0</v>
      </c>
      <c r="J17" s="353">
        <f>J15*J16*12</f>
        <v>20461.2</v>
      </c>
      <c r="K17" s="376">
        <f t="shared" si="3"/>
        <v>0</v>
      </c>
      <c r="L17" s="355">
        <f t="shared" si="3"/>
        <v>0</v>
      </c>
      <c r="M17" s="355">
        <f t="shared" si="3"/>
        <v>0</v>
      </c>
      <c r="N17" s="289"/>
      <c r="O17" s="290"/>
      <c r="P17" s="290"/>
      <c r="Q17" s="290"/>
      <c r="R17" s="290"/>
      <c r="S17" s="290"/>
      <c r="T17" s="286">
        <f t="shared" si="0"/>
        <v>0</v>
      </c>
    </row>
    <row r="18" spans="2:20" x14ac:dyDescent="0.2">
      <c r="B18" s="326" t="s">
        <v>422</v>
      </c>
      <c r="C18" s="346" t="s">
        <v>897</v>
      </c>
      <c r="D18" s="361" t="s">
        <v>898</v>
      </c>
      <c r="E18" s="1494" t="s">
        <v>890</v>
      </c>
      <c r="F18" s="393">
        <f>SUM(G18:M18)</f>
        <v>1</v>
      </c>
      <c r="G18" s="384"/>
      <c r="H18" s="327"/>
      <c r="I18" s="327"/>
      <c r="J18" s="327"/>
      <c r="K18" s="329"/>
      <c r="L18" s="330"/>
      <c r="M18" s="330">
        <v>1</v>
      </c>
      <c r="N18" s="289"/>
      <c r="O18" s="290"/>
      <c r="P18" s="290"/>
      <c r="Q18" s="290"/>
      <c r="R18" s="290"/>
      <c r="S18" s="290"/>
      <c r="T18" s="286">
        <f t="shared" si="0"/>
        <v>0</v>
      </c>
    </row>
    <row r="19" spans="2:20" x14ac:dyDescent="0.2">
      <c r="B19" s="418" t="s">
        <v>435</v>
      </c>
      <c r="C19" s="348"/>
      <c r="D19" s="337"/>
      <c r="E19" s="1495" t="s">
        <v>890</v>
      </c>
      <c r="F19" s="430">
        <v>1</v>
      </c>
      <c r="G19" s="420"/>
      <c r="H19" s="337"/>
      <c r="I19" s="337"/>
      <c r="J19" s="337"/>
      <c r="K19" s="338"/>
      <c r="L19" s="419"/>
      <c r="M19" s="430">
        <v>1</v>
      </c>
      <c r="N19" s="289"/>
      <c r="O19" s="290"/>
      <c r="P19" s="290"/>
      <c r="Q19" s="290"/>
      <c r="R19" s="290"/>
      <c r="S19" s="290"/>
    </row>
    <row r="20" spans="2:20" x14ac:dyDescent="0.2">
      <c r="B20" s="1496" t="s">
        <v>903</v>
      </c>
      <c r="C20" s="1488"/>
      <c r="D20" s="1489"/>
      <c r="E20" s="1497"/>
      <c r="F20" s="1491">
        <f>SUM(G20:M20)</f>
        <v>1</v>
      </c>
      <c r="G20" s="1492"/>
      <c r="H20" s="1489"/>
      <c r="I20" s="1489"/>
      <c r="J20" s="1489"/>
      <c r="K20" s="1490">
        <v>1</v>
      </c>
      <c r="L20" s="1493"/>
      <c r="M20" s="1491"/>
      <c r="N20" s="289"/>
      <c r="O20" s="290"/>
      <c r="P20" s="290"/>
      <c r="Q20" s="290"/>
      <c r="R20" s="290"/>
      <c r="S20" s="290"/>
    </row>
    <row r="21" spans="2:20" x14ac:dyDescent="0.2">
      <c r="B21" s="1482" t="s">
        <v>894</v>
      </c>
      <c r="C21" s="1483"/>
      <c r="D21" s="1094"/>
      <c r="E21" s="1498" t="s">
        <v>890</v>
      </c>
      <c r="F21" s="1485">
        <v>28</v>
      </c>
      <c r="G21" s="1486">
        <v>3</v>
      </c>
      <c r="H21" s="1094"/>
      <c r="I21" s="1094"/>
      <c r="J21" s="1094">
        <v>25</v>
      </c>
      <c r="K21" s="1484"/>
      <c r="L21" s="1487"/>
      <c r="M21" s="1487"/>
      <c r="N21" s="289"/>
      <c r="O21" s="290"/>
      <c r="P21" s="290"/>
      <c r="Q21" s="290"/>
      <c r="R21" s="290"/>
      <c r="S21" s="290"/>
      <c r="T21" s="286">
        <f t="shared" si="0"/>
        <v>0</v>
      </c>
    </row>
    <row r="22" spans="2:20" ht="13.5" thickBot="1" x14ac:dyDescent="0.25">
      <c r="B22" s="1475" t="s">
        <v>892</v>
      </c>
      <c r="C22" s="363"/>
      <c r="D22" s="363"/>
      <c r="E22" s="1499" t="s">
        <v>890</v>
      </c>
      <c r="F22" s="1501">
        <f>SUM(F18:F21)</f>
        <v>31</v>
      </c>
      <c r="G22" s="1502">
        <f>SUM(G18:G21)</f>
        <v>3</v>
      </c>
      <c r="H22" s="1503">
        <f t="shared" ref="H22:M22" si="4">SUM(H18:H21)</f>
        <v>0</v>
      </c>
      <c r="I22" s="1503">
        <f t="shared" si="4"/>
        <v>0</v>
      </c>
      <c r="J22" s="1503">
        <f t="shared" si="4"/>
        <v>25</v>
      </c>
      <c r="K22" s="1504">
        <f t="shared" si="4"/>
        <v>1</v>
      </c>
      <c r="L22" s="1505">
        <f t="shared" si="4"/>
        <v>0</v>
      </c>
      <c r="M22" s="1505">
        <f t="shared" si="4"/>
        <v>2</v>
      </c>
      <c r="N22" s="289"/>
      <c r="O22" s="290"/>
      <c r="P22" s="290"/>
      <c r="Q22" s="290"/>
      <c r="R22" s="290"/>
      <c r="S22" s="290"/>
    </row>
    <row r="23" spans="2:20" ht="13.5" thickBot="1" x14ac:dyDescent="0.25">
      <c r="B23" s="401" t="s">
        <v>925</v>
      </c>
      <c r="C23" s="1477"/>
      <c r="D23" s="1477"/>
      <c r="E23" s="1500" t="s">
        <v>446</v>
      </c>
      <c r="F23" s="1479"/>
      <c r="G23" s="1480">
        <v>19.350000000000001</v>
      </c>
      <c r="H23" s="1477"/>
      <c r="I23" s="1477"/>
      <c r="J23" s="1859">
        <v>3.14</v>
      </c>
      <c r="K23" s="1478">
        <v>3.14</v>
      </c>
      <c r="L23" s="1481"/>
      <c r="M23" s="1481">
        <v>465.34</v>
      </c>
      <c r="N23" s="289"/>
      <c r="O23" s="290"/>
      <c r="P23" s="290"/>
      <c r="Q23" s="290"/>
      <c r="R23" s="290"/>
      <c r="S23" s="290"/>
    </row>
    <row r="24" spans="2:20" ht="13.5" thickBot="1" x14ac:dyDescent="0.25">
      <c r="B24" s="339" t="s">
        <v>899</v>
      </c>
      <c r="C24" s="352"/>
      <c r="D24" s="352"/>
      <c r="E24" s="383" t="s">
        <v>446</v>
      </c>
      <c r="F24" s="356">
        <f>SUM(G24:M24)</f>
        <v>12844.44</v>
      </c>
      <c r="G24" s="389">
        <f>G22*G23*12</f>
        <v>696.6</v>
      </c>
      <c r="H24" s="353">
        <v>0</v>
      </c>
      <c r="I24" s="353">
        <v>0</v>
      </c>
      <c r="J24" s="353">
        <f>J22*J23*12</f>
        <v>942</v>
      </c>
      <c r="K24" s="354">
        <f>K22*K23*12</f>
        <v>37.68</v>
      </c>
      <c r="L24" s="355">
        <v>0</v>
      </c>
      <c r="M24" s="356">
        <f>M22*M23*12</f>
        <v>11168.16</v>
      </c>
      <c r="N24" s="299">
        <v>223.59</v>
      </c>
      <c r="O24" s="300"/>
      <c r="P24" s="300"/>
      <c r="Q24" s="300"/>
      <c r="R24" s="300"/>
      <c r="S24" s="300">
        <v>4350.21</v>
      </c>
      <c r="T24" s="286">
        <f t="shared" si="0"/>
        <v>4573.8</v>
      </c>
    </row>
    <row r="25" spans="2:20" x14ac:dyDescent="0.2">
      <c r="B25" s="326" t="s">
        <v>900</v>
      </c>
      <c r="C25" s="346" t="s">
        <v>901</v>
      </c>
      <c r="D25" s="327">
        <v>68210033</v>
      </c>
      <c r="E25" s="329" t="s">
        <v>890</v>
      </c>
      <c r="F25" s="330">
        <f>SUM(G25:M25)</f>
        <v>2</v>
      </c>
      <c r="G25" s="384">
        <v>2</v>
      </c>
      <c r="H25" s="327"/>
      <c r="I25" s="327"/>
      <c r="J25" s="327"/>
      <c r="K25" s="329"/>
      <c r="L25" s="330"/>
      <c r="M25" s="330"/>
      <c r="N25" s="289"/>
      <c r="O25" s="290"/>
      <c r="P25" s="290"/>
      <c r="Q25" s="290"/>
      <c r="R25" s="290"/>
      <c r="S25" s="290"/>
      <c r="T25" s="286">
        <f t="shared" si="0"/>
        <v>0</v>
      </c>
    </row>
    <row r="26" spans="2:20" x14ac:dyDescent="0.2">
      <c r="B26" s="331" t="s">
        <v>929</v>
      </c>
      <c r="C26" s="347"/>
      <c r="D26" s="332"/>
      <c r="E26" s="333" t="s">
        <v>890</v>
      </c>
      <c r="F26" s="334">
        <f t="shared" ref="F26:F40" si="5">SUM(G26:M26)</f>
        <v>1</v>
      </c>
      <c r="G26" s="385"/>
      <c r="H26" s="332"/>
      <c r="I26" s="332"/>
      <c r="J26" s="332"/>
      <c r="K26" s="333"/>
      <c r="L26" s="364"/>
      <c r="M26" s="364">
        <v>1</v>
      </c>
      <c r="N26" s="289"/>
      <c r="O26" s="290"/>
      <c r="P26" s="290"/>
      <c r="Q26" s="290"/>
      <c r="R26" s="290"/>
      <c r="S26" s="290"/>
    </row>
    <row r="27" spans="2:20" x14ac:dyDescent="0.2">
      <c r="B27" s="331" t="s">
        <v>902</v>
      </c>
      <c r="C27" s="582"/>
      <c r="D27" s="332"/>
      <c r="E27" s="333" t="s">
        <v>890</v>
      </c>
      <c r="F27" s="334">
        <f t="shared" si="5"/>
        <v>1</v>
      </c>
      <c r="G27" s="385"/>
      <c r="H27" s="332"/>
      <c r="I27" s="332"/>
      <c r="J27" s="332"/>
      <c r="K27" s="333"/>
      <c r="L27" s="364">
        <v>1</v>
      </c>
      <c r="M27" s="334"/>
      <c r="N27" s="289"/>
      <c r="O27" s="290"/>
      <c r="P27" s="290"/>
      <c r="Q27" s="290"/>
      <c r="R27" s="290"/>
      <c r="S27" s="290"/>
    </row>
    <row r="28" spans="2:20" ht="12" customHeight="1" x14ac:dyDescent="0.2">
      <c r="B28" s="417" t="s">
        <v>789</v>
      </c>
      <c r="C28" s="332"/>
      <c r="D28" s="332"/>
      <c r="E28" s="333" t="s">
        <v>890</v>
      </c>
      <c r="F28" s="334">
        <f t="shared" si="5"/>
        <v>0</v>
      </c>
      <c r="G28" s="385"/>
      <c r="H28" s="332"/>
      <c r="I28" s="332"/>
      <c r="J28" s="332"/>
      <c r="K28" s="333"/>
      <c r="L28" s="364"/>
      <c r="M28" s="334"/>
      <c r="N28" s="289"/>
      <c r="O28" s="290"/>
      <c r="P28" s="290"/>
      <c r="Q28" s="290"/>
      <c r="R28" s="290"/>
      <c r="S28" s="290"/>
      <c r="T28" s="286">
        <f t="shared" si="0"/>
        <v>0</v>
      </c>
    </row>
    <row r="29" spans="2:20" x14ac:dyDescent="0.2">
      <c r="B29" s="331" t="s">
        <v>903</v>
      </c>
      <c r="C29" s="332"/>
      <c r="D29" s="332"/>
      <c r="E29" s="333" t="s">
        <v>890</v>
      </c>
      <c r="F29" s="334">
        <f t="shared" si="5"/>
        <v>1</v>
      </c>
      <c r="G29" s="385"/>
      <c r="H29" s="332"/>
      <c r="I29" s="332"/>
      <c r="J29" s="332"/>
      <c r="K29" s="333">
        <v>1</v>
      </c>
      <c r="L29" s="364"/>
      <c r="M29" s="334"/>
      <c r="N29" s="289"/>
      <c r="O29" s="290"/>
      <c r="P29" s="290"/>
      <c r="Q29" s="290"/>
      <c r="R29" s="290"/>
      <c r="S29" s="290"/>
      <c r="T29" s="286">
        <f t="shared" si="0"/>
        <v>0</v>
      </c>
    </row>
    <row r="30" spans="2:20" x14ac:dyDescent="0.2">
      <c r="B30" s="331" t="s">
        <v>888</v>
      </c>
      <c r="C30" s="332"/>
      <c r="D30" s="332"/>
      <c r="E30" s="333" t="s">
        <v>890</v>
      </c>
      <c r="F30" s="334">
        <f t="shared" si="5"/>
        <v>1</v>
      </c>
      <c r="G30" s="385"/>
      <c r="H30" s="332"/>
      <c r="I30" s="332"/>
      <c r="J30" s="332"/>
      <c r="K30" s="333"/>
      <c r="L30" s="364"/>
      <c r="M30" s="364">
        <v>1</v>
      </c>
      <c r="N30" s="289"/>
      <c r="O30" s="290"/>
      <c r="P30" s="290"/>
      <c r="Q30" s="290"/>
      <c r="R30" s="290"/>
      <c r="S30" s="290"/>
      <c r="T30" s="286">
        <f t="shared" si="0"/>
        <v>0</v>
      </c>
    </row>
    <row r="31" spans="2:20" x14ac:dyDescent="0.2">
      <c r="B31" s="331" t="s">
        <v>904</v>
      </c>
      <c r="C31" s="332"/>
      <c r="D31" s="332"/>
      <c r="E31" s="333" t="s">
        <v>890</v>
      </c>
      <c r="F31" s="334">
        <f t="shared" si="5"/>
        <v>3</v>
      </c>
      <c r="G31" s="385"/>
      <c r="H31" s="332">
        <v>3</v>
      </c>
      <c r="I31" s="332"/>
      <c r="J31" s="332"/>
      <c r="K31" s="333"/>
      <c r="L31" s="364"/>
      <c r="M31" s="334"/>
      <c r="N31" s="289"/>
      <c r="O31" s="290"/>
      <c r="P31" s="290"/>
      <c r="Q31" s="290"/>
      <c r="R31" s="290"/>
      <c r="S31" s="290"/>
      <c r="T31" s="286">
        <f t="shared" si="0"/>
        <v>0</v>
      </c>
    </row>
    <row r="32" spans="2:20" x14ac:dyDescent="0.2">
      <c r="B32" s="331" t="s">
        <v>905</v>
      </c>
      <c r="C32" s="332"/>
      <c r="D32" s="332"/>
      <c r="E32" s="333" t="s">
        <v>890</v>
      </c>
      <c r="F32" s="334">
        <f t="shared" si="5"/>
        <v>1</v>
      </c>
      <c r="G32" s="385"/>
      <c r="H32" s="332"/>
      <c r="I32" s="332"/>
      <c r="J32" s="332"/>
      <c r="K32" s="333"/>
      <c r="L32" s="364">
        <v>1</v>
      </c>
      <c r="M32" s="334"/>
      <c r="N32" s="289"/>
      <c r="O32" s="290"/>
      <c r="P32" s="290"/>
      <c r="Q32" s="290"/>
      <c r="R32" s="290"/>
      <c r="S32" s="290"/>
      <c r="T32" s="286">
        <f t="shared" si="0"/>
        <v>0</v>
      </c>
    </row>
    <row r="33" spans="2:21" x14ac:dyDescent="0.2">
      <c r="B33" s="331" t="s">
        <v>422</v>
      </c>
      <c r="C33" s="332"/>
      <c r="D33" s="332"/>
      <c r="E33" s="333" t="s">
        <v>890</v>
      </c>
      <c r="F33" s="334">
        <f t="shared" si="5"/>
        <v>1</v>
      </c>
      <c r="G33" s="385"/>
      <c r="H33" s="332"/>
      <c r="I33" s="332"/>
      <c r="J33" s="332"/>
      <c r="K33" s="333"/>
      <c r="L33" s="364"/>
      <c r="M33" s="364">
        <v>1</v>
      </c>
      <c r="N33" s="289"/>
      <c r="O33" s="290"/>
      <c r="P33" s="290"/>
      <c r="Q33" s="290"/>
      <c r="R33" s="290"/>
      <c r="S33" s="290"/>
      <c r="T33" s="286">
        <f t="shared" si="0"/>
        <v>0</v>
      </c>
    </row>
    <row r="34" spans="2:21" x14ac:dyDescent="0.2">
      <c r="B34" s="331" t="s">
        <v>906</v>
      </c>
      <c r="C34" s="332"/>
      <c r="D34" s="332"/>
      <c r="E34" s="333" t="s">
        <v>890</v>
      </c>
      <c r="F34" s="334">
        <f t="shared" si="5"/>
        <v>1</v>
      </c>
      <c r="G34" s="385"/>
      <c r="H34" s="332"/>
      <c r="I34" s="332"/>
      <c r="J34" s="332">
        <v>1</v>
      </c>
      <c r="K34" s="333"/>
      <c r="L34" s="364"/>
      <c r="M34" s="334"/>
      <c r="N34" s="289"/>
      <c r="O34" s="290"/>
      <c r="P34" s="290"/>
      <c r="Q34" s="290"/>
      <c r="R34" s="290"/>
      <c r="S34" s="290"/>
    </row>
    <row r="35" spans="2:21" x14ac:dyDescent="0.2">
      <c r="B35" s="331" t="s">
        <v>435</v>
      </c>
      <c r="C35" s="332"/>
      <c r="D35" s="332"/>
      <c r="E35" s="333" t="s">
        <v>890</v>
      </c>
      <c r="F35" s="334">
        <f t="shared" si="5"/>
        <v>1</v>
      </c>
      <c r="G35" s="385"/>
      <c r="H35" s="332"/>
      <c r="I35" s="332"/>
      <c r="J35" s="332"/>
      <c r="K35" s="333"/>
      <c r="L35" s="364"/>
      <c r="M35" s="364">
        <v>1</v>
      </c>
      <c r="N35" s="289"/>
      <c r="O35" s="290"/>
      <c r="P35" s="290"/>
      <c r="Q35" s="290"/>
      <c r="R35" s="290"/>
      <c r="S35" s="290"/>
      <c r="T35" s="286">
        <f t="shared" si="0"/>
        <v>0</v>
      </c>
    </row>
    <row r="36" spans="2:21" x14ac:dyDescent="0.2">
      <c r="B36" s="331" t="s">
        <v>907</v>
      </c>
      <c r="C36" s="332"/>
      <c r="D36" s="332"/>
      <c r="E36" s="333" t="s">
        <v>890</v>
      </c>
      <c r="F36" s="334">
        <f t="shared" si="5"/>
        <v>2</v>
      </c>
      <c r="G36" s="385"/>
      <c r="H36" s="332"/>
      <c r="I36" s="332"/>
      <c r="J36" s="332"/>
      <c r="K36" s="333"/>
      <c r="L36" s="364"/>
      <c r="M36" s="364">
        <v>2</v>
      </c>
      <c r="N36" s="289"/>
      <c r="O36" s="290"/>
      <c r="P36" s="290"/>
      <c r="Q36" s="290"/>
      <c r="R36" s="290"/>
      <c r="S36" s="290"/>
      <c r="T36" s="286">
        <f t="shared" si="0"/>
        <v>0</v>
      </c>
    </row>
    <row r="37" spans="2:21" x14ac:dyDescent="0.2">
      <c r="B37" s="331" t="s">
        <v>908</v>
      </c>
      <c r="C37" s="332"/>
      <c r="D37" s="332"/>
      <c r="E37" s="333" t="s">
        <v>890</v>
      </c>
      <c r="F37" s="334">
        <f t="shared" si="5"/>
        <v>1</v>
      </c>
      <c r="G37" s="385"/>
      <c r="H37" s="332"/>
      <c r="I37" s="332"/>
      <c r="J37" s="332"/>
      <c r="K37" s="333"/>
      <c r="L37" s="364"/>
      <c r="M37" s="364">
        <v>1</v>
      </c>
      <c r="N37" s="289"/>
      <c r="O37" s="290"/>
      <c r="P37" s="290"/>
      <c r="Q37" s="290"/>
      <c r="R37" s="290"/>
      <c r="S37" s="290"/>
      <c r="T37" s="286">
        <f t="shared" si="0"/>
        <v>0</v>
      </c>
    </row>
    <row r="38" spans="2:21" x14ac:dyDescent="0.2">
      <c r="B38" s="331" t="s">
        <v>909</v>
      </c>
      <c r="C38" s="332"/>
      <c r="D38" s="332"/>
      <c r="E38" s="333" t="s">
        <v>890</v>
      </c>
      <c r="F38" s="334">
        <f t="shared" si="5"/>
        <v>1</v>
      </c>
      <c r="G38" s="385"/>
      <c r="H38" s="332"/>
      <c r="I38" s="332"/>
      <c r="J38" s="332"/>
      <c r="K38" s="333"/>
      <c r="L38" s="364"/>
      <c r="M38" s="364">
        <v>1</v>
      </c>
      <c r="N38" s="289"/>
      <c r="O38" s="290"/>
      <c r="P38" s="290"/>
      <c r="Q38" s="290"/>
      <c r="R38" s="290"/>
      <c r="S38" s="290"/>
      <c r="T38" s="286">
        <f t="shared" si="0"/>
        <v>0</v>
      </c>
    </row>
    <row r="39" spans="2:21" x14ac:dyDescent="0.2">
      <c r="B39" s="331" t="s">
        <v>930</v>
      </c>
      <c r="C39" s="332"/>
      <c r="D39" s="332"/>
      <c r="E39" s="333" t="s">
        <v>890</v>
      </c>
      <c r="F39" s="334">
        <f t="shared" si="5"/>
        <v>1</v>
      </c>
      <c r="G39" s="385"/>
      <c r="H39" s="332"/>
      <c r="I39" s="332">
        <v>1</v>
      </c>
      <c r="J39" s="332"/>
      <c r="K39" s="333"/>
      <c r="L39" s="334"/>
      <c r="M39" s="334"/>
      <c r="N39" s="289"/>
      <c r="O39" s="290"/>
      <c r="P39" s="290"/>
      <c r="Q39" s="290"/>
      <c r="R39" s="290"/>
      <c r="S39" s="290"/>
      <c r="T39" s="286">
        <f t="shared" si="0"/>
        <v>0</v>
      </c>
    </row>
    <row r="40" spans="2:21" x14ac:dyDescent="0.2">
      <c r="B40" s="331" t="s">
        <v>931</v>
      </c>
      <c r="C40" s="332"/>
      <c r="D40" s="332"/>
      <c r="E40" s="333" t="s">
        <v>890</v>
      </c>
      <c r="F40" s="334">
        <f t="shared" si="5"/>
        <v>2</v>
      </c>
      <c r="G40" s="385"/>
      <c r="H40" s="332">
        <v>2</v>
      </c>
      <c r="I40" s="332"/>
      <c r="J40" s="332"/>
      <c r="K40" s="333"/>
      <c r="L40" s="334"/>
      <c r="M40" s="334"/>
      <c r="N40" s="289"/>
      <c r="O40" s="290"/>
      <c r="P40" s="290"/>
      <c r="Q40" s="290"/>
      <c r="R40" s="290"/>
      <c r="S40" s="290"/>
      <c r="T40" s="286">
        <f t="shared" si="0"/>
        <v>0</v>
      </c>
    </row>
    <row r="41" spans="2:21" x14ac:dyDescent="0.2">
      <c r="B41" s="331" t="s">
        <v>892</v>
      </c>
      <c r="C41" s="332"/>
      <c r="D41" s="332"/>
      <c r="E41" s="333" t="s">
        <v>890</v>
      </c>
      <c r="F41" s="1509">
        <f>SUM(G41:M41)</f>
        <v>20</v>
      </c>
      <c r="G41" s="1510">
        <f t="shared" ref="G41:M41" si="6">SUM(G25:G40)</f>
        <v>2</v>
      </c>
      <c r="H41" s="347">
        <f t="shared" si="6"/>
        <v>5</v>
      </c>
      <c r="I41" s="347">
        <f t="shared" si="6"/>
        <v>1</v>
      </c>
      <c r="J41" s="347">
        <f>SUM(J25:J40)</f>
        <v>1</v>
      </c>
      <c r="K41" s="1511">
        <f t="shared" si="6"/>
        <v>1</v>
      </c>
      <c r="L41" s="1509">
        <f t="shared" si="6"/>
        <v>2</v>
      </c>
      <c r="M41" s="1509">
        <f t="shared" si="6"/>
        <v>8</v>
      </c>
      <c r="N41" s="299"/>
      <c r="O41" s="300"/>
      <c r="P41" s="300"/>
      <c r="Q41" s="300"/>
      <c r="R41" s="300"/>
      <c r="S41" s="300"/>
      <c r="T41" s="286">
        <f t="shared" si="0"/>
        <v>0</v>
      </c>
    </row>
    <row r="42" spans="2:21" x14ac:dyDescent="0.2">
      <c r="B42" s="1093" t="s">
        <v>925</v>
      </c>
      <c r="C42" s="1094"/>
      <c r="D42" s="1094"/>
      <c r="E42" s="1095" t="s">
        <v>152</v>
      </c>
      <c r="F42" s="1400">
        <v>67.099999999999994</v>
      </c>
      <c r="G42" s="1097">
        <f>F42</f>
        <v>67.099999999999994</v>
      </c>
      <c r="H42" s="1097">
        <f t="shared" ref="H42:K42" si="7">G42</f>
        <v>67.099999999999994</v>
      </c>
      <c r="I42" s="1097">
        <f t="shared" si="7"/>
        <v>67.099999999999994</v>
      </c>
      <c r="J42" s="1097">
        <f t="shared" si="7"/>
        <v>67.099999999999994</v>
      </c>
      <c r="K42" s="1097">
        <f t="shared" si="7"/>
        <v>67.099999999999994</v>
      </c>
      <c r="L42" s="1096">
        <f>F42</f>
        <v>67.099999999999994</v>
      </c>
      <c r="M42" s="1096">
        <f>F42</f>
        <v>67.099999999999994</v>
      </c>
      <c r="N42" s="289"/>
      <c r="O42" s="290"/>
      <c r="P42" s="290"/>
      <c r="Q42" s="290"/>
      <c r="R42" s="290"/>
      <c r="S42" s="290"/>
      <c r="T42" s="286">
        <f t="shared" si="0"/>
        <v>0</v>
      </c>
    </row>
    <row r="43" spans="2:21" x14ac:dyDescent="0.2">
      <c r="B43" s="331" t="s">
        <v>892</v>
      </c>
      <c r="C43" s="332"/>
      <c r="D43" s="332"/>
      <c r="E43" s="333" t="s">
        <v>890</v>
      </c>
      <c r="F43" s="394">
        <v>1</v>
      </c>
      <c r="G43" s="391"/>
      <c r="H43" s="365"/>
      <c r="I43" s="365"/>
      <c r="J43" s="365"/>
      <c r="K43" s="366"/>
      <c r="L43" s="367"/>
      <c r="M43" s="368">
        <v>1</v>
      </c>
      <c r="N43" s="302"/>
      <c r="O43" s="303"/>
      <c r="P43" s="303"/>
      <c r="Q43" s="303"/>
      <c r="R43" s="303"/>
      <c r="S43" s="303"/>
      <c r="T43" s="286">
        <f t="shared" si="0"/>
        <v>0</v>
      </c>
    </row>
    <row r="44" spans="2:21" x14ac:dyDescent="0.2">
      <c r="B44" s="372" t="s">
        <v>925</v>
      </c>
      <c r="C44" s="332"/>
      <c r="D44" s="332"/>
      <c r="E44" s="379" t="s">
        <v>152</v>
      </c>
      <c r="F44" s="1401">
        <v>43.33</v>
      </c>
      <c r="G44" s="391">
        <f>F44</f>
        <v>43.33</v>
      </c>
      <c r="H44" s="391">
        <f t="shared" ref="H44:M44" si="8">G44</f>
        <v>43.33</v>
      </c>
      <c r="I44" s="391">
        <f t="shared" si="8"/>
        <v>43.33</v>
      </c>
      <c r="J44" s="391">
        <f t="shared" si="8"/>
        <v>43.33</v>
      </c>
      <c r="K44" s="431">
        <f t="shared" si="8"/>
        <v>43.33</v>
      </c>
      <c r="L44" s="367">
        <f t="shared" si="8"/>
        <v>43.33</v>
      </c>
      <c r="M44" s="367">
        <f t="shared" si="8"/>
        <v>43.33</v>
      </c>
      <c r="N44" s="302"/>
      <c r="O44" s="303"/>
      <c r="P44" s="303"/>
      <c r="Q44" s="303"/>
      <c r="R44" s="303"/>
      <c r="S44" s="303"/>
      <c r="T44" s="286">
        <f t="shared" si="0"/>
        <v>0</v>
      </c>
    </row>
    <row r="45" spans="2:21" x14ac:dyDescent="0.2">
      <c r="B45" s="372" t="s">
        <v>893</v>
      </c>
      <c r="C45" s="576"/>
      <c r="D45" s="332"/>
      <c r="E45" s="379" t="s">
        <v>446</v>
      </c>
      <c r="F45" s="371">
        <f>SUM(G45:M45)</f>
        <v>16623.96</v>
      </c>
      <c r="G45" s="390">
        <f>(G41*G42+G43*G44)*12</f>
        <v>1610.4</v>
      </c>
      <c r="H45" s="369">
        <f t="shared" ref="H45:U45" si="9">(H41*H42+H43*H44)*12</f>
        <v>4026</v>
      </c>
      <c r="I45" s="369">
        <f t="shared" si="9"/>
        <v>805.2</v>
      </c>
      <c r="J45" s="369">
        <f>(J41*J42+J43*J44)*12</f>
        <v>805.2</v>
      </c>
      <c r="K45" s="370">
        <f>(K41*K42+K43*K44)*12</f>
        <v>805.2</v>
      </c>
      <c r="L45" s="371">
        <f t="shared" si="9"/>
        <v>1610.4</v>
      </c>
      <c r="M45" s="371">
        <f>(M41*M42+M43*M44)*12</f>
        <v>6961.56</v>
      </c>
      <c r="N45" s="305">
        <f t="shared" si="9"/>
        <v>0</v>
      </c>
      <c r="O45" s="304">
        <f t="shared" si="9"/>
        <v>0</v>
      </c>
      <c r="P45" s="304">
        <f t="shared" si="9"/>
        <v>0</v>
      </c>
      <c r="Q45" s="304">
        <f t="shared" si="9"/>
        <v>0</v>
      </c>
      <c r="R45" s="304">
        <f t="shared" si="9"/>
        <v>0</v>
      </c>
      <c r="S45" s="304">
        <f t="shared" si="9"/>
        <v>0</v>
      </c>
      <c r="T45" s="304">
        <f t="shared" si="9"/>
        <v>0</v>
      </c>
      <c r="U45" s="304">
        <f t="shared" si="9"/>
        <v>0</v>
      </c>
    </row>
    <row r="46" spans="2:21" x14ac:dyDescent="0.2">
      <c r="B46" s="372" t="s">
        <v>910</v>
      </c>
      <c r="C46" s="576"/>
      <c r="D46" s="332"/>
      <c r="E46" s="379" t="s">
        <v>446</v>
      </c>
      <c r="F46" s="371">
        <f>SUM(G46:M46)</f>
        <v>2239.3000000000002</v>
      </c>
      <c r="G46" s="1402">
        <v>52.04</v>
      </c>
      <c r="H46" s="1403">
        <v>369.46</v>
      </c>
      <c r="I46" s="1403">
        <v>635.27</v>
      </c>
      <c r="J46" s="1403">
        <v>56.17</v>
      </c>
      <c r="K46" s="1404"/>
      <c r="L46" s="1401">
        <v>308.77</v>
      </c>
      <c r="M46" s="1401">
        <v>817.59</v>
      </c>
      <c r="N46" s="302"/>
      <c r="O46" s="303"/>
      <c r="P46" s="303"/>
      <c r="Q46" s="303"/>
      <c r="R46" s="303"/>
      <c r="S46" s="303"/>
      <c r="T46" s="286">
        <f t="shared" si="0"/>
        <v>0</v>
      </c>
    </row>
    <row r="47" spans="2:21" ht="13.5" thickBot="1" x14ac:dyDescent="0.25">
      <c r="B47" s="401" t="s">
        <v>911</v>
      </c>
      <c r="C47" s="577"/>
      <c r="D47" s="363"/>
      <c r="E47" s="402" t="s">
        <v>446</v>
      </c>
      <c r="F47" s="1405">
        <v>39.96</v>
      </c>
      <c r="G47" s="404"/>
      <c r="H47" s="405"/>
      <c r="I47" s="405"/>
      <c r="J47" s="405"/>
      <c r="K47" s="406"/>
      <c r="L47" s="403"/>
      <c r="M47" s="1405">
        <v>39.96</v>
      </c>
      <c r="N47" s="302"/>
      <c r="O47" s="303"/>
      <c r="P47" s="303"/>
      <c r="Q47" s="303"/>
      <c r="R47" s="303"/>
      <c r="S47" s="303"/>
      <c r="T47" s="286">
        <f t="shared" si="0"/>
        <v>0</v>
      </c>
    </row>
    <row r="48" spans="2:21" ht="13.5" hidden="1" thickBot="1" x14ac:dyDescent="0.25">
      <c r="B48" s="407" t="s">
        <v>893</v>
      </c>
      <c r="C48" s="578"/>
      <c r="D48" s="374"/>
      <c r="E48" s="408" t="s">
        <v>446</v>
      </c>
      <c r="F48" s="359">
        <f>SUM(G48:M48)</f>
        <v>18903.22</v>
      </c>
      <c r="G48" s="388">
        <f t="shared" ref="G48:L48" si="10">G45+G46</f>
        <v>1662.44</v>
      </c>
      <c r="H48" s="357">
        <f t="shared" si="10"/>
        <v>4395.46</v>
      </c>
      <c r="I48" s="357">
        <f t="shared" si="10"/>
        <v>1440.47</v>
      </c>
      <c r="J48" s="357">
        <f t="shared" si="10"/>
        <v>861.37</v>
      </c>
      <c r="K48" s="358">
        <f t="shared" si="10"/>
        <v>805.2</v>
      </c>
      <c r="L48" s="359">
        <f t="shared" si="10"/>
        <v>1919.17</v>
      </c>
      <c r="M48" s="359">
        <f>M45+M46+M47</f>
        <v>7819.11</v>
      </c>
      <c r="N48" s="306"/>
      <c r="O48" s="307"/>
      <c r="P48" s="307"/>
      <c r="Q48" s="307"/>
      <c r="R48" s="307"/>
      <c r="S48" s="307"/>
      <c r="T48" s="286">
        <f t="shared" si="0"/>
        <v>0</v>
      </c>
    </row>
    <row r="49" spans="2:24" ht="13.5" thickBot="1" x14ac:dyDescent="0.25">
      <c r="B49" s="339" t="s">
        <v>912</v>
      </c>
      <c r="C49" s="579"/>
      <c r="D49" s="352"/>
      <c r="E49" s="383" t="s">
        <v>446</v>
      </c>
      <c r="F49" s="355">
        <f>SUM(G49:M49)</f>
        <v>18903.22</v>
      </c>
      <c r="G49" s="377">
        <f>G45+G46+G47</f>
        <v>1662.44</v>
      </c>
      <c r="H49" s="353">
        <f t="shared" ref="H49:M49" si="11">H45+H46+H47</f>
        <v>4395.46</v>
      </c>
      <c r="I49" s="353">
        <f t="shared" si="11"/>
        <v>1440.47</v>
      </c>
      <c r="J49" s="353">
        <f t="shared" si="11"/>
        <v>861.37</v>
      </c>
      <c r="K49" s="354">
        <f t="shared" si="11"/>
        <v>805.2</v>
      </c>
      <c r="L49" s="355">
        <f t="shared" si="11"/>
        <v>1919.17</v>
      </c>
      <c r="M49" s="376">
        <f t="shared" si="11"/>
        <v>7819.11</v>
      </c>
      <c r="N49" s="306">
        <v>1429.51</v>
      </c>
      <c r="O49" s="307">
        <v>6785.54</v>
      </c>
      <c r="P49" s="307">
        <v>976.66</v>
      </c>
      <c r="Q49" s="307">
        <v>2091.27</v>
      </c>
      <c r="R49" s="307"/>
      <c r="S49" s="307">
        <v>10689.16</v>
      </c>
      <c r="T49" s="286">
        <f t="shared" si="0"/>
        <v>21972.14</v>
      </c>
    </row>
    <row r="50" spans="2:24" x14ac:dyDescent="0.2">
      <c r="B50" s="360" t="s">
        <v>894</v>
      </c>
      <c r="C50" s="361" t="s">
        <v>913</v>
      </c>
      <c r="D50" s="327">
        <v>5520345</v>
      </c>
      <c r="E50" s="380" t="s">
        <v>446</v>
      </c>
      <c r="F50" s="395">
        <v>1</v>
      </c>
      <c r="G50" s="396"/>
      <c r="H50" s="397"/>
      <c r="I50" s="397"/>
      <c r="J50" s="397"/>
      <c r="K50" s="398"/>
      <c r="L50" s="399"/>
      <c r="M50" s="399"/>
      <c r="N50" s="306"/>
      <c r="O50" s="307"/>
      <c r="P50" s="307"/>
      <c r="Q50" s="307"/>
      <c r="R50" s="307"/>
      <c r="S50" s="307"/>
      <c r="T50" s="286">
        <f t="shared" si="0"/>
        <v>0</v>
      </c>
    </row>
    <row r="51" spans="2:24" x14ac:dyDescent="0.2">
      <c r="B51" s="372" t="s">
        <v>900</v>
      </c>
      <c r="C51" s="576"/>
      <c r="D51" s="332"/>
      <c r="E51" s="379" t="s">
        <v>446</v>
      </c>
      <c r="F51" s="368">
        <v>1</v>
      </c>
      <c r="G51" s="391"/>
      <c r="H51" s="391"/>
      <c r="I51" s="391"/>
      <c r="J51" s="391"/>
      <c r="K51" s="431"/>
      <c r="L51" s="367"/>
      <c r="M51" s="367"/>
      <c r="N51" s="306"/>
      <c r="O51" s="307"/>
      <c r="P51" s="307"/>
      <c r="Q51" s="307"/>
      <c r="R51" s="307"/>
      <c r="S51" s="307"/>
      <c r="T51" s="286">
        <f t="shared" si="0"/>
        <v>0</v>
      </c>
    </row>
    <row r="52" spans="2:24" x14ac:dyDescent="0.2">
      <c r="B52" s="362" t="s">
        <v>892</v>
      </c>
      <c r="C52" s="576"/>
      <c r="D52" s="332"/>
      <c r="E52" s="379" t="s">
        <v>890</v>
      </c>
      <c r="F52" s="368">
        <v>1</v>
      </c>
      <c r="G52" s="400">
        <v>1</v>
      </c>
      <c r="H52" s="365"/>
      <c r="I52" s="365"/>
      <c r="J52" s="365"/>
      <c r="K52" s="366"/>
      <c r="L52" s="367"/>
      <c r="M52" s="367"/>
      <c r="N52" s="306"/>
      <c r="O52" s="307"/>
      <c r="P52" s="307"/>
      <c r="Q52" s="307"/>
      <c r="R52" s="307"/>
      <c r="S52" s="307"/>
      <c r="T52" s="286">
        <f t="shared" si="0"/>
        <v>0</v>
      </c>
    </row>
    <row r="53" spans="2:24" x14ac:dyDescent="0.2">
      <c r="B53" s="372" t="s">
        <v>914</v>
      </c>
      <c r="C53" s="576">
        <v>4.68</v>
      </c>
      <c r="D53" s="332"/>
      <c r="E53" s="379" t="s">
        <v>446</v>
      </c>
      <c r="F53" s="1401">
        <v>13.33</v>
      </c>
      <c r="G53" s="391">
        <f>F53</f>
        <v>13.33</v>
      </c>
      <c r="H53" s="391">
        <f t="shared" ref="H53:M53" si="12">G53</f>
        <v>13.33</v>
      </c>
      <c r="I53" s="391">
        <f t="shared" si="12"/>
        <v>13.33</v>
      </c>
      <c r="J53" s="391">
        <f t="shared" si="12"/>
        <v>13.33</v>
      </c>
      <c r="K53" s="431">
        <f t="shared" si="12"/>
        <v>13.33</v>
      </c>
      <c r="L53" s="367">
        <f t="shared" si="12"/>
        <v>13.33</v>
      </c>
      <c r="M53" s="367">
        <f t="shared" si="12"/>
        <v>13.33</v>
      </c>
      <c r="N53" s="306"/>
      <c r="O53" s="307"/>
      <c r="P53" s="307"/>
      <c r="Q53" s="307"/>
      <c r="R53" s="307"/>
      <c r="S53" s="307"/>
      <c r="T53" s="286">
        <f t="shared" si="0"/>
        <v>0</v>
      </c>
    </row>
    <row r="54" spans="2:24" ht="13.5" thickBot="1" x14ac:dyDescent="0.25">
      <c r="B54" s="401" t="s">
        <v>915</v>
      </c>
      <c r="C54" s="577"/>
      <c r="D54" s="363"/>
      <c r="E54" s="402" t="s">
        <v>446</v>
      </c>
      <c r="F54" s="403">
        <f>F52*F53*12</f>
        <v>159.96</v>
      </c>
      <c r="G54" s="404">
        <f>G52*G53*12</f>
        <v>159.96</v>
      </c>
      <c r="H54" s="404">
        <f t="shared" ref="H54:K54" si="13">H52*H53*12</f>
        <v>0</v>
      </c>
      <c r="I54" s="404">
        <f t="shared" si="13"/>
        <v>0</v>
      </c>
      <c r="J54" s="404">
        <f t="shared" si="13"/>
        <v>0</v>
      </c>
      <c r="K54" s="404">
        <f t="shared" si="13"/>
        <v>0</v>
      </c>
      <c r="L54" s="403"/>
      <c r="M54" s="403"/>
      <c r="N54" s="306"/>
      <c r="O54" s="307"/>
      <c r="P54" s="307"/>
      <c r="Q54" s="307"/>
      <c r="R54" s="307"/>
      <c r="S54" s="307"/>
      <c r="T54" s="286">
        <f t="shared" si="0"/>
        <v>0</v>
      </c>
    </row>
    <row r="55" spans="2:24" ht="13.5" thickBot="1" x14ac:dyDescent="0.25">
      <c r="B55" s="339" t="s">
        <v>916</v>
      </c>
      <c r="C55" s="579"/>
      <c r="D55" s="352"/>
      <c r="E55" s="341" t="s">
        <v>446</v>
      </c>
      <c r="F55" s="355">
        <f>SUM(G55:M55)</f>
        <v>159.96</v>
      </c>
      <c r="G55" s="377">
        <f>G54</f>
        <v>159.96</v>
      </c>
      <c r="H55" s="353">
        <f t="shared" ref="H55:U55" si="14">H54</f>
        <v>0</v>
      </c>
      <c r="I55" s="353">
        <f t="shared" si="14"/>
        <v>0</v>
      </c>
      <c r="J55" s="353">
        <f t="shared" si="14"/>
        <v>0</v>
      </c>
      <c r="K55" s="354">
        <f t="shared" si="14"/>
        <v>0</v>
      </c>
      <c r="L55" s="355">
        <f t="shared" si="14"/>
        <v>0</v>
      </c>
      <c r="M55" s="377">
        <f t="shared" si="14"/>
        <v>0</v>
      </c>
      <c r="N55" s="353">
        <f t="shared" si="14"/>
        <v>0</v>
      </c>
      <c r="O55" s="353">
        <f t="shared" si="14"/>
        <v>0</v>
      </c>
      <c r="P55" s="353">
        <f t="shared" si="14"/>
        <v>0</v>
      </c>
      <c r="Q55" s="353">
        <f t="shared" si="14"/>
        <v>0</v>
      </c>
      <c r="R55" s="353">
        <f t="shared" si="14"/>
        <v>0</v>
      </c>
      <c r="S55" s="353">
        <f t="shared" si="14"/>
        <v>0</v>
      </c>
      <c r="T55" s="353">
        <f t="shared" si="14"/>
        <v>0</v>
      </c>
      <c r="U55" s="353">
        <f t="shared" si="14"/>
        <v>0</v>
      </c>
    </row>
    <row r="56" spans="2:24" x14ac:dyDescent="0.2">
      <c r="B56" s="409" t="s">
        <v>917</v>
      </c>
      <c r="C56" s="580" t="s">
        <v>918</v>
      </c>
      <c r="D56" s="327">
        <v>886958</v>
      </c>
      <c r="E56" s="329" t="s">
        <v>890</v>
      </c>
      <c r="F56" s="395">
        <v>2</v>
      </c>
      <c r="G56" s="410">
        <v>1</v>
      </c>
      <c r="H56" s="397"/>
      <c r="I56" s="397"/>
      <c r="J56" s="397"/>
      <c r="K56" s="398"/>
      <c r="L56" s="399"/>
      <c r="M56" s="395">
        <v>1</v>
      </c>
      <c r="N56" s="302"/>
      <c r="O56" s="303"/>
      <c r="P56" s="303"/>
      <c r="Q56" s="303"/>
      <c r="R56" s="303"/>
      <c r="S56" s="308"/>
      <c r="T56" s="286">
        <f>SUM(N56:S56)</f>
        <v>0</v>
      </c>
    </row>
    <row r="57" spans="2:24" ht="13.5" thickBot="1" x14ac:dyDescent="0.25">
      <c r="B57" s="407" t="s">
        <v>926</v>
      </c>
      <c r="C57" s="578"/>
      <c r="D57" s="374"/>
      <c r="E57" s="408" t="s">
        <v>446</v>
      </c>
      <c r="F57" s="1406">
        <v>260</v>
      </c>
      <c r="G57" s="1506">
        <f>F57</f>
        <v>260</v>
      </c>
      <c r="H57" s="1507"/>
      <c r="I57" s="1507"/>
      <c r="J57" s="1507"/>
      <c r="K57" s="1508"/>
      <c r="L57" s="1476"/>
      <c r="M57" s="1476">
        <f>F57</f>
        <v>260</v>
      </c>
      <c r="N57" s="302"/>
      <c r="O57" s="303"/>
      <c r="P57" s="303"/>
      <c r="Q57" s="303"/>
      <c r="R57" s="303"/>
      <c r="S57" s="303"/>
      <c r="T57" s="286">
        <f>SUM(N57:S57)</f>
        <v>0</v>
      </c>
    </row>
    <row r="58" spans="2:24" ht="13.5" thickBot="1" x14ac:dyDescent="0.25">
      <c r="B58" s="378" t="s">
        <v>919</v>
      </c>
      <c r="C58" s="352"/>
      <c r="D58" s="352"/>
      <c r="E58" s="383" t="s">
        <v>446</v>
      </c>
      <c r="F58" s="355">
        <f>SUM(G58:M58)</f>
        <v>6240</v>
      </c>
      <c r="G58" s="377">
        <f>G56*G57*12</f>
        <v>3120</v>
      </c>
      <c r="H58" s="353">
        <v>0</v>
      </c>
      <c r="I58" s="353">
        <v>0</v>
      </c>
      <c r="J58" s="353">
        <v>0</v>
      </c>
      <c r="K58" s="354">
        <v>0</v>
      </c>
      <c r="L58" s="355">
        <f>L57*L56*12</f>
        <v>0</v>
      </c>
      <c r="M58" s="355">
        <f>M57*M56*12</f>
        <v>3120</v>
      </c>
      <c r="N58" s="309"/>
      <c r="O58" s="309"/>
      <c r="P58" s="309"/>
      <c r="Q58" s="309"/>
      <c r="R58" s="309"/>
      <c r="S58" s="309"/>
    </row>
    <row r="59" spans="2:24" ht="9.75" customHeight="1" thickBot="1" x14ac:dyDescent="0.25">
      <c r="B59" s="310"/>
      <c r="F59" s="320"/>
      <c r="L59" s="321"/>
      <c r="M59" s="320"/>
      <c r="T59" s="286">
        <f t="shared" si="0"/>
        <v>0</v>
      </c>
    </row>
    <row r="60" spans="2:24" ht="13.5" thickBot="1" x14ac:dyDescent="0.25">
      <c r="B60" s="411" t="s">
        <v>927</v>
      </c>
      <c r="C60" s="352"/>
      <c r="D60" s="412"/>
      <c r="E60" s="383" t="s">
        <v>446</v>
      </c>
      <c r="F60" s="413">
        <f t="shared" ref="F60:M60" si="15">F58+F55+F49+F24+F17+F14</f>
        <v>59608.9</v>
      </c>
      <c r="G60" s="414">
        <f t="shared" si="15"/>
        <v>5639</v>
      </c>
      <c r="H60" s="415">
        <f t="shared" si="15"/>
        <v>4395.46</v>
      </c>
      <c r="I60" s="415">
        <f t="shared" si="15"/>
        <v>1440.47</v>
      </c>
      <c r="J60" s="415">
        <f t="shared" si="15"/>
        <v>22264.57</v>
      </c>
      <c r="K60" s="416">
        <f t="shared" si="15"/>
        <v>842.88</v>
      </c>
      <c r="L60" s="413">
        <f t="shared" si="15"/>
        <v>2419.21</v>
      </c>
      <c r="M60" s="413">
        <f t="shared" si="15"/>
        <v>22607.31</v>
      </c>
      <c r="N60" s="311" t="e">
        <f>#REF!+#REF!+N49+N24+#REF!+N14+N55</f>
        <v>#REF!</v>
      </c>
      <c r="O60" s="312" t="e">
        <f>#REF!+#REF!+O49+O24+#REF!+O14+O16</f>
        <v>#REF!</v>
      </c>
      <c r="P60" s="312" t="e">
        <f>#REF!+#REF!+P49+P24+#REF!+P14</f>
        <v>#REF!</v>
      </c>
      <c r="Q60" s="312" t="e">
        <f>#REF!+#REF!+Q49+Q24+#REF!+Q14</f>
        <v>#REF!</v>
      </c>
      <c r="R60" s="312" t="e">
        <f>#REF!+#REF!+R49+R24+#REF!+R14</f>
        <v>#REF!</v>
      </c>
      <c r="S60" s="312" t="e">
        <f>#REF!+#REF!+S49+S24+#REF!+S14</f>
        <v>#REF!</v>
      </c>
      <c r="T60" s="286" t="e">
        <f t="shared" si="0"/>
        <v>#REF!</v>
      </c>
    </row>
    <row r="61" spans="2:24" x14ac:dyDescent="0.2">
      <c r="B61" s="301"/>
      <c r="C61" s="350"/>
      <c r="D61" s="286"/>
      <c r="E61" s="313"/>
      <c r="F61" s="314"/>
      <c r="G61" s="314"/>
      <c r="H61" s="314"/>
      <c r="I61" s="314"/>
      <c r="J61" s="314"/>
      <c r="K61" s="314"/>
      <c r="L61" s="314"/>
      <c r="M61" s="314"/>
      <c r="N61" s="315"/>
      <c r="O61" s="315"/>
      <c r="P61" s="315"/>
      <c r="Q61" s="315"/>
      <c r="R61" s="315"/>
      <c r="S61" s="315"/>
    </row>
    <row r="62" spans="2:24" s="284" customFormat="1" x14ac:dyDescent="0.2">
      <c r="B62" s="286"/>
      <c r="C62" s="316"/>
      <c r="D62" s="316"/>
      <c r="E62" s="317"/>
      <c r="F62" s="318"/>
      <c r="G62" s="318"/>
      <c r="H62" s="318"/>
      <c r="I62" s="318"/>
      <c r="J62" s="318"/>
      <c r="K62" s="318"/>
      <c r="L62" s="318"/>
      <c r="M62" s="318"/>
      <c r="N62" s="301"/>
      <c r="O62" s="301"/>
      <c r="P62" s="301"/>
      <c r="Q62" s="301"/>
      <c r="R62" s="301"/>
      <c r="S62" s="301"/>
      <c r="T62" s="286"/>
      <c r="U62" s="286"/>
      <c r="V62" s="286"/>
      <c r="W62" s="286"/>
      <c r="X62" s="286"/>
    </row>
    <row r="63" spans="2:24" x14ac:dyDescent="0.2">
      <c r="B63" s="286"/>
      <c r="C63" s="350"/>
      <c r="D63" s="286"/>
      <c r="E63" s="286"/>
      <c r="F63" s="286"/>
      <c r="G63" s="286"/>
      <c r="H63" s="286"/>
      <c r="I63" s="286"/>
      <c r="J63" s="286"/>
      <c r="K63" s="286"/>
      <c r="L63" s="286"/>
      <c r="M63" s="286"/>
      <c r="N63" s="286"/>
      <c r="O63" s="286"/>
      <c r="P63" s="286"/>
      <c r="Q63" s="286"/>
      <c r="R63" s="286"/>
      <c r="S63" s="286"/>
    </row>
    <row r="64" spans="2:24" s="319" customFormat="1" ht="15.75" customHeight="1" x14ac:dyDescent="0.25">
      <c r="C64" s="351" t="str">
        <f>'Вхідні дані'!$B$15</f>
        <v>Заступник начальника з економіки та фінансів</v>
      </c>
      <c r="F64" s="441" t="s">
        <v>368</v>
      </c>
      <c r="G64" s="440"/>
      <c r="H64" s="440"/>
      <c r="I64" s="440"/>
      <c r="J64" s="440"/>
      <c r="K64" s="4111" t="str">
        <f>'Вхідні дані'!$F$15</f>
        <v>Наталія БАРТОШИК</v>
      </c>
      <c r="L64" s="4111"/>
      <c r="M64" s="4111"/>
      <c r="N64" s="1077"/>
    </row>
    <row r="65" spans="2:21" ht="15" x14ac:dyDescent="0.2">
      <c r="B65" s="286"/>
      <c r="C65" s="350"/>
      <c r="D65" s="286"/>
      <c r="E65" s="286"/>
      <c r="F65" s="444" t="s">
        <v>219</v>
      </c>
      <c r="G65" s="440"/>
      <c r="H65" s="440"/>
      <c r="I65" s="440"/>
      <c r="J65" s="440"/>
      <c r="K65" s="4112" t="s">
        <v>1926</v>
      </c>
      <c r="L65" s="4112"/>
      <c r="M65" s="4112"/>
      <c r="N65" s="1078"/>
      <c r="O65" s="286"/>
      <c r="P65" s="286"/>
      <c r="Q65" s="286"/>
      <c r="R65" s="286"/>
      <c r="S65" s="286"/>
    </row>
    <row r="66" spans="2:21" x14ac:dyDescent="0.2">
      <c r="B66" s="286" t="s">
        <v>920</v>
      </c>
      <c r="C66" s="350"/>
      <c r="D66" s="286"/>
      <c r="E66" s="286"/>
      <c r="F66" s="298"/>
      <c r="G66" s="298"/>
      <c r="H66" s="298"/>
      <c r="I66" s="298"/>
      <c r="J66" s="298"/>
      <c r="K66" s="298"/>
      <c r="L66" s="298"/>
      <c r="M66" s="298"/>
      <c r="N66" s="298"/>
      <c r="O66" s="298"/>
      <c r="P66" s="298"/>
      <c r="Q66" s="298"/>
      <c r="R66" s="298"/>
      <c r="S66" s="298"/>
      <c r="T66" s="298"/>
      <c r="U66" s="298"/>
    </row>
    <row r="67" spans="2:21" x14ac:dyDescent="0.2">
      <c r="B67" s="286"/>
      <c r="C67" s="350"/>
      <c r="D67" s="286"/>
      <c r="E67" s="286"/>
      <c r="F67" s="286"/>
      <c r="G67" s="286"/>
      <c r="H67" s="286"/>
      <c r="I67" s="286"/>
      <c r="J67" s="286"/>
      <c r="K67" s="286"/>
      <c r="L67" s="286"/>
      <c r="M67" s="286"/>
      <c r="N67" s="286"/>
      <c r="O67" s="286"/>
      <c r="P67" s="286"/>
      <c r="Q67" s="286"/>
      <c r="R67" s="286"/>
      <c r="S67" s="286"/>
    </row>
    <row r="68" spans="2:21" x14ac:dyDescent="0.2">
      <c r="B68" s="286"/>
      <c r="C68" s="350"/>
      <c r="D68" s="286"/>
      <c r="E68" s="286"/>
      <c r="F68" s="298"/>
      <c r="G68" s="298"/>
      <c r="H68" s="298"/>
      <c r="I68" s="298"/>
      <c r="J68" s="298"/>
      <c r="K68" s="298"/>
      <c r="L68" s="298"/>
      <c r="M68" s="298"/>
      <c r="N68" s="286"/>
      <c r="O68" s="286"/>
      <c r="P68" s="286"/>
      <c r="Q68" s="286"/>
      <c r="R68" s="286"/>
      <c r="S68" s="286"/>
    </row>
    <row r="69" spans="2:21" x14ac:dyDescent="0.2">
      <c r="B69" s="286"/>
      <c r="C69" s="350"/>
      <c r="D69" s="286"/>
      <c r="E69" s="286"/>
      <c r="F69" s="298"/>
      <c r="G69" s="298"/>
      <c r="H69" s="298"/>
      <c r="I69" s="298"/>
      <c r="J69" s="298"/>
      <c r="K69" s="298"/>
      <c r="L69" s="298"/>
      <c r="M69" s="298"/>
      <c r="N69" s="298"/>
      <c r="O69" s="298"/>
      <c r="P69" s="298"/>
      <c r="Q69" s="298"/>
      <c r="R69" s="298"/>
      <c r="S69" s="298"/>
      <c r="T69" s="298"/>
      <c r="U69" s="298"/>
    </row>
    <row r="70" spans="2:21" ht="15" x14ac:dyDescent="0.25">
      <c r="B70" s="286"/>
      <c r="C70" s="286"/>
      <c r="D70" s="823" t="s">
        <v>1044</v>
      </c>
      <c r="E70" s="286"/>
      <c r="F70" s="286"/>
      <c r="G70" s="286"/>
      <c r="H70" s="286"/>
      <c r="I70" s="286"/>
      <c r="J70" s="286"/>
      <c r="K70" s="286"/>
      <c r="L70" s="286"/>
      <c r="M70" s="286"/>
      <c r="N70" s="286"/>
      <c r="O70" s="286"/>
      <c r="P70" s="286"/>
      <c r="Q70" s="286"/>
      <c r="R70" s="286"/>
      <c r="S70" s="286"/>
    </row>
    <row r="71" spans="2:21" x14ac:dyDescent="0.2">
      <c r="B71" s="286"/>
      <c r="C71" s="286"/>
      <c r="D71" s="286"/>
      <c r="E71" s="286"/>
      <c r="F71" s="286"/>
      <c r="G71" s="286"/>
      <c r="H71" s="286"/>
      <c r="I71" s="286"/>
      <c r="J71" s="286"/>
      <c r="K71" s="286"/>
      <c r="L71" s="286"/>
      <c r="M71" s="286"/>
      <c r="N71" s="286"/>
      <c r="O71" s="286"/>
      <c r="P71" s="286"/>
      <c r="Q71" s="286"/>
      <c r="R71" s="286"/>
      <c r="S71" s="286"/>
    </row>
    <row r="72" spans="2:21" ht="15.75" x14ac:dyDescent="0.25">
      <c r="B72" s="4132" t="s">
        <v>1829</v>
      </c>
      <c r="C72" s="4132"/>
      <c r="D72" s="286"/>
      <c r="E72" s="286"/>
      <c r="F72" s="286"/>
      <c r="G72" s="286"/>
      <c r="H72" s="286"/>
      <c r="I72" s="286"/>
      <c r="J72" s="286"/>
      <c r="K72" s="286"/>
      <c r="L72" s="286"/>
      <c r="M72" s="286"/>
      <c r="N72" s="286"/>
      <c r="O72" s="286"/>
      <c r="P72" s="286"/>
      <c r="Q72" s="286"/>
      <c r="R72" s="286"/>
      <c r="S72" s="286"/>
    </row>
    <row r="73" spans="2:21" ht="15.75" x14ac:dyDescent="0.25">
      <c r="B73" s="824" t="str">
        <f>'Вхідні дані'!$F$6</f>
        <v>2022-2023</v>
      </c>
      <c r="C73" s="344" t="s">
        <v>647</v>
      </c>
      <c r="D73" s="286"/>
      <c r="E73" s="286"/>
      <c r="F73" s="286"/>
      <c r="G73" s="286"/>
      <c r="H73" s="286"/>
      <c r="I73" s="286"/>
      <c r="J73" s="286"/>
      <c r="K73" s="286"/>
      <c r="L73" s="286"/>
      <c r="M73" s="286"/>
      <c r="N73" s="286"/>
      <c r="O73" s="286"/>
      <c r="P73" s="286"/>
      <c r="Q73" s="286"/>
      <c r="R73" s="286"/>
      <c r="S73" s="286"/>
    </row>
    <row r="74" spans="2:21" ht="15.75" x14ac:dyDescent="0.25">
      <c r="B74" s="4133" t="str">
        <f>'Вхідні дані'!$F$5</f>
        <v>ЧФ ДП "АМПУ"</v>
      </c>
      <c r="C74" s="4133"/>
      <c r="D74" s="286"/>
      <c r="E74" s="286"/>
      <c r="F74" s="286"/>
      <c r="G74" s="286"/>
      <c r="H74" s="286"/>
      <c r="I74" s="286"/>
      <c r="J74" s="286"/>
      <c r="K74" s="286"/>
      <c r="L74" s="286"/>
      <c r="M74" s="286"/>
      <c r="N74" s="286"/>
      <c r="O74" s="286"/>
      <c r="P74" s="286"/>
      <c r="Q74" s="286"/>
      <c r="R74" s="286"/>
      <c r="S74" s="286"/>
    </row>
    <row r="75" spans="2:21" ht="13.5" thickBot="1" x14ac:dyDescent="0.25">
      <c r="B75" s="286"/>
      <c r="C75" s="350"/>
      <c r="D75" s="286"/>
      <c r="E75" s="286"/>
      <c r="F75" s="286"/>
      <c r="G75" s="286"/>
      <c r="H75" s="286"/>
      <c r="I75" s="286"/>
      <c r="J75" s="286"/>
      <c r="K75" s="286"/>
      <c r="L75" s="286"/>
      <c r="M75" s="286"/>
      <c r="N75" s="286"/>
      <c r="O75" s="286"/>
      <c r="P75" s="286"/>
      <c r="Q75" s="286"/>
      <c r="R75" s="286"/>
      <c r="S75" s="286"/>
    </row>
    <row r="76" spans="2:21" ht="29.25" thickBot="1" x14ac:dyDescent="0.25">
      <c r="B76" s="825" t="s">
        <v>952</v>
      </c>
      <c r="C76" s="433" t="s">
        <v>880</v>
      </c>
      <c r="D76" s="434" t="s">
        <v>881</v>
      </c>
      <c r="E76" s="1085" t="s">
        <v>1933</v>
      </c>
      <c r="F76" s="1086" t="s">
        <v>1934</v>
      </c>
      <c r="G76" s="286"/>
      <c r="H76" s="286"/>
      <c r="I76" s="286"/>
      <c r="J76" s="286"/>
      <c r="K76" s="286"/>
      <c r="L76" s="286"/>
      <c r="M76" s="286"/>
      <c r="N76" s="286"/>
      <c r="O76" s="286"/>
      <c r="P76" s="286"/>
      <c r="Q76" s="286"/>
      <c r="R76" s="286"/>
      <c r="S76" s="286"/>
    </row>
    <row r="77" spans="2:21" ht="15" x14ac:dyDescent="0.25">
      <c r="B77" s="826" t="s">
        <v>1828</v>
      </c>
      <c r="C77" s="1408">
        <f>373466.69/1000</f>
        <v>373.47</v>
      </c>
      <c r="D77" s="827"/>
      <c r="E77" s="1087"/>
      <c r="F77" s="1088"/>
      <c r="G77" s="286" t="s">
        <v>2446</v>
      </c>
      <c r="H77" s="286"/>
      <c r="I77" s="286"/>
      <c r="J77" s="286"/>
      <c r="K77" s="286"/>
      <c r="L77" s="286"/>
      <c r="M77" s="286"/>
      <c r="N77" s="286"/>
      <c r="O77" s="286"/>
      <c r="P77" s="286"/>
      <c r="Q77" s="286"/>
      <c r="R77" s="286"/>
      <c r="S77" s="286"/>
    </row>
    <row r="78" spans="2:21" ht="30" x14ac:dyDescent="0.25">
      <c r="B78" s="828" t="s">
        <v>953</v>
      </c>
      <c r="C78" s="829"/>
      <c r="D78" s="1409">
        <f>28.8/1.2*12</f>
        <v>288</v>
      </c>
      <c r="E78" s="1089"/>
      <c r="F78" s="1090"/>
      <c r="G78" s="286" t="s">
        <v>2579</v>
      </c>
      <c r="H78" s="286"/>
      <c r="I78" s="286"/>
      <c r="J78" s="286"/>
      <c r="K78" s="286"/>
      <c r="L78" s="286"/>
      <c r="M78" s="286"/>
      <c r="N78" s="286"/>
      <c r="O78" s="286"/>
      <c r="P78" s="286"/>
      <c r="Q78" s="286"/>
      <c r="R78" s="286"/>
      <c r="S78" s="286"/>
    </row>
    <row r="79" spans="2:21" ht="15" thickBot="1" x14ac:dyDescent="0.25">
      <c r="B79" s="830" t="s">
        <v>766</v>
      </c>
      <c r="C79" s="831">
        <f>C78+C77</f>
        <v>373.47</v>
      </c>
      <c r="D79" s="832">
        <f>D78+D77</f>
        <v>288</v>
      </c>
      <c r="E79" s="1091">
        <f>D79/4</f>
        <v>72</v>
      </c>
      <c r="F79" s="1092">
        <f>D79/4*3</f>
        <v>216</v>
      </c>
      <c r="G79" s="286"/>
      <c r="H79" s="286"/>
      <c r="I79" s="286"/>
      <c r="J79" s="286"/>
      <c r="K79" s="286"/>
      <c r="L79" s="286"/>
      <c r="M79" s="286"/>
      <c r="N79" s="286"/>
      <c r="O79" s="286"/>
      <c r="P79" s="286"/>
      <c r="Q79" s="286"/>
      <c r="R79" s="286"/>
      <c r="S79" s="286"/>
    </row>
    <row r="80" spans="2:21" x14ac:dyDescent="0.2">
      <c r="B80" s="286"/>
      <c r="C80" s="350"/>
      <c r="D80" s="286"/>
      <c r="E80" s="286"/>
      <c r="F80" s="286"/>
      <c r="G80" s="286"/>
      <c r="H80" s="286"/>
      <c r="I80" s="286"/>
      <c r="J80" s="286"/>
      <c r="K80" s="286"/>
      <c r="L80" s="286"/>
      <c r="M80" s="286"/>
      <c r="N80" s="286"/>
      <c r="O80" s="286"/>
      <c r="P80" s="286"/>
      <c r="Q80" s="286"/>
      <c r="R80" s="286"/>
      <c r="S80" s="286"/>
    </row>
    <row r="81" spans="2:19" ht="15.75" x14ac:dyDescent="0.25">
      <c r="B81" s="351" t="str">
        <f>'Вхідні дані'!$B$15</f>
        <v>Заступник начальника з економіки та фінансів</v>
      </c>
      <c r="C81" s="441" t="s">
        <v>368</v>
      </c>
      <c r="D81" s="4111" t="str">
        <f>'Вхідні дані'!$F$15</f>
        <v>Наталія БАРТОШИК</v>
      </c>
      <c r="E81" s="4111"/>
      <c r="F81" s="4111"/>
      <c r="G81" s="440"/>
      <c r="H81" s="440"/>
      <c r="I81" s="440"/>
      <c r="J81" s="440"/>
      <c r="N81" s="286"/>
      <c r="O81" s="286"/>
      <c r="P81" s="286"/>
      <c r="Q81" s="286"/>
      <c r="R81" s="286"/>
      <c r="S81" s="286"/>
    </row>
    <row r="82" spans="2:19" ht="15" x14ac:dyDescent="0.2">
      <c r="B82" s="286"/>
      <c r="C82" s="444" t="s">
        <v>219</v>
      </c>
      <c r="D82" s="4112" t="s">
        <v>1926</v>
      </c>
      <c r="E82" s="4112"/>
      <c r="F82" s="4112"/>
      <c r="G82" s="440"/>
      <c r="H82" s="440"/>
      <c r="I82" s="440"/>
      <c r="J82" s="440"/>
      <c r="N82" s="286"/>
      <c r="O82" s="286"/>
      <c r="P82" s="286"/>
      <c r="Q82" s="286"/>
      <c r="R82" s="286"/>
      <c r="S82" s="286"/>
    </row>
    <row r="83" spans="2:19" x14ac:dyDescent="0.2">
      <c r="B83" s="286"/>
      <c r="C83" s="350"/>
      <c r="D83" s="286"/>
      <c r="E83" s="286"/>
      <c r="F83" s="286"/>
      <c r="G83" s="286"/>
      <c r="H83" s="286"/>
      <c r="I83" s="286"/>
      <c r="J83" s="286"/>
      <c r="K83" s="286"/>
      <c r="L83" s="286"/>
      <c r="M83" s="286"/>
      <c r="N83" s="286"/>
      <c r="O83" s="286"/>
      <c r="P83" s="286"/>
      <c r="Q83" s="286"/>
      <c r="R83" s="286"/>
      <c r="S83" s="286"/>
    </row>
    <row r="84" spans="2:19" x14ac:dyDescent="0.2">
      <c r="B84" s="286"/>
      <c r="C84" s="350"/>
      <c r="D84" s="286"/>
      <c r="E84" s="286"/>
      <c r="F84" s="286"/>
      <c r="G84" s="286"/>
      <c r="H84" s="286"/>
      <c r="I84" s="286"/>
      <c r="J84" s="286"/>
      <c r="K84" s="286"/>
      <c r="L84" s="286"/>
      <c r="M84" s="286"/>
      <c r="N84" s="286"/>
      <c r="O84" s="286"/>
      <c r="P84" s="286"/>
      <c r="Q84" s="286"/>
      <c r="R84" s="286"/>
      <c r="S84" s="286"/>
    </row>
    <row r="85" spans="2:19" x14ac:dyDescent="0.2">
      <c r="B85" s="286"/>
      <c r="C85" s="350"/>
      <c r="D85" s="286"/>
      <c r="E85" s="286"/>
      <c r="F85" s="286"/>
      <c r="G85" s="286"/>
      <c r="H85" s="286"/>
      <c r="I85" s="286"/>
      <c r="J85" s="286"/>
      <c r="K85" s="286"/>
      <c r="L85" s="286"/>
      <c r="M85" s="286"/>
      <c r="N85" s="286"/>
      <c r="O85" s="286"/>
      <c r="P85" s="286"/>
      <c r="Q85" s="286"/>
      <c r="R85" s="286"/>
      <c r="S85" s="286"/>
    </row>
    <row r="86" spans="2:19" x14ac:dyDescent="0.2">
      <c r="B86" s="286"/>
      <c r="C86" s="350"/>
      <c r="D86" s="286"/>
      <c r="E86" s="286"/>
      <c r="F86" s="286"/>
      <c r="G86" s="286"/>
      <c r="H86" s="286"/>
      <c r="I86" s="286"/>
      <c r="J86" s="286"/>
      <c r="K86" s="286"/>
      <c r="L86" s="286"/>
      <c r="M86" s="286"/>
      <c r="N86" s="286"/>
      <c r="O86" s="286"/>
      <c r="P86" s="286"/>
      <c r="Q86" s="286"/>
      <c r="R86" s="286"/>
      <c r="S86" s="286"/>
    </row>
    <row r="87" spans="2:19" x14ac:dyDescent="0.2">
      <c r="B87" s="286"/>
      <c r="C87" s="350"/>
      <c r="D87" s="286"/>
      <c r="E87" s="286"/>
      <c r="F87" s="286"/>
      <c r="G87" s="286"/>
      <c r="H87" s="286"/>
      <c r="I87" s="286"/>
      <c r="J87" s="286"/>
      <c r="K87" s="286"/>
      <c r="L87" s="286"/>
      <c r="M87" s="286"/>
      <c r="N87" s="286"/>
      <c r="O87" s="286"/>
      <c r="P87" s="286"/>
      <c r="Q87" s="286"/>
      <c r="R87" s="286"/>
      <c r="S87" s="286"/>
    </row>
    <row r="88" spans="2:19" x14ac:dyDescent="0.2">
      <c r="B88" s="286"/>
      <c r="C88" s="350"/>
      <c r="D88" s="286"/>
      <c r="E88" s="286"/>
      <c r="F88" s="286"/>
      <c r="G88" s="286"/>
      <c r="H88" s="286"/>
      <c r="I88" s="286"/>
      <c r="J88" s="286"/>
      <c r="K88" s="286"/>
      <c r="L88" s="286"/>
      <c r="M88" s="286"/>
      <c r="N88" s="286"/>
      <c r="O88" s="286"/>
      <c r="P88" s="286"/>
      <c r="Q88" s="286"/>
      <c r="R88" s="286"/>
      <c r="S88" s="286"/>
    </row>
    <row r="89" spans="2:19" x14ac:dyDescent="0.2">
      <c r="B89" s="286"/>
      <c r="C89" s="350"/>
      <c r="D89" s="286"/>
      <c r="E89" s="286"/>
      <c r="F89" s="286"/>
      <c r="G89" s="286"/>
      <c r="H89" s="286"/>
      <c r="I89" s="286"/>
      <c r="J89" s="286"/>
      <c r="K89" s="286"/>
      <c r="L89" s="286"/>
      <c r="M89" s="286"/>
      <c r="N89" s="286"/>
      <c r="O89" s="286"/>
      <c r="P89" s="286"/>
      <c r="Q89" s="286"/>
      <c r="R89" s="286"/>
      <c r="S89" s="286"/>
    </row>
    <row r="90" spans="2:19" x14ac:dyDescent="0.2">
      <c r="B90" s="286"/>
      <c r="C90" s="350"/>
      <c r="D90" s="286"/>
      <c r="E90" s="286"/>
      <c r="F90" s="286"/>
      <c r="G90" s="286"/>
      <c r="H90" s="286"/>
      <c r="I90" s="286"/>
      <c r="J90" s="286"/>
      <c r="K90" s="286"/>
      <c r="L90" s="286"/>
      <c r="M90" s="286"/>
      <c r="N90" s="286"/>
      <c r="O90" s="286"/>
      <c r="P90" s="286"/>
      <c r="Q90" s="286"/>
      <c r="R90" s="286"/>
      <c r="S90" s="286"/>
    </row>
    <row r="91" spans="2:19" x14ac:dyDescent="0.2">
      <c r="B91" s="286"/>
      <c r="C91" s="350"/>
      <c r="D91" s="286"/>
      <c r="E91" s="286"/>
      <c r="F91" s="286"/>
      <c r="G91" s="286"/>
      <c r="H91" s="286"/>
      <c r="I91" s="286"/>
      <c r="J91" s="286"/>
      <c r="K91" s="286"/>
      <c r="L91" s="286"/>
      <c r="M91" s="286"/>
      <c r="N91" s="286"/>
      <c r="O91" s="286"/>
      <c r="P91" s="286"/>
      <c r="Q91" s="286"/>
      <c r="R91" s="286"/>
      <c r="S91" s="286"/>
    </row>
    <row r="92" spans="2:19" x14ac:dyDescent="0.2">
      <c r="B92" s="286"/>
      <c r="C92" s="350"/>
      <c r="D92" s="286"/>
      <c r="E92" s="286"/>
      <c r="F92" s="286"/>
      <c r="G92" s="286"/>
      <c r="H92" s="286"/>
      <c r="I92" s="286"/>
      <c r="J92" s="286"/>
      <c r="K92" s="286"/>
      <c r="L92" s="286"/>
      <c r="M92" s="286"/>
      <c r="N92" s="286"/>
      <c r="O92" s="286"/>
      <c r="P92" s="286"/>
      <c r="Q92" s="286"/>
      <c r="R92" s="286"/>
      <c r="S92" s="286"/>
    </row>
    <row r="93" spans="2:19" x14ac:dyDescent="0.2">
      <c r="B93" s="286"/>
      <c r="C93" s="350"/>
      <c r="D93" s="286"/>
      <c r="E93" s="286"/>
      <c r="F93" s="286"/>
      <c r="G93" s="286"/>
      <c r="H93" s="286"/>
      <c r="I93" s="286"/>
      <c r="J93" s="286"/>
      <c r="K93" s="286"/>
      <c r="L93" s="286"/>
      <c r="M93" s="286"/>
      <c r="N93" s="286"/>
      <c r="O93" s="286"/>
      <c r="P93" s="286"/>
      <c r="Q93" s="286"/>
      <c r="R93" s="286"/>
      <c r="S93" s="286"/>
    </row>
    <row r="94" spans="2:19" x14ac:dyDescent="0.2">
      <c r="B94" s="286"/>
      <c r="C94" s="350"/>
      <c r="D94" s="286"/>
      <c r="E94" s="286"/>
      <c r="F94" s="286"/>
      <c r="G94" s="286"/>
      <c r="H94" s="286"/>
      <c r="I94" s="286"/>
      <c r="J94" s="286"/>
      <c r="K94" s="286"/>
      <c r="L94" s="286"/>
      <c r="M94" s="286"/>
      <c r="N94" s="286"/>
      <c r="O94" s="286"/>
      <c r="P94" s="286"/>
      <c r="Q94" s="286"/>
      <c r="R94" s="286"/>
      <c r="S94" s="286"/>
    </row>
    <row r="95" spans="2:19" x14ac:dyDescent="0.2">
      <c r="B95" s="286"/>
      <c r="C95" s="350"/>
      <c r="D95" s="286"/>
      <c r="E95" s="286"/>
      <c r="F95" s="286"/>
      <c r="G95" s="286"/>
      <c r="H95" s="286"/>
      <c r="I95" s="286"/>
      <c r="J95" s="286"/>
      <c r="K95" s="286"/>
      <c r="L95" s="286"/>
      <c r="M95" s="286"/>
      <c r="N95" s="286"/>
      <c r="O95" s="286"/>
      <c r="P95" s="286"/>
      <c r="Q95" s="286"/>
      <c r="R95" s="286"/>
      <c r="S95" s="286"/>
    </row>
    <row r="96" spans="2:19" x14ac:dyDescent="0.2">
      <c r="B96" s="286"/>
      <c r="C96" s="350"/>
      <c r="D96" s="286"/>
      <c r="E96" s="286"/>
      <c r="F96" s="286"/>
      <c r="G96" s="286"/>
      <c r="H96" s="286"/>
      <c r="I96" s="286"/>
      <c r="J96" s="286"/>
      <c r="K96" s="286"/>
      <c r="L96" s="286"/>
      <c r="M96" s="286"/>
      <c r="N96" s="286"/>
      <c r="O96" s="286"/>
      <c r="P96" s="286"/>
      <c r="Q96" s="286"/>
      <c r="R96" s="286"/>
      <c r="S96" s="286"/>
    </row>
    <row r="97" spans="3:3" s="286" customFormat="1" x14ac:dyDescent="0.2">
      <c r="C97" s="350"/>
    </row>
    <row r="98" spans="3:3" s="286" customFormat="1" x14ac:dyDescent="0.2">
      <c r="C98" s="350"/>
    </row>
    <row r="99" spans="3:3" s="286" customFormat="1" x14ac:dyDescent="0.2">
      <c r="C99" s="350"/>
    </row>
    <row r="100" spans="3:3" s="286" customFormat="1" x14ac:dyDescent="0.2">
      <c r="C100" s="350"/>
    </row>
    <row r="101" spans="3:3" s="286" customFormat="1" x14ac:dyDescent="0.2">
      <c r="C101" s="350"/>
    </row>
    <row r="102" spans="3:3" s="286" customFormat="1" x14ac:dyDescent="0.2">
      <c r="C102" s="350"/>
    </row>
    <row r="103" spans="3:3" s="286" customFormat="1" x14ac:dyDescent="0.2">
      <c r="C103" s="350"/>
    </row>
    <row r="104" spans="3:3" s="286" customFormat="1" x14ac:dyDescent="0.2">
      <c r="C104" s="350"/>
    </row>
    <row r="105" spans="3:3" s="286" customFormat="1" x14ac:dyDescent="0.2">
      <c r="C105" s="350"/>
    </row>
    <row r="106" spans="3:3" s="286" customFormat="1" x14ac:dyDescent="0.2">
      <c r="C106" s="350"/>
    </row>
    <row r="107" spans="3:3" s="286" customFormat="1" x14ac:dyDescent="0.2">
      <c r="C107" s="350"/>
    </row>
    <row r="108" spans="3:3" s="286" customFormat="1" x14ac:dyDescent="0.2">
      <c r="C108" s="350"/>
    </row>
    <row r="109" spans="3:3" s="286" customFormat="1" x14ac:dyDescent="0.2">
      <c r="C109" s="350"/>
    </row>
    <row r="110" spans="3:3" s="286" customFormat="1" x14ac:dyDescent="0.2">
      <c r="C110" s="350"/>
    </row>
    <row r="111" spans="3:3" s="286" customFormat="1" x14ac:dyDescent="0.2">
      <c r="C111" s="350"/>
    </row>
    <row r="112" spans="3:3" s="286" customFormat="1" x14ac:dyDescent="0.2">
      <c r="C112" s="350"/>
    </row>
    <row r="113" spans="3:3" s="286" customFormat="1" x14ac:dyDescent="0.2">
      <c r="C113" s="350"/>
    </row>
    <row r="114" spans="3:3" s="286" customFormat="1" x14ac:dyDescent="0.2">
      <c r="C114" s="350"/>
    </row>
    <row r="115" spans="3:3" s="286" customFormat="1" x14ac:dyDescent="0.2">
      <c r="C115" s="350"/>
    </row>
    <row r="116" spans="3:3" s="286" customFormat="1" x14ac:dyDescent="0.2">
      <c r="C116" s="350"/>
    </row>
    <row r="117" spans="3:3" s="286" customFormat="1" x14ac:dyDescent="0.2">
      <c r="C117" s="350"/>
    </row>
    <row r="118" spans="3:3" s="286" customFormat="1" x14ac:dyDescent="0.2">
      <c r="C118" s="350"/>
    </row>
    <row r="119" spans="3:3" s="286" customFormat="1" x14ac:dyDescent="0.2">
      <c r="C119" s="350"/>
    </row>
    <row r="120" spans="3:3" s="286" customFormat="1" x14ac:dyDescent="0.2">
      <c r="C120" s="350"/>
    </row>
    <row r="121" spans="3:3" s="286" customFormat="1" x14ac:dyDescent="0.2">
      <c r="C121" s="350"/>
    </row>
    <row r="122" spans="3:3" s="286" customFormat="1" x14ac:dyDescent="0.2">
      <c r="C122" s="350"/>
    </row>
    <row r="123" spans="3:3" s="286" customFormat="1" x14ac:dyDescent="0.2">
      <c r="C123" s="350"/>
    </row>
    <row r="124" spans="3:3" s="286" customFormat="1" x14ac:dyDescent="0.2">
      <c r="C124" s="350"/>
    </row>
    <row r="125" spans="3:3" s="286" customFormat="1" x14ac:dyDescent="0.2">
      <c r="C125" s="350"/>
    </row>
    <row r="126" spans="3:3" s="286" customFormat="1" x14ac:dyDescent="0.2">
      <c r="C126" s="350"/>
    </row>
    <row r="127" spans="3:3" s="286" customFormat="1" x14ac:dyDescent="0.2">
      <c r="C127" s="350"/>
    </row>
    <row r="128" spans="3:3" s="286" customFormat="1" x14ac:dyDescent="0.2">
      <c r="C128" s="350"/>
    </row>
    <row r="129" spans="3:3" s="286" customFormat="1" x14ac:dyDescent="0.2">
      <c r="C129" s="350"/>
    </row>
    <row r="130" spans="3:3" s="286" customFormat="1" x14ac:dyDescent="0.2">
      <c r="C130" s="350"/>
    </row>
    <row r="131" spans="3:3" s="286" customFormat="1" x14ac:dyDescent="0.2">
      <c r="C131" s="350"/>
    </row>
    <row r="132" spans="3:3" s="286" customFormat="1" x14ac:dyDescent="0.2">
      <c r="C132" s="350"/>
    </row>
    <row r="133" spans="3:3" s="286" customFormat="1" x14ac:dyDescent="0.2">
      <c r="C133" s="350"/>
    </row>
    <row r="134" spans="3:3" s="286" customFormat="1" x14ac:dyDescent="0.2">
      <c r="C134" s="350"/>
    </row>
    <row r="135" spans="3:3" s="286" customFormat="1" x14ac:dyDescent="0.2">
      <c r="C135" s="350"/>
    </row>
    <row r="136" spans="3:3" s="286" customFormat="1" x14ac:dyDescent="0.2">
      <c r="C136" s="350"/>
    </row>
    <row r="137" spans="3:3" s="286" customFormat="1" x14ac:dyDescent="0.2">
      <c r="C137" s="350"/>
    </row>
    <row r="138" spans="3:3" s="286" customFormat="1" x14ac:dyDescent="0.2">
      <c r="C138" s="350"/>
    </row>
    <row r="139" spans="3:3" s="286" customFormat="1" x14ac:dyDescent="0.2">
      <c r="C139" s="350"/>
    </row>
    <row r="140" spans="3:3" s="286" customFormat="1" x14ac:dyDescent="0.2">
      <c r="C140" s="350"/>
    </row>
    <row r="141" spans="3:3" s="286" customFormat="1" x14ac:dyDescent="0.2">
      <c r="C141" s="350"/>
    </row>
    <row r="142" spans="3:3" s="286" customFormat="1" x14ac:dyDescent="0.2">
      <c r="C142" s="350"/>
    </row>
    <row r="143" spans="3:3" s="286" customFormat="1" x14ac:dyDescent="0.2">
      <c r="C143" s="350"/>
    </row>
    <row r="144" spans="3:3" s="286" customFormat="1" x14ac:dyDescent="0.2">
      <c r="C144" s="350"/>
    </row>
    <row r="145" spans="3:3" s="286" customFormat="1" x14ac:dyDescent="0.2">
      <c r="C145" s="350"/>
    </row>
    <row r="146" spans="3:3" s="286" customFormat="1" x14ac:dyDescent="0.2">
      <c r="C146" s="350"/>
    </row>
    <row r="147" spans="3:3" s="286" customFormat="1" x14ac:dyDescent="0.2">
      <c r="C147" s="350"/>
    </row>
    <row r="148" spans="3:3" s="286" customFormat="1" x14ac:dyDescent="0.2">
      <c r="C148" s="350"/>
    </row>
    <row r="149" spans="3:3" s="286" customFormat="1" x14ac:dyDescent="0.2">
      <c r="C149" s="350"/>
    </row>
    <row r="150" spans="3:3" s="286" customFormat="1" x14ac:dyDescent="0.2">
      <c r="C150" s="350"/>
    </row>
    <row r="151" spans="3:3" s="286" customFormat="1" x14ac:dyDescent="0.2">
      <c r="C151" s="350"/>
    </row>
    <row r="152" spans="3:3" s="286" customFormat="1" x14ac:dyDescent="0.2">
      <c r="C152" s="350"/>
    </row>
    <row r="153" spans="3:3" s="286" customFormat="1" x14ac:dyDescent="0.2">
      <c r="C153" s="350"/>
    </row>
    <row r="154" spans="3:3" s="286" customFormat="1" x14ac:dyDescent="0.2">
      <c r="C154" s="350"/>
    </row>
    <row r="155" spans="3:3" s="286" customFormat="1" x14ac:dyDescent="0.2">
      <c r="C155" s="350"/>
    </row>
    <row r="156" spans="3:3" s="286" customFormat="1" x14ac:dyDescent="0.2">
      <c r="C156" s="350"/>
    </row>
    <row r="157" spans="3:3" s="286" customFormat="1" x14ac:dyDescent="0.2">
      <c r="C157" s="350"/>
    </row>
    <row r="158" spans="3:3" s="286" customFormat="1" x14ac:dyDescent="0.2">
      <c r="C158" s="350"/>
    </row>
    <row r="159" spans="3:3" s="286" customFormat="1" x14ac:dyDescent="0.2">
      <c r="C159" s="350"/>
    </row>
    <row r="160" spans="3:3" s="286" customFormat="1" x14ac:dyDescent="0.2">
      <c r="C160" s="350"/>
    </row>
    <row r="161" spans="3:3" s="286" customFormat="1" x14ac:dyDescent="0.2">
      <c r="C161" s="350"/>
    </row>
    <row r="162" spans="3:3" s="286" customFormat="1" x14ac:dyDescent="0.2">
      <c r="C162" s="350"/>
    </row>
    <row r="163" spans="3:3" s="286" customFormat="1" x14ac:dyDescent="0.2">
      <c r="C163" s="350"/>
    </row>
    <row r="164" spans="3:3" s="286" customFormat="1" x14ac:dyDescent="0.2">
      <c r="C164" s="350"/>
    </row>
    <row r="165" spans="3:3" s="286" customFormat="1" x14ac:dyDescent="0.2">
      <c r="C165" s="350"/>
    </row>
    <row r="166" spans="3:3" s="286" customFormat="1" x14ac:dyDescent="0.2">
      <c r="C166" s="350"/>
    </row>
    <row r="167" spans="3:3" s="286" customFormat="1" x14ac:dyDescent="0.2">
      <c r="C167" s="350"/>
    </row>
    <row r="168" spans="3:3" s="286" customFormat="1" x14ac:dyDescent="0.2">
      <c r="C168" s="350"/>
    </row>
    <row r="169" spans="3:3" s="286" customFormat="1" x14ac:dyDescent="0.2">
      <c r="C169" s="350"/>
    </row>
    <row r="170" spans="3:3" s="286" customFormat="1" x14ac:dyDescent="0.2">
      <c r="C170" s="350"/>
    </row>
    <row r="171" spans="3:3" s="286" customFormat="1" x14ac:dyDescent="0.2">
      <c r="C171" s="350"/>
    </row>
    <row r="172" spans="3:3" s="286" customFormat="1" x14ac:dyDescent="0.2">
      <c r="C172" s="350"/>
    </row>
    <row r="173" spans="3:3" s="286" customFormat="1" x14ac:dyDescent="0.2">
      <c r="C173" s="350"/>
    </row>
    <row r="174" spans="3:3" s="286" customFormat="1" x14ac:dyDescent="0.2">
      <c r="C174" s="350"/>
    </row>
    <row r="175" spans="3:3" s="286" customFormat="1" x14ac:dyDescent="0.2">
      <c r="C175" s="350"/>
    </row>
    <row r="176" spans="3:3" s="286" customFormat="1" x14ac:dyDescent="0.2">
      <c r="C176" s="350"/>
    </row>
    <row r="177" spans="3:3" s="286" customFormat="1" x14ac:dyDescent="0.2">
      <c r="C177" s="350"/>
    </row>
    <row r="178" spans="3:3" s="286" customFormat="1" x14ac:dyDescent="0.2">
      <c r="C178" s="350"/>
    </row>
    <row r="179" spans="3:3" s="286" customFormat="1" x14ac:dyDescent="0.2">
      <c r="C179" s="350"/>
    </row>
    <row r="180" spans="3:3" s="286" customFormat="1" x14ac:dyDescent="0.2">
      <c r="C180" s="350"/>
    </row>
    <row r="181" spans="3:3" s="286" customFormat="1" x14ac:dyDescent="0.2">
      <c r="C181" s="350"/>
    </row>
    <row r="182" spans="3:3" s="286" customFormat="1" x14ac:dyDescent="0.2">
      <c r="C182" s="350"/>
    </row>
    <row r="183" spans="3:3" s="286" customFormat="1" x14ac:dyDescent="0.2">
      <c r="C183" s="350"/>
    </row>
    <row r="184" spans="3:3" s="286" customFormat="1" x14ac:dyDescent="0.2">
      <c r="C184" s="350"/>
    </row>
    <row r="185" spans="3:3" s="286" customFormat="1" x14ac:dyDescent="0.2">
      <c r="C185" s="350"/>
    </row>
    <row r="186" spans="3:3" s="286" customFormat="1" x14ac:dyDescent="0.2">
      <c r="C186" s="350"/>
    </row>
    <row r="187" spans="3:3" s="286" customFormat="1" x14ac:dyDescent="0.2">
      <c r="C187" s="350"/>
    </row>
    <row r="188" spans="3:3" s="286" customFormat="1" x14ac:dyDescent="0.2">
      <c r="C188" s="350"/>
    </row>
    <row r="189" spans="3:3" s="286" customFormat="1" x14ac:dyDescent="0.2">
      <c r="C189" s="350"/>
    </row>
    <row r="190" spans="3:3" s="286" customFormat="1" x14ac:dyDescent="0.2">
      <c r="C190" s="350"/>
    </row>
    <row r="191" spans="3:3" s="286" customFormat="1" x14ac:dyDescent="0.2">
      <c r="C191" s="350"/>
    </row>
    <row r="192" spans="3:3" s="286" customFormat="1" x14ac:dyDescent="0.2">
      <c r="C192" s="350"/>
    </row>
    <row r="193" spans="3:3" s="286" customFormat="1" x14ac:dyDescent="0.2">
      <c r="C193" s="350"/>
    </row>
    <row r="194" spans="3:3" s="286" customFormat="1" x14ac:dyDescent="0.2">
      <c r="C194" s="350"/>
    </row>
    <row r="195" spans="3:3" s="286" customFormat="1" x14ac:dyDescent="0.2">
      <c r="C195" s="350"/>
    </row>
    <row r="196" spans="3:3" s="286" customFormat="1" x14ac:dyDescent="0.2">
      <c r="C196" s="350"/>
    </row>
    <row r="197" spans="3:3" s="286" customFormat="1" x14ac:dyDescent="0.2">
      <c r="C197" s="350"/>
    </row>
    <row r="198" spans="3:3" s="286" customFormat="1" x14ac:dyDescent="0.2">
      <c r="C198" s="350"/>
    </row>
    <row r="199" spans="3:3" s="286" customFormat="1" x14ac:dyDescent="0.2">
      <c r="C199" s="350"/>
    </row>
    <row r="200" spans="3:3" s="286" customFormat="1" x14ac:dyDescent="0.2">
      <c r="C200" s="350"/>
    </row>
    <row r="201" spans="3:3" s="286" customFormat="1" x14ac:dyDescent="0.2">
      <c r="C201" s="350"/>
    </row>
    <row r="202" spans="3:3" s="286" customFormat="1" x14ac:dyDescent="0.2">
      <c r="C202" s="350"/>
    </row>
    <row r="203" spans="3:3" s="286" customFormat="1" x14ac:dyDescent="0.2">
      <c r="C203" s="350"/>
    </row>
    <row r="204" spans="3:3" s="286" customFormat="1" x14ac:dyDescent="0.2">
      <c r="C204" s="350"/>
    </row>
    <row r="205" spans="3:3" s="286" customFormat="1" x14ac:dyDescent="0.2">
      <c r="C205" s="350"/>
    </row>
    <row r="206" spans="3:3" s="286" customFormat="1" x14ac:dyDescent="0.2">
      <c r="C206" s="350"/>
    </row>
    <row r="207" spans="3:3" s="286" customFormat="1" x14ac:dyDescent="0.2">
      <c r="C207" s="350"/>
    </row>
    <row r="208" spans="3:3" s="286" customFormat="1" x14ac:dyDescent="0.2">
      <c r="C208" s="350"/>
    </row>
    <row r="209" spans="3:3" s="286" customFormat="1" x14ac:dyDescent="0.2">
      <c r="C209" s="350"/>
    </row>
    <row r="210" spans="3:3" s="286" customFormat="1" x14ac:dyDescent="0.2">
      <c r="C210" s="350"/>
    </row>
    <row r="211" spans="3:3" s="286" customFormat="1" x14ac:dyDescent="0.2">
      <c r="C211" s="350"/>
    </row>
    <row r="212" spans="3:3" s="286" customFormat="1" x14ac:dyDescent="0.2">
      <c r="C212" s="350"/>
    </row>
    <row r="213" spans="3:3" s="286" customFormat="1" x14ac:dyDescent="0.2">
      <c r="C213" s="350"/>
    </row>
    <row r="214" spans="3:3" s="286" customFormat="1" x14ac:dyDescent="0.2">
      <c r="C214" s="350"/>
    </row>
    <row r="215" spans="3:3" s="286" customFormat="1" x14ac:dyDescent="0.2">
      <c r="C215" s="350"/>
    </row>
    <row r="216" spans="3:3" s="286" customFormat="1" x14ac:dyDescent="0.2">
      <c r="C216" s="350"/>
    </row>
    <row r="217" spans="3:3" s="286" customFormat="1" x14ac:dyDescent="0.2">
      <c r="C217" s="350"/>
    </row>
    <row r="218" spans="3:3" s="286" customFormat="1" x14ac:dyDescent="0.2">
      <c r="C218" s="350"/>
    </row>
    <row r="219" spans="3:3" s="286" customFormat="1" x14ac:dyDescent="0.2">
      <c r="C219" s="350"/>
    </row>
    <row r="220" spans="3:3" s="286" customFormat="1" x14ac:dyDescent="0.2">
      <c r="C220" s="350"/>
    </row>
    <row r="221" spans="3:3" s="286" customFormat="1" x14ac:dyDescent="0.2">
      <c r="C221" s="350"/>
    </row>
    <row r="222" spans="3:3" s="286" customFormat="1" x14ac:dyDescent="0.2">
      <c r="C222" s="350"/>
    </row>
    <row r="223" spans="3:3" s="286" customFormat="1" x14ac:dyDescent="0.2">
      <c r="C223" s="350"/>
    </row>
    <row r="224" spans="3:3" s="286" customFormat="1" x14ac:dyDescent="0.2">
      <c r="C224" s="350"/>
    </row>
    <row r="225" spans="3:3" s="286" customFormat="1" x14ac:dyDescent="0.2">
      <c r="C225" s="350"/>
    </row>
    <row r="226" spans="3:3" s="286" customFormat="1" x14ac:dyDescent="0.2">
      <c r="C226" s="350"/>
    </row>
    <row r="227" spans="3:3" s="286" customFormat="1" x14ac:dyDescent="0.2">
      <c r="C227" s="350"/>
    </row>
    <row r="228" spans="3:3" s="286" customFormat="1" x14ac:dyDescent="0.2">
      <c r="C228" s="350"/>
    </row>
    <row r="229" spans="3:3" s="286" customFormat="1" x14ac:dyDescent="0.2">
      <c r="C229" s="350"/>
    </row>
    <row r="230" spans="3:3" s="286" customFormat="1" x14ac:dyDescent="0.2">
      <c r="C230" s="350"/>
    </row>
    <row r="231" spans="3:3" s="286" customFormat="1" x14ac:dyDescent="0.2">
      <c r="C231" s="350"/>
    </row>
    <row r="232" spans="3:3" s="286" customFormat="1" x14ac:dyDescent="0.2">
      <c r="C232" s="350"/>
    </row>
    <row r="233" spans="3:3" s="286" customFormat="1" x14ac:dyDescent="0.2">
      <c r="C233" s="350"/>
    </row>
    <row r="234" spans="3:3" s="286" customFormat="1" x14ac:dyDescent="0.2">
      <c r="C234" s="350"/>
    </row>
    <row r="235" spans="3:3" s="286" customFormat="1" x14ac:dyDescent="0.2">
      <c r="C235" s="350"/>
    </row>
    <row r="236" spans="3:3" s="286" customFormat="1" x14ac:dyDescent="0.2">
      <c r="C236" s="350"/>
    </row>
    <row r="237" spans="3:3" s="286" customFormat="1" x14ac:dyDescent="0.2">
      <c r="C237" s="350"/>
    </row>
    <row r="238" spans="3:3" s="286" customFormat="1" x14ac:dyDescent="0.2">
      <c r="C238" s="350"/>
    </row>
    <row r="239" spans="3:3" s="286" customFormat="1" x14ac:dyDescent="0.2">
      <c r="C239" s="350"/>
    </row>
    <row r="240" spans="3:3" s="286" customFormat="1" x14ac:dyDescent="0.2">
      <c r="C240" s="350"/>
    </row>
    <row r="241" spans="3:3" s="286" customFormat="1" x14ac:dyDescent="0.2">
      <c r="C241" s="350"/>
    </row>
    <row r="242" spans="3:3" s="286" customFormat="1" x14ac:dyDescent="0.2">
      <c r="C242" s="350"/>
    </row>
    <row r="243" spans="3:3" s="286" customFormat="1" x14ac:dyDescent="0.2">
      <c r="C243" s="350"/>
    </row>
    <row r="244" spans="3:3" s="286" customFormat="1" x14ac:dyDescent="0.2">
      <c r="C244" s="350"/>
    </row>
    <row r="245" spans="3:3" s="286" customFormat="1" x14ac:dyDescent="0.2">
      <c r="C245" s="350"/>
    </row>
    <row r="246" spans="3:3" s="286" customFormat="1" x14ac:dyDescent="0.2">
      <c r="C246" s="350"/>
    </row>
    <row r="247" spans="3:3" s="286" customFormat="1" x14ac:dyDescent="0.2">
      <c r="C247" s="350"/>
    </row>
    <row r="248" spans="3:3" s="286" customFormat="1" x14ac:dyDescent="0.2">
      <c r="C248" s="350"/>
    </row>
    <row r="249" spans="3:3" s="286" customFormat="1" x14ac:dyDescent="0.2">
      <c r="C249" s="350"/>
    </row>
    <row r="250" spans="3:3" s="286" customFormat="1" x14ac:dyDescent="0.2">
      <c r="C250" s="350"/>
    </row>
    <row r="251" spans="3:3" s="286" customFormat="1" x14ac:dyDescent="0.2">
      <c r="C251" s="350"/>
    </row>
    <row r="252" spans="3:3" s="286" customFormat="1" x14ac:dyDescent="0.2">
      <c r="C252" s="350"/>
    </row>
    <row r="253" spans="3:3" s="286" customFormat="1" x14ac:dyDescent="0.2">
      <c r="C253" s="350"/>
    </row>
    <row r="254" spans="3:3" s="286" customFormat="1" x14ac:dyDescent="0.2">
      <c r="C254" s="350"/>
    </row>
    <row r="255" spans="3:3" s="286" customFormat="1" x14ac:dyDescent="0.2">
      <c r="C255" s="350"/>
    </row>
    <row r="256" spans="3:3" s="286" customFormat="1" x14ac:dyDescent="0.2">
      <c r="C256" s="350"/>
    </row>
    <row r="257" spans="3:3" s="286" customFormat="1" x14ac:dyDescent="0.2">
      <c r="C257" s="350"/>
    </row>
    <row r="258" spans="3:3" s="286" customFormat="1" x14ac:dyDescent="0.2">
      <c r="C258" s="350"/>
    </row>
    <row r="259" spans="3:3" s="286" customFormat="1" x14ac:dyDescent="0.2">
      <c r="C259" s="350"/>
    </row>
    <row r="260" spans="3:3" s="286" customFormat="1" x14ac:dyDescent="0.2">
      <c r="C260" s="350"/>
    </row>
    <row r="261" spans="3:3" s="286" customFormat="1" x14ac:dyDescent="0.2">
      <c r="C261" s="350"/>
    </row>
    <row r="262" spans="3:3" s="286" customFormat="1" x14ac:dyDescent="0.2">
      <c r="C262" s="350"/>
    </row>
    <row r="263" spans="3:3" s="286" customFormat="1" x14ac:dyDescent="0.2">
      <c r="C263" s="350"/>
    </row>
    <row r="264" spans="3:3" s="286" customFormat="1" x14ac:dyDescent="0.2">
      <c r="C264" s="350"/>
    </row>
    <row r="265" spans="3:3" s="286" customFormat="1" x14ac:dyDescent="0.2">
      <c r="C265" s="350"/>
    </row>
    <row r="266" spans="3:3" s="286" customFormat="1" x14ac:dyDescent="0.2">
      <c r="C266" s="350"/>
    </row>
    <row r="267" spans="3:3" s="286" customFormat="1" x14ac:dyDescent="0.2">
      <c r="C267" s="350"/>
    </row>
    <row r="268" spans="3:3" s="286" customFormat="1" x14ac:dyDescent="0.2">
      <c r="C268" s="350"/>
    </row>
    <row r="269" spans="3:3" s="286" customFormat="1" x14ac:dyDescent="0.2">
      <c r="C269" s="350"/>
    </row>
    <row r="270" spans="3:3" s="286" customFormat="1" x14ac:dyDescent="0.2">
      <c r="C270" s="350"/>
    </row>
    <row r="271" spans="3:3" s="286" customFormat="1" x14ac:dyDescent="0.2">
      <c r="C271" s="350"/>
    </row>
    <row r="272" spans="3:3" s="286" customFormat="1" x14ac:dyDescent="0.2">
      <c r="C272" s="350"/>
    </row>
    <row r="273" spans="3:3" s="286" customFormat="1" x14ac:dyDescent="0.2">
      <c r="C273" s="350"/>
    </row>
    <row r="274" spans="3:3" s="286" customFormat="1" x14ac:dyDescent="0.2">
      <c r="C274" s="350"/>
    </row>
    <row r="275" spans="3:3" s="286" customFormat="1" x14ac:dyDescent="0.2">
      <c r="C275" s="350"/>
    </row>
    <row r="276" spans="3:3" s="286" customFormat="1" x14ac:dyDescent="0.2">
      <c r="C276" s="350"/>
    </row>
    <row r="277" spans="3:3" s="286" customFormat="1" x14ac:dyDescent="0.2">
      <c r="C277" s="350"/>
    </row>
    <row r="278" spans="3:3" s="286" customFormat="1" x14ac:dyDescent="0.2">
      <c r="C278" s="350"/>
    </row>
    <row r="279" spans="3:3" s="286" customFormat="1" x14ac:dyDescent="0.2">
      <c r="C279" s="350"/>
    </row>
    <row r="280" spans="3:3" s="286" customFormat="1" x14ac:dyDescent="0.2">
      <c r="C280" s="350"/>
    </row>
    <row r="281" spans="3:3" s="286" customFormat="1" x14ac:dyDescent="0.2">
      <c r="C281" s="350"/>
    </row>
    <row r="282" spans="3:3" s="286" customFormat="1" x14ac:dyDescent="0.2">
      <c r="C282" s="350"/>
    </row>
    <row r="283" spans="3:3" s="286" customFormat="1" x14ac:dyDescent="0.2">
      <c r="C283" s="350"/>
    </row>
    <row r="284" spans="3:3" s="286" customFormat="1" x14ac:dyDescent="0.2">
      <c r="C284" s="350"/>
    </row>
    <row r="285" spans="3:3" s="286" customFormat="1" x14ac:dyDescent="0.2">
      <c r="C285" s="350"/>
    </row>
    <row r="286" spans="3:3" s="286" customFormat="1" x14ac:dyDescent="0.2">
      <c r="C286" s="350"/>
    </row>
    <row r="287" spans="3:3" s="286" customFormat="1" x14ac:dyDescent="0.2">
      <c r="C287" s="350"/>
    </row>
    <row r="288" spans="3:3" s="286" customFormat="1" x14ac:dyDescent="0.2">
      <c r="C288" s="350"/>
    </row>
    <row r="289" spans="3:3" s="286" customFormat="1" x14ac:dyDescent="0.2">
      <c r="C289" s="350"/>
    </row>
    <row r="290" spans="3:3" s="286" customFormat="1" x14ac:dyDescent="0.2">
      <c r="C290" s="350"/>
    </row>
    <row r="291" spans="3:3" s="286" customFormat="1" x14ac:dyDescent="0.2">
      <c r="C291" s="350"/>
    </row>
    <row r="292" spans="3:3" s="286" customFormat="1" x14ac:dyDescent="0.2">
      <c r="C292" s="350"/>
    </row>
    <row r="293" spans="3:3" s="286" customFormat="1" x14ac:dyDescent="0.2">
      <c r="C293" s="350"/>
    </row>
    <row r="294" spans="3:3" s="286" customFormat="1" x14ac:dyDescent="0.2">
      <c r="C294" s="350"/>
    </row>
    <row r="295" spans="3:3" s="286" customFormat="1" x14ac:dyDescent="0.2">
      <c r="C295" s="350"/>
    </row>
    <row r="296" spans="3:3" s="286" customFormat="1" x14ac:dyDescent="0.2">
      <c r="C296" s="350"/>
    </row>
    <row r="297" spans="3:3" s="286" customFormat="1" x14ac:dyDescent="0.2">
      <c r="C297" s="350"/>
    </row>
    <row r="298" spans="3:3" s="286" customFormat="1" x14ac:dyDescent="0.2">
      <c r="C298" s="350"/>
    </row>
  </sheetData>
  <mergeCells count="27">
    <mergeCell ref="D81:F81"/>
    <mergeCell ref="D82:F82"/>
    <mergeCell ref="G5:M5"/>
    <mergeCell ref="B6:B8"/>
    <mergeCell ref="C6:C8"/>
    <mergeCell ref="D6:D8"/>
    <mergeCell ref="E6:E8"/>
    <mergeCell ref="F6:F8"/>
    <mergeCell ref="G6:K6"/>
    <mergeCell ref="L6:L8"/>
    <mergeCell ref="M6:M8"/>
    <mergeCell ref="B72:C72"/>
    <mergeCell ref="B74:C74"/>
    <mergeCell ref="K65:M65"/>
    <mergeCell ref="K64:M64"/>
    <mergeCell ref="N6:Q6"/>
    <mergeCell ref="R6:R8"/>
    <mergeCell ref="S6:S8"/>
    <mergeCell ref="G7:G8"/>
    <mergeCell ref="H7:H8"/>
    <mergeCell ref="I7:I8"/>
    <mergeCell ref="J7:J8"/>
    <mergeCell ref="K7:K8"/>
    <mergeCell ref="N7:N8"/>
    <mergeCell ref="O7:O8"/>
    <mergeCell ref="P7:P8"/>
    <mergeCell ref="Q7:Q8"/>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499984740745262"/>
  </sheetPr>
  <dimension ref="A1:U51"/>
  <sheetViews>
    <sheetView workbookViewId="0">
      <selection activeCell="K23" sqref="K23"/>
    </sheetView>
  </sheetViews>
  <sheetFormatPr defaultColWidth="9.140625" defaultRowHeight="15" x14ac:dyDescent="0.25"/>
  <cols>
    <col min="1" max="1" width="18.7109375" style="435" customWidth="1"/>
    <col min="2" max="3" width="9.140625" style="435" hidden="1" customWidth="1"/>
    <col min="4" max="6" width="10.42578125" style="435" customWidth="1"/>
    <col min="7" max="7" width="9.140625" style="435" hidden="1" customWidth="1"/>
    <col min="8" max="8" width="9.140625" style="435" customWidth="1"/>
    <col min="9" max="9" width="8.28515625" style="435" customWidth="1"/>
    <col min="10" max="10" width="10.42578125" style="435" customWidth="1"/>
    <col min="11" max="11" width="9.85546875" style="435" customWidth="1"/>
    <col min="12" max="12" width="8.140625" style="435" customWidth="1"/>
    <col min="13" max="13" width="9.140625" style="435" customWidth="1"/>
    <col min="14" max="14" width="9.7109375" style="435" customWidth="1"/>
    <col min="15" max="15" width="10.7109375" style="435" customWidth="1"/>
    <col min="16" max="16" width="11" style="435" customWidth="1"/>
    <col min="17" max="16384" width="9.140625" style="435"/>
  </cols>
  <sheetData>
    <row r="1" spans="1:21" x14ac:dyDescent="0.25">
      <c r="O1" s="4135" t="s">
        <v>830</v>
      </c>
      <c r="P1" s="4135"/>
    </row>
    <row r="3" spans="1:21" ht="17.25" customHeight="1" x14ac:dyDescent="0.25">
      <c r="A3" s="4136" t="s">
        <v>1086</v>
      </c>
      <c r="B3" s="4136"/>
      <c r="C3" s="4136"/>
      <c r="D3" s="4136"/>
      <c r="E3" s="4136"/>
      <c r="F3" s="4136"/>
      <c r="G3" s="4136"/>
      <c r="H3" s="4136"/>
      <c r="I3" s="4136"/>
      <c r="J3" s="4137" t="str">
        <f>'Вхідні дані'!$F$5</f>
        <v>ЧФ ДП "АМПУ"</v>
      </c>
      <c r="K3" s="4137"/>
      <c r="L3" s="4137"/>
      <c r="M3" s="4137"/>
      <c r="N3" s="489" t="s">
        <v>460</v>
      </c>
      <c r="O3" s="1074" t="str">
        <f>'Вхідні дані'!$F$6</f>
        <v>2022-2023</v>
      </c>
      <c r="P3" s="489" t="s">
        <v>647</v>
      </c>
      <c r="R3" s="4140" t="s">
        <v>2580</v>
      </c>
      <c r="S3" s="4140"/>
      <c r="T3" s="4140"/>
      <c r="U3" s="4140"/>
    </row>
    <row r="4" spans="1:21" ht="23.25" customHeight="1" x14ac:dyDescent="0.25">
      <c r="A4" s="488"/>
      <c r="B4" s="488"/>
      <c r="C4" s="488"/>
      <c r="D4" s="488"/>
      <c r="E4" s="488"/>
      <c r="F4" s="488"/>
      <c r="G4" s="488"/>
      <c r="H4" s="488"/>
      <c r="I4" s="488"/>
      <c r="J4" s="488"/>
      <c r="K4" s="488"/>
      <c r="L4" s="488"/>
      <c r="M4" s="488"/>
      <c r="N4" s="488"/>
      <c r="O4" s="488"/>
      <c r="P4" s="488"/>
    </row>
    <row r="5" spans="1:21" ht="13.9" customHeight="1" x14ac:dyDescent="0.25">
      <c r="A5" s="4138" t="s">
        <v>1087</v>
      </c>
      <c r="B5" s="4138" t="s">
        <v>1636</v>
      </c>
      <c r="C5" s="4138"/>
      <c r="D5" s="4138"/>
      <c r="E5" s="4138"/>
      <c r="F5" s="4138"/>
      <c r="G5" s="4138"/>
      <c r="H5" s="4138"/>
      <c r="I5" s="4138" t="s">
        <v>1637</v>
      </c>
      <c r="J5" s="4138"/>
      <c r="K5" s="4138"/>
      <c r="L5" s="4138"/>
      <c r="M5" s="4138"/>
      <c r="N5" s="4138" t="s">
        <v>969</v>
      </c>
      <c r="O5" s="4138" t="s">
        <v>970</v>
      </c>
      <c r="P5" s="4138" t="s">
        <v>2257</v>
      </c>
    </row>
    <row r="6" spans="1:21" x14ac:dyDescent="0.25">
      <c r="A6" s="4138"/>
      <c r="B6" s="4138" t="s">
        <v>129</v>
      </c>
      <c r="C6" s="4138"/>
      <c r="D6" s="4138"/>
      <c r="E6" s="4138"/>
      <c r="F6" s="4138"/>
      <c r="G6" s="4138"/>
      <c r="H6" s="4138" t="s">
        <v>971</v>
      </c>
      <c r="I6" s="4138" t="s">
        <v>972</v>
      </c>
      <c r="J6" s="4138"/>
      <c r="K6" s="4138"/>
      <c r="L6" s="4138"/>
      <c r="M6" s="4138" t="s">
        <v>973</v>
      </c>
      <c r="N6" s="4138"/>
      <c r="O6" s="4138"/>
      <c r="P6" s="4138"/>
    </row>
    <row r="7" spans="1:21" ht="21" x14ac:dyDescent="0.25">
      <c r="A7" s="4138"/>
      <c r="B7" s="633" t="s">
        <v>974</v>
      </c>
      <c r="C7" s="633" t="s">
        <v>975</v>
      </c>
      <c r="D7" s="633" t="s">
        <v>976</v>
      </c>
      <c r="E7" s="633" t="s">
        <v>977</v>
      </c>
      <c r="F7" s="633" t="s">
        <v>978</v>
      </c>
      <c r="G7" s="633" t="s">
        <v>979</v>
      </c>
      <c r="H7" s="4138"/>
      <c r="I7" s="634" t="s">
        <v>2484</v>
      </c>
      <c r="J7" s="634" t="s">
        <v>2485</v>
      </c>
      <c r="K7" s="634" t="s">
        <v>2486</v>
      </c>
      <c r="L7" s="634" t="s">
        <v>2487</v>
      </c>
      <c r="M7" s="4138"/>
      <c r="N7" s="4138"/>
      <c r="O7" s="4138"/>
      <c r="P7" s="4138"/>
    </row>
    <row r="8" spans="1:21" x14ac:dyDescent="0.25">
      <c r="A8" s="4138"/>
      <c r="B8" s="4138" t="s">
        <v>980</v>
      </c>
      <c r="C8" s="4138"/>
      <c r="D8" s="4138"/>
      <c r="E8" s="4138"/>
      <c r="F8" s="4138"/>
      <c r="G8" s="4138"/>
      <c r="H8" s="4138"/>
      <c r="I8" s="4138" t="s">
        <v>981</v>
      </c>
      <c r="J8" s="4138"/>
      <c r="K8" s="4138"/>
      <c r="L8" s="4138"/>
      <c r="M8" s="4138"/>
      <c r="N8" s="4138"/>
      <c r="O8" s="4138"/>
      <c r="P8" s="4138"/>
    </row>
    <row r="9" spans="1:21" ht="30" customHeight="1" x14ac:dyDescent="0.25">
      <c r="A9" s="4138"/>
      <c r="B9" s="635"/>
      <c r="C9" s="635"/>
      <c r="D9" s="635">
        <f>26.59/1.2*'Вхідні дані'!D77</f>
        <v>23.53</v>
      </c>
      <c r="E9" s="635">
        <f>22.063333*'Вхідні дані'!D77</f>
        <v>23.43</v>
      </c>
      <c r="F9" s="635">
        <f>25.49/1.2*'Вхідні дані'!D77</f>
        <v>22.56</v>
      </c>
      <c r="G9" s="635"/>
      <c r="H9" s="4138"/>
      <c r="I9" s="635">
        <v>55.4</v>
      </c>
      <c r="J9" s="635">
        <v>9.1999999999999993</v>
      </c>
      <c r="K9" s="635">
        <v>2.66</v>
      </c>
      <c r="L9" s="635">
        <v>7.5</v>
      </c>
      <c r="M9" s="4138"/>
      <c r="N9" s="4138"/>
      <c r="O9" s="4138"/>
      <c r="P9" s="4138"/>
      <c r="R9" s="4141" t="s">
        <v>2582</v>
      </c>
      <c r="S9" s="4141"/>
      <c r="T9" s="4141"/>
      <c r="U9" s="4141"/>
    </row>
    <row r="10" spans="1:21" s="438" customFormat="1" ht="14.25" x14ac:dyDescent="0.25">
      <c r="A10" s="436">
        <v>1</v>
      </c>
      <c r="B10" s="436">
        <v>2</v>
      </c>
      <c r="C10" s="436">
        <v>3</v>
      </c>
      <c r="D10" s="436">
        <v>4</v>
      </c>
      <c r="E10" s="436">
        <v>5</v>
      </c>
      <c r="F10" s="436">
        <v>6</v>
      </c>
      <c r="G10" s="436">
        <v>7</v>
      </c>
      <c r="H10" s="436">
        <v>8</v>
      </c>
      <c r="I10" s="436">
        <v>9</v>
      </c>
      <c r="J10" s="436">
        <v>10</v>
      </c>
      <c r="K10" s="436">
        <v>11</v>
      </c>
      <c r="L10" s="436">
        <v>12</v>
      </c>
      <c r="M10" s="436">
        <v>13</v>
      </c>
      <c r="N10" s="437">
        <v>14</v>
      </c>
      <c r="O10" s="436">
        <v>15</v>
      </c>
      <c r="P10" s="436">
        <v>16</v>
      </c>
    </row>
    <row r="11" spans="1:21" x14ac:dyDescent="0.25">
      <c r="A11" s="439" t="s">
        <v>982</v>
      </c>
      <c r="B11" s="636"/>
      <c r="C11" s="636"/>
      <c r="D11" s="636">
        <v>0</v>
      </c>
      <c r="E11" s="636">
        <v>0</v>
      </c>
      <c r="F11" s="636">
        <v>0</v>
      </c>
      <c r="G11" s="636"/>
      <c r="H11" s="637">
        <f t="shared" ref="H11:H18" si="0">SUM(B11:G11)</f>
        <v>0</v>
      </c>
      <c r="I11" s="636"/>
      <c r="J11" s="636"/>
      <c r="K11" s="636"/>
      <c r="L11" s="636"/>
      <c r="M11" s="637">
        <f>SUM(I11:L11)</f>
        <v>0</v>
      </c>
      <c r="N11" s="638">
        <f t="shared" ref="N11:N18" si="1">M11+H11</f>
        <v>0</v>
      </c>
      <c r="O11" s="639">
        <v>1932.37</v>
      </c>
      <c r="P11" s="639">
        <v>1724.43</v>
      </c>
    </row>
    <row r="12" spans="1:21" x14ac:dyDescent="0.25">
      <c r="A12" s="439" t="s">
        <v>983</v>
      </c>
      <c r="B12" s="1513"/>
      <c r="C12" s="636"/>
      <c r="D12" s="636">
        <v>1045.53</v>
      </c>
      <c r="E12" s="636">
        <v>57252.69</v>
      </c>
      <c r="F12" s="636">
        <v>184007.22</v>
      </c>
      <c r="G12" s="636"/>
      <c r="H12" s="637">
        <f>SUM(C12:G12)</f>
        <v>242305.44</v>
      </c>
      <c r="I12" s="636">
        <v>13797.45</v>
      </c>
      <c r="J12" s="636">
        <v>284.02999999999997</v>
      </c>
      <c r="K12" s="636">
        <v>21.1</v>
      </c>
      <c r="L12" s="636">
        <v>195.1</v>
      </c>
      <c r="M12" s="637">
        <f t="shared" ref="M12:M17" si="2">SUM(I12:L12)</f>
        <v>14297.68</v>
      </c>
      <c r="N12" s="638">
        <f t="shared" si="1"/>
        <v>256603.12</v>
      </c>
      <c r="O12" s="639">
        <v>243551.94</v>
      </c>
      <c r="P12" s="639">
        <v>204786.56</v>
      </c>
    </row>
    <row r="13" spans="1:21" x14ac:dyDescent="0.25">
      <c r="A13" s="439" t="s">
        <v>984</v>
      </c>
      <c r="B13" s="1513"/>
      <c r="C13" s="636"/>
      <c r="D13" s="636">
        <v>0</v>
      </c>
      <c r="E13" s="636">
        <v>0</v>
      </c>
      <c r="F13" s="636">
        <v>0</v>
      </c>
      <c r="G13" s="636"/>
      <c r="H13" s="637">
        <f>SUM(C13:G13)</f>
        <v>0</v>
      </c>
      <c r="I13" s="636"/>
      <c r="J13" s="636"/>
      <c r="K13" s="636"/>
      <c r="L13" s="636"/>
      <c r="M13" s="637">
        <f t="shared" si="2"/>
        <v>0</v>
      </c>
      <c r="N13" s="638">
        <f t="shared" si="1"/>
        <v>0</v>
      </c>
      <c r="O13" s="636">
        <v>0</v>
      </c>
      <c r="P13" s="636">
        <v>0</v>
      </c>
    </row>
    <row r="14" spans="1:21" ht="38.25" x14ac:dyDescent="0.25">
      <c r="A14" s="439" t="s">
        <v>985</v>
      </c>
      <c r="B14" s="1513"/>
      <c r="C14" s="636"/>
      <c r="D14" s="636">
        <v>0</v>
      </c>
      <c r="E14" s="636">
        <v>0</v>
      </c>
      <c r="F14" s="636">
        <v>0</v>
      </c>
      <c r="G14" s="636"/>
      <c r="H14" s="637">
        <f>SUM(C14:G14)</f>
        <v>0</v>
      </c>
      <c r="I14" s="636"/>
      <c r="J14" s="636"/>
      <c r="K14" s="636"/>
      <c r="L14" s="636"/>
      <c r="M14" s="637">
        <f t="shared" si="2"/>
        <v>0</v>
      </c>
      <c r="N14" s="638">
        <f t="shared" si="1"/>
        <v>0</v>
      </c>
      <c r="O14" s="636">
        <v>0</v>
      </c>
      <c r="P14" s="636">
        <v>0</v>
      </c>
    </row>
    <row r="15" spans="1:21" ht="25.5" x14ac:dyDescent="0.25">
      <c r="A15" s="439" t="s">
        <v>986</v>
      </c>
      <c r="B15" s="1513"/>
      <c r="C15" s="636"/>
      <c r="D15" s="636">
        <v>0</v>
      </c>
      <c r="E15" s="636">
        <v>0</v>
      </c>
      <c r="F15" s="636">
        <v>0</v>
      </c>
      <c r="G15" s="636"/>
      <c r="H15" s="637">
        <f>SUM(C15:G15)</f>
        <v>0</v>
      </c>
      <c r="I15" s="636"/>
      <c r="J15" s="636"/>
      <c r="K15" s="636"/>
      <c r="L15" s="636"/>
      <c r="M15" s="637">
        <f t="shared" si="2"/>
        <v>0</v>
      </c>
      <c r="N15" s="638">
        <f t="shared" si="1"/>
        <v>0</v>
      </c>
      <c r="O15" s="636">
        <v>0</v>
      </c>
      <c r="P15" s="636">
        <v>0</v>
      </c>
    </row>
    <row r="16" spans="1:21" ht="25.5" x14ac:dyDescent="0.25">
      <c r="A16" s="439" t="s">
        <v>987</v>
      </c>
      <c r="B16" s="1513"/>
      <c r="C16" s="636"/>
      <c r="D16" s="636">
        <v>22922.73</v>
      </c>
      <c r="E16" s="636">
        <v>107773.57</v>
      </c>
      <c r="F16" s="636">
        <v>0</v>
      </c>
      <c r="G16" s="636"/>
      <c r="H16" s="637">
        <f>SUM(C16:G16)</f>
        <v>130696.3</v>
      </c>
      <c r="I16" s="636">
        <v>2621.44</v>
      </c>
      <c r="J16" s="636">
        <v>68.14</v>
      </c>
      <c r="K16" s="636">
        <v>3.87</v>
      </c>
      <c r="L16" s="636">
        <v>51.95</v>
      </c>
      <c r="M16" s="637">
        <f t="shared" si="2"/>
        <v>2745.4</v>
      </c>
      <c r="N16" s="638">
        <f t="shared" si="1"/>
        <v>133441.70000000001</v>
      </c>
      <c r="O16" s="636">
        <v>0</v>
      </c>
      <c r="P16" s="636">
        <v>0</v>
      </c>
    </row>
    <row r="17" spans="1:16" ht="25.5" x14ac:dyDescent="0.25">
      <c r="A17" s="439" t="s">
        <v>988</v>
      </c>
      <c r="B17" s="636"/>
      <c r="C17" s="636"/>
      <c r="D17" s="636">
        <v>0</v>
      </c>
      <c r="E17" s="636">
        <v>51540.63</v>
      </c>
      <c r="F17" s="636">
        <v>0</v>
      </c>
      <c r="G17" s="636"/>
      <c r="H17" s="637">
        <f t="shared" si="0"/>
        <v>51540.63</v>
      </c>
      <c r="I17" s="636">
        <v>719.98</v>
      </c>
      <c r="J17" s="636">
        <v>19.93</v>
      </c>
      <c r="K17" s="636">
        <v>1.73</v>
      </c>
      <c r="L17" s="636">
        <v>16.25</v>
      </c>
      <c r="M17" s="637">
        <f t="shared" si="2"/>
        <v>757.89</v>
      </c>
      <c r="N17" s="638">
        <f t="shared" si="1"/>
        <v>52298.52</v>
      </c>
      <c r="O17" s="639">
        <v>114881.86</v>
      </c>
      <c r="P17" s="639">
        <v>87704.57</v>
      </c>
    </row>
    <row r="18" spans="1:16" s="438" customFormat="1" ht="14.25" x14ac:dyDescent="0.25">
      <c r="A18" s="451" t="s">
        <v>989</v>
      </c>
      <c r="B18" s="640">
        <f t="shared" ref="B18:G18" si="3">SUM(B11:B17)</f>
        <v>0</v>
      </c>
      <c r="C18" s="640">
        <f t="shared" si="3"/>
        <v>0</v>
      </c>
      <c r="D18" s="640">
        <f t="shared" si="3"/>
        <v>23968.26</v>
      </c>
      <c r="E18" s="640">
        <f t="shared" si="3"/>
        <v>216566.89</v>
      </c>
      <c r="F18" s="640">
        <f t="shared" si="3"/>
        <v>184007.22</v>
      </c>
      <c r="G18" s="640">
        <f t="shared" si="3"/>
        <v>0</v>
      </c>
      <c r="H18" s="640">
        <f t="shared" si="0"/>
        <v>424542.37</v>
      </c>
      <c r="I18" s="640">
        <f>SUM(I11:I17)</f>
        <v>17138.87</v>
      </c>
      <c r="J18" s="640">
        <f>SUM(J11:J17)</f>
        <v>372.1</v>
      </c>
      <c r="K18" s="640">
        <f>SUM(K11:K17)</f>
        <v>26.7</v>
      </c>
      <c r="L18" s="640">
        <f>SUM(L11:L17)</f>
        <v>263.3</v>
      </c>
      <c r="M18" s="640">
        <f>SUM(I18:L18)</f>
        <v>17800.97</v>
      </c>
      <c r="N18" s="640">
        <f t="shared" si="1"/>
        <v>442343.34</v>
      </c>
      <c r="O18" s="641">
        <f>SUM(O11:O17)</f>
        <v>360366.17</v>
      </c>
      <c r="P18" s="641">
        <f>SUM(P11:P17)</f>
        <v>294215.56</v>
      </c>
    </row>
    <row r="21" spans="1:16" ht="15.75" x14ac:dyDescent="0.25">
      <c r="A21" s="4139" t="str">
        <f>'Вхідні дані'!B13</f>
        <v>Начальник Адміністрації морського порту Чорноморськ</v>
      </c>
      <c r="B21" s="4139"/>
      <c r="C21" s="4139"/>
      <c r="D21" s="4139"/>
      <c r="E21" s="4139"/>
      <c r="F21" s="440"/>
      <c r="G21" s="440"/>
      <c r="H21" s="441" t="s">
        <v>368</v>
      </c>
      <c r="I21" s="440"/>
      <c r="J21" s="440"/>
      <c r="K21" s="440"/>
      <c r="L21" s="440"/>
      <c r="M21" s="440"/>
      <c r="N21" s="4111" t="str">
        <f>'Вхідні дані'!$F$13</f>
        <v>Максим ШИРОКОВ</v>
      </c>
      <c r="O21" s="4111"/>
      <c r="P21" s="4111"/>
    </row>
    <row r="22" spans="1:16" x14ac:dyDescent="0.25">
      <c r="B22" s="442"/>
      <c r="C22" s="443"/>
      <c r="D22" s="443"/>
      <c r="E22" s="440"/>
      <c r="F22" s="440"/>
      <c r="G22" s="440"/>
      <c r="H22" s="444" t="s">
        <v>219</v>
      </c>
      <c r="I22" s="440"/>
      <c r="J22" s="440"/>
      <c r="K22" s="440"/>
      <c r="L22" s="440"/>
      <c r="M22" s="440"/>
      <c r="N22" s="4112" t="s">
        <v>1926</v>
      </c>
      <c r="O22" s="4112"/>
      <c r="P22" s="4112"/>
    </row>
    <row r="23" spans="1:16" ht="15.75" x14ac:dyDescent="0.25">
      <c r="A23" s="4139" t="str">
        <f>'Вхідні дані'!B15</f>
        <v>Заступник начальника з економіки та фінансів</v>
      </c>
      <c r="B23" s="4139"/>
      <c r="C23" s="4139"/>
      <c r="D23" s="4139"/>
      <c r="E23" s="4139"/>
      <c r="F23" s="440"/>
      <c r="G23" s="440"/>
      <c r="H23" s="441" t="s">
        <v>368</v>
      </c>
      <c r="I23" s="440"/>
      <c r="J23" s="440"/>
      <c r="K23" s="440"/>
      <c r="L23" s="440"/>
      <c r="M23" s="440"/>
      <c r="N23" s="4111" t="str">
        <f>'Вхідні дані'!$F$15</f>
        <v>Наталія БАРТОШИК</v>
      </c>
      <c r="O23" s="4111"/>
      <c r="P23" s="4111"/>
    </row>
    <row r="24" spans="1:16" ht="15.75" x14ac:dyDescent="0.25">
      <c r="B24" s="446"/>
      <c r="C24" s="443"/>
      <c r="D24" s="440"/>
      <c r="E24" s="440"/>
      <c r="F24" s="440"/>
      <c r="G24" s="440"/>
      <c r="H24" s="444" t="s">
        <v>219</v>
      </c>
      <c r="I24" s="440"/>
      <c r="J24" s="440"/>
      <c r="K24" s="440"/>
      <c r="L24" s="440"/>
      <c r="M24" s="440"/>
      <c r="N24" s="4112" t="s">
        <v>1926</v>
      </c>
      <c r="O24" s="4112"/>
      <c r="P24" s="4112"/>
    </row>
    <row r="25" spans="1:16" x14ac:dyDescent="0.25">
      <c r="A25" s="4134" t="s">
        <v>920</v>
      </c>
      <c r="B25" s="4134"/>
      <c r="C25" s="4134"/>
      <c r="D25" s="4134"/>
      <c r="E25" s="4134"/>
    </row>
    <row r="26" spans="1:16" ht="18.75" x14ac:dyDescent="0.3">
      <c r="B26" s="447"/>
      <c r="C26" s="448"/>
      <c r="D26" s="448"/>
      <c r="E26" s="449"/>
      <c r="F26" s="440"/>
      <c r="G26" s="440"/>
      <c r="H26" s="441"/>
      <c r="I26" s="440"/>
      <c r="J26" s="440"/>
      <c r="K26" s="440"/>
      <c r="L26" s="440"/>
      <c r="M26" s="440"/>
      <c r="N26" s="440"/>
      <c r="O26" s="450"/>
    </row>
    <row r="27" spans="1:16" x14ac:dyDescent="0.25">
      <c r="B27" s="442"/>
      <c r="C27" s="443"/>
      <c r="D27" s="443"/>
      <c r="E27" s="440"/>
      <c r="F27" s="440"/>
      <c r="G27" s="440"/>
      <c r="H27" s="444"/>
      <c r="I27" s="440"/>
      <c r="J27" s="440"/>
      <c r="K27" s="440"/>
      <c r="L27" s="440"/>
      <c r="M27" s="440"/>
      <c r="N27" s="440"/>
      <c r="O27" s="445"/>
    </row>
    <row r="29" spans="1:16" x14ac:dyDescent="0.25">
      <c r="D29" s="521"/>
      <c r="E29" s="521"/>
      <c r="F29" s="521"/>
      <c r="G29" s="521"/>
      <c r="H29" s="521"/>
      <c r="I29" s="521"/>
      <c r="J29" s="521"/>
      <c r="K29" s="521"/>
      <c r="L29" s="521"/>
      <c r="M29" s="521"/>
      <c r="N29" s="521"/>
      <c r="O29" s="521"/>
      <c r="P29" s="521"/>
    </row>
    <row r="51" spans="3:3" x14ac:dyDescent="0.25">
      <c r="C51" s="435">
        <v>4.68</v>
      </c>
    </row>
  </sheetData>
  <mergeCells count="24">
    <mergeCell ref="B6:G6"/>
    <mergeCell ref="H6:H9"/>
    <mergeCell ref="I6:L6"/>
    <mergeCell ref="R3:U3"/>
    <mergeCell ref="R9:U9"/>
    <mergeCell ref="N5:N9"/>
    <mergeCell ref="O5:O9"/>
    <mergeCell ref="P5:P9"/>
    <mergeCell ref="A25:E25"/>
    <mergeCell ref="O1:P1"/>
    <mergeCell ref="A3:I3"/>
    <mergeCell ref="J3:M3"/>
    <mergeCell ref="N21:P21"/>
    <mergeCell ref="N23:P23"/>
    <mergeCell ref="N22:P22"/>
    <mergeCell ref="N24:P24"/>
    <mergeCell ref="M6:M9"/>
    <mergeCell ref="B8:G8"/>
    <mergeCell ref="I8:L8"/>
    <mergeCell ref="A21:E21"/>
    <mergeCell ref="A23:E23"/>
    <mergeCell ref="A5:A9"/>
    <mergeCell ref="B5:H5"/>
    <mergeCell ref="I5:M5"/>
  </mergeCells>
  <pageMargins left="0.3" right="0.15748031496062992" top="0.48" bottom="0.52" header="0.43" footer="0.31496062992125984"/>
  <pageSetup paperSize="9"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2" tint="-0.499984740745262"/>
    <pageSetUpPr fitToPage="1"/>
  </sheetPr>
  <dimension ref="A1:Y176"/>
  <sheetViews>
    <sheetView topLeftCell="A95" zoomScale="75" zoomScaleNormal="75" workbookViewId="0">
      <selection activeCell="P124" sqref="P124:Q124"/>
    </sheetView>
  </sheetViews>
  <sheetFormatPr defaultColWidth="8.85546875" defaultRowHeight="15.75" x14ac:dyDescent="0.25"/>
  <cols>
    <col min="1" max="1" width="8.85546875" style="452"/>
    <col min="2" max="2" width="5.28515625" style="453" customWidth="1"/>
    <col min="3" max="3" width="33.42578125" style="454" customWidth="1"/>
    <col min="4" max="4" width="8.5703125" style="455" customWidth="1"/>
    <col min="5" max="5" width="11.85546875" style="455" customWidth="1"/>
    <col min="6" max="6" width="9.28515625" style="455" customWidth="1"/>
    <col min="7" max="7" width="10.85546875" style="455" customWidth="1"/>
    <col min="8" max="8" width="8" style="455" customWidth="1"/>
    <col min="9" max="9" width="10.140625" style="455" customWidth="1"/>
    <col min="10" max="10" width="5.7109375" style="455" customWidth="1"/>
    <col min="11" max="11" width="8.85546875" style="455"/>
    <col min="12" max="12" width="5.7109375" style="455" customWidth="1"/>
    <col min="13" max="13" width="8.85546875" style="455"/>
    <col min="14" max="14" width="7" style="455" customWidth="1"/>
    <col min="15" max="15" width="10" style="455" bestFit="1" customWidth="1"/>
    <col min="16" max="16" width="7.28515625" style="455" bestFit="1" customWidth="1"/>
    <col min="17" max="17" width="13.85546875" style="455" bestFit="1" customWidth="1"/>
    <col min="18" max="18" width="5.42578125" style="455" customWidth="1"/>
    <col min="19" max="19" width="9.85546875" style="455" bestFit="1" customWidth="1"/>
    <col min="20" max="20" width="24.5703125" style="1436" customWidth="1"/>
    <col min="21" max="16384" width="8.85546875" style="455"/>
  </cols>
  <sheetData>
    <row r="1" spans="1:25" x14ac:dyDescent="0.25">
      <c r="Q1" s="455" t="s">
        <v>951</v>
      </c>
    </row>
    <row r="3" spans="1:25" s="1439" customFormat="1" x14ac:dyDescent="0.25">
      <c r="A3" s="1437"/>
      <c r="B3" s="4202" t="s">
        <v>1638</v>
      </c>
      <c r="C3" s="4202"/>
      <c r="D3" s="4202"/>
      <c r="E3" s="4202"/>
      <c r="F3" s="4202"/>
      <c r="G3" s="4202"/>
      <c r="H3" s="1058" t="str">
        <f>'Вхідні дані'!$F$5</f>
        <v>ЧФ ДП "АМПУ"</v>
      </c>
      <c r="I3" s="1058"/>
      <c r="J3" s="1059"/>
      <c r="K3" s="1059"/>
      <c r="L3" s="1433"/>
      <c r="M3" s="1433" t="s">
        <v>460</v>
      </c>
      <c r="O3" s="1059" t="str">
        <f>'Вхідні дані'!$F$6</f>
        <v>2022-2023</v>
      </c>
      <c r="P3" s="1433" t="s">
        <v>647</v>
      </c>
      <c r="Q3" s="1433" t="s">
        <v>2276</v>
      </c>
      <c r="R3" s="1433"/>
      <c r="S3" s="1433"/>
    </row>
    <row r="4" spans="1:25" s="1439" customFormat="1" ht="16.5" thickBot="1" x14ac:dyDescent="0.3">
      <c r="A4" s="452"/>
      <c r="B4" s="453"/>
      <c r="C4" s="454"/>
      <c r="D4" s="455"/>
      <c r="E4" s="455"/>
      <c r="F4" s="455"/>
      <c r="G4" s="455"/>
      <c r="H4" s="455"/>
      <c r="I4" s="455"/>
      <c r="J4" s="455"/>
      <c r="K4" s="455"/>
      <c r="L4" s="455"/>
      <c r="M4" s="455"/>
      <c r="N4" s="455"/>
      <c r="O4" s="455"/>
      <c r="P4" s="455"/>
      <c r="Q4" s="455"/>
      <c r="R4" s="455"/>
      <c r="S4" s="455" t="s">
        <v>992</v>
      </c>
    </row>
    <row r="5" spans="1:25" s="1439" customFormat="1" x14ac:dyDescent="0.25">
      <c r="A5" s="452"/>
      <c r="B5" s="4207" t="s">
        <v>993</v>
      </c>
      <c r="C5" s="4209" t="s">
        <v>994</v>
      </c>
      <c r="D5" s="4207" t="s">
        <v>880</v>
      </c>
      <c r="E5" s="4211"/>
      <c r="F5" s="4207" t="s">
        <v>954</v>
      </c>
      <c r="G5" s="4211"/>
      <c r="H5" s="4207" t="s">
        <v>921</v>
      </c>
      <c r="I5" s="4212"/>
      <c r="J5" s="4207" t="s">
        <v>995</v>
      </c>
      <c r="K5" s="4211"/>
      <c r="L5" s="4213" t="s">
        <v>883</v>
      </c>
      <c r="M5" s="4212"/>
      <c r="N5" s="4207" t="s">
        <v>996</v>
      </c>
      <c r="O5" s="4211"/>
      <c r="P5" s="4213" t="s">
        <v>997</v>
      </c>
      <c r="Q5" s="4212"/>
      <c r="R5" s="4200" t="s">
        <v>998</v>
      </c>
      <c r="S5" s="4201"/>
    </row>
    <row r="6" spans="1:25" s="1439" customFormat="1" ht="16.5" thickBot="1" x14ac:dyDescent="0.3">
      <c r="A6" s="452"/>
      <c r="B6" s="4208"/>
      <c r="C6" s="4210"/>
      <c r="D6" s="1432" t="s">
        <v>999</v>
      </c>
      <c r="E6" s="456" t="s">
        <v>1000</v>
      </c>
      <c r="F6" s="1432" t="s">
        <v>999</v>
      </c>
      <c r="G6" s="456" t="s">
        <v>1000</v>
      </c>
      <c r="H6" s="1432" t="s">
        <v>999</v>
      </c>
      <c r="I6" s="456" t="s">
        <v>1000</v>
      </c>
      <c r="J6" s="1432" t="s">
        <v>999</v>
      </c>
      <c r="K6" s="456" t="s">
        <v>1000</v>
      </c>
      <c r="L6" s="1432" t="s">
        <v>999</v>
      </c>
      <c r="M6" s="456" t="s">
        <v>1000</v>
      </c>
      <c r="N6" s="1432" t="s">
        <v>999</v>
      </c>
      <c r="O6" s="456" t="s">
        <v>1000</v>
      </c>
      <c r="P6" s="1432" t="s">
        <v>999</v>
      </c>
      <c r="Q6" s="456" t="s">
        <v>1000</v>
      </c>
      <c r="R6" s="457" t="s">
        <v>999</v>
      </c>
      <c r="S6" s="458" t="s">
        <v>1000</v>
      </c>
    </row>
    <row r="7" spans="1:25" s="1439" customFormat="1" ht="32.25" thickBot="1" x14ac:dyDescent="0.3">
      <c r="A7" s="459" t="s">
        <v>1001</v>
      </c>
      <c r="B7" s="460">
        <v>1</v>
      </c>
      <c r="C7" s="461" t="s">
        <v>1002</v>
      </c>
      <c r="D7" s="460">
        <v>15</v>
      </c>
      <c r="E7" s="540">
        <v>2250</v>
      </c>
      <c r="F7" s="460">
        <v>18</v>
      </c>
      <c r="G7" s="540">
        <v>2700</v>
      </c>
      <c r="H7" s="460">
        <v>0</v>
      </c>
      <c r="I7" s="539"/>
      <c r="J7" s="460">
        <v>0</v>
      </c>
      <c r="K7" s="540"/>
      <c r="L7" s="462">
        <v>0</v>
      </c>
      <c r="M7" s="539"/>
      <c r="N7" s="460">
        <v>2</v>
      </c>
      <c r="O7" s="540">
        <v>300</v>
      </c>
      <c r="P7" s="462">
        <v>2</v>
      </c>
      <c r="Q7" s="539">
        <v>300</v>
      </c>
      <c r="R7" s="463">
        <f t="shared" ref="R7:S12" si="0">D7+F7+H7+J7+L7+N7+P7</f>
        <v>37</v>
      </c>
      <c r="S7" s="541">
        <f>E7+G7+I7+K7+M7+O7+Q7</f>
        <v>5550</v>
      </c>
      <c r="U7" s="1439">
        <v>3</v>
      </c>
      <c r="V7" s="1439">
        <v>450</v>
      </c>
    </row>
    <row r="8" spans="1:25" s="1439" customFormat="1" ht="48" thickBot="1" x14ac:dyDescent="0.3">
      <c r="A8" s="464" t="s">
        <v>1001</v>
      </c>
      <c r="B8" s="460">
        <v>2</v>
      </c>
      <c r="C8" s="461" t="s">
        <v>1003</v>
      </c>
      <c r="D8" s="460">
        <v>0</v>
      </c>
      <c r="E8" s="540"/>
      <c r="F8" s="460">
        <v>5</v>
      </c>
      <c r="G8" s="540">
        <v>1916.3</v>
      </c>
      <c r="H8" s="460">
        <v>0</v>
      </c>
      <c r="I8" s="539"/>
      <c r="J8" s="460">
        <v>0</v>
      </c>
      <c r="K8" s="540"/>
      <c r="L8" s="462">
        <v>0</v>
      </c>
      <c r="M8" s="539"/>
      <c r="N8" s="460">
        <v>3</v>
      </c>
      <c r="O8" s="540">
        <v>1149.78</v>
      </c>
      <c r="P8" s="462">
        <v>1</v>
      </c>
      <c r="Q8" s="539">
        <v>383.26</v>
      </c>
      <c r="R8" s="463">
        <f t="shared" si="0"/>
        <v>9</v>
      </c>
      <c r="S8" s="541">
        <f t="shared" si="0"/>
        <v>3449.34</v>
      </c>
      <c r="U8" s="1439">
        <v>1</v>
      </c>
      <c r="V8" s="1439">
        <v>159.26</v>
      </c>
    </row>
    <row r="9" spans="1:25" s="1439" customFormat="1" ht="32.25" thickBot="1" x14ac:dyDescent="0.3">
      <c r="A9" s="464" t="s">
        <v>1001</v>
      </c>
      <c r="B9" s="460">
        <v>3</v>
      </c>
      <c r="C9" s="461" t="s">
        <v>1004</v>
      </c>
      <c r="D9" s="460">
        <v>15</v>
      </c>
      <c r="E9" s="540">
        <v>1524.75</v>
      </c>
      <c r="F9" s="460">
        <v>12</v>
      </c>
      <c r="G9" s="540">
        <v>1219.8</v>
      </c>
      <c r="H9" s="460">
        <v>0</v>
      </c>
      <c r="I9" s="539"/>
      <c r="J9" s="460">
        <v>0</v>
      </c>
      <c r="K9" s="540"/>
      <c r="L9" s="462">
        <v>0</v>
      </c>
      <c r="M9" s="539"/>
      <c r="N9" s="460">
        <v>2</v>
      </c>
      <c r="O9" s="540">
        <v>203.3</v>
      </c>
      <c r="P9" s="462">
        <v>2</v>
      </c>
      <c r="Q9" s="539">
        <v>203.3</v>
      </c>
      <c r="R9" s="463">
        <f t="shared" si="0"/>
        <v>31</v>
      </c>
      <c r="S9" s="541">
        <f t="shared" si="0"/>
        <v>3151.15</v>
      </c>
      <c r="U9" s="1439">
        <v>0</v>
      </c>
      <c r="V9" s="1439">
        <v>0</v>
      </c>
    </row>
    <row r="10" spans="1:25" s="1439" customFormat="1" ht="32.25" thickBot="1" x14ac:dyDescent="0.3">
      <c r="A10" s="464" t="s">
        <v>1001</v>
      </c>
      <c r="B10" s="460">
        <v>4</v>
      </c>
      <c r="C10" s="461" t="s">
        <v>1005</v>
      </c>
      <c r="D10" s="460">
        <v>4</v>
      </c>
      <c r="E10" s="540">
        <v>122.04</v>
      </c>
      <c r="F10" s="460">
        <v>7</v>
      </c>
      <c r="G10" s="540">
        <v>213.57</v>
      </c>
      <c r="H10" s="460">
        <v>0</v>
      </c>
      <c r="I10" s="539"/>
      <c r="J10" s="460">
        <v>0</v>
      </c>
      <c r="K10" s="540"/>
      <c r="L10" s="462">
        <v>0</v>
      </c>
      <c r="M10" s="539"/>
      <c r="N10" s="460">
        <v>3</v>
      </c>
      <c r="O10" s="540">
        <v>91.53</v>
      </c>
      <c r="P10" s="462">
        <v>2</v>
      </c>
      <c r="Q10" s="539">
        <v>61.02</v>
      </c>
      <c r="R10" s="463">
        <f t="shared" si="0"/>
        <v>16</v>
      </c>
      <c r="S10" s="541">
        <f t="shared" si="0"/>
        <v>488.16</v>
      </c>
      <c r="U10" s="1439">
        <v>0</v>
      </c>
      <c r="V10" s="1439">
        <v>0</v>
      </c>
    </row>
    <row r="11" spans="1:25" s="1439" customFormat="1" ht="32.25" thickBot="1" x14ac:dyDescent="0.3">
      <c r="A11" s="464" t="s">
        <v>1001</v>
      </c>
      <c r="B11" s="460">
        <v>5</v>
      </c>
      <c r="C11" s="465" t="s">
        <v>1006</v>
      </c>
      <c r="D11" s="460">
        <v>22</v>
      </c>
      <c r="E11" s="540">
        <v>9043.49</v>
      </c>
      <c r="F11" s="460">
        <v>21</v>
      </c>
      <c r="G11" s="540">
        <v>11469.94</v>
      </c>
      <c r="H11" s="460">
        <v>2</v>
      </c>
      <c r="I11" s="539">
        <v>744.24</v>
      </c>
      <c r="J11" s="460">
        <v>5</v>
      </c>
      <c r="K11" s="540">
        <v>1472.48</v>
      </c>
      <c r="L11" s="462">
        <v>2</v>
      </c>
      <c r="M11" s="539">
        <v>744.24</v>
      </c>
      <c r="N11" s="460">
        <v>10</v>
      </c>
      <c r="O11" s="540">
        <v>4105.78</v>
      </c>
      <c r="P11" s="462">
        <v>11</v>
      </c>
      <c r="Q11" s="539">
        <v>4093.32</v>
      </c>
      <c r="R11" s="463">
        <f>D11+F11+H11+J11+L11+N11+P11</f>
        <v>73</v>
      </c>
      <c r="S11" s="541">
        <f t="shared" si="0"/>
        <v>31673.49</v>
      </c>
      <c r="U11" s="1439">
        <v>7</v>
      </c>
      <c r="V11" s="1439">
        <v>3548.6880000000001</v>
      </c>
    </row>
    <row r="12" spans="1:25" s="1439" customFormat="1" ht="32.25" thickBot="1" x14ac:dyDescent="0.3">
      <c r="A12" s="464" t="s">
        <v>1007</v>
      </c>
      <c r="B12" s="460">
        <v>6</v>
      </c>
      <c r="C12" s="461" t="s">
        <v>1008</v>
      </c>
      <c r="D12" s="460">
        <v>2</v>
      </c>
      <c r="E12" s="540"/>
      <c r="F12" s="460">
        <v>0</v>
      </c>
      <c r="G12" s="540"/>
      <c r="H12" s="460">
        <v>0</v>
      </c>
      <c r="I12" s="539"/>
      <c r="J12" s="460">
        <v>0</v>
      </c>
      <c r="K12" s="540"/>
      <c r="L12" s="462">
        <v>0</v>
      </c>
      <c r="M12" s="539"/>
      <c r="N12" s="460">
        <v>1</v>
      </c>
      <c r="O12" s="540"/>
      <c r="P12" s="462">
        <v>0</v>
      </c>
      <c r="Q12" s="539"/>
      <c r="R12" s="463">
        <f t="shared" si="0"/>
        <v>3</v>
      </c>
      <c r="S12" s="541">
        <f t="shared" si="0"/>
        <v>0</v>
      </c>
      <c r="U12" s="1439">
        <v>0</v>
      </c>
      <c r="V12" s="1439">
        <v>0</v>
      </c>
    </row>
    <row r="13" spans="1:25" s="1439" customFormat="1" ht="16.5" thickBot="1" x14ac:dyDescent="0.3">
      <c r="A13" s="1437"/>
      <c r="B13" s="460">
        <v>7</v>
      </c>
      <c r="C13" s="466"/>
      <c r="D13" s="4203">
        <f>SUM(E7:E12)</f>
        <v>12940.28</v>
      </c>
      <c r="E13" s="4204"/>
      <c r="F13" s="4203">
        <f>SUM(G7:G12)</f>
        <v>17519.61</v>
      </c>
      <c r="G13" s="4204"/>
      <c r="H13" s="4203">
        <f>SUM(I7:I12)</f>
        <v>744.24</v>
      </c>
      <c r="I13" s="4204"/>
      <c r="J13" s="4203">
        <f>SUM(K7:K12)</f>
        <v>1472.48</v>
      </c>
      <c r="K13" s="4204"/>
      <c r="L13" s="4203">
        <f>SUM(M7:M12)</f>
        <v>744.24</v>
      </c>
      <c r="M13" s="4204"/>
      <c r="N13" s="4203">
        <f>SUM(O7:O12)</f>
        <v>5850.39</v>
      </c>
      <c r="O13" s="4204"/>
      <c r="P13" s="4203">
        <f>SUM(Q7:Q12)</f>
        <v>5040.8999999999996</v>
      </c>
      <c r="Q13" s="4204"/>
      <c r="R13" s="4174">
        <f>IF(D13+F13+H13+J13+L13+N13+P13=S12+S11+S10+S9+S8+S7,D13+F13+H13+J13+L13+N13+P13,"'ошибка'")</f>
        <v>44312.14</v>
      </c>
      <c r="S13" s="4175"/>
    </row>
    <row r="15" spans="1:25" ht="15.6" customHeight="1" x14ac:dyDescent="0.25">
      <c r="A15" s="1413"/>
      <c r="B15" s="4151" t="s">
        <v>2581</v>
      </c>
      <c r="C15" s="4151"/>
      <c r="D15" s="4151"/>
      <c r="E15" s="4151"/>
      <c r="F15" s="4151"/>
      <c r="G15" s="4151"/>
      <c r="H15" s="4151"/>
      <c r="I15" s="4151"/>
      <c r="J15" s="4151"/>
      <c r="K15" s="4151"/>
      <c r="L15" s="4151"/>
      <c r="M15" s="4151"/>
      <c r="N15" s="4151"/>
      <c r="O15" s="4151"/>
      <c r="P15" s="4151"/>
      <c r="Q15" s="4151"/>
      <c r="R15" s="4151"/>
      <c r="S15" s="4151"/>
      <c r="T15" s="1414"/>
      <c r="U15" s="1412"/>
      <c r="V15" s="1412"/>
      <c r="W15" s="1412"/>
      <c r="X15" s="1412"/>
      <c r="Y15" s="1412"/>
    </row>
    <row r="16" spans="1:25" x14ac:dyDescent="0.25">
      <c r="Q16" s="455" t="s">
        <v>951</v>
      </c>
    </row>
    <row r="18" spans="1:25" s="468" customFormat="1" x14ac:dyDescent="0.25">
      <c r="A18" s="1437"/>
      <c r="C18" s="642" t="s">
        <v>1639</v>
      </c>
      <c r="E18" s="642"/>
      <c r="F18" s="642"/>
      <c r="G18" s="642"/>
      <c r="H18" s="1058" t="str">
        <f>'Вхідні дані'!$F$5</f>
        <v>ЧФ ДП "АМПУ"</v>
      </c>
      <c r="I18" s="1058"/>
      <c r="J18" s="1059"/>
      <c r="K18" s="1059"/>
      <c r="L18" s="1433"/>
      <c r="M18" s="1433" t="s">
        <v>460</v>
      </c>
      <c r="N18" s="1439"/>
      <c r="O18" s="1059" t="str">
        <f>'Вхідні дані'!$F$6</f>
        <v>2022-2023</v>
      </c>
      <c r="P18" s="642" t="s">
        <v>647</v>
      </c>
      <c r="Q18" s="642"/>
      <c r="R18" s="642"/>
      <c r="S18" s="642"/>
      <c r="T18" s="467"/>
    </row>
    <row r="19" spans="1:25" ht="16.5" thickBot="1" x14ac:dyDescent="0.3">
      <c r="Q19" s="455" t="s">
        <v>992</v>
      </c>
    </row>
    <row r="20" spans="1:25" x14ac:dyDescent="0.25">
      <c r="B20" s="4214" t="s">
        <v>1009</v>
      </c>
      <c r="C20" s="4216" t="s">
        <v>1010</v>
      </c>
      <c r="D20" s="4218" t="s">
        <v>880</v>
      </c>
      <c r="E20" s="4205"/>
      <c r="F20" s="4205" t="s">
        <v>954</v>
      </c>
      <c r="G20" s="4205"/>
      <c r="H20" s="4205" t="s">
        <v>921</v>
      </c>
      <c r="I20" s="4205"/>
      <c r="J20" s="4205" t="s">
        <v>995</v>
      </c>
      <c r="K20" s="4205"/>
      <c r="L20" s="4205" t="s">
        <v>883</v>
      </c>
      <c r="M20" s="4205"/>
      <c r="N20" s="4205" t="s">
        <v>996</v>
      </c>
      <c r="O20" s="4205"/>
      <c r="P20" s="4205" t="s">
        <v>997</v>
      </c>
      <c r="Q20" s="4206"/>
      <c r="R20" s="4149" t="s">
        <v>998</v>
      </c>
      <c r="S20" s="4150"/>
    </row>
    <row r="21" spans="1:25" ht="16.5" thickBot="1" x14ac:dyDescent="0.3">
      <c r="B21" s="4215"/>
      <c r="C21" s="4217"/>
      <c r="D21" s="651" t="s">
        <v>999</v>
      </c>
      <c r="E21" s="648" t="s">
        <v>1011</v>
      </c>
      <c r="F21" s="648" t="s">
        <v>999</v>
      </c>
      <c r="G21" s="648" t="s">
        <v>1011</v>
      </c>
      <c r="H21" s="648" t="s">
        <v>999</v>
      </c>
      <c r="I21" s="648" t="s">
        <v>1011</v>
      </c>
      <c r="J21" s="648" t="s">
        <v>999</v>
      </c>
      <c r="K21" s="648" t="s">
        <v>1011</v>
      </c>
      <c r="L21" s="648" t="s">
        <v>999</v>
      </c>
      <c r="M21" s="648" t="s">
        <v>1011</v>
      </c>
      <c r="N21" s="648" t="s">
        <v>999</v>
      </c>
      <c r="O21" s="648" t="s">
        <v>1011</v>
      </c>
      <c r="P21" s="648" t="s">
        <v>999</v>
      </c>
      <c r="Q21" s="649" t="s">
        <v>1011</v>
      </c>
      <c r="R21" s="648" t="s">
        <v>999</v>
      </c>
      <c r="S21" s="650" t="s">
        <v>1011</v>
      </c>
    </row>
    <row r="22" spans="1:25" ht="34.15" customHeight="1" x14ac:dyDescent="0.25">
      <c r="A22" s="452" t="s">
        <v>1012</v>
      </c>
      <c r="B22" s="1440">
        <v>1</v>
      </c>
      <c r="C22" s="1441" t="s">
        <v>2277</v>
      </c>
      <c r="D22" s="476"/>
      <c r="E22" s="475"/>
      <c r="F22" s="475"/>
      <c r="G22" s="475"/>
      <c r="H22" s="475"/>
      <c r="I22" s="475"/>
      <c r="J22" s="475"/>
      <c r="K22" s="475"/>
      <c r="L22" s="475"/>
      <c r="M22" s="475"/>
      <c r="N22" s="475">
        <v>1</v>
      </c>
      <c r="O22" s="475">
        <v>580</v>
      </c>
      <c r="P22" s="527">
        <v>2</v>
      </c>
      <c r="Q22" s="527">
        <v>580</v>
      </c>
      <c r="R22" s="475">
        <f t="shared" ref="R22:R33" si="1">D22+F22+H22+J22+L22+N22+P22</f>
        <v>3</v>
      </c>
      <c r="S22" s="647"/>
      <c r="T22" s="1436" t="s">
        <v>2278</v>
      </c>
      <c r="U22" s="1436" t="s">
        <v>1013</v>
      </c>
    </row>
    <row r="23" spans="1:25" ht="16.5" thickBot="1" x14ac:dyDescent="0.3">
      <c r="B23" s="1442"/>
      <c r="C23" s="1443" t="s">
        <v>1014</v>
      </c>
      <c r="D23" s="4190">
        <f>E22*D22</f>
        <v>0</v>
      </c>
      <c r="E23" s="4195"/>
      <c r="F23" s="4190">
        <f>G22*F22</f>
        <v>0</v>
      </c>
      <c r="G23" s="4195"/>
      <c r="H23" s="4190">
        <f>I22*H22</f>
        <v>0</v>
      </c>
      <c r="I23" s="4195"/>
      <c r="J23" s="4190">
        <f>K22*J22</f>
        <v>0</v>
      </c>
      <c r="K23" s="4195"/>
      <c r="L23" s="4190">
        <f>M22*L22</f>
        <v>0</v>
      </c>
      <c r="M23" s="4195"/>
      <c r="N23" s="4190">
        <f>O22*N22</f>
        <v>580</v>
      </c>
      <c r="O23" s="4195"/>
      <c r="P23" s="4188">
        <f>Q22*P22</f>
        <v>1160</v>
      </c>
      <c r="Q23" s="4189"/>
      <c r="R23" s="4190">
        <f t="shared" si="1"/>
        <v>1740</v>
      </c>
      <c r="S23" s="4191"/>
    </row>
    <row r="24" spans="1:25" ht="47.25" x14ac:dyDescent="0.25">
      <c r="A24" s="471" t="s">
        <v>1012</v>
      </c>
      <c r="B24" s="1435">
        <v>2</v>
      </c>
      <c r="C24" s="656" t="s">
        <v>2279</v>
      </c>
      <c r="D24" s="472"/>
      <c r="E24" s="470"/>
      <c r="F24" s="470">
        <v>1</v>
      </c>
      <c r="G24" s="470">
        <v>510</v>
      </c>
      <c r="H24" s="470"/>
      <c r="I24" s="470"/>
      <c r="J24" s="470"/>
      <c r="K24" s="470"/>
      <c r="L24" s="470"/>
      <c r="M24" s="470"/>
      <c r="N24" s="470"/>
      <c r="O24" s="470"/>
      <c r="P24" s="527"/>
      <c r="Q24" s="527"/>
      <c r="R24" s="470">
        <v>1</v>
      </c>
      <c r="S24" s="644"/>
      <c r="T24" s="1436" t="s">
        <v>2280</v>
      </c>
      <c r="U24" s="1436"/>
    </row>
    <row r="25" spans="1:25" x14ac:dyDescent="0.25">
      <c r="A25" s="471"/>
      <c r="B25" s="645"/>
      <c r="C25" s="654" t="s">
        <v>1014</v>
      </c>
      <c r="D25" s="4190">
        <f>E24*D24</f>
        <v>0</v>
      </c>
      <c r="E25" s="4195"/>
      <c r="F25" s="4190">
        <f>G24*F24</f>
        <v>510</v>
      </c>
      <c r="G25" s="4195"/>
      <c r="H25" s="4190">
        <f>I24*H24</f>
        <v>0</v>
      </c>
      <c r="I25" s="4195"/>
      <c r="J25" s="4190">
        <f>K24*J24</f>
        <v>0</v>
      </c>
      <c r="K25" s="4195"/>
      <c r="L25" s="4190">
        <f>M24*L24</f>
        <v>0</v>
      </c>
      <c r="M25" s="4195"/>
      <c r="N25" s="4190">
        <f>O24*N24</f>
        <v>0</v>
      </c>
      <c r="O25" s="4195"/>
      <c r="P25" s="4188">
        <f>Q24*P24</f>
        <v>0</v>
      </c>
      <c r="Q25" s="4189"/>
      <c r="R25" s="4190">
        <f t="shared" si="1"/>
        <v>510</v>
      </c>
      <c r="S25" s="4191"/>
    </row>
    <row r="26" spans="1:25" ht="51.6" customHeight="1" x14ac:dyDescent="0.25">
      <c r="A26" s="452" t="s">
        <v>1001</v>
      </c>
      <c r="B26" s="4161">
        <v>3</v>
      </c>
      <c r="C26" s="4197" t="s">
        <v>2281</v>
      </c>
      <c r="D26" s="472"/>
      <c r="E26" s="470"/>
      <c r="F26" s="470">
        <v>2</v>
      </c>
      <c r="G26" s="470">
        <f>450+450</f>
        <v>900</v>
      </c>
      <c r="H26" s="470"/>
      <c r="I26" s="470"/>
      <c r="J26" s="470"/>
      <c r="K26" s="470"/>
      <c r="L26" s="470"/>
      <c r="M26" s="470"/>
      <c r="N26" s="470">
        <v>1</v>
      </c>
      <c r="O26" s="470">
        <v>900</v>
      </c>
      <c r="P26" s="527">
        <v>2</v>
      </c>
      <c r="Q26" s="527">
        <v>900</v>
      </c>
      <c r="R26" s="470">
        <f t="shared" si="1"/>
        <v>5</v>
      </c>
      <c r="S26" s="644"/>
      <c r="T26" s="4199" t="s">
        <v>2282</v>
      </c>
      <c r="U26" s="4199"/>
      <c r="V26" s="4199"/>
      <c r="W26" s="4199"/>
      <c r="X26" s="4199"/>
      <c r="Y26" s="4199"/>
    </row>
    <row r="27" spans="1:25" ht="31.5" hidden="1" x14ac:dyDescent="0.25">
      <c r="A27" s="471" t="s">
        <v>1012</v>
      </c>
      <c r="B27" s="4196"/>
      <c r="C27" s="4198"/>
      <c r="D27" s="472"/>
      <c r="E27" s="470"/>
      <c r="F27" s="470"/>
      <c r="G27" s="470"/>
      <c r="H27" s="470"/>
      <c r="I27" s="470"/>
      <c r="J27" s="470"/>
      <c r="K27" s="470"/>
      <c r="L27" s="470"/>
      <c r="M27" s="470"/>
      <c r="N27" s="470"/>
      <c r="O27" s="470"/>
      <c r="P27" s="527"/>
      <c r="Q27" s="527"/>
      <c r="R27" s="470"/>
      <c r="S27" s="644"/>
      <c r="T27" s="1436" t="s">
        <v>1013</v>
      </c>
    </row>
    <row r="28" spans="1:25" x14ac:dyDescent="0.25">
      <c r="A28" s="471"/>
      <c r="B28" s="645"/>
      <c r="C28" s="654" t="s">
        <v>1014</v>
      </c>
      <c r="D28" s="4190">
        <f>E27*D27+D26*E26</f>
        <v>0</v>
      </c>
      <c r="E28" s="4195"/>
      <c r="F28" s="4190">
        <f>G27*F27+F26*G26</f>
        <v>1800</v>
      </c>
      <c r="G28" s="4195"/>
      <c r="H28" s="4190">
        <f>I27*H27+H26*I26</f>
        <v>0</v>
      </c>
      <c r="I28" s="4195"/>
      <c r="J28" s="4190">
        <f>K27*J27+J26*K26</f>
        <v>0</v>
      </c>
      <c r="K28" s="4195"/>
      <c r="L28" s="4190">
        <f>M27*L27+L26*M26</f>
        <v>0</v>
      </c>
      <c r="M28" s="4195"/>
      <c r="N28" s="4190">
        <f>O27*N27+N26*O26</f>
        <v>900</v>
      </c>
      <c r="O28" s="4195"/>
      <c r="P28" s="4188">
        <f>Q27*P27+P26*Q26</f>
        <v>1800</v>
      </c>
      <c r="Q28" s="4189"/>
      <c r="R28" s="4190">
        <f t="shared" si="1"/>
        <v>4500</v>
      </c>
      <c r="S28" s="4191"/>
    </row>
    <row r="29" spans="1:25" ht="33.6" customHeight="1" x14ac:dyDescent="0.25">
      <c r="A29" s="471" t="s">
        <v>1012</v>
      </c>
      <c r="B29" s="1435">
        <v>4</v>
      </c>
      <c r="C29" s="655" t="s">
        <v>2283</v>
      </c>
      <c r="D29" s="472">
        <v>3</v>
      </c>
      <c r="E29" s="470">
        <v>3800</v>
      </c>
      <c r="F29" s="470">
        <v>4</v>
      </c>
      <c r="G29" s="470">
        <v>3800</v>
      </c>
      <c r="H29" s="470"/>
      <c r="I29" s="470"/>
      <c r="J29" s="470"/>
      <c r="K29" s="470"/>
      <c r="L29" s="470"/>
      <c r="M29" s="470"/>
      <c r="N29" s="470"/>
      <c r="O29" s="470"/>
      <c r="P29" s="527"/>
      <c r="Q29" s="527"/>
      <c r="R29" s="470">
        <f t="shared" si="1"/>
        <v>7</v>
      </c>
      <c r="S29" s="644"/>
    </row>
    <row r="30" spans="1:25" x14ac:dyDescent="0.25">
      <c r="A30" s="471"/>
      <c r="B30" s="1435"/>
      <c r="C30" s="654" t="s">
        <v>1014</v>
      </c>
      <c r="D30" s="4190">
        <f>E29*D29</f>
        <v>11400</v>
      </c>
      <c r="E30" s="4195"/>
      <c r="F30" s="4190">
        <f>G29*F29</f>
        <v>15200</v>
      </c>
      <c r="G30" s="4195"/>
      <c r="H30" s="4190">
        <f>I29*H29</f>
        <v>0</v>
      </c>
      <c r="I30" s="4195"/>
      <c r="J30" s="4190">
        <f>K29*J29</f>
        <v>0</v>
      </c>
      <c r="K30" s="4195"/>
      <c r="L30" s="4190">
        <f>M29*L29</f>
        <v>0</v>
      </c>
      <c r="M30" s="4195"/>
      <c r="N30" s="4190">
        <f>O29*N29</f>
        <v>0</v>
      </c>
      <c r="O30" s="4195"/>
      <c r="P30" s="4188">
        <f>Q29*P29</f>
        <v>0</v>
      </c>
      <c r="Q30" s="4189"/>
      <c r="R30" s="4190">
        <f t="shared" si="1"/>
        <v>26600</v>
      </c>
      <c r="S30" s="4191"/>
    </row>
    <row r="31" spans="1:25" ht="31.5" x14ac:dyDescent="0.25">
      <c r="A31" s="471" t="s">
        <v>1012</v>
      </c>
      <c r="B31" s="1434">
        <v>5</v>
      </c>
      <c r="C31" s="653"/>
      <c r="D31" s="472"/>
      <c r="E31" s="473"/>
      <c r="F31" s="470"/>
      <c r="G31" s="473"/>
      <c r="H31" s="470"/>
      <c r="I31" s="473"/>
      <c r="J31" s="470"/>
      <c r="K31" s="473"/>
      <c r="L31" s="470"/>
      <c r="M31" s="473"/>
      <c r="N31" s="470"/>
      <c r="O31" s="473"/>
      <c r="P31" s="527"/>
      <c r="Q31" s="1128"/>
      <c r="R31" s="470">
        <f t="shared" si="1"/>
        <v>0</v>
      </c>
      <c r="S31" s="644"/>
    </row>
    <row r="32" spans="1:25" x14ac:dyDescent="0.25">
      <c r="A32" s="471"/>
      <c r="B32" s="645"/>
      <c r="C32" s="654" t="s">
        <v>1014</v>
      </c>
      <c r="D32" s="4190">
        <f>E31*D31</f>
        <v>0</v>
      </c>
      <c r="E32" s="4195"/>
      <c r="F32" s="4190">
        <f>G31*F31</f>
        <v>0</v>
      </c>
      <c r="G32" s="4195"/>
      <c r="H32" s="4190">
        <f>I31*H31</f>
        <v>0</v>
      </c>
      <c r="I32" s="4195"/>
      <c r="J32" s="4190">
        <f>K31*J31</f>
        <v>0</v>
      </c>
      <c r="K32" s="4195"/>
      <c r="L32" s="4190">
        <f>M31*L31</f>
        <v>0</v>
      </c>
      <c r="M32" s="4195"/>
      <c r="N32" s="4190">
        <f>O31*N31</f>
        <v>0</v>
      </c>
      <c r="O32" s="4195"/>
      <c r="P32" s="4188">
        <f>Q31*P31</f>
        <v>0</v>
      </c>
      <c r="Q32" s="4189"/>
      <c r="R32" s="4190">
        <f t="shared" si="1"/>
        <v>0</v>
      </c>
      <c r="S32" s="4191"/>
    </row>
    <row r="33" spans="1:25" ht="94.5" hidden="1" customHeight="1" x14ac:dyDescent="0.25">
      <c r="A33" s="471" t="s">
        <v>1012</v>
      </c>
      <c r="B33" s="646">
        <v>9</v>
      </c>
      <c r="C33" s="653" t="s">
        <v>1015</v>
      </c>
      <c r="D33" s="472"/>
      <c r="E33" s="470"/>
      <c r="F33" s="470"/>
      <c r="G33" s="470"/>
      <c r="H33" s="470"/>
      <c r="I33" s="470"/>
      <c r="J33" s="470"/>
      <c r="K33" s="470"/>
      <c r="L33" s="470"/>
      <c r="M33" s="470"/>
      <c r="N33" s="470"/>
      <c r="O33" s="470"/>
      <c r="P33" s="527"/>
      <c r="Q33" s="527"/>
      <c r="R33" s="470">
        <f t="shared" si="1"/>
        <v>0</v>
      </c>
      <c r="S33" s="644"/>
    </row>
    <row r="34" spans="1:25" ht="15.75" hidden="1" customHeight="1" x14ac:dyDescent="0.25">
      <c r="A34" s="471"/>
      <c r="B34" s="646"/>
      <c r="C34" s="654" t="s">
        <v>1014</v>
      </c>
      <c r="D34" s="4190">
        <f>E33*D33</f>
        <v>0</v>
      </c>
      <c r="E34" s="4195"/>
      <c r="F34" s="4190">
        <f>G33*F33</f>
        <v>0</v>
      </c>
      <c r="G34" s="4195"/>
      <c r="H34" s="4190">
        <f>I33*H33</f>
        <v>0</v>
      </c>
      <c r="I34" s="4195"/>
      <c r="J34" s="4190">
        <f>K33*J33</f>
        <v>0</v>
      </c>
      <c r="K34" s="4195"/>
      <c r="L34" s="4190">
        <f>M33*L33</f>
        <v>0</v>
      </c>
      <c r="M34" s="4195"/>
      <c r="N34" s="4190">
        <f>O33*N33</f>
        <v>0</v>
      </c>
      <c r="O34" s="4195"/>
      <c r="P34" s="4188">
        <f>Q33*P33</f>
        <v>0</v>
      </c>
      <c r="Q34" s="4189"/>
      <c r="R34" s="4190">
        <f>SUM(D34:Q34)</f>
        <v>0</v>
      </c>
      <c r="S34" s="4191"/>
    </row>
    <row r="35" spans="1:25" ht="31.5" x14ac:dyDescent="0.25">
      <c r="A35" s="471" t="s">
        <v>1012</v>
      </c>
      <c r="B35" s="1434">
        <v>6</v>
      </c>
      <c r="C35" s="653" t="s">
        <v>1016</v>
      </c>
      <c r="D35" s="472">
        <v>1</v>
      </c>
      <c r="E35" s="470">
        <v>339.25</v>
      </c>
      <c r="F35" s="470">
        <v>2</v>
      </c>
      <c r="G35" s="470">
        <v>339.25</v>
      </c>
      <c r="H35" s="470"/>
      <c r="I35" s="470"/>
      <c r="J35" s="470"/>
      <c r="K35" s="470"/>
      <c r="L35" s="470"/>
      <c r="M35" s="470"/>
      <c r="N35" s="470">
        <v>2</v>
      </c>
      <c r="O35" s="470">
        <v>414.78</v>
      </c>
      <c r="P35" s="527">
        <v>1</v>
      </c>
      <c r="Q35" s="527">
        <v>850</v>
      </c>
      <c r="R35" s="470">
        <f>D35+F35+H35+J35+L35+N35+P35</f>
        <v>6</v>
      </c>
      <c r="S35" s="644"/>
      <c r="T35" s="1436" t="s">
        <v>2284</v>
      </c>
    </row>
    <row r="36" spans="1:25" x14ac:dyDescent="0.25">
      <c r="A36" s="471"/>
      <c r="B36" s="645"/>
      <c r="C36" s="656" t="s">
        <v>1014</v>
      </c>
      <c r="D36" s="4190">
        <f>E35*D35</f>
        <v>339.25</v>
      </c>
      <c r="E36" s="4195"/>
      <c r="F36" s="4190">
        <f>G35*F35</f>
        <v>678.5</v>
      </c>
      <c r="G36" s="4195"/>
      <c r="H36" s="4190">
        <f>I35*H35</f>
        <v>0</v>
      </c>
      <c r="I36" s="4195"/>
      <c r="J36" s="4190">
        <f>K35*J35</f>
        <v>0</v>
      </c>
      <c r="K36" s="4195"/>
      <c r="L36" s="4190">
        <f>M35*L35</f>
        <v>0</v>
      </c>
      <c r="M36" s="4195"/>
      <c r="N36" s="4190">
        <f>O35*N35</f>
        <v>829.56</v>
      </c>
      <c r="O36" s="4195"/>
      <c r="P36" s="4188">
        <f>Q35*P35</f>
        <v>850</v>
      </c>
      <c r="Q36" s="4189"/>
      <c r="R36" s="4190">
        <f>D36+F36+H36+J36+L36+N36+P36</f>
        <v>2697.31</v>
      </c>
      <c r="S36" s="4191"/>
    </row>
    <row r="37" spans="1:25" ht="34.15" customHeight="1" x14ac:dyDescent="0.25">
      <c r="A37" s="471" t="s">
        <v>1012</v>
      </c>
      <c r="B37" s="1435">
        <v>7</v>
      </c>
      <c r="C37" s="653" t="s">
        <v>2285</v>
      </c>
      <c r="D37" s="472"/>
      <c r="E37" s="473"/>
      <c r="F37" s="470">
        <v>1</v>
      </c>
      <c r="G37" s="473">
        <v>510</v>
      </c>
      <c r="H37" s="470"/>
      <c r="I37" s="473"/>
      <c r="J37" s="470">
        <v>1</v>
      </c>
      <c r="K37" s="473">
        <v>510</v>
      </c>
      <c r="L37" s="470"/>
      <c r="M37" s="473"/>
      <c r="N37" s="470"/>
      <c r="O37" s="473"/>
      <c r="P37" s="527"/>
      <c r="Q37" s="1128"/>
      <c r="R37" s="470">
        <v>2</v>
      </c>
      <c r="S37" s="644"/>
      <c r="T37" s="1436" t="s">
        <v>2286</v>
      </c>
    </row>
    <row r="38" spans="1:25" ht="16.5" thickBot="1" x14ac:dyDescent="0.3">
      <c r="B38" s="645"/>
      <c r="C38" s="654" t="s">
        <v>1014</v>
      </c>
      <c r="D38" s="4190">
        <f>E37*D37</f>
        <v>0</v>
      </c>
      <c r="E38" s="4195"/>
      <c r="F38" s="4190">
        <f>G37*F37</f>
        <v>510</v>
      </c>
      <c r="G38" s="4195"/>
      <c r="H38" s="4190">
        <f>I37*H37</f>
        <v>0</v>
      </c>
      <c r="I38" s="4195"/>
      <c r="J38" s="4190">
        <f>K37*J37</f>
        <v>510</v>
      </c>
      <c r="K38" s="4195"/>
      <c r="L38" s="4190">
        <f>M37*L37</f>
        <v>0</v>
      </c>
      <c r="M38" s="4195"/>
      <c r="N38" s="4190">
        <f>O37*N37</f>
        <v>0</v>
      </c>
      <c r="O38" s="4195"/>
      <c r="P38" s="4188">
        <f>Q37*P37</f>
        <v>0</v>
      </c>
      <c r="Q38" s="4189"/>
      <c r="R38" s="4190">
        <f>D38+F38+H38+J38+L38+N38+P38</f>
        <v>1020</v>
      </c>
      <c r="S38" s="4191"/>
      <c r="T38" s="474"/>
    </row>
    <row r="39" spans="1:25" ht="32.25" hidden="1" thickBot="1" x14ac:dyDescent="0.3">
      <c r="A39" s="471" t="s">
        <v>1017</v>
      </c>
      <c r="B39" s="658">
        <v>8</v>
      </c>
      <c r="C39" s="653" t="s">
        <v>1018</v>
      </c>
      <c r="D39" s="472"/>
      <c r="E39" s="473">
        <f>1471.5/3</f>
        <v>490.5</v>
      </c>
      <c r="F39" s="470"/>
      <c r="G39" s="473">
        <f>E39</f>
        <v>490.5</v>
      </c>
      <c r="H39" s="470"/>
      <c r="I39" s="473">
        <f>G39</f>
        <v>490.5</v>
      </c>
      <c r="J39" s="470"/>
      <c r="K39" s="473">
        <f>I39</f>
        <v>490.5</v>
      </c>
      <c r="L39" s="470"/>
      <c r="M39" s="473">
        <f>E39</f>
        <v>490.5</v>
      </c>
      <c r="N39" s="470"/>
      <c r="O39" s="473">
        <f>E39</f>
        <v>490.5</v>
      </c>
      <c r="P39" s="470"/>
      <c r="Q39" s="473">
        <f>E39</f>
        <v>490.5</v>
      </c>
      <c r="R39" s="470">
        <f>D39+F39+H39+J39+L39+N39+P39</f>
        <v>0</v>
      </c>
      <c r="S39" s="644"/>
    </row>
    <row r="40" spans="1:25" ht="16.5" hidden="1" thickBot="1" x14ac:dyDescent="0.3">
      <c r="B40" s="1435"/>
      <c r="C40" s="659" t="s">
        <v>1014</v>
      </c>
      <c r="D40" s="4192">
        <f>E39*D39</f>
        <v>0</v>
      </c>
      <c r="E40" s="4193"/>
      <c r="F40" s="4192">
        <f>G39*F39</f>
        <v>0</v>
      </c>
      <c r="G40" s="4193"/>
      <c r="H40" s="4192">
        <f>I39*H39</f>
        <v>0</v>
      </c>
      <c r="I40" s="4193"/>
      <c r="J40" s="4192">
        <f>K39*J39</f>
        <v>0</v>
      </c>
      <c r="K40" s="4193"/>
      <c r="L40" s="4192">
        <f>M39*L39</f>
        <v>0</v>
      </c>
      <c r="M40" s="4193"/>
      <c r="N40" s="4192">
        <f>O39*N39</f>
        <v>0</v>
      </c>
      <c r="O40" s="4193"/>
      <c r="P40" s="4192">
        <f>Q39*P39</f>
        <v>0</v>
      </c>
      <c r="Q40" s="4193"/>
      <c r="R40" s="4192">
        <f>SUM(D40:Q40)</f>
        <v>0</v>
      </c>
      <c r="S40" s="4194"/>
    </row>
    <row r="41" spans="1:25" s="468" customFormat="1" ht="18.75" customHeight="1" thickBot="1" x14ac:dyDescent="0.3">
      <c r="A41" s="1437"/>
      <c r="B41" s="660"/>
      <c r="C41" s="661" t="s">
        <v>1019</v>
      </c>
      <c r="D41" s="4180">
        <f>D40+D36+D34+D32+D30+D28+D25+D23+D38</f>
        <v>11739.25</v>
      </c>
      <c r="E41" s="4173"/>
      <c r="F41" s="4172">
        <f>F40+F36+F34+F32+F30+F28+F25+F23+F38</f>
        <v>18698.5</v>
      </c>
      <c r="G41" s="4173"/>
      <c r="H41" s="4172">
        <f>H40+H36+H34+H32+H30+H28+H25+H23+H38</f>
        <v>0</v>
      </c>
      <c r="I41" s="4173"/>
      <c r="J41" s="4172">
        <f>J40+J36+J34+J32+J30+J28+J25+J23+J38</f>
        <v>510</v>
      </c>
      <c r="K41" s="4173"/>
      <c r="L41" s="4172">
        <f>L40+L36+L34+L32+L30+L28+L25+L23+L38</f>
        <v>0</v>
      </c>
      <c r="M41" s="4173"/>
      <c r="N41" s="4172">
        <f>N40+N36+N34+N32+N30+N28+N25+N23+N38</f>
        <v>2309.56</v>
      </c>
      <c r="O41" s="4173"/>
      <c r="P41" s="4172">
        <f>P40+P36+P34+P32+P30+P28+P25+P23+P38</f>
        <v>3810</v>
      </c>
      <c r="Q41" s="4173"/>
      <c r="R41" s="4174">
        <f>IF(D41+F41+H41+J41+L41+N41+P41=R38+R36+R34+R32+R30+R28+R25+R23,D41+F41+H41+J41+L41+N41+P41,"'ошибка'")</f>
        <v>37067.31</v>
      </c>
      <c r="S41" s="4175"/>
      <c r="T41" s="467"/>
    </row>
    <row r="43" spans="1:25" ht="15.6" customHeight="1" x14ac:dyDescent="0.25">
      <c r="A43" s="1413"/>
      <c r="B43" s="4151" t="s">
        <v>2581</v>
      </c>
      <c r="C43" s="4151"/>
      <c r="D43" s="4151"/>
      <c r="E43" s="4151"/>
      <c r="F43" s="4151"/>
      <c r="G43" s="4151"/>
      <c r="H43" s="4151"/>
      <c r="I43" s="4151"/>
      <c r="J43" s="4151"/>
      <c r="K43" s="4151"/>
      <c r="L43" s="4151"/>
      <c r="M43" s="4151"/>
      <c r="N43" s="4151"/>
      <c r="O43" s="4151"/>
      <c r="P43" s="4151"/>
      <c r="Q43" s="4151"/>
      <c r="R43" s="4151"/>
      <c r="S43" s="4151"/>
      <c r="T43" s="1414"/>
      <c r="U43" s="1412"/>
      <c r="V43" s="1412"/>
      <c r="W43" s="1412"/>
      <c r="X43" s="1412"/>
      <c r="Y43" s="1412"/>
    </row>
    <row r="44" spans="1:25" x14ac:dyDescent="0.25">
      <c r="Q44" s="455" t="s">
        <v>1043</v>
      </c>
    </row>
    <row r="46" spans="1:25" s="468" customFormat="1" ht="15.6" customHeight="1" x14ac:dyDescent="0.25">
      <c r="A46" s="1437"/>
      <c r="B46" s="4183" t="s">
        <v>1640</v>
      </c>
      <c r="C46" s="4183"/>
      <c r="D46" s="4183"/>
      <c r="E46" s="4183"/>
      <c r="F46" s="4183"/>
      <c r="G46" s="4183"/>
      <c r="H46" s="1058" t="str">
        <f>'Вхідні дані'!$F$5</f>
        <v>ЧФ ДП "АМПУ"</v>
      </c>
      <c r="I46" s="1058"/>
      <c r="J46" s="1059"/>
      <c r="K46" s="1059"/>
      <c r="L46" s="1433"/>
      <c r="M46" s="1433" t="s">
        <v>460</v>
      </c>
      <c r="N46" s="1439"/>
      <c r="O46" s="1059" t="str">
        <f>'Вхідні дані'!$F$6</f>
        <v>2022-2023</v>
      </c>
      <c r="P46" s="671" t="s">
        <v>647</v>
      </c>
      <c r="Q46" s="671"/>
      <c r="R46" s="671"/>
      <c r="S46" s="671"/>
      <c r="T46" s="467"/>
    </row>
    <row r="47" spans="1:25" ht="16.5" thickBot="1" x14ac:dyDescent="0.3">
      <c r="Q47" s="455" t="s">
        <v>992</v>
      </c>
    </row>
    <row r="48" spans="1:25" s="1439" customFormat="1" ht="16.5" thickBot="1" x14ac:dyDescent="0.3">
      <c r="B48" s="4184" t="s">
        <v>1009</v>
      </c>
      <c r="C48" s="4186" t="s">
        <v>1020</v>
      </c>
      <c r="D48" s="4176" t="s">
        <v>880</v>
      </c>
      <c r="E48" s="4177"/>
      <c r="F48" s="4178" t="s">
        <v>954</v>
      </c>
      <c r="G48" s="4179"/>
      <c r="H48" s="4178" t="s">
        <v>921</v>
      </c>
      <c r="I48" s="4179"/>
      <c r="J48" s="4178" t="s">
        <v>995</v>
      </c>
      <c r="K48" s="4179"/>
      <c r="L48" s="4178" t="s">
        <v>883</v>
      </c>
      <c r="M48" s="4179"/>
      <c r="N48" s="4178" t="s">
        <v>996</v>
      </c>
      <c r="O48" s="4179"/>
      <c r="P48" s="4178" t="s">
        <v>997</v>
      </c>
      <c r="Q48" s="4179"/>
      <c r="R48" s="4181" t="s">
        <v>998</v>
      </c>
      <c r="S48" s="4182"/>
    </row>
    <row r="49" spans="2:19" s="1439" customFormat="1" ht="16.5" thickBot="1" x14ac:dyDescent="0.3">
      <c r="B49" s="4185"/>
      <c r="C49" s="4187"/>
      <c r="D49" s="1931" t="s">
        <v>890</v>
      </c>
      <c r="E49" s="1931" t="s">
        <v>1011</v>
      </c>
      <c r="F49" s="1931" t="s">
        <v>890</v>
      </c>
      <c r="G49" s="1931" t="s">
        <v>1011</v>
      </c>
      <c r="H49" s="1931" t="s">
        <v>890</v>
      </c>
      <c r="I49" s="1931" t="s">
        <v>1011</v>
      </c>
      <c r="J49" s="1931" t="s">
        <v>890</v>
      </c>
      <c r="K49" s="1931" t="s">
        <v>1011</v>
      </c>
      <c r="L49" s="1931" t="s">
        <v>890</v>
      </c>
      <c r="M49" s="1931" t="s">
        <v>1011</v>
      </c>
      <c r="N49" s="1931" t="s">
        <v>890</v>
      </c>
      <c r="O49" s="1931" t="s">
        <v>1011</v>
      </c>
      <c r="P49" s="1931" t="s">
        <v>890</v>
      </c>
      <c r="Q49" s="1931" t="s">
        <v>1011</v>
      </c>
      <c r="R49" s="1444"/>
      <c r="S49" s="1445" t="s">
        <v>1814</v>
      </c>
    </row>
    <row r="50" spans="2:19" s="1439" customFormat="1" x14ac:dyDescent="0.25">
      <c r="B50" s="4163">
        <v>1</v>
      </c>
      <c r="C50" s="1446" t="s">
        <v>2287</v>
      </c>
      <c r="D50" s="662">
        <v>11</v>
      </c>
      <c r="E50" s="663">
        <v>556.66999999999996</v>
      </c>
      <c r="F50" s="523">
        <v>25</v>
      </c>
      <c r="G50" s="523">
        <v>556.66999999999996</v>
      </c>
      <c r="H50" s="523"/>
      <c r="I50" s="523"/>
      <c r="J50" s="523">
        <v>1</v>
      </c>
      <c r="K50" s="523">
        <v>556.66999999999996</v>
      </c>
      <c r="L50" s="523">
        <v>3</v>
      </c>
      <c r="M50" s="523">
        <v>556.66999999999996</v>
      </c>
      <c r="N50" s="523">
        <v>5</v>
      </c>
      <c r="O50" s="523">
        <v>556.66999999999996</v>
      </c>
      <c r="P50" s="523">
        <v>3</v>
      </c>
      <c r="Q50" s="523">
        <v>556.66999999999996</v>
      </c>
      <c r="R50" s="523">
        <f t="shared" ref="R50:R114" si="2">D50+F50+H50+J50+L50+N50+P50</f>
        <v>48</v>
      </c>
      <c r="S50" s="524">
        <f>R51/R50</f>
        <v>556.66999999999996</v>
      </c>
    </row>
    <row r="51" spans="2:19" s="1439" customFormat="1" ht="16.5" thickBot="1" x14ac:dyDescent="0.3">
      <c r="B51" s="4164"/>
      <c r="C51" s="665" t="s">
        <v>1021</v>
      </c>
      <c r="D51" s="4165">
        <f>D50*E50</f>
        <v>6123.37</v>
      </c>
      <c r="E51" s="4166"/>
      <c r="F51" s="4165">
        <f>F50*G50</f>
        <v>13916.75</v>
      </c>
      <c r="G51" s="4166"/>
      <c r="H51" s="4165">
        <f>H50*I50</f>
        <v>0</v>
      </c>
      <c r="I51" s="4166"/>
      <c r="J51" s="4165">
        <f>J50*K50</f>
        <v>556.66999999999996</v>
      </c>
      <c r="K51" s="4166"/>
      <c r="L51" s="4165">
        <f>L50*M50</f>
        <v>1670.01</v>
      </c>
      <c r="M51" s="4166"/>
      <c r="N51" s="4165">
        <f>N50*O50</f>
        <v>2783.35</v>
      </c>
      <c r="O51" s="4166"/>
      <c r="P51" s="4165">
        <f>P50*Q50</f>
        <v>1670.01</v>
      </c>
      <c r="Q51" s="4166"/>
      <c r="R51" s="4167">
        <f>D51+F51+H51+J51+L51+N51+P51</f>
        <v>26720.16</v>
      </c>
      <c r="S51" s="4168"/>
    </row>
    <row r="52" spans="2:19" s="1439" customFormat="1" ht="28.5" x14ac:dyDescent="0.25">
      <c r="B52" s="4163">
        <f>B50+1</f>
        <v>2</v>
      </c>
      <c r="C52" s="668" t="s">
        <v>2288</v>
      </c>
      <c r="D52" s="662">
        <v>11</v>
      </c>
      <c r="E52" s="662">
        <v>566.66999999999996</v>
      </c>
      <c r="F52" s="523">
        <v>25</v>
      </c>
      <c r="G52" s="523">
        <v>566.66999999999996</v>
      </c>
      <c r="H52" s="523"/>
      <c r="I52" s="523"/>
      <c r="J52" s="523">
        <v>1</v>
      </c>
      <c r="K52" s="523">
        <v>566.66999999999996</v>
      </c>
      <c r="L52" s="523">
        <v>3</v>
      </c>
      <c r="M52" s="523">
        <v>566.66999999999996</v>
      </c>
      <c r="N52" s="523">
        <v>5</v>
      </c>
      <c r="O52" s="523">
        <v>566.66999999999996</v>
      </c>
      <c r="P52" s="523">
        <v>3</v>
      </c>
      <c r="Q52" s="523">
        <v>566.66999999999996</v>
      </c>
      <c r="R52" s="523">
        <f t="shared" si="2"/>
        <v>48</v>
      </c>
      <c r="S52" s="524">
        <f>R53/R52</f>
        <v>566.66999999999996</v>
      </c>
    </row>
    <row r="53" spans="2:19" s="1439" customFormat="1" ht="16.5" thickBot="1" x14ac:dyDescent="0.3">
      <c r="B53" s="4164"/>
      <c r="C53" s="665" t="s">
        <v>1021</v>
      </c>
      <c r="D53" s="4165">
        <f>D52*E52</f>
        <v>6233.37</v>
      </c>
      <c r="E53" s="4166"/>
      <c r="F53" s="4165">
        <f>F52*G52</f>
        <v>14166.75</v>
      </c>
      <c r="G53" s="4166"/>
      <c r="H53" s="4165">
        <f>H52*I52</f>
        <v>0</v>
      </c>
      <c r="I53" s="4166"/>
      <c r="J53" s="4165">
        <f>J52*K52</f>
        <v>566.66999999999996</v>
      </c>
      <c r="K53" s="4166"/>
      <c r="L53" s="4165">
        <f>L52*M52</f>
        <v>1700.01</v>
      </c>
      <c r="M53" s="4166"/>
      <c r="N53" s="4165">
        <f>N52*O52</f>
        <v>2833.35</v>
      </c>
      <c r="O53" s="4166"/>
      <c r="P53" s="4165">
        <f>P52*Q52</f>
        <v>1700.01</v>
      </c>
      <c r="Q53" s="4166"/>
      <c r="R53" s="4167">
        <f>D53+F53+H53+J53+L53+N53+P53</f>
        <v>27200.16</v>
      </c>
      <c r="S53" s="4168"/>
    </row>
    <row r="54" spans="2:19" s="1439" customFormat="1" x14ac:dyDescent="0.25">
      <c r="B54" s="4163">
        <f>B52+1</f>
        <v>3</v>
      </c>
      <c r="C54" s="668" t="s">
        <v>1022</v>
      </c>
      <c r="D54" s="662">
        <v>2</v>
      </c>
      <c r="E54" s="662">
        <v>1085.42</v>
      </c>
      <c r="F54" s="523">
        <v>3</v>
      </c>
      <c r="G54" s="523">
        <v>1085.42</v>
      </c>
      <c r="H54" s="523"/>
      <c r="I54" s="523"/>
      <c r="J54" s="523"/>
      <c r="K54" s="523"/>
      <c r="L54" s="523"/>
      <c r="M54" s="523"/>
      <c r="N54" s="523"/>
      <c r="O54" s="523"/>
      <c r="P54" s="523"/>
      <c r="Q54" s="523"/>
      <c r="R54" s="523">
        <f t="shared" si="2"/>
        <v>5</v>
      </c>
      <c r="S54" s="524">
        <f>R55/R54</f>
        <v>1085.42</v>
      </c>
    </row>
    <row r="55" spans="2:19" s="1439" customFormat="1" ht="16.5" thickBot="1" x14ac:dyDescent="0.3">
      <c r="B55" s="4164"/>
      <c r="C55" s="665" t="s">
        <v>1021</v>
      </c>
      <c r="D55" s="4165">
        <f>D54*E54</f>
        <v>2170.84</v>
      </c>
      <c r="E55" s="4166"/>
      <c r="F55" s="4165">
        <f>F54*G54</f>
        <v>3256.26</v>
      </c>
      <c r="G55" s="4166"/>
      <c r="H55" s="4165">
        <f>H54*I54</f>
        <v>0</v>
      </c>
      <c r="I55" s="4166"/>
      <c r="J55" s="4165">
        <f>J54*K54</f>
        <v>0</v>
      </c>
      <c r="K55" s="4166"/>
      <c r="L55" s="4165">
        <f>L54*M54</f>
        <v>0</v>
      </c>
      <c r="M55" s="4166"/>
      <c r="N55" s="4165">
        <f>N54*O54</f>
        <v>0</v>
      </c>
      <c r="O55" s="4166"/>
      <c r="P55" s="4165">
        <f>P54*Q54</f>
        <v>0</v>
      </c>
      <c r="Q55" s="4166"/>
      <c r="R55" s="4167">
        <f>D55+F55+H55+J55+L55+N55+P55</f>
        <v>5427.1</v>
      </c>
      <c r="S55" s="4168"/>
    </row>
    <row r="56" spans="2:19" s="1439" customFormat="1" x14ac:dyDescent="0.25">
      <c r="B56" s="4163">
        <f>B54+1</f>
        <v>4</v>
      </c>
      <c r="C56" s="668" t="s">
        <v>2289</v>
      </c>
      <c r="D56" s="662">
        <v>2</v>
      </c>
      <c r="E56" s="662">
        <v>683.33</v>
      </c>
      <c r="F56" s="523">
        <v>3</v>
      </c>
      <c r="G56" s="523">
        <v>683.33</v>
      </c>
      <c r="H56" s="523"/>
      <c r="I56" s="523"/>
      <c r="J56" s="523"/>
      <c r="K56" s="523"/>
      <c r="L56" s="523"/>
      <c r="M56" s="523"/>
      <c r="N56" s="523"/>
      <c r="O56" s="523"/>
      <c r="P56" s="523"/>
      <c r="Q56" s="523"/>
      <c r="R56" s="523">
        <f t="shared" si="2"/>
        <v>5</v>
      </c>
      <c r="S56" s="524">
        <f>R57/R56</f>
        <v>683.33</v>
      </c>
    </row>
    <row r="57" spans="2:19" s="1439" customFormat="1" ht="16.5" thickBot="1" x14ac:dyDescent="0.3">
      <c r="B57" s="4164"/>
      <c r="C57" s="665" t="s">
        <v>1021</v>
      </c>
      <c r="D57" s="4165">
        <f>D56*E56</f>
        <v>1366.66</v>
      </c>
      <c r="E57" s="4166"/>
      <c r="F57" s="4165">
        <f>F56*G56</f>
        <v>2049.9899999999998</v>
      </c>
      <c r="G57" s="4166"/>
      <c r="H57" s="4165">
        <f>H56*I56</f>
        <v>0</v>
      </c>
      <c r="I57" s="4166"/>
      <c r="J57" s="4165">
        <f>J56*K56</f>
        <v>0</v>
      </c>
      <c r="K57" s="4166"/>
      <c r="L57" s="4165">
        <f>L56*M56</f>
        <v>0</v>
      </c>
      <c r="M57" s="4166"/>
      <c r="N57" s="4165">
        <f>N56*O56</f>
        <v>0</v>
      </c>
      <c r="O57" s="4166"/>
      <c r="P57" s="4165">
        <f>P56*Q56</f>
        <v>0</v>
      </c>
      <c r="Q57" s="4166"/>
      <c r="R57" s="4167">
        <f>D57+F57+H57+J57+L57+N57+P57</f>
        <v>3416.65</v>
      </c>
      <c r="S57" s="4168"/>
    </row>
    <row r="58" spans="2:19" s="1439" customFormat="1" x14ac:dyDescent="0.25">
      <c r="B58" s="4163">
        <f>B56+1</f>
        <v>5</v>
      </c>
      <c r="C58" s="668" t="s">
        <v>2290</v>
      </c>
      <c r="D58" s="662">
        <v>4</v>
      </c>
      <c r="E58" s="662">
        <v>916.65</v>
      </c>
      <c r="F58" s="523">
        <v>1</v>
      </c>
      <c r="G58" s="523">
        <v>916.65</v>
      </c>
      <c r="H58" s="523"/>
      <c r="I58" s="523"/>
      <c r="J58" s="523"/>
      <c r="K58" s="523"/>
      <c r="L58" s="523"/>
      <c r="M58" s="523"/>
      <c r="N58" s="523"/>
      <c r="O58" s="523"/>
      <c r="P58" s="523"/>
      <c r="Q58" s="523"/>
      <c r="R58" s="523">
        <f t="shared" si="2"/>
        <v>5</v>
      </c>
      <c r="S58" s="524">
        <f>R59/R58</f>
        <v>916.65</v>
      </c>
    </row>
    <row r="59" spans="2:19" s="1439" customFormat="1" ht="16.5" thickBot="1" x14ac:dyDescent="0.3">
      <c r="B59" s="4164"/>
      <c r="C59" s="665" t="s">
        <v>1021</v>
      </c>
      <c r="D59" s="4165">
        <f>D58*E58</f>
        <v>3666.6</v>
      </c>
      <c r="E59" s="4166"/>
      <c r="F59" s="4165">
        <f>F58*G58</f>
        <v>916.65</v>
      </c>
      <c r="G59" s="4166"/>
      <c r="H59" s="4165">
        <f>H58*I58</f>
        <v>0</v>
      </c>
      <c r="I59" s="4166"/>
      <c r="J59" s="4165">
        <f>J58*K58</f>
        <v>0</v>
      </c>
      <c r="K59" s="4166"/>
      <c r="L59" s="4165">
        <f>L58*M58</f>
        <v>0</v>
      </c>
      <c r="M59" s="4166"/>
      <c r="N59" s="4165">
        <f>N58*O58</f>
        <v>0</v>
      </c>
      <c r="O59" s="4166"/>
      <c r="P59" s="4165">
        <f>P58*Q58</f>
        <v>0</v>
      </c>
      <c r="Q59" s="4166"/>
      <c r="R59" s="4167">
        <f>D59+F59+H59+J59+L59+N59+P59</f>
        <v>4583.25</v>
      </c>
      <c r="S59" s="4168"/>
    </row>
    <row r="60" spans="2:19" s="1439" customFormat="1" x14ac:dyDescent="0.25">
      <c r="B60" s="4163">
        <f>B58+1</f>
        <v>6</v>
      </c>
      <c r="C60" s="668" t="s">
        <v>2291</v>
      </c>
      <c r="D60" s="662">
        <v>2</v>
      </c>
      <c r="E60" s="662">
        <v>657.48</v>
      </c>
      <c r="F60" s="523">
        <v>1</v>
      </c>
      <c r="G60" s="523">
        <v>657.48</v>
      </c>
      <c r="H60" s="523"/>
      <c r="I60" s="523"/>
      <c r="J60" s="523"/>
      <c r="K60" s="523"/>
      <c r="L60" s="523"/>
      <c r="M60" s="523"/>
      <c r="N60" s="523">
        <v>1</v>
      </c>
      <c r="O60" s="523">
        <v>657.48</v>
      </c>
      <c r="P60" s="523"/>
      <c r="Q60" s="523"/>
      <c r="R60" s="523">
        <f t="shared" si="2"/>
        <v>4</v>
      </c>
      <c r="S60" s="524">
        <f>R61/R60</f>
        <v>657.48</v>
      </c>
    </row>
    <row r="61" spans="2:19" s="1439" customFormat="1" ht="16.5" thickBot="1" x14ac:dyDescent="0.3">
      <c r="B61" s="4164"/>
      <c r="C61" s="665" t="s">
        <v>1021</v>
      </c>
      <c r="D61" s="4165">
        <f>D60*E60</f>
        <v>1314.96</v>
      </c>
      <c r="E61" s="4166"/>
      <c r="F61" s="4165">
        <f>F60*G60</f>
        <v>657.48</v>
      </c>
      <c r="G61" s="4166"/>
      <c r="H61" s="4165">
        <f>H60*I60</f>
        <v>0</v>
      </c>
      <c r="I61" s="4166"/>
      <c r="J61" s="4165">
        <f>J60*K60</f>
        <v>0</v>
      </c>
      <c r="K61" s="4166"/>
      <c r="L61" s="4165">
        <f>L60*M60</f>
        <v>0</v>
      </c>
      <c r="M61" s="4166"/>
      <c r="N61" s="4165">
        <f>N60*O60</f>
        <v>657.48</v>
      </c>
      <c r="O61" s="4166"/>
      <c r="P61" s="4165">
        <f>P60*Q60</f>
        <v>0</v>
      </c>
      <c r="Q61" s="4166"/>
      <c r="R61" s="4167">
        <f>D61+F61+H61+J61+L61+N61+P61</f>
        <v>2629.92</v>
      </c>
      <c r="S61" s="4168"/>
    </row>
    <row r="62" spans="2:19" s="1439" customFormat="1" x14ac:dyDescent="0.25">
      <c r="B62" s="4163">
        <f>B60+1</f>
        <v>7</v>
      </c>
      <c r="C62" s="668" t="s">
        <v>2292</v>
      </c>
      <c r="D62" s="662">
        <v>4</v>
      </c>
      <c r="E62" s="662">
        <v>404.15</v>
      </c>
      <c r="F62" s="523"/>
      <c r="G62" s="523"/>
      <c r="H62" s="523"/>
      <c r="I62" s="523"/>
      <c r="J62" s="523"/>
      <c r="K62" s="523"/>
      <c r="L62" s="523"/>
      <c r="M62" s="523"/>
      <c r="N62" s="523"/>
      <c r="O62" s="523"/>
      <c r="P62" s="523"/>
      <c r="Q62" s="523"/>
      <c r="R62" s="523">
        <f t="shared" si="2"/>
        <v>4</v>
      </c>
      <c r="S62" s="524">
        <f>R63/R62</f>
        <v>404.15</v>
      </c>
    </row>
    <row r="63" spans="2:19" s="1439" customFormat="1" ht="16.5" thickBot="1" x14ac:dyDescent="0.3">
      <c r="B63" s="4171"/>
      <c r="C63" s="667" t="s">
        <v>1021</v>
      </c>
      <c r="D63" s="4219">
        <f>D62*E62</f>
        <v>1616.6</v>
      </c>
      <c r="E63" s="4220"/>
      <c r="F63" s="4219">
        <f>F62*G62</f>
        <v>0</v>
      </c>
      <c r="G63" s="4220"/>
      <c r="H63" s="4219">
        <f>H62*I62</f>
        <v>0</v>
      </c>
      <c r="I63" s="4220"/>
      <c r="J63" s="4219">
        <f>J62*K62</f>
        <v>0</v>
      </c>
      <c r="K63" s="4220"/>
      <c r="L63" s="4219">
        <f>L62*M62</f>
        <v>0</v>
      </c>
      <c r="M63" s="4220"/>
      <c r="N63" s="4219">
        <f>N62*O62</f>
        <v>0</v>
      </c>
      <c r="O63" s="4220"/>
      <c r="P63" s="4219">
        <f>P62*Q62</f>
        <v>0</v>
      </c>
      <c r="Q63" s="4220"/>
      <c r="R63" s="4167">
        <f>D63+F63+H63+J63+L63+N63+P63</f>
        <v>1616.6</v>
      </c>
      <c r="S63" s="4168"/>
    </row>
    <row r="64" spans="2:19" s="1439" customFormat="1" x14ac:dyDescent="0.25">
      <c r="B64" s="4163">
        <v>8</v>
      </c>
      <c r="C64" s="1447" t="s">
        <v>2293</v>
      </c>
      <c r="D64" s="1448">
        <v>0</v>
      </c>
      <c r="E64" s="1449">
        <v>958.3</v>
      </c>
      <c r="F64" s="1449"/>
      <c r="G64" s="1449"/>
      <c r="H64" s="1449"/>
      <c r="I64" s="1449"/>
      <c r="J64" s="1449"/>
      <c r="K64" s="1449"/>
      <c r="L64" s="1449"/>
      <c r="M64" s="1449"/>
      <c r="N64" s="1448">
        <v>2</v>
      </c>
      <c r="O64" s="1449">
        <v>958.3</v>
      </c>
      <c r="P64" s="1448">
        <v>1</v>
      </c>
      <c r="Q64" s="1449">
        <v>958.3</v>
      </c>
      <c r="R64" s="523">
        <f t="shared" si="2"/>
        <v>3</v>
      </c>
      <c r="S64" s="524">
        <f>R65/R64</f>
        <v>958.3</v>
      </c>
    </row>
    <row r="65" spans="2:19" s="1439" customFormat="1" ht="16.5" thickBot="1" x14ac:dyDescent="0.3">
      <c r="B65" s="4164"/>
      <c r="C65" s="1450" t="s">
        <v>2294</v>
      </c>
      <c r="D65" s="4167"/>
      <c r="E65" s="4167"/>
      <c r="F65" s="4167"/>
      <c r="G65" s="4167"/>
      <c r="H65" s="4167"/>
      <c r="I65" s="4167"/>
      <c r="J65" s="4167"/>
      <c r="K65" s="4167"/>
      <c r="L65" s="4167"/>
      <c r="M65" s="4167"/>
      <c r="N65" s="4167">
        <f>N64*O64</f>
        <v>1916.6</v>
      </c>
      <c r="O65" s="4167"/>
      <c r="P65" s="4167">
        <v>958.3</v>
      </c>
      <c r="Q65" s="4167"/>
      <c r="R65" s="4167">
        <f>D65+F65+H65+J65+L65+N65+P65</f>
        <v>2874.9</v>
      </c>
      <c r="S65" s="4168"/>
    </row>
    <row r="66" spans="2:19" s="1439" customFormat="1" x14ac:dyDescent="0.25">
      <c r="B66" s="4171">
        <v>9</v>
      </c>
      <c r="C66" s="1446" t="s">
        <v>1023</v>
      </c>
      <c r="D66" s="663">
        <v>25</v>
      </c>
      <c r="E66" s="663">
        <v>585</v>
      </c>
      <c r="F66" s="525">
        <v>43</v>
      </c>
      <c r="G66" s="525">
        <v>585</v>
      </c>
      <c r="H66" s="525"/>
      <c r="I66" s="525"/>
      <c r="J66" s="525"/>
      <c r="K66" s="525"/>
      <c r="L66" s="525">
        <v>4</v>
      </c>
      <c r="M66" s="525">
        <v>585</v>
      </c>
      <c r="N66" s="525">
        <v>6</v>
      </c>
      <c r="O66" s="525">
        <v>585</v>
      </c>
      <c r="P66" s="525">
        <v>3</v>
      </c>
      <c r="Q66" s="525">
        <v>585</v>
      </c>
      <c r="R66" s="525">
        <f t="shared" si="2"/>
        <v>81</v>
      </c>
      <c r="S66" s="526">
        <f>R67/R66</f>
        <v>585</v>
      </c>
    </row>
    <row r="67" spans="2:19" s="1439" customFormat="1" ht="16.5" thickBot="1" x14ac:dyDescent="0.3">
      <c r="B67" s="4164"/>
      <c r="C67" s="665" t="s">
        <v>1021</v>
      </c>
      <c r="D67" s="4165">
        <f>D66*E66</f>
        <v>14625</v>
      </c>
      <c r="E67" s="4166"/>
      <c r="F67" s="4165">
        <f>F66*G66</f>
        <v>25155</v>
      </c>
      <c r="G67" s="4166"/>
      <c r="H67" s="4165">
        <f>H66*I66</f>
        <v>0</v>
      </c>
      <c r="I67" s="4166"/>
      <c r="J67" s="4165">
        <f>J66*K66</f>
        <v>0</v>
      </c>
      <c r="K67" s="4166"/>
      <c r="L67" s="4165">
        <f>L66*M66</f>
        <v>2340</v>
      </c>
      <c r="M67" s="4166"/>
      <c r="N67" s="4165">
        <f>N66*O66</f>
        <v>3510</v>
      </c>
      <c r="O67" s="4166"/>
      <c r="P67" s="4165">
        <f>P66*Q66</f>
        <v>1755</v>
      </c>
      <c r="Q67" s="4166"/>
      <c r="R67" s="4167">
        <f>D67+F67+H67+J67+L67+N67+P67</f>
        <v>47385</v>
      </c>
      <c r="S67" s="4168"/>
    </row>
    <row r="68" spans="2:19" s="1439" customFormat="1" x14ac:dyDescent="0.25">
      <c r="B68" s="4163">
        <f>B66+1</f>
        <v>10</v>
      </c>
      <c r="C68" s="668" t="s">
        <v>2295</v>
      </c>
      <c r="D68" s="662">
        <v>6</v>
      </c>
      <c r="E68" s="662">
        <v>158.30000000000001</v>
      </c>
      <c r="F68" s="523"/>
      <c r="G68" s="523"/>
      <c r="H68" s="523"/>
      <c r="I68" s="523"/>
      <c r="J68" s="523"/>
      <c r="K68" s="523"/>
      <c r="L68" s="523"/>
      <c r="M68" s="523"/>
      <c r="N68" s="523"/>
      <c r="O68" s="523"/>
      <c r="P68" s="523"/>
      <c r="Q68" s="523"/>
      <c r="R68" s="523">
        <f t="shared" si="2"/>
        <v>6</v>
      </c>
      <c r="S68" s="524">
        <f>R69/R68</f>
        <v>158.30000000000001</v>
      </c>
    </row>
    <row r="69" spans="2:19" s="1439" customFormat="1" ht="16.5" thickBot="1" x14ac:dyDescent="0.3">
      <c r="B69" s="4164"/>
      <c r="C69" s="665" t="s">
        <v>1021</v>
      </c>
      <c r="D69" s="4165">
        <f>D68*E68</f>
        <v>949.8</v>
      </c>
      <c r="E69" s="4166"/>
      <c r="F69" s="4165">
        <f>F68*G68</f>
        <v>0</v>
      </c>
      <c r="G69" s="4166"/>
      <c r="H69" s="4165">
        <f>H68*I68</f>
        <v>0</v>
      </c>
      <c r="I69" s="4166"/>
      <c r="J69" s="4165">
        <f>J68*K68</f>
        <v>0</v>
      </c>
      <c r="K69" s="4166"/>
      <c r="L69" s="4165">
        <f>L68*M68</f>
        <v>0</v>
      </c>
      <c r="M69" s="4166"/>
      <c r="N69" s="4165">
        <f>N68*O68</f>
        <v>0</v>
      </c>
      <c r="O69" s="4166"/>
      <c r="P69" s="4165">
        <f>P68*Q68</f>
        <v>0</v>
      </c>
      <c r="Q69" s="4166"/>
      <c r="R69" s="4167">
        <f>D69+F69+H69+J69+L69+N69+P69</f>
        <v>949.8</v>
      </c>
      <c r="S69" s="4168"/>
    </row>
    <row r="70" spans="2:19" s="1439" customFormat="1" ht="28.5" x14ac:dyDescent="0.25">
      <c r="B70" s="4163">
        <f>B68+1</f>
        <v>11</v>
      </c>
      <c r="C70" s="668" t="s">
        <v>1024</v>
      </c>
      <c r="D70" s="662">
        <v>1</v>
      </c>
      <c r="E70" s="662">
        <v>187.45</v>
      </c>
      <c r="F70" s="523">
        <v>9</v>
      </c>
      <c r="G70" s="523">
        <v>187.45</v>
      </c>
      <c r="H70" s="523"/>
      <c r="I70" s="523"/>
      <c r="J70" s="523"/>
      <c r="K70" s="523"/>
      <c r="L70" s="523"/>
      <c r="M70" s="523"/>
      <c r="N70" s="523"/>
      <c r="O70" s="523"/>
      <c r="P70" s="523"/>
      <c r="Q70" s="523"/>
      <c r="R70" s="523">
        <f t="shared" si="2"/>
        <v>10</v>
      </c>
      <c r="S70" s="524">
        <f>R71/R70</f>
        <v>187.45</v>
      </c>
    </row>
    <row r="71" spans="2:19" s="1439" customFormat="1" ht="16.5" thickBot="1" x14ac:dyDescent="0.3">
      <c r="B71" s="4164"/>
      <c r="C71" s="665" t="s">
        <v>1021</v>
      </c>
      <c r="D71" s="4165">
        <f>D70*E70</f>
        <v>187.45</v>
      </c>
      <c r="E71" s="4166"/>
      <c r="F71" s="4165">
        <f>F70*G70</f>
        <v>1687.05</v>
      </c>
      <c r="G71" s="4166"/>
      <c r="H71" s="4165">
        <f>H70*I70</f>
        <v>0</v>
      </c>
      <c r="I71" s="4166"/>
      <c r="J71" s="4165">
        <f>J70*K70</f>
        <v>0</v>
      </c>
      <c r="K71" s="4166"/>
      <c r="L71" s="4165">
        <f>L70*M70</f>
        <v>0</v>
      </c>
      <c r="M71" s="4166"/>
      <c r="N71" s="4165">
        <f>N70*O70</f>
        <v>0</v>
      </c>
      <c r="O71" s="4166"/>
      <c r="P71" s="4165">
        <f>P70*Q70</f>
        <v>0</v>
      </c>
      <c r="Q71" s="4166"/>
      <c r="R71" s="4167">
        <f>D71+F71+H71+J71+L71+N71+P71</f>
        <v>1874.5</v>
      </c>
      <c r="S71" s="4168"/>
    </row>
    <row r="72" spans="2:19" s="1439" customFormat="1" x14ac:dyDescent="0.25">
      <c r="B72" s="4163">
        <f>B70+1</f>
        <v>12</v>
      </c>
      <c r="C72" s="1446" t="s">
        <v>1025</v>
      </c>
      <c r="D72" s="663"/>
      <c r="E72" s="525"/>
      <c r="F72" s="525">
        <v>3</v>
      </c>
      <c r="G72" s="525">
        <v>58.3</v>
      </c>
      <c r="H72" s="525"/>
      <c r="I72" s="525"/>
      <c r="J72" s="525"/>
      <c r="K72" s="525"/>
      <c r="L72" s="525"/>
      <c r="M72" s="525"/>
      <c r="N72" s="525">
        <v>2</v>
      </c>
      <c r="O72" s="525">
        <v>58.3</v>
      </c>
      <c r="P72" s="525"/>
      <c r="Q72" s="525"/>
      <c r="R72" s="525">
        <f t="shared" si="2"/>
        <v>5</v>
      </c>
      <c r="S72" s="524">
        <f>R73/R72</f>
        <v>58.3</v>
      </c>
    </row>
    <row r="73" spans="2:19" s="1439" customFormat="1" ht="16.5" thickBot="1" x14ac:dyDescent="0.3">
      <c r="B73" s="4164"/>
      <c r="C73" s="667" t="s">
        <v>1021</v>
      </c>
      <c r="D73" s="4165">
        <f>D72*E72</f>
        <v>0</v>
      </c>
      <c r="E73" s="4166"/>
      <c r="F73" s="4165">
        <f>F72*G72</f>
        <v>174.9</v>
      </c>
      <c r="G73" s="4166"/>
      <c r="H73" s="4165">
        <f>H72*I72</f>
        <v>0</v>
      </c>
      <c r="I73" s="4166"/>
      <c r="J73" s="4165">
        <f>J72*K72</f>
        <v>0</v>
      </c>
      <c r="K73" s="4166"/>
      <c r="L73" s="4165">
        <f>L72*M72</f>
        <v>0</v>
      </c>
      <c r="M73" s="4166"/>
      <c r="N73" s="4165">
        <f>N72*O72</f>
        <v>116.6</v>
      </c>
      <c r="O73" s="4166"/>
      <c r="P73" s="4165">
        <f>P72*Q72</f>
        <v>0</v>
      </c>
      <c r="Q73" s="4166"/>
      <c r="R73" s="4167">
        <f>D73+F73+H73+J73+L73+N73+P73</f>
        <v>291.5</v>
      </c>
      <c r="S73" s="4168"/>
    </row>
    <row r="74" spans="2:19" s="1439" customFormat="1" x14ac:dyDescent="0.25">
      <c r="B74" s="4163">
        <f>B72+1</f>
        <v>13</v>
      </c>
      <c r="C74" s="668" t="s">
        <v>1036</v>
      </c>
      <c r="D74" s="662">
        <v>25</v>
      </c>
      <c r="E74" s="662">
        <v>90.73</v>
      </c>
      <c r="F74" s="523">
        <v>22</v>
      </c>
      <c r="G74" s="523">
        <v>90.73</v>
      </c>
      <c r="H74" s="523"/>
      <c r="I74" s="523"/>
      <c r="J74" s="523"/>
      <c r="K74" s="523"/>
      <c r="L74" s="523">
        <v>3</v>
      </c>
      <c r="M74" s="523">
        <v>90.73</v>
      </c>
      <c r="N74" s="523"/>
      <c r="O74" s="523"/>
      <c r="P74" s="523"/>
      <c r="Q74" s="523"/>
      <c r="R74" s="523">
        <f t="shared" si="2"/>
        <v>50</v>
      </c>
      <c r="S74" s="524"/>
    </row>
    <row r="75" spans="2:19" s="1439" customFormat="1" ht="16.5" thickBot="1" x14ac:dyDescent="0.3">
      <c r="B75" s="4164"/>
      <c r="C75" s="665" t="s">
        <v>1021</v>
      </c>
      <c r="D75" s="4165">
        <f>D74*E74</f>
        <v>2268.25</v>
      </c>
      <c r="E75" s="4166"/>
      <c r="F75" s="4165">
        <f>F74*G74</f>
        <v>1996.06</v>
      </c>
      <c r="G75" s="4166"/>
      <c r="H75" s="4165">
        <f>H74*I74</f>
        <v>0</v>
      </c>
      <c r="I75" s="4166"/>
      <c r="J75" s="4165">
        <f>J74*K74</f>
        <v>0</v>
      </c>
      <c r="K75" s="4166"/>
      <c r="L75" s="4165">
        <f>L74*M74</f>
        <v>272.19</v>
      </c>
      <c r="M75" s="4166"/>
      <c r="N75" s="4165">
        <f>N74*O74</f>
        <v>0</v>
      </c>
      <c r="O75" s="4166"/>
      <c r="P75" s="4165">
        <f>P74*Q74</f>
        <v>0</v>
      </c>
      <c r="Q75" s="4166"/>
      <c r="R75" s="4167">
        <f>D75+F75+H75+J75+L75+N75+P75</f>
        <v>4536.5</v>
      </c>
      <c r="S75" s="4168"/>
    </row>
    <row r="76" spans="2:19" s="1439" customFormat="1" x14ac:dyDescent="0.25">
      <c r="B76" s="4163">
        <f>B74+1</f>
        <v>14</v>
      </c>
      <c r="C76" s="668" t="s">
        <v>2296</v>
      </c>
      <c r="D76" s="662">
        <v>2</v>
      </c>
      <c r="E76" s="662">
        <v>123.2</v>
      </c>
      <c r="F76" s="523">
        <v>1</v>
      </c>
      <c r="G76" s="523">
        <v>123.2</v>
      </c>
      <c r="H76" s="523"/>
      <c r="I76" s="523"/>
      <c r="J76" s="523"/>
      <c r="K76" s="523"/>
      <c r="L76" s="523"/>
      <c r="M76" s="523"/>
      <c r="N76" s="523"/>
      <c r="O76" s="523"/>
      <c r="P76" s="523"/>
      <c r="Q76" s="523"/>
      <c r="R76" s="523">
        <f t="shared" si="2"/>
        <v>3</v>
      </c>
      <c r="S76" s="524">
        <f>R77/R76</f>
        <v>123.2</v>
      </c>
    </row>
    <row r="77" spans="2:19" s="1439" customFormat="1" ht="16.5" thickBot="1" x14ac:dyDescent="0.3">
      <c r="B77" s="4164"/>
      <c r="C77" s="665" t="s">
        <v>1021</v>
      </c>
      <c r="D77" s="4165">
        <f>D76*E76</f>
        <v>246.4</v>
      </c>
      <c r="E77" s="4166"/>
      <c r="F77" s="4165">
        <f>F76*G76</f>
        <v>123.2</v>
      </c>
      <c r="G77" s="4166"/>
      <c r="H77" s="4165">
        <f>H76*I76</f>
        <v>0</v>
      </c>
      <c r="I77" s="4166"/>
      <c r="J77" s="4165">
        <f>J76*K76</f>
        <v>0</v>
      </c>
      <c r="K77" s="4166"/>
      <c r="L77" s="4165">
        <f>L76*M76</f>
        <v>0</v>
      </c>
      <c r="M77" s="4166"/>
      <c r="N77" s="4165">
        <f>N76*O76</f>
        <v>0</v>
      </c>
      <c r="O77" s="4166"/>
      <c r="P77" s="4165">
        <f>P76*Q76</f>
        <v>0</v>
      </c>
      <c r="Q77" s="4166"/>
      <c r="R77" s="4167">
        <f>D77+F77+H77+J77+L77+N77+P77</f>
        <v>369.6</v>
      </c>
      <c r="S77" s="4168"/>
    </row>
    <row r="78" spans="2:19" s="1439" customFormat="1" x14ac:dyDescent="0.25">
      <c r="B78" s="4163">
        <f>B76+1</f>
        <v>15</v>
      </c>
      <c r="C78" s="668" t="s">
        <v>2297</v>
      </c>
      <c r="D78" s="662">
        <v>18</v>
      </c>
      <c r="E78" s="662">
        <v>383.3</v>
      </c>
      <c r="F78" s="523">
        <v>16</v>
      </c>
      <c r="G78" s="523">
        <v>383.3</v>
      </c>
      <c r="H78" s="523"/>
      <c r="I78" s="523"/>
      <c r="J78" s="523">
        <v>2</v>
      </c>
      <c r="K78" s="523">
        <v>383.3</v>
      </c>
      <c r="L78" s="523">
        <v>3</v>
      </c>
      <c r="M78" s="523">
        <v>383.3</v>
      </c>
      <c r="N78" s="523">
        <v>3</v>
      </c>
      <c r="O78" s="523">
        <v>383.3</v>
      </c>
      <c r="P78" s="523"/>
      <c r="Q78" s="523"/>
      <c r="R78" s="523">
        <f t="shared" si="2"/>
        <v>42</v>
      </c>
      <c r="S78" s="524">
        <f>R79/R78</f>
        <v>383.3</v>
      </c>
    </row>
    <row r="79" spans="2:19" s="1439" customFormat="1" ht="16.5" thickBot="1" x14ac:dyDescent="0.3">
      <c r="B79" s="4164"/>
      <c r="C79" s="665" t="s">
        <v>1021</v>
      </c>
      <c r="D79" s="4165">
        <f>D78*E78</f>
        <v>6899.4</v>
      </c>
      <c r="E79" s="4166"/>
      <c r="F79" s="4165">
        <f>F78*G78</f>
        <v>6132.8</v>
      </c>
      <c r="G79" s="4166"/>
      <c r="H79" s="4165">
        <f>H78*I78</f>
        <v>0</v>
      </c>
      <c r="I79" s="4166"/>
      <c r="J79" s="4165">
        <f>J78*K78</f>
        <v>766.6</v>
      </c>
      <c r="K79" s="4166"/>
      <c r="L79" s="4165">
        <f>L78*M78</f>
        <v>1149.9000000000001</v>
      </c>
      <c r="M79" s="4166"/>
      <c r="N79" s="4165">
        <f>N78*O78</f>
        <v>1149.9000000000001</v>
      </c>
      <c r="O79" s="4166"/>
      <c r="P79" s="4165">
        <f>P78*Q78</f>
        <v>0</v>
      </c>
      <c r="Q79" s="4166"/>
      <c r="R79" s="4167">
        <f>D79+F79+H79+J79+L79+N79+P79</f>
        <v>16098.6</v>
      </c>
      <c r="S79" s="4168"/>
    </row>
    <row r="80" spans="2:19" s="1439" customFormat="1" x14ac:dyDescent="0.25">
      <c r="B80" s="4163">
        <f>B78+1</f>
        <v>16</v>
      </c>
      <c r="C80" s="668" t="s">
        <v>2298</v>
      </c>
      <c r="D80" s="662">
        <v>18</v>
      </c>
      <c r="E80" s="662">
        <v>299.95</v>
      </c>
      <c r="F80" s="523">
        <v>16</v>
      </c>
      <c r="G80" s="523">
        <v>299.95</v>
      </c>
      <c r="H80" s="523"/>
      <c r="I80" s="523"/>
      <c r="J80" s="523">
        <v>2</v>
      </c>
      <c r="K80" s="523">
        <v>299.95</v>
      </c>
      <c r="L80" s="523">
        <v>3</v>
      </c>
      <c r="M80" s="523">
        <v>299.95</v>
      </c>
      <c r="N80" s="523">
        <v>3</v>
      </c>
      <c r="O80" s="523">
        <v>299.95</v>
      </c>
      <c r="P80" s="523"/>
      <c r="Q80" s="523"/>
      <c r="R80" s="523">
        <f t="shared" si="2"/>
        <v>42</v>
      </c>
      <c r="S80" s="524">
        <f>R81/R80</f>
        <v>299.95</v>
      </c>
    </row>
    <row r="81" spans="2:19" s="1439" customFormat="1" ht="16.5" thickBot="1" x14ac:dyDescent="0.3">
      <c r="B81" s="4164"/>
      <c r="C81" s="665" t="s">
        <v>1021</v>
      </c>
      <c r="D81" s="4165">
        <f>D80*E80</f>
        <v>5399.1</v>
      </c>
      <c r="E81" s="4166"/>
      <c r="F81" s="4165">
        <f>F80*G80</f>
        <v>4799.2</v>
      </c>
      <c r="G81" s="4166"/>
      <c r="H81" s="4165">
        <f>H80*I80</f>
        <v>0</v>
      </c>
      <c r="I81" s="4166"/>
      <c r="J81" s="4165">
        <f>J80*K80</f>
        <v>599.9</v>
      </c>
      <c r="K81" s="4166"/>
      <c r="L81" s="4165">
        <f>L80*M80</f>
        <v>899.85</v>
      </c>
      <c r="M81" s="4166"/>
      <c r="N81" s="4165">
        <f>N80*O80</f>
        <v>899.85</v>
      </c>
      <c r="O81" s="4166"/>
      <c r="P81" s="4165">
        <f>P80*Q80</f>
        <v>0</v>
      </c>
      <c r="Q81" s="4166"/>
      <c r="R81" s="4167">
        <f>D81+F81+H81+J81+L81+N81+P81</f>
        <v>12597.9</v>
      </c>
      <c r="S81" s="4168"/>
    </row>
    <row r="82" spans="2:19" s="1439" customFormat="1" x14ac:dyDescent="0.25">
      <c r="B82" s="4163">
        <f>B80+1</f>
        <v>17</v>
      </c>
      <c r="C82" s="668" t="s">
        <v>1026</v>
      </c>
      <c r="D82" s="662">
        <v>238</v>
      </c>
      <c r="E82" s="662">
        <v>13.5</v>
      </c>
      <c r="F82" s="523">
        <v>255</v>
      </c>
      <c r="G82" s="523">
        <v>13.5</v>
      </c>
      <c r="H82" s="523"/>
      <c r="I82" s="523"/>
      <c r="J82" s="523">
        <v>44</v>
      </c>
      <c r="K82" s="523">
        <v>13.5</v>
      </c>
      <c r="L82" s="523">
        <v>66</v>
      </c>
      <c r="M82" s="523">
        <v>13.5</v>
      </c>
      <c r="N82" s="523">
        <v>77</v>
      </c>
      <c r="O82" s="523">
        <v>13.5</v>
      </c>
      <c r="P82" s="523">
        <v>3</v>
      </c>
      <c r="Q82" s="523">
        <v>13.5</v>
      </c>
      <c r="R82" s="523">
        <f t="shared" si="2"/>
        <v>683</v>
      </c>
      <c r="S82" s="524">
        <f>R83/R82</f>
        <v>13.5</v>
      </c>
    </row>
    <row r="83" spans="2:19" s="1439" customFormat="1" ht="16.5" thickBot="1" x14ac:dyDescent="0.3">
      <c r="B83" s="4164"/>
      <c r="C83" s="665" t="s">
        <v>1021</v>
      </c>
      <c r="D83" s="4165">
        <f>D82*E82</f>
        <v>3213</v>
      </c>
      <c r="E83" s="4166"/>
      <c r="F83" s="4165">
        <f>F82*G82</f>
        <v>3442.5</v>
      </c>
      <c r="G83" s="4166"/>
      <c r="H83" s="4165">
        <f>H82*I82</f>
        <v>0</v>
      </c>
      <c r="I83" s="4166"/>
      <c r="J83" s="4165">
        <f>J82*K82</f>
        <v>594</v>
      </c>
      <c r="K83" s="4166"/>
      <c r="L83" s="4165">
        <f>L82*M82</f>
        <v>891</v>
      </c>
      <c r="M83" s="4166"/>
      <c r="N83" s="4165">
        <f>N82*O82</f>
        <v>1039.5</v>
      </c>
      <c r="O83" s="4166"/>
      <c r="P83" s="4165">
        <f>P82*Q82</f>
        <v>40.5</v>
      </c>
      <c r="Q83" s="4166"/>
      <c r="R83" s="4167">
        <f>D83+F83+H83+J83+L83+N83+P83</f>
        <v>9220.5</v>
      </c>
      <c r="S83" s="4168"/>
    </row>
    <row r="84" spans="2:19" s="1439" customFormat="1" x14ac:dyDescent="0.25">
      <c r="B84" s="4163">
        <f>B82+1</f>
        <v>18</v>
      </c>
      <c r="C84" s="668" t="s">
        <v>2299</v>
      </c>
      <c r="D84" s="662">
        <v>92</v>
      </c>
      <c r="E84" s="662">
        <v>61</v>
      </c>
      <c r="F84" s="523">
        <v>264</v>
      </c>
      <c r="G84" s="523">
        <v>61</v>
      </c>
      <c r="H84" s="523"/>
      <c r="I84" s="523"/>
      <c r="J84" s="523"/>
      <c r="K84" s="523"/>
      <c r="L84" s="523"/>
      <c r="M84" s="523"/>
      <c r="N84" s="523">
        <v>1</v>
      </c>
      <c r="O84" s="523">
        <v>61</v>
      </c>
      <c r="P84" s="523"/>
      <c r="Q84" s="523"/>
      <c r="R84" s="523">
        <f t="shared" si="2"/>
        <v>357</v>
      </c>
      <c r="S84" s="524">
        <f>R85/R84</f>
        <v>61</v>
      </c>
    </row>
    <row r="85" spans="2:19" s="1439" customFormat="1" ht="16.5" thickBot="1" x14ac:dyDescent="0.3">
      <c r="B85" s="4164"/>
      <c r="C85" s="665" t="s">
        <v>1021</v>
      </c>
      <c r="D85" s="4165">
        <f>D84*E84</f>
        <v>5612</v>
      </c>
      <c r="E85" s="4166"/>
      <c r="F85" s="4165">
        <f>F84*G84</f>
        <v>16104</v>
      </c>
      <c r="G85" s="4166"/>
      <c r="H85" s="4165">
        <f>H84*I84</f>
        <v>0</v>
      </c>
      <c r="I85" s="4166"/>
      <c r="J85" s="4165">
        <f>J84*K84</f>
        <v>0</v>
      </c>
      <c r="K85" s="4166"/>
      <c r="L85" s="4165">
        <f>L84*M84</f>
        <v>0</v>
      </c>
      <c r="M85" s="4166"/>
      <c r="N85" s="4165">
        <f>N84*O84</f>
        <v>61</v>
      </c>
      <c r="O85" s="4166"/>
      <c r="P85" s="4165">
        <f>P84*Q84</f>
        <v>0</v>
      </c>
      <c r="Q85" s="4166"/>
      <c r="R85" s="4167">
        <f>D85+F85+H85+J85+L85+N85+P85</f>
        <v>21777</v>
      </c>
      <c r="S85" s="4168"/>
    </row>
    <row r="86" spans="2:19" s="1439" customFormat="1" ht="28.5" x14ac:dyDescent="0.25">
      <c r="B86" s="4163">
        <f>B84+1</f>
        <v>19</v>
      </c>
      <c r="C86" s="668" t="s">
        <v>2300</v>
      </c>
      <c r="D86" s="662">
        <v>2</v>
      </c>
      <c r="E86" s="662">
        <v>1000</v>
      </c>
      <c r="F86" s="523"/>
      <c r="G86" s="523"/>
      <c r="H86" s="523"/>
      <c r="I86" s="523"/>
      <c r="J86" s="523"/>
      <c r="K86" s="523"/>
      <c r="L86" s="523"/>
      <c r="M86" s="523"/>
      <c r="N86" s="523"/>
      <c r="O86" s="523"/>
      <c r="P86" s="523"/>
      <c r="Q86" s="523"/>
      <c r="R86" s="523">
        <f t="shared" si="2"/>
        <v>2</v>
      </c>
      <c r="S86" s="524">
        <f>R87/R86</f>
        <v>1000</v>
      </c>
    </row>
    <row r="87" spans="2:19" s="1439" customFormat="1" ht="16.5" thickBot="1" x14ac:dyDescent="0.3">
      <c r="B87" s="4164"/>
      <c r="C87" s="665" t="s">
        <v>1021</v>
      </c>
      <c r="D87" s="4165">
        <f>D86*E86</f>
        <v>2000</v>
      </c>
      <c r="E87" s="4166"/>
      <c r="F87" s="4165">
        <f>F86*G86</f>
        <v>0</v>
      </c>
      <c r="G87" s="4166"/>
      <c r="H87" s="4165">
        <f>H86*I86</f>
        <v>0</v>
      </c>
      <c r="I87" s="4166"/>
      <c r="J87" s="4165">
        <f>J86*K86</f>
        <v>0</v>
      </c>
      <c r="K87" s="4166"/>
      <c r="L87" s="4165">
        <f>L86*M86</f>
        <v>0</v>
      </c>
      <c r="M87" s="4166"/>
      <c r="N87" s="4165">
        <f>N86*O86</f>
        <v>0</v>
      </c>
      <c r="O87" s="4166"/>
      <c r="P87" s="4165">
        <f>P86*Q86</f>
        <v>0</v>
      </c>
      <c r="Q87" s="4166"/>
      <c r="R87" s="4167">
        <f>D87+F87+H87+J87+L87+N87+P87</f>
        <v>2000</v>
      </c>
      <c r="S87" s="4168"/>
    </row>
    <row r="88" spans="2:19" s="1439" customFormat="1" x14ac:dyDescent="0.25">
      <c r="B88" s="4163">
        <f>B86+1</f>
        <v>20</v>
      </c>
      <c r="C88" s="668" t="s">
        <v>1027</v>
      </c>
      <c r="D88" s="662">
        <v>176</v>
      </c>
      <c r="E88" s="662">
        <v>31</v>
      </c>
      <c r="F88" s="523"/>
      <c r="G88" s="523"/>
      <c r="H88" s="523"/>
      <c r="I88" s="523"/>
      <c r="J88" s="523"/>
      <c r="K88" s="523"/>
      <c r="L88" s="523"/>
      <c r="M88" s="523"/>
      <c r="N88" s="523">
        <v>11</v>
      </c>
      <c r="O88" s="523">
        <v>31</v>
      </c>
      <c r="P88" s="523"/>
      <c r="Q88" s="523"/>
      <c r="R88" s="523">
        <f t="shared" si="2"/>
        <v>187</v>
      </c>
      <c r="S88" s="524">
        <f>R89/R88</f>
        <v>31</v>
      </c>
    </row>
    <row r="89" spans="2:19" s="1439" customFormat="1" ht="16.5" thickBot="1" x14ac:dyDescent="0.3">
      <c r="B89" s="4164"/>
      <c r="C89" s="665" t="s">
        <v>1021</v>
      </c>
      <c r="D89" s="4165">
        <f>D88*E88</f>
        <v>5456</v>
      </c>
      <c r="E89" s="4166"/>
      <c r="F89" s="4165">
        <f>F88*G88</f>
        <v>0</v>
      </c>
      <c r="G89" s="4166"/>
      <c r="H89" s="4165">
        <f>H88*I88</f>
        <v>0</v>
      </c>
      <c r="I89" s="4166"/>
      <c r="J89" s="4165">
        <f>J88*K88</f>
        <v>0</v>
      </c>
      <c r="K89" s="4166"/>
      <c r="L89" s="4165">
        <f>L88*M88</f>
        <v>0</v>
      </c>
      <c r="M89" s="4166"/>
      <c r="N89" s="4165">
        <f>N88*O88</f>
        <v>341</v>
      </c>
      <c r="O89" s="4166"/>
      <c r="P89" s="4165">
        <f>P88*Q88</f>
        <v>0</v>
      </c>
      <c r="Q89" s="4166"/>
      <c r="R89" s="4167">
        <f>D89+F89+H89+J89+L89+N89+P89</f>
        <v>5797</v>
      </c>
      <c r="S89" s="4168"/>
    </row>
    <row r="90" spans="2:19" s="1439" customFormat="1" x14ac:dyDescent="0.25">
      <c r="B90" s="4163">
        <f>B88+1</f>
        <v>21</v>
      </c>
      <c r="C90" s="668" t="s">
        <v>2301</v>
      </c>
      <c r="D90" s="662">
        <v>2</v>
      </c>
      <c r="E90" s="662">
        <v>800</v>
      </c>
      <c r="F90" s="523">
        <v>3</v>
      </c>
      <c r="G90" s="523">
        <v>800</v>
      </c>
      <c r="H90" s="523"/>
      <c r="I90" s="523"/>
      <c r="J90" s="523"/>
      <c r="K90" s="523"/>
      <c r="L90" s="523"/>
      <c r="M90" s="523"/>
      <c r="N90" s="523"/>
      <c r="O90" s="523"/>
      <c r="P90" s="523"/>
      <c r="Q90" s="523"/>
      <c r="R90" s="523">
        <f t="shared" si="2"/>
        <v>5</v>
      </c>
      <c r="S90" s="524">
        <f>R91/R90</f>
        <v>800</v>
      </c>
    </row>
    <row r="91" spans="2:19" s="1439" customFormat="1" ht="16.5" thickBot="1" x14ac:dyDescent="0.3">
      <c r="B91" s="4164"/>
      <c r="C91" s="665" t="s">
        <v>1021</v>
      </c>
      <c r="D91" s="4165">
        <f>D90*E90</f>
        <v>1600</v>
      </c>
      <c r="E91" s="4166"/>
      <c r="F91" s="4165">
        <f>F90*G90</f>
        <v>2400</v>
      </c>
      <c r="G91" s="4166"/>
      <c r="H91" s="4165">
        <f>H90*I90</f>
        <v>0</v>
      </c>
      <c r="I91" s="4166"/>
      <c r="J91" s="4165">
        <f>J90*K90</f>
        <v>0</v>
      </c>
      <c r="K91" s="4166"/>
      <c r="L91" s="4165">
        <f>L90*M90</f>
        <v>0</v>
      </c>
      <c r="M91" s="4166"/>
      <c r="N91" s="4165">
        <f>N90*O90</f>
        <v>0</v>
      </c>
      <c r="O91" s="4166"/>
      <c r="P91" s="4165">
        <f>P90*Q90</f>
        <v>0</v>
      </c>
      <c r="Q91" s="4166"/>
      <c r="R91" s="4167">
        <f>D91+F91+H91+J91+L91+N91+P91</f>
        <v>4000</v>
      </c>
      <c r="S91" s="4168"/>
    </row>
    <row r="92" spans="2:19" s="1439" customFormat="1" x14ac:dyDescent="0.25">
      <c r="B92" s="4163">
        <f>B90+1</f>
        <v>22</v>
      </c>
      <c r="C92" s="1446" t="s">
        <v>2302</v>
      </c>
      <c r="D92" s="663">
        <v>2</v>
      </c>
      <c r="E92" s="663">
        <v>100</v>
      </c>
      <c r="F92" s="525">
        <v>1</v>
      </c>
      <c r="G92" s="525">
        <v>100</v>
      </c>
      <c r="H92" s="525"/>
      <c r="I92" s="525"/>
      <c r="J92" s="525"/>
      <c r="K92" s="525"/>
      <c r="L92" s="525"/>
      <c r="M92" s="525"/>
      <c r="N92" s="525"/>
      <c r="O92" s="525"/>
      <c r="P92" s="525"/>
      <c r="Q92" s="525"/>
      <c r="R92" s="525">
        <f t="shared" si="2"/>
        <v>3</v>
      </c>
      <c r="S92" s="524">
        <f>R93/R92</f>
        <v>100</v>
      </c>
    </row>
    <row r="93" spans="2:19" s="1439" customFormat="1" ht="16.5" thickBot="1" x14ac:dyDescent="0.3">
      <c r="B93" s="4164"/>
      <c r="C93" s="667" t="s">
        <v>1021</v>
      </c>
      <c r="D93" s="4165">
        <f>D92*E92</f>
        <v>200</v>
      </c>
      <c r="E93" s="4166"/>
      <c r="F93" s="4165">
        <f>F92*G92</f>
        <v>100</v>
      </c>
      <c r="G93" s="4166"/>
      <c r="H93" s="4165">
        <f>H92*I92</f>
        <v>0</v>
      </c>
      <c r="I93" s="4166"/>
      <c r="J93" s="4165">
        <f>J92*K92</f>
        <v>0</v>
      </c>
      <c r="K93" s="4166"/>
      <c r="L93" s="4165">
        <f>L92*M92</f>
        <v>0</v>
      </c>
      <c r="M93" s="4166"/>
      <c r="N93" s="4165">
        <f>N92*O92</f>
        <v>0</v>
      </c>
      <c r="O93" s="4166"/>
      <c r="P93" s="4165">
        <f>P92*Q92</f>
        <v>0</v>
      </c>
      <c r="Q93" s="4166"/>
      <c r="R93" s="4167">
        <f>D93+F93+H93+J93+L93+N93+P93</f>
        <v>300</v>
      </c>
      <c r="S93" s="4168"/>
    </row>
    <row r="94" spans="2:19" s="1439" customFormat="1" x14ac:dyDescent="0.25">
      <c r="B94" s="4163">
        <f>B92+1</f>
        <v>23</v>
      </c>
      <c r="C94" s="669" t="s">
        <v>2303</v>
      </c>
      <c r="D94" s="664">
        <v>1</v>
      </c>
      <c r="E94" s="664">
        <v>130.97999999999999</v>
      </c>
      <c r="F94" s="527">
        <v>1</v>
      </c>
      <c r="G94" s="527">
        <v>130.97999999999999</v>
      </c>
      <c r="H94" s="527"/>
      <c r="I94" s="527"/>
      <c r="J94" s="527"/>
      <c r="K94" s="527"/>
      <c r="L94" s="527">
        <v>1</v>
      </c>
      <c r="M94" s="527">
        <v>130.97999999999999</v>
      </c>
      <c r="N94" s="527"/>
      <c r="O94" s="527"/>
      <c r="P94" s="527"/>
      <c r="Q94" s="527"/>
      <c r="R94" s="527">
        <f t="shared" si="2"/>
        <v>3</v>
      </c>
      <c r="S94" s="524">
        <f>R95/R94</f>
        <v>130.97999999999999</v>
      </c>
    </row>
    <row r="95" spans="2:19" s="1439" customFormat="1" ht="16.5" thickBot="1" x14ac:dyDescent="0.3">
      <c r="B95" s="4164"/>
      <c r="C95" s="665" t="s">
        <v>1021</v>
      </c>
      <c r="D95" s="4165">
        <f>D94*E94</f>
        <v>130.97999999999999</v>
      </c>
      <c r="E95" s="4166"/>
      <c r="F95" s="4165">
        <f>F94*G94</f>
        <v>130.97999999999999</v>
      </c>
      <c r="G95" s="4166"/>
      <c r="H95" s="4165">
        <f>H94*I94</f>
        <v>0</v>
      </c>
      <c r="I95" s="4166"/>
      <c r="J95" s="4165">
        <f>J94*K94</f>
        <v>0</v>
      </c>
      <c r="K95" s="4166"/>
      <c r="L95" s="4165">
        <f>L94*M94</f>
        <v>130.97999999999999</v>
      </c>
      <c r="M95" s="4166"/>
      <c r="N95" s="4165">
        <f>N94*O94</f>
        <v>0</v>
      </c>
      <c r="O95" s="4166"/>
      <c r="P95" s="4165">
        <f>P94*Q94</f>
        <v>0</v>
      </c>
      <c r="Q95" s="4166"/>
      <c r="R95" s="4167">
        <f>D95+F95+H95+J95+L95+N95+P95</f>
        <v>392.94</v>
      </c>
      <c r="S95" s="4168"/>
    </row>
    <row r="96" spans="2:19" s="1439" customFormat="1" x14ac:dyDescent="0.25">
      <c r="B96" s="4163">
        <f>B94+1</f>
        <v>24</v>
      </c>
      <c r="C96" s="669" t="s">
        <v>2304</v>
      </c>
      <c r="D96" s="662">
        <v>100</v>
      </c>
      <c r="E96" s="662">
        <v>5.51</v>
      </c>
      <c r="F96" s="523">
        <v>100</v>
      </c>
      <c r="G96" s="523">
        <v>5.51</v>
      </c>
      <c r="H96" s="523"/>
      <c r="I96" s="523"/>
      <c r="J96" s="523"/>
      <c r="K96" s="523"/>
      <c r="L96" s="523">
        <v>50</v>
      </c>
      <c r="M96" s="523">
        <v>5.51</v>
      </c>
      <c r="N96" s="523"/>
      <c r="O96" s="523"/>
      <c r="P96" s="523"/>
      <c r="Q96" s="523"/>
      <c r="R96" s="523">
        <f t="shared" si="2"/>
        <v>250</v>
      </c>
      <c r="S96" s="524">
        <f>R97/R96</f>
        <v>5.51</v>
      </c>
    </row>
    <row r="97" spans="2:19" s="1439" customFormat="1" ht="16.5" thickBot="1" x14ac:dyDescent="0.3">
      <c r="B97" s="4164"/>
      <c r="C97" s="665" t="s">
        <v>1021</v>
      </c>
      <c r="D97" s="4165">
        <f>D96*E96</f>
        <v>551</v>
      </c>
      <c r="E97" s="4166"/>
      <c r="F97" s="4165">
        <f>F96*G96</f>
        <v>551</v>
      </c>
      <c r="G97" s="4166"/>
      <c r="H97" s="4165">
        <f>H96*I96</f>
        <v>0</v>
      </c>
      <c r="I97" s="4166"/>
      <c r="J97" s="4165">
        <f>J96*K96</f>
        <v>0</v>
      </c>
      <c r="K97" s="4166"/>
      <c r="L97" s="4165">
        <f>L96*M96</f>
        <v>275.5</v>
      </c>
      <c r="M97" s="4166"/>
      <c r="N97" s="4165">
        <f>N96*O96</f>
        <v>0</v>
      </c>
      <c r="O97" s="4166"/>
      <c r="P97" s="4165">
        <f>P96*Q96</f>
        <v>0</v>
      </c>
      <c r="Q97" s="4166"/>
      <c r="R97" s="4167">
        <f>D97+F97+H97+J97+L97+N97+P97</f>
        <v>1377.5</v>
      </c>
      <c r="S97" s="4168"/>
    </row>
    <row r="98" spans="2:19" s="1439" customFormat="1" ht="28.5" x14ac:dyDescent="0.25">
      <c r="B98" s="4163">
        <f>B96+1</f>
        <v>25</v>
      </c>
      <c r="C98" s="668" t="s">
        <v>2305</v>
      </c>
      <c r="D98" s="662">
        <v>14</v>
      </c>
      <c r="E98" s="662">
        <v>1005</v>
      </c>
      <c r="F98" s="523">
        <v>3</v>
      </c>
      <c r="G98" s="523">
        <v>1005</v>
      </c>
      <c r="H98" s="523"/>
      <c r="I98" s="523"/>
      <c r="J98" s="523"/>
      <c r="K98" s="523"/>
      <c r="L98" s="523"/>
      <c r="M98" s="523"/>
      <c r="N98" s="523"/>
      <c r="O98" s="523"/>
      <c r="P98" s="523"/>
      <c r="Q98" s="523"/>
      <c r="R98" s="523">
        <f t="shared" si="2"/>
        <v>17</v>
      </c>
      <c r="S98" s="524">
        <f>R99/R98</f>
        <v>1005</v>
      </c>
    </row>
    <row r="99" spans="2:19" s="1439" customFormat="1" ht="16.5" thickBot="1" x14ac:dyDescent="0.3">
      <c r="B99" s="4164"/>
      <c r="C99" s="665" t="s">
        <v>1021</v>
      </c>
      <c r="D99" s="4165">
        <f>D98*E98</f>
        <v>14070</v>
      </c>
      <c r="E99" s="4166"/>
      <c r="F99" s="4165">
        <f>F98*G98</f>
        <v>3015</v>
      </c>
      <c r="G99" s="4166"/>
      <c r="H99" s="4165">
        <f>H98*I98</f>
        <v>0</v>
      </c>
      <c r="I99" s="4166"/>
      <c r="J99" s="4165">
        <f>J98*K98</f>
        <v>0</v>
      </c>
      <c r="K99" s="4166"/>
      <c r="L99" s="4165">
        <f>L98*M98</f>
        <v>0</v>
      </c>
      <c r="M99" s="4166"/>
      <c r="N99" s="4165">
        <f>N98*O98</f>
        <v>0</v>
      </c>
      <c r="O99" s="4166"/>
      <c r="P99" s="4165">
        <f>P98*Q98</f>
        <v>0</v>
      </c>
      <c r="Q99" s="4166"/>
      <c r="R99" s="4167">
        <f>D99+F99+H99+J99+L99+N99+P99</f>
        <v>17085</v>
      </c>
      <c r="S99" s="4168"/>
    </row>
    <row r="100" spans="2:19" s="1439" customFormat="1" x14ac:dyDescent="0.25">
      <c r="B100" s="4163">
        <f>B98+1</f>
        <v>26</v>
      </c>
      <c r="C100" s="666"/>
      <c r="D100" s="662"/>
      <c r="E100" s="523"/>
      <c r="F100" s="523"/>
      <c r="G100" s="523"/>
      <c r="H100" s="523"/>
      <c r="I100" s="523"/>
      <c r="J100" s="523"/>
      <c r="K100" s="523"/>
      <c r="L100" s="523"/>
      <c r="M100" s="523"/>
      <c r="N100" s="523"/>
      <c r="O100" s="523"/>
      <c r="P100" s="523"/>
      <c r="Q100" s="523"/>
      <c r="R100" s="523">
        <f t="shared" si="2"/>
        <v>0</v>
      </c>
      <c r="S100" s="524" t="e">
        <f>R101/R100</f>
        <v>#DIV/0!</v>
      </c>
    </row>
    <row r="101" spans="2:19" s="1439" customFormat="1" ht="16.5" thickBot="1" x14ac:dyDescent="0.3">
      <c r="B101" s="4164"/>
      <c r="C101" s="665" t="s">
        <v>1021</v>
      </c>
      <c r="D101" s="4165">
        <f>D100*E100</f>
        <v>0</v>
      </c>
      <c r="E101" s="4166"/>
      <c r="F101" s="4165">
        <f>F100*G100</f>
        <v>0</v>
      </c>
      <c r="G101" s="4166"/>
      <c r="H101" s="4165">
        <f>H100*I100</f>
        <v>0</v>
      </c>
      <c r="I101" s="4166"/>
      <c r="J101" s="4165">
        <f>J100*K100</f>
        <v>0</v>
      </c>
      <c r="K101" s="4166"/>
      <c r="L101" s="4165">
        <f>L100*M100</f>
        <v>0</v>
      </c>
      <c r="M101" s="4166"/>
      <c r="N101" s="4165">
        <f>N100*O100</f>
        <v>0</v>
      </c>
      <c r="O101" s="4166"/>
      <c r="P101" s="4165">
        <f>P100*Q100</f>
        <v>0</v>
      </c>
      <c r="Q101" s="4166"/>
      <c r="R101" s="4167">
        <f>D101+F101+H101+J101+L101+N101+P101</f>
        <v>0</v>
      </c>
      <c r="S101" s="4168"/>
    </row>
    <row r="102" spans="2:19" s="1439" customFormat="1" x14ac:dyDescent="0.25">
      <c r="B102" s="4163">
        <f>B100+1</f>
        <v>27</v>
      </c>
      <c r="C102" s="668" t="s">
        <v>1028</v>
      </c>
      <c r="D102" s="662">
        <v>1</v>
      </c>
      <c r="E102" s="662">
        <v>369.96</v>
      </c>
      <c r="F102" s="523"/>
      <c r="G102" s="523"/>
      <c r="H102" s="523"/>
      <c r="I102" s="523"/>
      <c r="J102" s="523">
        <v>1</v>
      </c>
      <c r="K102" s="523">
        <v>369.96</v>
      </c>
      <c r="L102" s="523">
        <v>2</v>
      </c>
      <c r="M102" s="523">
        <v>369.96</v>
      </c>
      <c r="N102" s="523"/>
      <c r="O102" s="523"/>
      <c r="P102" s="523">
        <v>1</v>
      </c>
      <c r="Q102" s="523">
        <v>369.96</v>
      </c>
      <c r="R102" s="523">
        <f t="shared" si="2"/>
        <v>5</v>
      </c>
      <c r="S102" s="524">
        <f>R103/R102</f>
        <v>369.96</v>
      </c>
    </row>
    <row r="103" spans="2:19" s="1439" customFormat="1" ht="16.5" thickBot="1" x14ac:dyDescent="0.3">
      <c r="B103" s="4164"/>
      <c r="C103" s="665" t="s">
        <v>1021</v>
      </c>
      <c r="D103" s="4165">
        <f>D102*E102</f>
        <v>369.96</v>
      </c>
      <c r="E103" s="4166"/>
      <c r="F103" s="4165">
        <f>F102*G102</f>
        <v>0</v>
      </c>
      <c r="G103" s="4166"/>
      <c r="H103" s="4165">
        <f>H102*I102</f>
        <v>0</v>
      </c>
      <c r="I103" s="4166"/>
      <c r="J103" s="4165">
        <f>J102*K102</f>
        <v>369.96</v>
      </c>
      <c r="K103" s="4166"/>
      <c r="L103" s="4165">
        <f>L102*M102</f>
        <v>739.92</v>
      </c>
      <c r="M103" s="4166"/>
      <c r="N103" s="4165">
        <f>N102*O102</f>
        <v>0</v>
      </c>
      <c r="O103" s="4166"/>
      <c r="P103" s="4165">
        <f>P102*Q102</f>
        <v>369.96</v>
      </c>
      <c r="Q103" s="4166"/>
      <c r="R103" s="4167">
        <f>D103+F103+H103+J103+L103+N103+P103</f>
        <v>1849.8</v>
      </c>
      <c r="S103" s="4168"/>
    </row>
    <row r="104" spans="2:19" s="1439" customFormat="1" x14ac:dyDescent="0.25">
      <c r="B104" s="4163">
        <f>B102+1</f>
        <v>28</v>
      </c>
      <c r="C104" s="1446" t="s">
        <v>1029</v>
      </c>
      <c r="D104" s="663">
        <v>2</v>
      </c>
      <c r="E104" s="663">
        <v>154.15</v>
      </c>
      <c r="F104" s="525">
        <v>4</v>
      </c>
      <c r="G104" s="525">
        <v>154.15</v>
      </c>
      <c r="H104" s="525"/>
      <c r="I104" s="525"/>
      <c r="J104" s="525"/>
      <c r="K104" s="525"/>
      <c r="L104" s="525"/>
      <c r="M104" s="525"/>
      <c r="N104" s="525"/>
      <c r="O104" s="525"/>
      <c r="P104" s="525"/>
      <c r="Q104" s="525"/>
      <c r="R104" s="525">
        <f t="shared" si="2"/>
        <v>6</v>
      </c>
      <c r="S104" s="524">
        <f>R105/R104</f>
        <v>154.15</v>
      </c>
    </row>
    <row r="105" spans="2:19" s="1439" customFormat="1" ht="16.5" thickBot="1" x14ac:dyDescent="0.3">
      <c r="B105" s="4164"/>
      <c r="C105" s="667" t="s">
        <v>1021</v>
      </c>
      <c r="D105" s="4165">
        <f>D104*E104</f>
        <v>308.3</v>
      </c>
      <c r="E105" s="4166"/>
      <c r="F105" s="4165">
        <f>F104*G104</f>
        <v>616.6</v>
      </c>
      <c r="G105" s="4166"/>
      <c r="H105" s="4165">
        <f>H104*I104</f>
        <v>0</v>
      </c>
      <c r="I105" s="4166"/>
      <c r="J105" s="4165">
        <f>J104*K104</f>
        <v>0</v>
      </c>
      <c r="K105" s="4166"/>
      <c r="L105" s="4165">
        <f>L104*M104</f>
        <v>0</v>
      </c>
      <c r="M105" s="4166"/>
      <c r="N105" s="4165">
        <f>N104*O104</f>
        <v>0</v>
      </c>
      <c r="O105" s="4166"/>
      <c r="P105" s="4165">
        <f>P104*Q104</f>
        <v>0</v>
      </c>
      <c r="Q105" s="4166"/>
      <c r="R105" s="4167">
        <f>D105+F105+H105+J105+L105+N105+P105</f>
        <v>924.9</v>
      </c>
      <c r="S105" s="4168"/>
    </row>
    <row r="106" spans="2:19" s="1439" customFormat="1" x14ac:dyDescent="0.25">
      <c r="B106" s="4163">
        <f>B104+1</f>
        <v>29</v>
      </c>
      <c r="C106" s="668" t="s">
        <v>1030</v>
      </c>
      <c r="D106" s="662">
        <v>6</v>
      </c>
      <c r="E106" s="662">
        <v>83.3</v>
      </c>
      <c r="F106" s="523"/>
      <c r="G106" s="523"/>
      <c r="H106" s="523"/>
      <c r="I106" s="523"/>
      <c r="J106" s="523"/>
      <c r="K106" s="523"/>
      <c r="L106" s="523"/>
      <c r="M106" s="523"/>
      <c r="N106" s="523">
        <v>2</v>
      </c>
      <c r="O106" s="523">
        <v>83.3</v>
      </c>
      <c r="P106" s="523"/>
      <c r="Q106" s="523"/>
      <c r="R106" s="523">
        <f t="shared" si="2"/>
        <v>8</v>
      </c>
      <c r="S106" s="524">
        <f>R107/R106</f>
        <v>83.3</v>
      </c>
    </row>
    <row r="107" spans="2:19" s="1439" customFormat="1" ht="16.5" thickBot="1" x14ac:dyDescent="0.3">
      <c r="B107" s="4164"/>
      <c r="C107" s="665" t="s">
        <v>1021</v>
      </c>
      <c r="D107" s="4165">
        <f>D106*E106</f>
        <v>499.8</v>
      </c>
      <c r="E107" s="4166"/>
      <c r="F107" s="4165">
        <f>F106*G106</f>
        <v>0</v>
      </c>
      <c r="G107" s="4166"/>
      <c r="H107" s="4165">
        <f>H106*I106</f>
        <v>0</v>
      </c>
      <c r="I107" s="4166"/>
      <c r="J107" s="4165">
        <f>J106*K106</f>
        <v>0</v>
      </c>
      <c r="K107" s="4166"/>
      <c r="L107" s="4165">
        <f>L106*M106</f>
        <v>0</v>
      </c>
      <c r="M107" s="4166"/>
      <c r="N107" s="4165">
        <f>N106*O106</f>
        <v>166.6</v>
      </c>
      <c r="O107" s="4166"/>
      <c r="P107" s="4165">
        <f>P106*Q106</f>
        <v>0</v>
      </c>
      <c r="Q107" s="4166"/>
      <c r="R107" s="4167">
        <f>D107+F107+H107+J107+L107+N107+P107</f>
        <v>666.4</v>
      </c>
      <c r="S107" s="4168"/>
    </row>
    <row r="108" spans="2:19" s="1439" customFormat="1" x14ac:dyDescent="0.25">
      <c r="B108" s="4163">
        <f>B106+1</f>
        <v>30</v>
      </c>
      <c r="C108" s="1446" t="s">
        <v>1031</v>
      </c>
      <c r="D108" s="663">
        <v>5</v>
      </c>
      <c r="E108" s="663">
        <v>60.8</v>
      </c>
      <c r="F108" s="525">
        <v>2</v>
      </c>
      <c r="G108" s="525">
        <v>60.8</v>
      </c>
      <c r="H108" s="525"/>
      <c r="I108" s="525"/>
      <c r="J108" s="525"/>
      <c r="K108" s="525"/>
      <c r="L108" s="525">
        <v>2</v>
      </c>
      <c r="M108" s="525">
        <v>60.8</v>
      </c>
      <c r="N108" s="525"/>
      <c r="O108" s="525"/>
      <c r="P108" s="525"/>
      <c r="Q108" s="525"/>
      <c r="R108" s="525">
        <f t="shared" si="2"/>
        <v>9</v>
      </c>
      <c r="S108" s="524">
        <f>R109/R108</f>
        <v>60.8</v>
      </c>
    </row>
    <row r="109" spans="2:19" s="1439" customFormat="1" ht="16.5" thickBot="1" x14ac:dyDescent="0.3">
      <c r="B109" s="4164"/>
      <c r="C109" s="667" t="s">
        <v>1021</v>
      </c>
      <c r="D109" s="4165">
        <f>D108*E108</f>
        <v>304</v>
      </c>
      <c r="E109" s="4166"/>
      <c r="F109" s="4165">
        <f>F108*G108</f>
        <v>121.6</v>
      </c>
      <c r="G109" s="4166"/>
      <c r="H109" s="4165">
        <f>H108*I108</f>
        <v>0</v>
      </c>
      <c r="I109" s="4166"/>
      <c r="J109" s="4165">
        <f>J108*K108</f>
        <v>0</v>
      </c>
      <c r="K109" s="4166"/>
      <c r="L109" s="4165">
        <f>L108*M108</f>
        <v>121.6</v>
      </c>
      <c r="M109" s="4166"/>
      <c r="N109" s="4165">
        <f>N108*O108</f>
        <v>0</v>
      </c>
      <c r="O109" s="4166"/>
      <c r="P109" s="4165">
        <f>P108*Q108</f>
        <v>0</v>
      </c>
      <c r="Q109" s="4166"/>
      <c r="R109" s="4167">
        <f>D109+F109+H109+J109+L109+N109+P109</f>
        <v>547.20000000000005</v>
      </c>
      <c r="S109" s="4168"/>
    </row>
    <row r="110" spans="2:19" s="1439" customFormat="1" x14ac:dyDescent="0.25">
      <c r="B110" s="4163">
        <f>B108+1</f>
        <v>31</v>
      </c>
      <c r="C110" s="666" t="s">
        <v>1032</v>
      </c>
      <c r="D110" s="662"/>
      <c r="E110" s="523"/>
      <c r="F110" s="523"/>
      <c r="G110" s="523"/>
      <c r="H110" s="523"/>
      <c r="I110" s="523"/>
      <c r="J110" s="523"/>
      <c r="K110" s="523"/>
      <c r="L110" s="523"/>
      <c r="M110" s="523"/>
      <c r="N110" s="523"/>
      <c r="O110" s="523"/>
      <c r="P110" s="523"/>
      <c r="Q110" s="523"/>
      <c r="R110" s="523">
        <f t="shared" si="2"/>
        <v>0</v>
      </c>
      <c r="S110" s="524" t="e">
        <f>R111/R110</f>
        <v>#DIV/0!</v>
      </c>
    </row>
    <row r="111" spans="2:19" s="1439" customFormat="1" ht="16.5" thickBot="1" x14ac:dyDescent="0.3">
      <c r="B111" s="4164"/>
      <c r="C111" s="665" t="s">
        <v>1021</v>
      </c>
      <c r="D111" s="4165">
        <f>D110*E110</f>
        <v>0</v>
      </c>
      <c r="E111" s="4166"/>
      <c r="F111" s="4165">
        <f>F110*G110</f>
        <v>0</v>
      </c>
      <c r="G111" s="4166"/>
      <c r="H111" s="4165">
        <f>H110*I110</f>
        <v>0</v>
      </c>
      <c r="I111" s="4166"/>
      <c r="J111" s="4165">
        <f>J110*K110</f>
        <v>0</v>
      </c>
      <c r="K111" s="4166"/>
      <c r="L111" s="4165">
        <f>L110*M110</f>
        <v>0</v>
      </c>
      <c r="M111" s="4166"/>
      <c r="N111" s="4165">
        <f>N110*O110</f>
        <v>0</v>
      </c>
      <c r="O111" s="4166"/>
      <c r="P111" s="4165">
        <f>P110*Q110</f>
        <v>0</v>
      </c>
      <c r="Q111" s="4166"/>
      <c r="R111" s="4167">
        <f>D111+F111+H111+J111+L111+N111+P111</f>
        <v>0</v>
      </c>
      <c r="S111" s="4168"/>
    </row>
    <row r="112" spans="2:19" s="1439" customFormat="1" x14ac:dyDescent="0.25">
      <c r="B112" s="4163">
        <f>B110+1</f>
        <v>32</v>
      </c>
      <c r="C112" s="1446" t="s">
        <v>1033</v>
      </c>
      <c r="D112" s="663">
        <v>2</v>
      </c>
      <c r="E112" s="663">
        <v>109.15</v>
      </c>
      <c r="F112" s="525">
        <v>12</v>
      </c>
      <c r="G112" s="525">
        <v>109.15</v>
      </c>
      <c r="H112" s="525"/>
      <c r="I112" s="525"/>
      <c r="J112" s="525"/>
      <c r="K112" s="525"/>
      <c r="L112" s="525">
        <v>1</v>
      </c>
      <c r="M112" s="525">
        <v>109.15</v>
      </c>
      <c r="N112" s="525"/>
      <c r="O112" s="525"/>
      <c r="P112" s="525"/>
      <c r="Q112" s="525"/>
      <c r="R112" s="525">
        <f t="shared" si="2"/>
        <v>15</v>
      </c>
      <c r="S112" s="524">
        <f>R113/R112</f>
        <v>109.15</v>
      </c>
    </row>
    <row r="113" spans="2:20" s="1439" customFormat="1" ht="16.5" thickBot="1" x14ac:dyDescent="0.3">
      <c r="B113" s="4164"/>
      <c r="C113" s="667" t="s">
        <v>1021</v>
      </c>
      <c r="D113" s="4165">
        <f>D112*E112</f>
        <v>218.3</v>
      </c>
      <c r="E113" s="4166"/>
      <c r="F113" s="4165">
        <f>F112*G112</f>
        <v>1309.8</v>
      </c>
      <c r="G113" s="4166"/>
      <c r="H113" s="4165">
        <f>H112*I112</f>
        <v>0</v>
      </c>
      <c r="I113" s="4166"/>
      <c r="J113" s="4165">
        <f>J112*K112</f>
        <v>0</v>
      </c>
      <c r="K113" s="4166"/>
      <c r="L113" s="4165">
        <f>L112*M112</f>
        <v>109.15</v>
      </c>
      <c r="M113" s="4166"/>
      <c r="N113" s="4165">
        <f>N112*O112</f>
        <v>0</v>
      </c>
      <c r="O113" s="4166"/>
      <c r="P113" s="4165">
        <f>P112*Q112</f>
        <v>0</v>
      </c>
      <c r="Q113" s="4166"/>
      <c r="R113" s="4167">
        <f>D113+F113+H113+J113+L113+N113+P113</f>
        <v>1637.25</v>
      </c>
      <c r="S113" s="4168"/>
    </row>
    <row r="114" spans="2:20" s="1439" customFormat="1" x14ac:dyDescent="0.25">
      <c r="B114" s="4163">
        <f>B112+1</f>
        <v>33</v>
      </c>
      <c r="C114" s="666" t="s">
        <v>1034</v>
      </c>
      <c r="D114" s="662"/>
      <c r="E114" s="523"/>
      <c r="F114" s="523"/>
      <c r="G114" s="523"/>
      <c r="H114" s="523"/>
      <c r="I114" s="523"/>
      <c r="J114" s="523"/>
      <c r="K114" s="523"/>
      <c r="L114" s="523"/>
      <c r="M114" s="523"/>
      <c r="N114" s="523"/>
      <c r="O114" s="523"/>
      <c r="P114" s="523"/>
      <c r="Q114" s="523"/>
      <c r="R114" s="523">
        <f t="shared" si="2"/>
        <v>0</v>
      </c>
      <c r="S114" s="524" t="e">
        <f>R115/R114</f>
        <v>#DIV/0!</v>
      </c>
    </row>
    <row r="115" spans="2:20" s="1439" customFormat="1" ht="16.5" thickBot="1" x14ac:dyDescent="0.3">
      <c r="B115" s="4164"/>
      <c r="C115" s="665" t="s">
        <v>1021</v>
      </c>
      <c r="D115" s="4165">
        <f>D114*E114</f>
        <v>0</v>
      </c>
      <c r="E115" s="4166"/>
      <c r="F115" s="4165">
        <f>F114*G114</f>
        <v>0</v>
      </c>
      <c r="G115" s="4166"/>
      <c r="H115" s="4165">
        <f>H114*I114</f>
        <v>0</v>
      </c>
      <c r="I115" s="4166"/>
      <c r="J115" s="4165">
        <f>J114*K114</f>
        <v>0</v>
      </c>
      <c r="K115" s="4166"/>
      <c r="L115" s="4165">
        <f>L114*M114</f>
        <v>0</v>
      </c>
      <c r="M115" s="4166"/>
      <c r="N115" s="4165">
        <f>N114*O114</f>
        <v>0</v>
      </c>
      <c r="O115" s="4166"/>
      <c r="P115" s="4165">
        <f>P114*Q114</f>
        <v>0</v>
      </c>
      <c r="Q115" s="4166"/>
      <c r="R115" s="4167">
        <f>D115+F115+H115+J115+L115+N115+P115</f>
        <v>0</v>
      </c>
      <c r="S115" s="4168"/>
    </row>
    <row r="116" spans="2:20" s="1439" customFormat="1" x14ac:dyDescent="0.25">
      <c r="B116" s="4163">
        <f>B114+1</f>
        <v>34</v>
      </c>
      <c r="C116" s="1446" t="s">
        <v>1035</v>
      </c>
      <c r="D116" s="1451">
        <v>2</v>
      </c>
      <c r="E116" s="663">
        <v>1620.75</v>
      </c>
      <c r="F116" s="1452">
        <v>1</v>
      </c>
      <c r="G116" s="525">
        <v>1620.75</v>
      </c>
      <c r="H116" s="525"/>
      <c r="I116" s="525"/>
      <c r="J116" s="525"/>
      <c r="K116" s="525"/>
      <c r="L116" s="525"/>
      <c r="M116" s="525"/>
      <c r="N116" s="525"/>
      <c r="O116" s="525"/>
      <c r="P116" s="525"/>
      <c r="Q116" s="525"/>
      <c r="R116" s="525">
        <f t="shared" ref="R116:R122" si="3">D116+F116+H116+J116+L116+N116+P116</f>
        <v>3</v>
      </c>
      <c r="S116" s="524">
        <f>R117/R116</f>
        <v>1620.75</v>
      </c>
    </row>
    <row r="117" spans="2:20" s="1439" customFormat="1" ht="16.5" thickBot="1" x14ac:dyDescent="0.3">
      <c r="B117" s="4164"/>
      <c r="C117" s="665" t="s">
        <v>1021</v>
      </c>
      <c r="D117" s="4165">
        <f>D116*E116</f>
        <v>3241.5</v>
      </c>
      <c r="E117" s="4166"/>
      <c r="F117" s="4165">
        <f>F116*G116</f>
        <v>1620.75</v>
      </c>
      <c r="G117" s="4166"/>
      <c r="H117" s="4165">
        <f>H116*I116</f>
        <v>0</v>
      </c>
      <c r="I117" s="4166"/>
      <c r="J117" s="4165">
        <f>J116*K116</f>
        <v>0</v>
      </c>
      <c r="K117" s="4166"/>
      <c r="L117" s="4165">
        <f>L116*M116</f>
        <v>0</v>
      </c>
      <c r="M117" s="4166"/>
      <c r="N117" s="4165">
        <f>N116*O116</f>
        <v>0</v>
      </c>
      <c r="O117" s="4166"/>
      <c r="P117" s="4165">
        <f>P116*Q116</f>
        <v>0</v>
      </c>
      <c r="Q117" s="4166"/>
      <c r="R117" s="4167">
        <f>D117+F117+H117+J117+L117+N117+P117</f>
        <v>4862.25</v>
      </c>
      <c r="S117" s="4168"/>
    </row>
    <row r="118" spans="2:20" s="1439" customFormat="1" x14ac:dyDescent="0.25">
      <c r="B118" s="4163">
        <f>B116+1</f>
        <v>35</v>
      </c>
      <c r="C118" s="1446" t="s">
        <v>2306</v>
      </c>
      <c r="D118" s="663">
        <v>2</v>
      </c>
      <c r="E118" s="663">
        <v>196.14</v>
      </c>
      <c r="F118" s="525">
        <v>1</v>
      </c>
      <c r="G118" s="525">
        <v>196.14</v>
      </c>
      <c r="H118" s="525"/>
      <c r="I118" s="525"/>
      <c r="J118" s="525"/>
      <c r="K118" s="525"/>
      <c r="L118" s="525"/>
      <c r="M118" s="525"/>
      <c r="N118" s="525"/>
      <c r="O118" s="525"/>
      <c r="P118" s="525"/>
      <c r="Q118" s="525"/>
      <c r="R118" s="525">
        <f t="shared" si="3"/>
        <v>3</v>
      </c>
      <c r="S118" s="524">
        <f>R119/R118</f>
        <v>196.14</v>
      </c>
    </row>
    <row r="119" spans="2:20" s="1439" customFormat="1" ht="16.5" thickBot="1" x14ac:dyDescent="0.3">
      <c r="B119" s="4164"/>
      <c r="C119" s="665" t="s">
        <v>1021</v>
      </c>
      <c r="D119" s="4165">
        <f>D118*E118</f>
        <v>392.28</v>
      </c>
      <c r="E119" s="4166"/>
      <c r="F119" s="4165">
        <f>F118*G118</f>
        <v>196.14</v>
      </c>
      <c r="G119" s="4166"/>
      <c r="H119" s="4165">
        <f>H118*I118</f>
        <v>0</v>
      </c>
      <c r="I119" s="4166"/>
      <c r="J119" s="4165">
        <f>J118*K118</f>
        <v>0</v>
      </c>
      <c r="K119" s="4166"/>
      <c r="L119" s="4165">
        <f>L118*M118</f>
        <v>0</v>
      </c>
      <c r="M119" s="4166"/>
      <c r="N119" s="4165">
        <f>N118*O118</f>
        <v>0</v>
      </c>
      <c r="O119" s="4166"/>
      <c r="P119" s="4165">
        <f>P118*Q118</f>
        <v>0</v>
      </c>
      <c r="Q119" s="4166"/>
      <c r="R119" s="4167">
        <f>D119+F119+H119+J119+L119+N119+P119</f>
        <v>588.41999999999996</v>
      </c>
      <c r="S119" s="4168"/>
    </row>
    <row r="120" spans="2:20" s="1439" customFormat="1" ht="28.5" x14ac:dyDescent="0.25">
      <c r="B120" s="4163">
        <f>B118+1</f>
        <v>36</v>
      </c>
      <c r="C120" s="1446" t="s">
        <v>1037</v>
      </c>
      <c r="D120" s="663">
        <v>1</v>
      </c>
      <c r="E120" s="663">
        <v>495</v>
      </c>
      <c r="F120" s="525">
        <v>1</v>
      </c>
      <c r="G120" s="525">
        <v>495</v>
      </c>
      <c r="H120" s="525"/>
      <c r="I120" s="525"/>
      <c r="J120" s="525"/>
      <c r="K120" s="525"/>
      <c r="L120" s="525"/>
      <c r="M120" s="525"/>
      <c r="N120" s="525"/>
      <c r="O120" s="525"/>
      <c r="P120" s="525"/>
      <c r="Q120" s="525"/>
      <c r="R120" s="525">
        <f t="shared" si="3"/>
        <v>2</v>
      </c>
      <c r="S120" s="524">
        <f>R121/R120</f>
        <v>495</v>
      </c>
    </row>
    <row r="121" spans="2:20" s="1439" customFormat="1" ht="16.5" thickBot="1" x14ac:dyDescent="0.3">
      <c r="B121" s="4164"/>
      <c r="C121" s="665" t="s">
        <v>1021</v>
      </c>
      <c r="D121" s="4165">
        <f>D120*E120</f>
        <v>495</v>
      </c>
      <c r="E121" s="4166"/>
      <c r="F121" s="4165">
        <f>F120*G120</f>
        <v>495</v>
      </c>
      <c r="G121" s="4166"/>
      <c r="H121" s="4165">
        <f>H120*I120</f>
        <v>0</v>
      </c>
      <c r="I121" s="4166"/>
      <c r="J121" s="4165">
        <f>J120*K120</f>
        <v>0</v>
      </c>
      <c r="K121" s="4166"/>
      <c r="L121" s="4165">
        <f>L120*M120</f>
        <v>0</v>
      </c>
      <c r="M121" s="4166"/>
      <c r="N121" s="4165">
        <f>N120*O120</f>
        <v>0</v>
      </c>
      <c r="O121" s="4166"/>
      <c r="P121" s="4165">
        <f>P120*Q120</f>
        <v>0</v>
      </c>
      <c r="Q121" s="4166"/>
      <c r="R121" s="4167">
        <f>D121+F121+H121+J121+L121+N121+P121</f>
        <v>990</v>
      </c>
      <c r="S121" s="4168"/>
    </row>
    <row r="122" spans="2:20" s="1439" customFormat="1" x14ac:dyDescent="0.25">
      <c r="B122" s="4163">
        <f>B120+1</f>
        <v>37</v>
      </c>
      <c r="C122" s="1446" t="s">
        <v>2307</v>
      </c>
      <c r="D122" s="663">
        <v>1</v>
      </c>
      <c r="E122" s="663">
        <v>500</v>
      </c>
      <c r="F122" s="525">
        <v>1</v>
      </c>
      <c r="G122" s="525">
        <v>500</v>
      </c>
      <c r="H122" s="525"/>
      <c r="I122" s="525"/>
      <c r="J122" s="525"/>
      <c r="K122" s="525"/>
      <c r="L122" s="525"/>
      <c r="M122" s="525"/>
      <c r="N122" s="525"/>
      <c r="O122" s="528"/>
      <c r="P122" s="525"/>
      <c r="Q122" s="525"/>
      <c r="R122" s="525">
        <f t="shared" si="3"/>
        <v>2</v>
      </c>
      <c r="S122" s="524">
        <f>R123/R122</f>
        <v>500</v>
      </c>
    </row>
    <row r="123" spans="2:20" s="1439" customFormat="1" ht="15.6" customHeight="1" thickBot="1" x14ac:dyDescent="0.3">
      <c r="B123" s="4164"/>
      <c r="C123" s="665" t="s">
        <v>1021</v>
      </c>
      <c r="D123" s="4165">
        <f>D122*E122</f>
        <v>500</v>
      </c>
      <c r="E123" s="4166"/>
      <c r="F123" s="4165">
        <f>F122*G122</f>
        <v>500</v>
      </c>
      <c r="G123" s="4166"/>
      <c r="H123" s="4165">
        <f>H122*I122</f>
        <v>0</v>
      </c>
      <c r="I123" s="4166"/>
      <c r="J123" s="4165">
        <f>J122*K122</f>
        <v>0</v>
      </c>
      <c r="K123" s="4166"/>
      <c r="L123" s="4165">
        <f>L122*M122</f>
        <v>0</v>
      </c>
      <c r="M123" s="4166"/>
      <c r="N123" s="4165">
        <f>N122*O122</f>
        <v>0</v>
      </c>
      <c r="O123" s="4166"/>
      <c r="P123" s="4165">
        <f>P122*Q122</f>
        <v>0</v>
      </c>
      <c r="Q123" s="4166"/>
      <c r="R123" s="4167">
        <f>D123+F123+H123+J123+L123+N123+P123</f>
        <v>1000</v>
      </c>
      <c r="S123" s="4168"/>
      <c r="T123" s="1453">
        <f>R123+R121+R119+R117+R115+R113+R111+R109+R107+R105+R103+R101+R99+R97+R95+R93+R91+R89+R87+R85+R83+R81+R79+R77+R75+R73+R71+R69+R67+R65+R63+R61+R59+R57+R55+R53+R51</f>
        <v>233588.3</v>
      </c>
    </row>
    <row r="124" spans="2:20" s="1439" customFormat="1" ht="16.5" thickBot="1" x14ac:dyDescent="0.3">
      <c r="B124" s="529"/>
      <c r="C124" s="670" t="s">
        <v>1038</v>
      </c>
      <c r="D124" s="4169">
        <f>D51+D53+D55+D57+D59+D61+D63+D65+D67+D69+D71+D73+D75+D77+D79+D81+D83+D85+D87+D89+D91+D93+D95+D97+D99+D101+D103+D105+D107+D109+D111+D113+D115+D117+D119+D121+D123</f>
        <v>92229.92</v>
      </c>
      <c r="E124" s="4170"/>
      <c r="F124" s="4169">
        <f>F51+F53+F55+F57+F59+F61+F63+F65+F67+F69+F71+F73+F75+F77+F79+F81+F83+F85+F87+F89+F91+F93+F95+F97+F99+F101+F103+F105+F107+F109+F111+F113+F115+F117+F119+F121+F123</f>
        <v>105635.46</v>
      </c>
      <c r="G124" s="4170"/>
      <c r="H124" s="4169">
        <f>H51+H53+H55+H57+H59+H61+H63+H65+H67+H69+H71+H73+H75+H77+H79+H81+H83+H85+H87+H89+H91+H93+H95+H97+H99+H101+H103+H105+H107+H109+H111+H113+H115+H117+H119+H121+H123</f>
        <v>0</v>
      </c>
      <c r="I124" s="4170"/>
      <c r="J124" s="4169">
        <f>J51+J53+J55+J57+J59+J61+J63+J65+J67+J69+J71+J73+J75+J77+J79+J81+J83+J85+J87+J89+J91+J93+J95+J97+J99+J101+J103+J105+J107+J109+J111+J113+J115+J117+J119+J121+J123</f>
        <v>3453.8</v>
      </c>
      <c r="K124" s="4170"/>
      <c r="L124" s="4169">
        <f>L51+L53+L55+L57+L59+L61+L63+L65+L67+L69+L71+L73+L75+L77+L79+L81+L83+L85+L87+L89+L91+L93+L95+L97+L99+L101+L103+L105+L107+L109+L111+L113+L115+L117+L119+L121+L123</f>
        <v>10300.11</v>
      </c>
      <c r="M124" s="4170"/>
      <c r="N124" s="4169">
        <f>N51+N53+N55+N57+N59+N61+N63+N65+N67+N69+N71+N73+N75+N77+N79+N81+N83+N85+N87+N89+N91+N93+N95+N97+N99+N101+N103+N105+N107+N109+N111+N113+N115+N117+N119+N121+N123</f>
        <v>15475.23</v>
      </c>
      <c r="O124" s="4170"/>
      <c r="P124" s="4169">
        <f>P51+P53+P55+P57+P59+P61+P63+P65+P67+P69+P71+P73+P75+P77+P79+P81+P83+P85+P87+P89+P91+P93+P95+P97+P99+P101+P103+P105+P107+P109+P111+P113+P115+P117+P119+P121+P123</f>
        <v>6493.78</v>
      </c>
      <c r="Q124" s="4170"/>
      <c r="R124" s="4174">
        <f>IF(D124+F124+H124+J124+L124+N124+P124=R123+R121+R119+R117+R115+R113+R111+R109+R107+R105+R103+R101+R99+R97+R95+R93+R91+R89+R87+R85+R83+R81+R79+R77+R75+R73+R71+R69+R67+R65+R63+R61+R59+R57+R55+R53+R51,D124+F124+H124+J124+L124+N124+P124,"'ошибка'")</f>
        <v>233588.3</v>
      </c>
      <c r="S124" s="4175"/>
      <c r="T124" s="1453">
        <f>D124+F124+H124+J124+L124+N124+P124</f>
        <v>233588.3</v>
      </c>
    </row>
    <row r="126" spans="2:20" ht="15.6" customHeight="1" x14ac:dyDescent="0.25">
      <c r="B126" s="4151" t="s">
        <v>2581</v>
      </c>
      <c r="C126" s="4151"/>
      <c r="D126" s="4151"/>
      <c r="E126" s="4151"/>
      <c r="F126" s="4151"/>
      <c r="G126" s="4151"/>
      <c r="H126" s="4151"/>
      <c r="I126" s="4151"/>
      <c r="J126" s="4151"/>
      <c r="K126" s="4151"/>
      <c r="L126" s="4151"/>
      <c r="M126" s="4151"/>
      <c r="N126" s="4151"/>
      <c r="O126" s="4151"/>
      <c r="P126" s="4151"/>
      <c r="Q126" s="4151"/>
      <c r="R126" s="4151"/>
      <c r="S126" s="4151"/>
    </row>
    <row r="127" spans="2:20" x14ac:dyDescent="0.25">
      <c r="B127" s="1438"/>
      <c r="C127" s="1438"/>
      <c r="D127" s="1438"/>
      <c r="E127" s="1438"/>
      <c r="F127" s="1438"/>
      <c r="G127" s="1438"/>
      <c r="H127" s="1438"/>
      <c r="I127" s="1438"/>
      <c r="J127" s="1438"/>
      <c r="K127" s="1438"/>
      <c r="L127" s="1438"/>
      <c r="M127" s="1438"/>
      <c r="N127" s="1438"/>
      <c r="O127" s="1438"/>
      <c r="P127" s="1438"/>
      <c r="Q127" s="1438"/>
      <c r="R127" s="1438"/>
      <c r="S127" s="1438"/>
    </row>
    <row r="128" spans="2:20" x14ac:dyDescent="0.25">
      <c r="B128" s="1438"/>
      <c r="C128" s="1438"/>
      <c r="D128" s="1438"/>
      <c r="E128" s="1438"/>
      <c r="F128" s="1438"/>
      <c r="G128" s="1438"/>
      <c r="H128" s="1438"/>
      <c r="I128" s="1438"/>
      <c r="J128" s="1438"/>
      <c r="K128" s="1438"/>
      <c r="L128" s="1438"/>
      <c r="M128" s="1438"/>
      <c r="N128" s="1438"/>
      <c r="O128" s="1438"/>
      <c r="P128" s="1438"/>
      <c r="Q128" s="4221" t="s">
        <v>951</v>
      </c>
      <c r="R128" s="4221"/>
      <c r="S128" s="1438"/>
    </row>
    <row r="129" spans="1:25" x14ac:dyDescent="0.25">
      <c r="B129" s="1438"/>
      <c r="C129" s="1438"/>
      <c r="D129" s="1438"/>
      <c r="E129" s="1438"/>
      <c r="F129" s="1438"/>
      <c r="G129" s="1438"/>
      <c r="H129" s="1438"/>
      <c r="I129" s="1438"/>
      <c r="J129" s="1438"/>
      <c r="K129" s="1438"/>
      <c r="L129" s="1438"/>
      <c r="M129" s="1438"/>
      <c r="N129" s="1438"/>
      <c r="O129" s="1438"/>
      <c r="P129" s="1438"/>
      <c r="Q129" s="1438"/>
      <c r="R129" s="1438"/>
      <c r="S129" s="1438"/>
    </row>
    <row r="130" spans="1:25" s="468" customFormat="1" x14ac:dyDescent="0.25">
      <c r="A130" s="1437"/>
      <c r="C130" s="642" t="s">
        <v>1641</v>
      </c>
      <c r="E130" s="642"/>
      <c r="F130" s="642"/>
      <c r="G130" s="642"/>
      <c r="H130" s="1058" t="str">
        <f>'Вхідні дані'!$F$5</f>
        <v>ЧФ ДП "АМПУ"</v>
      </c>
      <c r="I130" s="1058"/>
      <c r="J130" s="1059"/>
      <c r="K130" s="1059"/>
      <c r="L130" s="1433"/>
      <c r="M130" s="1433" t="s">
        <v>460</v>
      </c>
      <c r="N130" s="1439"/>
      <c r="O130" s="1059" t="str">
        <f>'Вхідні дані'!$F$6</f>
        <v>2022-2023</v>
      </c>
      <c r="P130" s="642" t="s">
        <v>647</v>
      </c>
      <c r="Q130" s="642"/>
      <c r="R130" s="642"/>
      <c r="S130" s="642"/>
      <c r="T130" s="467"/>
    </row>
    <row r="131" spans="1:25" ht="16.5" thickBot="1" x14ac:dyDescent="0.3">
      <c r="Q131" s="455" t="s">
        <v>992</v>
      </c>
    </row>
    <row r="132" spans="1:25" x14ac:dyDescent="0.25">
      <c r="B132" s="4214" t="s">
        <v>1009</v>
      </c>
      <c r="C132" s="4216" t="s">
        <v>1010</v>
      </c>
      <c r="D132" s="4218" t="s">
        <v>880</v>
      </c>
      <c r="E132" s="4205"/>
      <c r="F132" s="4205" t="s">
        <v>954</v>
      </c>
      <c r="G132" s="4205"/>
      <c r="H132" s="4205" t="s">
        <v>921</v>
      </c>
      <c r="I132" s="4205"/>
      <c r="J132" s="4205" t="s">
        <v>995</v>
      </c>
      <c r="K132" s="4205"/>
      <c r="L132" s="4205" t="s">
        <v>883</v>
      </c>
      <c r="M132" s="4205"/>
      <c r="N132" s="4205" t="s">
        <v>996</v>
      </c>
      <c r="O132" s="4205"/>
      <c r="P132" s="4205" t="s">
        <v>997</v>
      </c>
      <c r="Q132" s="4206"/>
      <c r="R132" s="4149" t="s">
        <v>998</v>
      </c>
      <c r="S132" s="4150"/>
    </row>
    <row r="133" spans="1:25" x14ac:dyDescent="0.25">
      <c r="B133" s="4162"/>
      <c r="C133" s="4222"/>
      <c r="D133" s="673" t="s">
        <v>999</v>
      </c>
      <c r="E133" s="629" t="s">
        <v>1011</v>
      </c>
      <c r="F133" s="629" t="s">
        <v>999</v>
      </c>
      <c r="G133" s="629" t="s">
        <v>1011</v>
      </c>
      <c r="H133" s="629" t="s">
        <v>999</v>
      </c>
      <c r="I133" s="629" t="s">
        <v>1011</v>
      </c>
      <c r="J133" s="629" t="s">
        <v>999</v>
      </c>
      <c r="K133" s="629" t="s">
        <v>1011</v>
      </c>
      <c r="L133" s="629" t="s">
        <v>999</v>
      </c>
      <c r="M133" s="629" t="s">
        <v>1011</v>
      </c>
      <c r="N133" s="629" t="s">
        <v>999</v>
      </c>
      <c r="O133" s="629" t="s">
        <v>1011</v>
      </c>
      <c r="P133" s="629" t="s">
        <v>999</v>
      </c>
      <c r="Q133" s="469" t="s">
        <v>1011</v>
      </c>
      <c r="R133" s="629" t="s">
        <v>999</v>
      </c>
      <c r="S133" s="643" t="s">
        <v>1011</v>
      </c>
    </row>
    <row r="134" spans="1:25" x14ac:dyDescent="0.25">
      <c r="A134" s="4223" t="s">
        <v>1039</v>
      </c>
      <c r="B134" s="4224">
        <v>1</v>
      </c>
      <c r="C134" s="674" t="s">
        <v>1040</v>
      </c>
      <c r="D134" s="476"/>
      <c r="E134" s="475"/>
      <c r="F134" s="475"/>
      <c r="G134" s="475"/>
      <c r="H134" s="475"/>
      <c r="I134" s="475"/>
      <c r="J134" s="475"/>
      <c r="K134" s="475"/>
      <c r="L134" s="475"/>
      <c r="M134" s="475"/>
      <c r="N134" s="475"/>
      <c r="O134" s="475"/>
      <c r="P134" s="475"/>
      <c r="Q134" s="477"/>
      <c r="R134" s="478"/>
      <c r="S134" s="672"/>
    </row>
    <row r="135" spans="1:25" ht="16.5" thickBot="1" x14ac:dyDescent="0.3">
      <c r="A135" s="4223"/>
      <c r="B135" s="4225"/>
      <c r="C135" s="680" t="s">
        <v>1014</v>
      </c>
      <c r="D135" s="4146">
        <f>D134*E134</f>
        <v>0</v>
      </c>
      <c r="E135" s="4147"/>
      <c r="F135" s="4148">
        <f>F134*G134</f>
        <v>0</v>
      </c>
      <c r="G135" s="4147"/>
      <c r="H135" s="4148">
        <f>H134*I134</f>
        <v>0</v>
      </c>
      <c r="I135" s="4147"/>
      <c r="J135" s="4148">
        <f>J134*K134</f>
        <v>0</v>
      </c>
      <c r="K135" s="4147"/>
      <c r="L135" s="4148">
        <f>L134*M134</f>
        <v>0</v>
      </c>
      <c r="M135" s="4147"/>
      <c r="N135" s="4148">
        <f>N134*O134</f>
        <v>0</v>
      </c>
      <c r="O135" s="4147"/>
      <c r="P135" s="4148">
        <f>P134*Q134</f>
        <v>0</v>
      </c>
      <c r="Q135" s="4147"/>
      <c r="R135" s="4144">
        <f>D135+F135+H135+J135+L135+N135</f>
        <v>0</v>
      </c>
      <c r="S135" s="4145"/>
    </row>
    <row r="136" spans="1:25" ht="18" customHeight="1" x14ac:dyDescent="0.25">
      <c r="A136" s="4223" t="s">
        <v>1041</v>
      </c>
      <c r="B136" s="4214">
        <v>2</v>
      </c>
      <c r="C136" s="681" t="s">
        <v>1042</v>
      </c>
      <c r="D136" s="682">
        <v>1</v>
      </c>
      <c r="E136" s="683">
        <v>1800</v>
      </c>
      <c r="F136" s="683"/>
      <c r="G136" s="683"/>
      <c r="H136" s="683"/>
      <c r="I136" s="683"/>
      <c r="J136" s="683"/>
      <c r="K136" s="683"/>
      <c r="L136" s="683"/>
      <c r="M136" s="683"/>
      <c r="N136" s="683"/>
      <c r="O136" s="683"/>
      <c r="P136" s="683"/>
      <c r="Q136" s="683"/>
      <c r="R136" s="684"/>
      <c r="S136" s="685"/>
    </row>
    <row r="137" spans="1:25" ht="16.5" thickBot="1" x14ac:dyDescent="0.3">
      <c r="A137" s="4223"/>
      <c r="B137" s="4215"/>
      <c r="C137" s="680" t="s">
        <v>1014</v>
      </c>
      <c r="D137" s="4146">
        <f>D136*E136</f>
        <v>1800</v>
      </c>
      <c r="E137" s="4147"/>
      <c r="F137" s="4148">
        <f>F136*G136</f>
        <v>0</v>
      </c>
      <c r="G137" s="4147"/>
      <c r="H137" s="4148">
        <f>H136*I136</f>
        <v>0</v>
      </c>
      <c r="I137" s="4147"/>
      <c r="J137" s="4148">
        <f>J136*K136</f>
        <v>0</v>
      </c>
      <c r="K137" s="4147"/>
      <c r="L137" s="4148">
        <f>L136*M136</f>
        <v>0</v>
      </c>
      <c r="M137" s="4147"/>
      <c r="N137" s="4148">
        <f>N136*O136</f>
        <v>0</v>
      </c>
      <c r="O137" s="4147"/>
      <c r="P137" s="4148">
        <f>P136*Q136</f>
        <v>0</v>
      </c>
      <c r="Q137" s="4147"/>
      <c r="R137" s="4144">
        <f>D137+F137+H137+J137+L137+N137</f>
        <v>1800</v>
      </c>
      <c r="S137" s="4145"/>
    </row>
    <row r="138" spans="1:25" hidden="1" x14ac:dyDescent="0.25">
      <c r="B138" s="4196">
        <v>3</v>
      </c>
      <c r="C138" s="675"/>
      <c r="D138" s="476"/>
      <c r="E138" s="475"/>
      <c r="F138" s="475"/>
      <c r="G138" s="475"/>
      <c r="H138" s="475"/>
      <c r="I138" s="475"/>
      <c r="J138" s="475"/>
      <c r="K138" s="475"/>
      <c r="L138" s="475"/>
      <c r="M138" s="475"/>
      <c r="N138" s="475"/>
      <c r="O138" s="475"/>
      <c r="P138" s="475"/>
      <c r="Q138" s="475"/>
      <c r="R138" s="678"/>
      <c r="S138" s="679"/>
    </row>
    <row r="139" spans="1:25" ht="16.5" hidden="1" thickBot="1" x14ac:dyDescent="0.3">
      <c r="B139" s="4162"/>
      <c r="C139" s="652" t="s">
        <v>1014</v>
      </c>
      <c r="D139" s="4146">
        <f>D138*E138</f>
        <v>0</v>
      </c>
      <c r="E139" s="4147"/>
      <c r="F139" s="4148">
        <f>F138*G138</f>
        <v>0</v>
      </c>
      <c r="G139" s="4147"/>
      <c r="H139" s="4148">
        <f>H138*I138</f>
        <v>0</v>
      </c>
      <c r="I139" s="4147"/>
      <c r="J139" s="4148">
        <f>J138*K138</f>
        <v>0</v>
      </c>
      <c r="K139" s="4147"/>
      <c r="L139" s="4148">
        <f>L138*M138</f>
        <v>0</v>
      </c>
      <c r="M139" s="4147"/>
      <c r="N139" s="4148">
        <f>N138*O138</f>
        <v>0</v>
      </c>
      <c r="O139" s="4147"/>
      <c r="P139" s="4148">
        <f>P138*Q138</f>
        <v>0</v>
      </c>
      <c r="Q139" s="4147"/>
      <c r="R139" s="4144">
        <f>D139+F139+H139+J139+L139+N139</f>
        <v>0</v>
      </c>
      <c r="S139" s="4145"/>
    </row>
    <row r="140" spans="1:25" hidden="1" x14ac:dyDescent="0.25">
      <c r="B140" s="4161">
        <v>4</v>
      </c>
      <c r="C140" s="674"/>
      <c r="D140" s="472"/>
      <c r="E140" s="470"/>
      <c r="F140" s="470"/>
      <c r="G140" s="470"/>
      <c r="H140" s="470"/>
      <c r="I140" s="470"/>
      <c r="J140" s="470"/>
      <c r="K140" s="470"/>
      <c r="L140" s="470"/>
      <c r="M140" s="470"/>
      <c r="N140" s="470"/>
      <c r="O140" s="470"/>
      <c r="P140" s="470"/>
      <c r="Q140" s="470"/>
      <c r="R140" s="478"/>
      <c r="S140" s="672"/>
    </row>
    <row r="141" spans="1:25" ht="16.5" hidden="1" thickBot="1" x14ac:dyDescent="0.3">
      <c r="B141" s="4162"/>
      <c r="C141" s="654" t="s">
        <v>1014</v>
      </c>
      <c r="D141" s="4146">
        <f>D140*E140</f>
        <v>0</v>
      </c>
      <c r="E141" s="4147"/>
      <c r="F141" s="4148">
        <f>F140*G140</f>
        <v>0</v>
      </c>
      <c r="G141" s="4147"/>
      <c r="H141" s="4148">
        <f>H140*I140</f>
        <v>0</v>
      </c>
      <c r="I141" s="4147"/>
      <c r="J141" s="4148">
        <f>J140*K140</f>
        <v>0</v>
      </c>
      <c r="K141" s="4147"/>
      <c r="L141" s="4148">
        <f>L140*M140</f>
        <v>0</v>
      </c>
      <c r="M141" s="4147"/>
      <c r="N141" s="4148">
        <f>N140*O140</f>
        <v>0</v>
      </c>
      <c r="O141" s="4147"/>
      <c r="P141" s="4148">
        <f>P140*Q140</f>
        <v>0</v>
      </c>
      <c r="Q141" s="4147"/>
      <c r="R141" s="4144">
        <f>D141+F141+H141+J141+L141+N141</f>
        <v>0</v>
      </c>
      <c r="S141" s="4145"/>
    </row>
    <row r="142" spans="1:25" hidden="1" x14ac:dyDescent="0.25">
      <c r="B142" s="4161">
        <v>5</v>
      </c>
      <c r="C142" s="676"/>
      <c r="D142" s="472"/>
      <c r="E142" s="470"/>
      <c r="F142" s="470"/>
      <c r="G142" s="470"/>
      <c r="H142" s="470"/>
      <c r="I142" s="470"/>
      <c r="J142" s="470"/>
      <c r="K142" s="470"/>
      <c r="L142" s="470"/>
      <c r="M142" s="470"/>
      <c r="N142" s="470"/>
      <c r="O142" s="470"/>
      <c r="P142" s="470"/>
      <c r="Q142" s="470"/>
      <c r="R142" s="478"/>
      <c r="S142" s="672"/>
    </row>
    <row r="143" spans="1:25" s="1436" customFormat="1" ht="16.5" hidden="1" thickBot="1" x14ac:dyDescent="0.3">
      <c r="A143" s="452"/>
      <c r="B143" s="4162"/>
      <c r="C143" s="654" t="s">
        <v>1014</v>
      </c>
      <c r="D143" s="4146">
        <f>D142*E142</f>
        <v>0</v>
      </c>
      <c r="E143" s="4147"/>
      <c r="F143" s="4148">
        <f>F142*G142</f>
        <v>0</v>
      </c>
      <c r="G143" s="4147"/>
      <c r="H143" s="4148">
        <f>H142*I142</f>
        <v>0</v>
      </c>
      <c r="I143" s="4147"/>
      <c r="J143" s="4148">
        <f>J142*K142</f>
        <v>0</v>
      </c>
      <c r="K143" s="4147"/>
      <c r="L143" s="4148">
        <f>L142*M142</f>
        <v>0</v>
      </c>
      <c r="M143" s="4147"/>
      <c r="N143" s="4148">
        <f>N142*O142</f>
        <v>0</v>
      </c>
      <c r="O143" s="4147"/>
      <c r="P143" s="4148">
        <f>P142*Q142</f>
        <v>0</v>
      </c>
      <c r="Q143" s="4147"/>
      <c r="R143" s="4144">
        <f>D143+F143+H143+J143+L143+N143</f>
        <v>0</v>
      </c>
      <c r="S143" s="4145"/>
      <c r="U143" s="455"/>
      <c r="V143" s="455"/>
      <c r="W143" s="455"/>
      <c r="X143" s="455"/>
      <c r="Y143" s="455"/>
    </row>
    <row r="144" spans="1:25" s="1436" customFormat="1" hidden="1" x14ac:dyDescent="0.25">
      <c r="A144" s="452"/>
      <c r="B144" s="4161">
        <v>6</v>
      </c>
      <c r="C144" s="677"/>
      <c r="D144" s="472"/>
      <c r="E144" s="470"/>
      <c r="F144" s="470"/>
      <c r="G144" s="470"/>
      <c r="H144" s="470"/>
      <c r="I144" s="470"/>
      <c r="J144" s="470"/>
      <c r="K144" s="470"/>
      <c r="L144" s="470"/>
      <c r="M144" s="470"/>
      <c r="N144" s="470"/>
      <c r="O144" s="470"/>
      <c r="P144" s="470"/>
      <c r="Q144" s="470"/>
      <c r="R144" s="478"/>
      <c r="S144" s="672"/>
      <c r="U144" s="455"/>
      <c r="V144" s="455"/>
      <c r="W144" s="455"/>
      <c r="X144" s="455"/>
      <c r="Y144" s="455"/>
    </row>
    <row r="145" spans="1:25" s="1436" customFormat="1" ht="16.5" hidden="1" thickBot="1" x14ac:dyDescent="0.3">
      <c r="A145" s="452"/>
      <c r="B145" s="4162"/>
      <c r="C145" s="654" t="s">
        <v>1014</v>
      </c>
      <c r="D145" s="4146">
        <f>D144*E144</f>
        <v>0</v>
      </c>
      <c r="E145" s="4147"/>
      <c r="F145" s="4148">
        <f>F144*G144</f>
        <v>0</v>
      </c>
      <c r="G145" s="4147"/>
      <c r="H145" s="4148">
        <f>H144*I144</f>
        <v>0</v>
      </c>
      <c r="I145" s="4147"/>
      <c r="J145" s="4148">
        <f>J144*K144</f>
        <v>0</v>
      </c>
      <c r="K145" s="4147"/>
      <c r="L145" s="4148">
        <f>L144*M144</f>
        <v>0</v>
      </c>
      <c r="M145" s="4147"/>
      <c r="N145" s="4148">
        <f>N144*O144</f>
        <v>0</v>
      </c>
      <c r="O145" s="4147"/>
      <c r="P145" s="4148">
        <f>P144*Q144</f>
        <v>0</v>
      </c>
      <c r="Q145" s="4147"/>
      <c r="R145" s="4144">
        <f>D145+F145+H145+J145+L145+N145</f>
        <v>0</v>
      </c>
      <c r="S145" s="4145"/>
      <c r="U145" s="455"/>
      <c r="V145" s="455"/>
      <c r="W145" s="455"/>
      <c r="X145" s="455"/>
      <c r="Y145" s="455"/>
    </row>
    <row r="146" spans="1:25" s="1436" customFormat="1" hidden="1" x14ac:dyDescent="0.25">
      <c r="A146" s="452"/>
      <c r="B146" s="4161">
        <v>7</v>
      </c>
      <c r="C146" s="674"/>
      <c r="D146" s="472"/>
      <c r="E146" s="470"/>
      <c r="F146" s="470"/>
      <c r="G146" s="470"/>
      <c r="H146" s="470"/>
      <c r="I146" s="470"/>
      <c r="J146" s="470"/>
      <c r="K146" s="470"/>
      <c r="L146" s="470"/>
      <c r="M146" s="470"/>
      <c r="N146" s="470"/>
      <c r="O146" s="470"/>
      <c r="P146" s="470"/>
      <c r="Q146" s="470"/>
      <c r="R146" s="478"/>
      <c r="S146" s="672"/>
      <c r="U146" s="455"/>
      <c r="V146" s="455"/>
      <c r="W146" s="455"/>
      <c r="X146" s="455"/>
      <c r="Y146" s="455"/>
    </row>
    <row r="147" spans="1:25" s="1436" customFormat="1" ht="16.5" hidden="1" thickBot="1" x14ac:dyDescent="0.3">
      <c r="A147" s="452"/>
      <c r="B147" s="4162"/>
      <c r="C147" s="654" t="s">
        <v>1014</v>
      </c>
      <c r="D147" s="4146">
        <f>D146*E146</f>
        <v>0</v>
      </c>
      <c r="E147" s="4147"/>
      <c r="F147" s="4148">
        <f>F146*G146</f>
        <v>0</v>
      </c>
      <c r="G147" s="4147"/>
      <c r="H147" s="4148">
        <f>H146*I146</f>
        <v>0</v>
      </c>
      <c r="I147" s="4147"/>
      <c r="J147" s="4148">
        <f>J146*K146</f>
        <v>0</v>
      </c>
      <c r="K147" s="4147"/>
      <c r="L147" s="4148">
        <f>L146*M146</f>
        <v>0</v>
      </c>
      <c r="M147" s="4147"/>
      <c r="N147" s="4148">
        <f>N146*O146</f>
        <v>0</v>
      </c>
      <c r="O147" s="4147"/>
      <c r="P147" s="4148">
        <f>P146*Q146</f>
        <v>0</v>
      </c>
      <c r="Q147" s="4147"/>
      <c r="R147" s="4144">
        <f>D147+F147+H147+J147+L147+N147</f>
        <v>0</v>
      </c>
      <c r="S147" s="4145"/>
      <c r="U147" s="455"/>
      <c r="V147" s="455"/>
      <c r="W147" s="455"/>
      <c r="X147" s="455"/>
      <c r="Y147" s="455"/>
    </row>
    <row r="148" spans="1:25" s="1436" customFormat="1" hidden="1" x14ac:dyDescent="0.25">
      <c r="A148" s="452"/>
      <c r="B148" s="4161">
        <v>8</v>
      </c>
      <c r="C148" s="674"/>
      <c r="D148" s="472"/>
      <c r="E148" s="470"/>
      <c r="F148" s="470"/>
      <c r="G148" s="470"/>
      <c r="H148" s="470"/>
      <c r="I148" s="470"/>
      <c r="J148" s="470"/>
      <c r="K148" s="470"/>
      <c r="L148" s="470"/>
      <c r="M148" s="470"/>
      <c r="N148" s="470"/>
      <c r="O148" s="470"/>
      <c r="P148" s="470"/>
      <c r="Q148" s="470"/>
      <c r="R148" s="478"/>
      <c r="S148" s="672"/>
      <c r="U148" s="455"/>
      <c r="V148" s="455"/>
      <c r="W148" s="455"/>
      <c r="X148" s="455"/>
      <c r="Y148" s="455"/>
    </row>
    <row r="149" spans="1:25" s="1436" customFormat="1" ht="16.5" hidden="1" thickBot="1" x14ac:dyDescent="0.3">
      <c r="A149" s="452"/>
      <c r="B149" s="4162"/>
      <c r="C149" s="654" t="s">
        <v>1014</v>
      </c>
      <c r="D149" s="4146">
        <f>D148*E148</f>
        <v>0</v>
      </c>
      <c r="E149" s="4147"/>
      <c r="F149" s="4148">
        <f>F148*G148</f>
        <v>0</v>
      </c>
      <c r="G149" s="4147"/>
      <c r="H149" s="4148">
        <f>H148*I148</f>
        <v>0</v>
      </c>
      <c r="I149" s="4147"/>
      <c r="J149" s="4148">
        <f>J148*K148</f>
        <v>0</v>
      </c>
      <c r="K149" s="4147"/>
      <c r="L149" s="4148">
        <f>L148*M148</f>
        <v>0</v>
      </c>
      <c r="M149" s="4147"/>
      <c r="N149" s="4148">
        <f>N148*O148</f>
        <v>0</v>
      </c>
      <c r="O149" s="4147"/>
      <c r="P149" s="4148">
        <f>P148*Q148</f>
        <v>0</v>
      </c>
      <c r="Q149" s="4147"/>
      <c r="R149" s="4144">
        <f>D149+F149+H149+J149+L149+N149</f>
        <v>0</v>
      </c>
      <c r="S149" s="4145"/>
      <c r="U149" s="455"/>
      <c r="V149" s="455"/>
      <c r="W149" s="455"/>
      <c r="X149" s="455"/>
      <c r="Y149" s="455"/>
    </row>
    <row r="150" spans="1:25" s="1436" customFormat="1" hidden="1" x14ac:dyDescent="0.25">
      <c r="A150" s="452"/>
      <c r="B150" s="4226">
        <v>9</v>
      </c>
      <c r="C150" s="677"/>
      <c r="D150" s="472"/>
      <c r="E150" s="470"/>
      <c r="F150" s="470"/>
      <c r="G150" s="470"/>
      <c r="H150" s="470"/>
      <c r="I150" s="470"/>
      <c r="J150" s="470"/>
      <c r="K150" s="470"/>
      <c r="L150" s="470"/>
      <c r="M150" s="470"/>
      <c r="N150" s="470"/>
      <c r="O150" s="470"/>
      <c r="P150" s="470"/>
      <c r="Q150" s="470"/>
      <c r="R150" s="478"/>
      <c r="S150" s="672"/>
      <c r="U150" s="455"/>
      <c r="V150" s="455"/>
      <c r="W150" s="455"/>
      <c r="X150" s="455"/>
      <c r="Y150" s="455"/>
    </row>
    <row r="151" spans="1:25" s="1436" customFormat="1" ht="16.5" hidden="1" thickBot="1" x14ac:dyDescent="0.3">
      <c r="A151" s="452"/>
      <c r="B151" s="4226"/>
      <c r="C151" s="654" t="s">
        <v>1014</v>
      </c>
      <c r="D151" s="4146">
        <f>D150*E150</f>
        <v>0</v>
      </c>
      <c r="E151" s="4147"/>
      <c r="F151" s="4148">
        <f>F150*G150</f>
        <v>0</v>
      </c>
      <c r="G151" s="4147"/>
      <c r="H151" s="4148">
        <f>H150*I150</f>
        <v>0</v>
      </c>
      <c r="I151" s="4147"/>
      <c r="J151" s="4148">
        <f>J150*K150</f>
        <v>0</v>
      </c>
      <c r="K151" s="4147"/>
      <c r="L151" s="4148">
        <f>L150*M150</f>
        <v>0</v>
      </c>
      <c r="M151" s="4147"/>
      <c r="N151" s="4148">
        <f>N150*O150</f>
        <v>0</v>
      </c>
      <c r="O151" s="4147"/>
      <c r="P151" s="4148">
        <f>P150*Q150</f>
        <v>0</v>
      </c>
      <c r="Q151" s="4147"/>
      <c r="R151" s="4144">
        <f>D151+F151+H151+J151+L151+N151</f>
        <v>0</v>
      </c>
      <c r="S151" s="4145"/>
      <c r="U151" s="455"/>
      <c r="V151" s="455"/>
      <c r="W151" s="455"/>
      <c r="X151" s="455"/>
      <c r="Y151" s="455"/>
    </row>
    <row r="152" spans="1:25" s="1436" customFormat="1" hidden="1" x14ac:dyDescent="0.25">
      <c r="A152" s="452"/>
      <c r="B152" s="4161">
        <v>10</v>
      </c>
      <c r="C152" s="674"/>
      <c r="D152" s="472"/>
      <c r="E152" s="470"/>
      <c r="F152" s="470"/>
      <c r="G152" s="470"/>
      <c r="H152" s="470"/>
      <c r="I152" s="470"/>
      <c r="J152" s="470"/>
      <c r="K152" s="470"/>
      <c r="L152" s="470"/>
      <c r="M152" s="470"/>
      <c r="N152" s="470"/>
      <c r="O152" s="470"/>
      <c r="P152" s="470"/>
      <c r="Q152" s="470"/>
      <c r="R152" s="478"/>
      <c r="S152" s="672"/>
      <c r="U152" s="455"/>
      <c r="V152" s="455"/>
      <c r="W152" s="455"/>
      <c r="X152" s="455"/>
      <c r="Y152" s="455"/>
    </row>
    <row r="153" spans="1:25" s="1436" customFormat="1" ht="16.5" hidden="1" thickBot="1" x14ac:dyDescent="0.3">
      <c r="A153" s="452"/>
      <c r="B153" s="4162"/>
      <c r="C153" s="654" t="s">
        <v>1014</v>
      </c>
      <c r="D153" s="4146">
        <f>D152*E152</f>
        <v>0</v>
      </c>
      <c r="E153" s="4147"/>
      <c r="F153" s="4148">
        <f>F152*G152</f>
        <v>0</v>
      </c>
      <c r="G153" s="4147"/>
      <c r="H153" s="4148">
        <f>H152*I152</f>
        <v>0</v>
      </c>
      <c r="I153" s="4147"/>
      <c r="J153" s="4148">
        <f>J152*K152</f>
        <v>0</v>
      </c>
      <c r="K153" s="4147"/>
      <c r="L153" s="4148">
        <f>L152*M152</f>
        <v>0</v>
      </c>
      <c r="M153" s="4147"/>
      <c r="N153" s="4148">
        <f>N152*O152</f>
        <v>0</v>
      </c>
      <c r="O153" s="4147"/>
      <c r="P153" s="4148">
        <f>P152*Q152</f>
        <v>0</v>
      </c>
      <c r="Q153" s="4147"/>
      <c r="R153" s="4144">
        <f>D153+F153+H153+J153+L153+N153</f>
        <v>0</v>
      </c>
      <c r="S153" s="4145"/>
      <c r="U153" s="455"/>
      <c r="V153" s="455"/>
      <c r="W153" s="455"/>
      <c r="X153" s="455"/>
      <c r="Y153" s="455"/>
    </row>
    <row r="154" spans="1:25" s="1436" customFormat="1" hidden="1" x14ac:dyDescent="0.25">
      <c r="A154" s="452"/>
      <c r="B154" s="4161">
        <v>11</v>
      </c>
      <c r="C154" s="674"/>
      <c r="D154" s="472"/>
      <c r="E154" s="470"/>
      <c r="F154" s="470"/>
      <c r="G154" s="470"/>
      <c r="H154" s="470"/>
      <c r="I154" s="470"/>
      <c r="J154" s="470"/>
      <c r="K154" s="470"/>
      <c r="L154" s="470"/>
      <c r="M154" s="470"/>
      <c r="N154" s="470"/>
      <c r="O154" s="470"/>
      <c r="P154" s="470"/>
      <c r="Q154" s="470"/>
      <c r="R154" s="478"/>
      <c r="S154" s="672"/>
      <c r="U154" s="455"/>
      <c r="V154" s="455"/>
      <c r="W154" s="455"/>
      <c r="X154" s="455"/>
      <c r="Y154" s="455"/>
    </row>
    <row r="155" spans="1:25" s="1436" customFormat="1" ht="16.5" hidden="1" thickBot="1" x14ac:dyDescent="0.3">
      <c r="A155" s="452"/>
      <c r="B155" s="4162"/>
      <c r="C155" s="654" t="s">
        <v>1014</v>
      </c>
      <c r="D155" s="4146">
        <f>D154*E154</f>
        <v>0</v>
      </c>
      <c r="E155" s="4147"/>
      <c r="F155" s="4148">
        <f>F154*G154</f>
        <v>0</v>
      </c>
      <c r="G155" s="4147"/>
      <c r="H155" s="4148">
        <f>H154*I154</f>
        <v>0</v>
      </c>
      <c r="I155" s="4147"/>
      <c r="J155" s="4148">
        <f>J154*K154</f>
        <v>0</v>
      </c>
      <c r="K155" s="4147"/>
      <c r="L155" s="4148">
        <f>L154*M154</f>
        <v>0</v>
      </c>
      <c r="M155" s="4147"/>
      <c r="N155" s="4148">
        <f>N154*O154</f>
        <v>0</v>
      </c>
      <c r="O155" s="4147"/>
      <c r="P155" s="4148">
        <f>P154*Q154</f>
        <v>0</v>
      </c>
      <c r="Q155" s="4147"/>
      <c r="R155" s="4144">
        <f>D155+F155+H155+J155+L155+N155</f>
        <v>0</v>
      </c>
      <c r="S155" s="4145"/>
      <c r="U155" s="455"/>
      <c r="V155" s="455"/>
      <c r="W155" s="455"/>
      <c r="X155" s="455"/>
      <c r="Y155" s="455"/>
    </row>
    <row r="156" spans="1:25" s="1436" customFormat="1" hidden="1" x14ac:dyDescent="0.25">
      <c r="A156" s="452"/>
      <c r="B156" s="4161">
        <v>12</v>
      </c>
      <c r="C156" s="677"/>
      <c r="D156" s="472"/>
      <c r="E156" s="470"/>
      <c r="F156" s="470"/>
      <c r="G156" s="470"/>
      <c r="H156" s="470"/>
      <c r="I156" s="470"/>
      <c r="J156" s="470"/>
      <c r="K156" s="470"/>
      <c r="L156" s="470"/>
      <c r="M156" s="470"/>
      <c r="N156" s="470"/>
      <c r="O156" s="470"/>
      <c r="P156" s="470"/>
      <c r="Q156" s="470"/>
      <c r="R156" s="478"/>
      <c r="S156" s="672"/>
      <c r="U156" s="455"/>
      <c r="V156" s="455"/>
      <c r="W156" s="455"/>
      <c r="X156" s="455"/>
      <c r="Y156" s="455"/>
    </row>
    <row r="157" spans="1:25" s="1436" customFormat="1" ht="16.5" hidden="1" thickBot="1" x14ac:dyDescent="0.3">
      <c r="A157" s="452"/>
      <c r="B157" s="4162"/>
      <c r="C157" s="654" t="s">
        <v>1014</v>
      </c>
      <c r="D157" s="4146">
        <f>D156*E156</f>
        <v>0</v>
      </c>
      <c r="E157" s="4147"/>
      <c r="F157" s="4148">
        <f>F156*G156</f>
        <v>0</v>
      </c>
      <c r="G157" s="4147"/>
      <c r="H157" s="4148">
        <f>H156*I156</f>
        <v>0</v>
      </c>
      <c r="I157" s="4147"/>
      <c r="J157" s="4148">
        <f>J156*K156</f>
        <v>0</v>
      </c>
      <c r="K157" s="4147"/>
      <c r="L157" s="4148">
        <f>L156*M156</f>
        <v>0</v>
      </c>
      <c r="M157" s="4147"/>
      <c r="N157" s="4148">
        <f>N156*O156</f>
        <v>0</v>
      </c>
      <c r="O157" s="4147"/>
      <c r="P157" s="4148">
        <f>P156*Q156</f>
        <v>0</v>
      </c>
      <c r="Q157" s="4147"/>
      <c r="R157" s="4144">
        <f>D157+F157+H157+J157+L157+N157</f>
        <v>0</v>
      </c>
      <c r="S157" s="4145"/>
      <c r="U157" s="455"/>
      <c r="V157" s="455"/>
      <c r="W157" s="455"/>
      <c r="X157" s="455"/>
      <c r="Y157" s="455"/>
    </row>
    <row r="158" spans="1:25" s="1436" customFormat="1" ht="16.5" thickBot="1" x14ac:dyDescent="0.3">
      <c r="A158" s="452"/>
      <c r="B158" s="1432"/>
      <c r="C158" s="657" t="s">
        <v>1019</v>
      </c>
      <c r="D158" s="4157">
        <f>D157+D155+D153+D151+D149+D147+D145+D143+D141+D139+D137+D135</f>
        <v>1800</v>
      </c>
      <c r="E158" s="4158"/>
      <c r="F158" s="4159">
        <f>F157+F155+F153+F151+F149+F147+F145+F143+F141+F139+F137+F135</f>
        <v>0</v>
      </c>
      <c r="G158" s="4158"/>
      <c r="H158" s="4159">
        <f>H157+H155+H153+H151+H149+H147+H145+H143+H141+H139+H137+H135</f>
        <v>0</v>
      </c>
      <c r="I158" s="4158"/>
      <c r="J158" s="4159">
        <f>J157+J155+J153+J151+J149+J147+J145+J143+J141+J139+J137+J135</f>
        <v>0</v>
      </c>
      <c r="K158" s="4158"/>
      <c r="L158" s="4159">
        <f>L157+L155+L153+L151+L149+L147+L145+L143+L141+L139+L137+L135</f>
        <v>0</v>
      </c>
      <c r="M158" s="4158"/>
      <c r="N158" s="4159">
        <f>N157+N155+N153+N151+N149+N147+N145+N143+N141+N139+N137+N135</f>
        <v>0</v>
      </c>
      <c r="O158" s="4158"/>
      <c r="P158" s="4159">
        <f>P157+P155+P153+P151+P149+P147+P145+P143+P141+P139+P137+P135</f>
        <v>0</v>
      </c>
      <c r="Q158" s="4158"/>
      <c r="R158" s="4159">
        <f>R157+R155+R153+R151+R149+R147+R145+R143+R141+R139+R137+R135</f>
        <v>1800</v>
      </c>
      <c r="S158" s="4160"/>
      <c r="U158" s="455"/>
      <c r="V158" s="455"/>
      <c r="W158" s="455"/>
      <c r="X158" s="455"/>
      <c r="Y158" s="455"/>
    </row>
    <row r="161" spans="2:19" ht="16.149999999999999" customHeight="1" x14ac:dyDescent="0.25">
      <c r="B161" s="4151" t="s">
        <v>2581</v>
      </c>
      <c r="C161" s="4151"/>
      <c r="D161" s="4151"/>
      <c r="E161" s="4151"/>
      <c r="F161" s="4151"/>
      <c r="G161" s="4151"/>
      <c r="H161" s="4151"/>
      <c r="I161" s="4151"/>
      <c r="J161" s="4151"/>
      <c r="K161" s="4151"/>
      <c r="L161" s="4151"/>
      <c r="M161" s="4151"/>
      <c r="N161" s="4151"/>
      <c r="O161" s="4151"/>
      <c r="P161" s="4151"/>
      <c r="Q161" s="4151"/>
      <c r="R161" s="4151"/>
      <c r="S161" s="4151"/>
    </row>
    <row r="162" spans="2:19" ht="21.75" customHeight="1" x14ac:dyDescent="0.25">
      <c r="B162" s="642" t="s">
        <v>1815</v>
      </c>
      <c r="D162" s="468"/>
      <c r="E162" s="1058" t="str">
        <f>'Вхідні дані'!$F$5</f>
        <v>ЧФ ДП "АМПУ"</v>
      </c>
      <c r="F162" s="1060"/>
      <c r="G162" s="1058"/>
      <c r="H162" s="1433" t="s">
        <v>460</v>
      </c>
      <c r="I162" s="1059" t="str">
        <f>'Вхідні дані'!$F$6</f>
        <v>2022-2023</v>
      </c>
      <c r="J162" s="468" t="s">
        <v>647</v>
      </c>
      <c r="N162" s="1439"/>
    </row>
    <row r="163" spans="2:19" ht="16.149999999999999" customHeight="1" x14ac:dyDescent="0.25"/>
    <row r="164" spans="2:19" ht="15.6" customHeight="1" thickBot="1" x14ac:dyDescent="0.3"/>
    <row r="165" spans="2:19" ht="15.6" customHeight="1" thickBot="1" x14ac:dyDescent="0.3">
      <c r="C165" s="785" t="s">
        <v>1812</v>
      </c>
      <c r="D165" s="4152">
        <v>2020</v>
      </c>
      <c r="E165" s="4153"/>
      <c r="F165" s="4154" t="str">
        <f>'Вхідні дані'!F6</f>
        <v>2022-2023</v>
      </c>
      <c r="G165" s="4155"/>
      <c r="H165" s="4156"/>
    </row>
    <row r="166" spans="2:19" ht="15.6" customHeight="1" thickBot="1" x14ac:dyDescent="0.3">
      <c r="C166" s="789" t="s">
        <v>1813</v>
      </c>
      <c r="D166" s="1064" t="s">
        <v>1814</v>
      </c>
      <c r="E166" s="1065" t="s">
        <v>1816</v>
      </c>
      <c r="F166" s="1066" t="s">
        <v>1814</v>
      </c>
      <c r="G166" s="1067" t="s">
        <v>1011</v>
      </c>
      <c r="H166" s="1073" t="s">
        <v>1816</v>
      </c>
    </row>
    <row r="167" spans="2:19" ht="15.6" customHeight="1" x14ac:dyDescent="0.25">
      <c r="C167" s="787" t="s">
        <v>880</v>
      </c>
      <c r="D167" s="1834">
        <f>СПЕЦХАРЧ!AA7</f>
        <v>24586.82</v>
      </c>
      <c r="E167" s="1836">
        <f>СПЕЦХАРЧ!Z7</f>
        <v>1596</v>
      </c>
      <c r="F167" s="790">
        <f>H167*G167</f>
        <v>0</v>
      </c>
      <c r="G167" s="1061">
        <f>'Вхідні дані'!D42</f>
        <v>0</v>
      </c>
      <c r="H167" s="788">
        <f>E167</f>
        <v>1596</v>
      </c>
    </row>
    <row r="168" spans="2:19" ht="15.6" customHeight="1" x14ac:dyDescent="0.25">
      <c r="C168" s="786" t="s">
        <v>954</v>
      </c>
      <c r="D168" s="1835">
        <f>СПЕЦХАРЧ!AA8</f>
        <v>16842.13</v>
      </c>
      <c r="E168" s="1836">
        <f>СПЕЦХАРЧ!Z8</f>
        <v>1099</v>
      </c>
      <c r="F168" s="790">
        <f t="shared" ref="F168:F174" si="4">H168*G168</f>
        <v>0</v>
      </c>
      <c r="G168" s="1062">
        <f>G167</f>
        <v>0</v>
      </c>
      <c r="H168" s="89">
        <f>E168</f>
        <v>1099</v>
      </c>
    </row>
    <row r="169" spans="2:19" ht="15.6" customHeight="1" x14ac:dyDescent="0.25">
      <c r="C169" s="786" t="s">
        <v>2413</v>
      </c>
      <c r="D169" s="1835">
        <f>СПЕЦХАРЧ!AA9</f>
        <v>1533.43</v>
      </c>
      <c r="E169" s="1836">
        <f>СПЕЦХАРЧ!Z9</f>
        <v>95</v>
      </c>
      <c r="F169" s="790">
        <f t="shared" si="4"/>
        <v>0</v>
      </c>
      <c r="G169" s="1062">
        <f>G168</f>
        <v>0</v>
      </c>
      <c r="H169" s="89">
        <f>E169</f>
        <v>95</v>
      </c>
    </row>
    <row r="170" spans="2:19" ht="15.6" customHeight="1" x14ac:dyDescent="0.25">
      <c r="C170" s="786" t="s">
        <v>921</v>
      </c>
      <c r="D170" s="1835"/>
      <c r="E170" s="783"/>
      <c r="F170" s="790">
        <f t="shared" si="4"/>
        <v>0</v>
      </c>
      <c r="G170" s="1062">
        <f>G168</f>
        <v>0</v>
      </c>
      <c r="H170" s="89">
        <f t="shared" ref="H170:H174" si="5">E170</f>
        <v>0</v>
      </c>
    </row>
    <row r="171" spans="2:19" ht="15.6" customHeight="1" x14ac:dyDescent="0.25">
      <c r="C171" s="786" t="s">
        <v>1803</v>
      </c>
      <c r="D171" s="784"/>
      <c r="E171" s="783"/>
      <c r="F171" s="790">
        <f t="shared" si="4"/>
        <v>0</v>
      </c>
      <c r="G171" s="1062">
        <f t="shared" ref="G171:G175" si="6">G170</f>
        <v>0</v>
      </c>
      <c r="H171" s="89">
        <f t="shared" si="5"/>
        <v>0</v>
      </c>
    </row>
    <row r="172" spans="2:19" ht="15.6" customHeight="1" x14ac:dyDescent="0.25">
      <c r="C172" s="786" t="s">
        <v>883</v>
      </c>
      <c r="D172" s="1835">
        <f>СПЕЦХАРЧ!AA12</f>
        <v>330.66</v>
      </c>
      <c r="E172" s="1837">
        <f>СПЕЦХАРЧ!Z12</f>
        <v>22</v>
      </c>
      <c r="F172" s="790">
        <f t="shared" si="4"/>
        <v>0</v>
      </c>
      <c r="G172" s="1062">
        <f t="shared" si="6"/>
        <v>0</v>
      </c>
      <c r="H172" s="89">
        <f t="shared" si="5"/>
        <v>22</v>
      </c>
    </row>
    <row r="173" spans="2:19" ht="16.149999999999999" customHeight="1" x14ac:dyDescent="0.25">
      <c r="C173" s="786" t="s">
        <v>1817</v>
      </c>
      <c r="D173" s="1835">
        <f>СПЕЦХАРЧ!AA13</f>
        <v>1407.87</v>
      </c>
      <c r="E173" s="1837">
        <f>СПЕЦХАРЧ!Z13</f>
        <v>92</v>
      </c>
      <c r="F173" s="790">
        <f t="shared" si="4"/>
        <v>0</v>
      </c>
      <c r="G173" s="1062">
        <f t="shared" si="6"/>
        <v>0</v>
      </c>
      <c r="H173" s="89">
        <f t="shared" si="5"/>
        <v>92</v>
      </c>
    </row>
    <row r="174" spans="2:19" x14ac:dyDescent="0.25">
      <c r="C174" s="786" t="s">
        <v>997</v>
      </c>
      <c r="D174" s="1835">
        <f>СПЕЦХАРЧ!AA14</f>
        <v>3862.41</v>
      </c>
      <c r="E174" s="1837">
        <f>СПЕЦХАРЧ!Z14</f>
        <v>255</v>
      </c>
      <c r="F174" s="790">
        <f t="shared" si="4"/>
        <v>0</v>
      </c>
      <c r="G174" s="1062">
        <f t="shared" si="6"/>
        <v>0</v>
      </c>
      <c r="H174" s="89">
        <f t="shared" si="5"/>
        <v>255</v>
      </c>
    </row>
    <row r="175" spans="2:19" x14ac:dyDescent="0.25">
      <c r="C175" s="791" t="s">
        <v>1475</v>
      </c>
      <c r="D175" s="792">
        <f>SUM(D167:D174)</f>
        <v>48563.32</v>
      </c>
      <c r="E175" s="793">
        <f>SUM(E167:E174)</f>
        <v>3159</v>
      </c>
      <c r="F175" s="794">
        <f>SUM(F167:F174)</f>
        <v>0</v>
      </c>
      <c r="G175" s="1063">
        <f t="shared" si="6"/>
        <v>0</v>
      </c>
      <c r="H175" s="795">
        <f>SUM(H167:H174)</f>
        <v>3159</v>
      </c>
    </row>
    <row r="176" spans="2:19" ht="16.5" thickBot="1" x14ac:dyDescent="0.3">
      <c r="C176" s="1068" t="s">
        <v>1819</v>
      </c>
      <c r="D176" s="1069"/>
      <c r="E176" s="1070">
        <f>D175/E175</f>
        <v>15.37</v>
      </c>
      <c r="F176" s="1071"/>
      <c r="G176" s="1072"/>
      <c r="H176" s="4142">
        <f>G175</f>
        <v>0</v>
      </c>
      <c r="I176" s="4143"/>
    </row>
  </sheetData>
  <mergeCells count="600">
    <mergeCell ref="R153:S153"/>
    <mergeCell ref="B154:B155"/>
    <mergeCell ref="B156:B157"/>
    <mergeCell ref="D157:E157"/>
    <mergeCell ref="F157:G157"/>
    <mergeCell ref="H157:I157"/>
    <mergeCell ref="J157:K157"/>
    <mergeCell ref="L157:M157"/>
    <mergeCell ref="N157:O157"/>
    <mergeCell ref="P157:Q157"/>
    <mergeCell ref="P155:Q155"/>
    <mergeCell ref="B152:B153"/>
    <mergeCell ref="D153:E153"/>
    <mergeCell ref="F153:G153"/>
    <mergeCell ref="H153:I153"/>
    <mergeCell ref="J153:K153"/>
    <mergeCell ref="L153:M153"/>
    <mergeCell ref="N153:O153"/>
    <mergeCell ref="P153:Q153"/>
    <mergeCell ref="P151:Q151"/>
    <mergeCell ref="R151:S151"/>
    <mergeCell ref="B150:B151"/>
    <mergeCell ref="D151:E151"/>
    <mergeCell ref="F151:G151"/>
    <mergeCell ref="H151:I151"/>
    <mergeCell ref="J151:K151"/>
    <mergeCell ref="L151:M151"/>
    <mergeCell ref="N151:O151"/>
    <mergeCell ref="R149:S149"/>
    <mergeCell ref="P149:Q149"/>
    <mergeCell ref="B146:B147"/>
    <mergeCell ref="D147:E147"/>
    <mergeCell ref="F147:G147"/>
    <mergeCell ref="H147:I147"/>
    <mergeCell ref="J147:K147"/>
    <mergeCell ref="L147:M147"/>
    <mergeCell ref="N147:O147"/>
    <mergeCell ref="B148:B149"/>
    <mergeCell ref="D149:E149"/>
    <mergeCell ref="F149:G149"/>
    <mergeCell ref="H149:I149"/>
    <mergeCell ref="J149:K149"/>
    <mergeCell ref="L149:M149"/>
    <mergeCell ref="N149:O149"/>
    <mergeCell ref="A134:A135"/>
    <mergeCell ref="B134:B135"/>
    <mergeCell ref="D135:E135"/>
    <mergeCell ref="F135:G135"/>
    <mergeCell ref="H135:I135"/>
    <mergeCell ref="J135:K135"/>
    <mergeCell ref="L135:M135"/>
    <mergeCell ref="D141:E141"/>
    <mergeCell ref="F141:G141"/>
    <mergeCell ref="H141:I141"/>
    <mergeCell ref="J141:K141"/>
    <mergeCell ref="L141:M141"/>
    <mergeCell ref="B140:B141"/>
    <mergeCell ref="A136:A137"/>
    <mergeCell ref="B136:B137"/>
    <mergeCell ref="D137:E137"/>
    <mergeCell ref="F137:G137"/>
    <mergeCell ref="H137:I137"/>
    <mergeCell ref="J137:K137"/>
    <mergeCell ref="L137:M137"/>
    <mergeCell ref="B138:B139"/>
    <mergeCell ref="B120:B121"/>
    <mergeCell ref="D121:E121"/>
    <mergeCell ref="F121:G121"/>
    <mergeCell ref="H121:I121"/>
    <mergeCell ref="R135:S135"/>
    <mergeCell ref="D132:E132"/>
    <mergeCell ref="F132:G132"/>
    <mergeCell ref="H132:I132"/>
    <mergeCell ref="J132:K132"/>
    <mergeCell ref="L132:M132"/>
    <mergeCell ref="N132:O132"/>
    <mergeCell ref="P132:Q132"/>
    <mergeCell ref="J121:K121"/>
    <mergeCell ref="L121:M121"/>
    <mergeCell ref="N121:O121"/>
    <mergeCell ref="P121:Q121"/>
    <mergeCell ref="R121:S121"/>
    <mergeCell ref="R124:S124"/>
    <mergeCell ref="B126:S126"/>
    <mergeCell ref="Q128:R128"/>
    <mergeCell ref="B132:B133"/>
    <mergeCell ref="C132:C133"/>
    <mergeCell ref="D124:E124"/>
    <mergeCell ref="F124:G124"/>
    <mergeCell ref="N117:O117"/>
    <mergeCell ref="P117:Q117"/>
    <mergeCell ref="R117:S117"/>
    <mergeCell ref="B118:B119"/>
    <mergeCell ref="D119:E119"/>
    <mergeCell ref="F119:G119"/>
    <mergeCell ref="H119:I119"/>
    <mergeCell ref="J119:K119"/>
    <mergeCell ref="L119:M119"/>
    <mergeCell ref="N119:O119"/>
    <mergeCell ref="P119:Q119"/>
    <mergeCell ref="R119:S119"/>
    <mergeCell ref="B116:B117"/>
    <mergeCell ref="D117:E117"/>
    <mergeCell ref="F117:G117"/>
    <mergeCell ref="H117:I117"/>
    <mergeCell ref="J117:K117"/>
    <mergeCell ref="L117:M117"/>
    <mergeCell ref="N109:O109"/>
    <mergeCell ref="P109:Q109"/>
    <mergeCell ref="R109:S109"/>
    <mergeCell ref="B110:B111"/>
    <mergeCell ref="D111:E111"/>
    <mergeCell ref="F111:G111"/>
    <mergeCell ref="H111:I111"/>
    <mergeCell ref="J111:K111"/>
    <mergeCell ref="L111:M111"/>
    <mergeCell ref="N111:O111"/>
    <mergeCell ref="P111:Q111"/>
    <mergeCell ref="R111:S111"/>
    <mergeCell ref="B108:B109"/>
    <mergeCell ref="D109:E109"/>
    <mergeCell ref="F109:G109"/>
    <mergeCell ref="H109:I109"/>
    <mergeCell ref="J109:K109"/>
    <mergeCell ref="L109:M109"/>
    <mergeCell ref="N101:O101"/>
    <mergeCell ref="P101:Q101"/>
    <mergeCell ref="R101:S101"/>
    <mergeCell ref="B102:B103"/>
    <mergeCell ref="D103:E103"/>
    <mergeCell ref="F103:G103"/>
    <mergeCell ref="H103:I103"/>
    <mergeCell ref="J103:K103"/>
    <mergeCell ref="L103:M103"/>
    <mergeCell ref="N103:O103"/>
    <mergeCell ref="P103:Q103"/>
    <mergeCell ref="R103:S103"/>
    <mergeCell ref="B100:B101"/>
    <mergeCell ref="D101:E101"/>
    <mergeCell ref="F101:G101"/>
    <mergeCell ref="H101:I101"/>
    <mergeCell ref="J101:K101"/>
    <mergeCell ref="L101:M101"/>
    <mergeCell ref="N93:O93"/>
    <mergeCell ref="P93:Q93"/>
    <mergeCell ref="R93:S93"/>
    <mergeCell ref="B94:B95"/>
    <mergeCell ref="D95:E95"/>
    <mergeCell ref="F95:G95"/>
    <mergeCell ref="H95:I95"/>
    <mergeCell ref="J95:K95"/>
    <mergeCell ref="L95:M95"/>
    <mergeCell ref="N95:O95"/>
    <mergeCell ref="P95:Q95"/>
    <mergeCell ref="R95:S95"/>
    <mergeCell ref="B92:B93"/>
    <mergeCell ref="D93:E93"/>
    <mergeCell ref="F93:G93"/>
    <mergeCell ref="H93:I93"/>
    <mergeCell ref="J93:K93"/>
    <mergeCell ref="L93:M93"/>
    <mergeCell ref="N85:O85"/>
    <mergeCell ref="P85:Q85"/>
    <mergeCell ref="R85:S85"/>
    <mergeCell ref="B86:B87"/>
    <mergeCell ref="D87:E87"/>
    <mergeCell ref="F87:G87"/>
    <mergeCell ref="H87:I87"/>
    <mergeCell ref="J87:K87"/>
    <mergeCell ref="L87:M87"/>
    <mergeCell ref="N87:O87"/>
    <mergeCell ref="P87:Q87"/>
    <mergeCell ref="R87:S87"/>
    <mergeCell ref="B84:B85"/>
    <mergeCell ref="D85:E85"/>
    <mergeCell ref="F85:G85"/>
    <mergeCell ref="H85:I85"/>
    <mergeCell ref="J85:K85"/>
    <mergeCell ref="L85:M85"/>
    <mergeCell ref="N77:O77"/>
    <mergeCell ref="P77:Q77"/>
    <mergeCell ref="R77:S77"/>
    <mergeCell ref="B78:B79"/>
    <mergeCell ref="D79:E79"/>
    <mergeCell ref="F79:G79"/>
    <mergeCell ref="H79:I79"/>
    <mergeCell ref="J79:K79"/>
    <mergeCell ref="L79:M79"/>
    <mergeCell ref="N79:O79"/>
    <mergeCell ref="P79:Q79"/>
    <mergeCell ref="R79:S79"/>
    <mergeCell ref="B76:B77"/>
    <mergeCell ref="D77:E77"/>
    <mergeCell ref="F77:G77"/>
    <mergeCell ref="H77:I77"/>
    <mergeCell ref="J77:K77"/>
    <mergeCell ref="L77:M77"/>
    <mergeCell ref="N69:O69"/>
    <mergeCell ref="P69:Q69"/>
    <mergeCell ref="R69:S69"/>
    <mergeCell ref="B70:B71"/>
    <mergeCell ref="D71:E71"/>
    <mergeCell ref="F71:G71"/>
    <mergeCell ref="H71:I71"/>
    <mergeCell ref="J71:K71"/>
    <mergeCell ref="L71:M71"/>
    <mergeCell ref="N71:O71"/>
    <mergeCell ref="P71:Q71"/>
    <mergeCell ref="R71:S71"/>
    <mergeCell ref="B68:B69"/>
    <mergeCell ref="D69:E69"/>
    <mergeCell ref="F69:G69"/>
    <mergeCell ref="H69:I69"/>
    <mergeCell ref="J69:K69"/>
    <mergeCell ref="L69:M69"/>
    <mergeCell ref="N61:O61"/>
    <mergeCell ref="P61:Q61"/>
    <mergeCell ref="R61:S61"/>
    <mergeCell ref="B62:B63"/>
    <mergeCell ref="D63:E63"/>
    <mergeCell ref="F63:G63"/>
    <mergeCell ref="H63:I63"/>
    <mergeCell ref="J63:K63"/>
    <mergeCell ref="L63:M63"/>
    <mergeCell ref="N63:O63"/>
    <mergeCell ref="P63:Q63"/>
    <mergeCell ref="R63:S63"/>
    <mergeCell ref="B60:B61"/>
    <mergeCell ref="D61:E61"/>
    <mergeCell ref="F61:G61"/>
    <mergeCell ref="H61:I61"/>
    <mergeCell ref="J61:K61"/>
    <mergeCell ref="L61:M61"/>
    <mergeCell ref="P55:Q55"/>
    <mergeCell ref="R55:S55"/>
    <mergeCell ref="B56:B57"/>
    <mergeCell ref="D57:E57"/>
    <mergeCell ref="F57:G57"/>
    <mergeCell ref="H57:I57"/>
    <mergeCell ref="J57:K57"/>
    <mergeCell ref="L57:M57"/>
    <mergeCell ref="N57:O57"/>
    <mergeCell ref="P57:Q57"/>
    <mergeCell ref="R57:S57"/>
    <mergeCell ref="B54:B55"/>
    <mergeCell ref="D55:E55"/>
    <mergeCell ref="F55:G55"/>
    <mergeCell ref="H55:I55"/>
    <mergeCell ref="J55:K55"/>
    <mergeCell ref="L55:M55"/>
    <mergeCell ref="N55:O55"/>
    <mergeCell ref="B50:B51"/>
    <mergeCell ref="D51:E51"/>
    <mergeCell ref="F51:G51"/>
    <mergeCell ref="H51:I51"/>
    <mergeCell ref="J51:K51"/>
    <mergeCell ref="L51:M51"/>
    <mergeCell ref="N51:O51"/>
    <mergeCell ref="R51:S51"/>
    <mergeCell ref="B52:B53"/>
    <mergeCell ref="D53:E53"/>
    <mergeCell ref="F53:G53"/>
    <mergeCell ref="H53:I53"/>
    <mergeCell ref="J53:K53"/>
    <mergeCell ref="L53:M53"/>
    <mergeCell ref="N53:O53"/>
    <mergeCell ref="P53:Q53"/>
    <mergeCell ref="R53:S53"/>
    <mergeCell ref="P51:Q51"/>
    <mergeCell ref="N20:O20"/>
    <mergeCell ref="P20:Q20"/>
    <mergeCell ref="R20:S20"/>
    <mergeCell ref="D23:E23"/>
    <mergeCell ref="F23:G23"/>
    <mergeCell ref="H23:I23"/>
    <mergeCell ref="J23:K23"/>
    <mergeCell ref="B5:B6"/>
    <mergeCell ref="C5:C6"/>
    <mergeCell ref="D5:E5"/>
    <mergeCell ref="F5:G5"/>
    <mergeCell ref="H5:I5"/>
    <mergeCell ref="J5:K5"/>
    <mergeCell ref="L5:M5"/>
    <mergeCell ref="B20:B21"/>
    <mergeCell ref="C20:C21"/>
    <mergeCell ref="D20:E20"/>
    <mergeCell ref="F20:G20"/>
    <mergeCell ref="H20:I20"/>
    <mergeCell ref="J20:K20"/>
    <mergeCell ref="L20:M20"/>
    <mergeCell ref="B15:S15"/>
    <mergeCell ref="N5:O5"/>
    <mergeCell ref="P5:Q5"/>
    <mergeCell ref="R5:S5"/>
    <mergeCell ref="B3:G3"/>
    <mergeCell ref="D13:E13"/>
    <mergeCell ref="F13:G13"/>
    <mergeCell ref="H13:I13"/>
    <mergeCell ref="J13:K13"/>
    <mergeCell ref="L13:M13"/>
    <mergeCell ref="N13:O13"/>
    <mergeCell ref="P13:Q13"/>
    <mergeCell ref="R13:S13"/>
    <mergeCell ref="B26:B27"/>
    <mergeCell ref="C26:C27"/>
    <mergeCell ref="T26:Y26"/>
    <mergeCell ref="N25:O25"/>
    <mergeCell ref="D30:E30"/>
    <mergeCell ref="F30:G30"/>
    <mergeCell ref="H30:I30"/>
    <mergeCell ref="J30:K30"/>
    <mergeCell ref="L30:M30"/>
    <mergeCell ref="D25:E25"/>
    <mergeCell ref="F25:G25"/>
    <mergeCell ref="H25:I25"/>
    <mergeCell ref="J25:K25"/>
    <mergeCell ref="L25:M25"/>
    <mergeCell ref="N30:O30"/>
    <mergeCell ref="P30:Q30"/>
    <mergeCell ref="R30:S30"/>
    <mergeCell ref="L23:M23"/>
    <mergeCell ref="N23:O23"/>
    <mergeCell ref="P23:Q23"/>
    <mergeCell ref="R23:S23"/>
    <mergeCell ref="P25:Q25"/>
    <mergeCell ref="R25:S25"/>
    <mergeCell ref="N28:O28"/>
    <mergeCell ref="P28:Q28"/>
    <mergeCell ref="R28:S28"/>
    <mergeCell ref="D32:E32"/>
    <mergeCell ref="F32:G32"/>
    <mergeCell ref="H32:I32"/>
    <mergeCell ref="J32:K32"/>
    <mergeCell ref="L32:M32"/>
    <mergeCell ref="N32:O32"/>
    <mergeCell ref="P32:Q32"/>
    <mergeCell ref="R32:S32"/>
    <mergeCell ref="D28:E28"/>
    <mergeCell ref="F28:G28"/>
    <mergeCell ref="H28:I28"/>
    <mergeCell ref="J28:K28"/>
    <mergeCell ref="L28:M28"/>
    <mergeCell ref="P34:Q34"/>
    <mergeCell ref="R34:S34"/>
    <mergeCell ref="D36:E36"/>
    <mergeCell ref="F36:G36"/>
    <mergeCell ref="H36:I36"/>
    <mergeCell ref="J36:K36"/>
    <mergeCell ref="L36:M36"/>
    <mergeCell ref="N36:O36"/>
    <mergeCell ref="P36:Q36"/>
    <mergeCell ref="R36:S36"/>
    <mergeCell ref="D34:E34"/>
    <mergeCell ref="F34:G34"/>
    <mergeCell ref="H34:I34"/>
    <mergeCell ref="J34:K34"/>
    <mergeCell ref="L34:M34"/>
    <mergeCell ref="N34:O34"/>
    <mergeCell ref="P38:Q38"/>
    <mergeCell ref="R38:S38"/>
    <mergeCell ref="D40:E40"/>
    <mergeCell ref="F40:G40"/>
    <mergeCell ref="H40:I40"/>
    <mergeCell ref="J40:K40"/>
    <mergeCell ref="L40:M40"/>
    <mergeCell ref="N40:O40"/>
    <mergeCell ref="P40:Q40"/>
    <mergeCell ref="R40:S40"/>
    <mergeCell ref="D38:E38"/>
    <mergeCell ref="F38:G38"/>
    <mergeCell ref="H38:I38"/>
    <mergeCell ref="J38:K38"/>
    <mergeCell ref="L38:M38"/>
    <mergeCell ref="N38:O38"/>
    <mergeCell ref="P41:Q41"/>
    <mergeCell ref="R41:S41"/>
    <mergeCell ref="D48:E48"/>
    <mergeCell ref="F48:G48"/>
    <mergeCell ref="H48:I48"/>
    <mergeCell ref="J48:K48"/>
    <mergeCell ref="L48:M48"/>
    <mergeCell ref="N48:O48"/>
    <mergeCell ref="P48:Q48"/>
    <mergeCell ref="D41:E41"/>
    <mergeCell ref="F41:G41"/>
    <mergeCell ref="H41:I41"/>
    <mergeCell ref="J41:K41"/>
    <mergeCell ref="L41:M41"/>
    <mergeCell ref="N41:O41"/>
    <mergeCell ref="R48:S48"/>
    <mergeCell ref="B46:G46"/>
    <mergeCell ref="B43:S43"/>
    <mergeCell ref="B48:B49"/>
    <mergeCell ref="C48:C49"/>
    <mergeCell ref="B58:B59"/>
    <mergeCell ref="D59:E59"/>
    <mergeCell ref="F59:G59"/>
    <mergeCell ref="H59:I59"/>
    <mergeCell ref="J59:K59"/>
    <mergeCell ref="L59:M59"/>
    <mergeCell ref="N59:O59"/>
    <mergeCell ref="P59:Q59"/>
    <mergeCell ref="R59:S59"/>
    <mergeCell ref="B64:B65"/>
    <mergeCell ref="D65:E65"/>
    <mergeCell ref="F65:G65"/>
    <mergeCell ref="H65:I65"/>
    <mergeCell ref="J65:K65"/>
    <mergeCell ref="L65:M65"/>
    <mergeCell ref="N65:O65"/>
    <mergeCell ref="P65:Q65"/>
    <mergeCell ref="R65:S65"/>
    <mergeCell ref="B66:B67"/>
    <mergeCell ref="D67:E67"/>
    <mergeCell ref="F67:G67"/>
    <mergeCell ref="H67:I67"/>
    <mergeCell ref="J67:K67"/>
    <mergeCell ref="L67:M67"/>
    <mergeCell ref="N67:O67"/>
    <mergeCell ref="P67:Q67"/>
    <mergeCell ref="R67:S67"/>
    <mergeCell ref="B72:B73"/>
    <mergeCell ref="D73:E73"/>
    <mergeCell ref="F73:G73"/>
    <mergeCell ref="H73:I73"/>
    <mergeCell ref="J73:K73"/>
    <mergeCell ref="L73:M73"/>
    <mergeCell ref="N73:O73"/>
    <mergeCell ref="P73:Q73"/>
    <mergeCell ref="R73:S73"/>
    <mergeCell ref="B74:B75"/>
    <mergeCell ref="D75:E75"/>
    <mergeCell ref="F75:G75"/>
    <mergeCell ref="H75:I75"/>
    <mergeCell ref="J75:K75"/>
    <mergeCell ref="L75:M75"/>
    <mergeCell ref="N75:O75"/>
    <mergeCell ref="P75:Q75"/>
    <mergeCell ref="R75:S75"/>
    <mergeCell ref="B80:B81"/>
    <mergeCell ref="D81:E81"/>
    <mergeCell ref="F81:G81"/>
    <mergeCell ref="H81:I81"/>
    <mergeCell ref="J81:K81"/>
    <mergeCell ref="L81:M81"/>
    <mergeCell ref="N81:O81"/>
    <mergeCell ref="P81:Q81"/>
    <mergeCell ref="R81:S81"/>
    <mergeCell ref="B82:B83"/>
    <mergeCell ref="D83:E83"/>
    <mergeCell ref="F83:G83"/>
    <mergeCell ref="H83:I83"/>
    <mergeCell ref="J83:K83"/>
    <mergeCell ref="L83:M83"/>
    <mergeCell ref="N83:O83"/>
    <mergeCell ref="P83:Q83"/>
    <mergeCell ref="R83:S83"/>
    <mergeCell ref="B88:B89"/>
    <mergeCell ref="D89:E89"/>
    <mergeCell ref="F89:G89"/>
    <mergeCell ref="H89:I89"/>
    <mergeCell ref="J89:K89"/>
    <mergeCell ref="L89:M89"/>
    <mergeCell ref="N89:O89"/>
    <mergeCell ref="P89:Q89"/>
    <mergeCell ref="R89:S89"/>
    <mergeCell ref="B90:B91"/>
    <mergeCell ref="D91:E91"/>
    <mergeCell ref="F91:G91"/>
    <mergeCell ref="H91:I91"/>
    <mergeCell ref="J91:K91"/>
    <mergeCell ref="L91:M91"/>
    <mergeCell ref="N91:O91"/>
    <mergeCell ref="P91:Q91"/>
    <mergeCell ref="R91:S91"/>
    <mergeCell ref="B96:B97"/>
    <mergeCell ref="D97:E97"/>
    <mergeCell ref="F97:G97"/>
    <mergeCell ref="H97:I97"/>
    <mergeCell ref="J97:K97"/>
    <mergeCell ref="L97:M97"/>
    <mergeCell ref="N97:O97"/>
    <mergeCell ref="P97:Q97"/>
    <mergeCell ref="R97:S97"/>
    <mergeCell ref="B98:B99"/>
    <mergeCell ref="D99:E99"/>
    <mergeCell ref="F99:G99"/>
    <mergeCell ref="H99:I99"/>
    <mergeCell ref="J99:K99"/>
    <mergeCell ref="L99:M99"/>
    <mergeCell ref="N99:O99"/>
    <mergeCell ref="P99:Q99"/>
    <mergeCell ref="R99:S99"/>
    <mergeCell ref="B104:B105"/>
    <mergeCell ref="D105:E105"/>
    <mergeCell ref="F105:G105"/>
    <mergeCell ref="H105:I105"/>
    <mergeCell ref="J105:K105"/>
    <mergeCell ref="L105:M105"/>
    <mergeCell ref="N105:O105"/>
    <mergeCell ref="P105:Q105"/>
    <mergeCell ref="R105:S105"/>
    <mergeCell ref="B106:B107"/>
    <mergeCell ref="D107:E107"/>
    <mergeCell ref="F107:G107"/>
    <mergeCell ref="H107:I107"/>
    <mergeCell ref="J107:K107"/>
    <mergeCell ref="L107:M107"/>
    <mergeCell ref="N107:O107"/>
    <mergeCell ref="P107:Q107"/>
    <mergeCell ref="R107:S107"/>
    <mergeCell ref="B112:B113"/>
    <mergeCell ref="D113:E113"/>
    <mergeCell ref="F113:G113"/>
    <mergeCell ref="H113:I113"/>
    <mergeCell ref="J113:K113"/>
    <mergeCell ref="L113:M113"/>
    <mergeCell ref="N113:O113"/>
    <mergeCell ref="P113:Q113"/>
    <mergeCell ref="R113:S113"/>
    <mergeCell ref="B114:B115"/>
    <mergeCell ref="D115:E115"/>
    <mergeCell ref="F115:G115"/>
    <mergeCell ref="H115:I115"/>
    <mergeCell ref="J115:K115"/>
    <mergeCell ref="L115:M115"/>
    <mergeCell ref="N115:O115"/>
    <mergeCell ref="P115:Q115"/>
    <mergeCell ref="R115:S115"/>
    <mergeCell ref="H124:I124"/>
    <mergeCell ref="J124:K124"/>
    <mergeCell ref="L124:M124"/>
    <mergeCell ref="N124:O124"/>
    <mergeCell ref="P124:Q124"/>
    <mergeCell ref="D139:E139"/>
    <mergeCell ref="F139:G139"/>
    <mergeCell ref="H139:I139"/>
    <mergeCell ref="J139:K139"/>
    <mergeCell ref="L139:M139"/>
    <mergeCell ref="N137:O137"/>
    <mergeCell ref="P137:Q137"/>
    <mergeCell ref="N135:O135"/>
    <mergeCell ref="P135:Q135"/>
    <mergeCell ref="B122:B123"/>
    <mergeCell ref="D123:E123"/>
    <mergeCell ref="F123:G123"/>
    <mergeCell ref="H123:I123"/>
    <mergeCell ref="J123:K123"/>
    <mergeCell ref="L123:M123"/>
    <mergeCell ref="N123:O123"/>
    <mergeCell ref="P123:Q123"/>
    <mergeCell ref="R123:S123"/>
    <mergeCell ref="N141:O141"/>
    <mergeCell ref="P141:Q141"/>
    <mergeCell ref="R141:S141"/>
    <mergeCell ref="N139:O139"/>
    <mergeCell ref="P139:Q139"/>
    <mergeCell ref="R139:S139"/>
    <mergeCell ref="B144:B145"/>
    <mergeCell ref="D145:E145"/>
    <mergeCell ref="F145:G145"/>
    <mergeCell ref="H145:I145"/>
    <mergeCell ref="J145:K145"/>
    <mergeCell ref="L145:M145"/>
    <mergeCell ref="N145:O145"/>
    <mergeCell ref="P145:Q145"/>
    <mergeCell ref="R145:S145"/>
    <mergeCell ref="B142:B143"/>
    <mergeCell ref="D143:E143"/>
    <mergeCell ref="F143:G143"/>
    <mergeCell ref="H143:I143"/>
    <mergeCell ref="J143:K143"/>
    <mergeCell ref="L143:M143"/>
    <mergeCell ref="N143:O143"/>
    <mergeCell ref="P143:Q143"/>
    <mergeCell ref="R143:S143"/>
    <mergeCell ref="H176:I176"/>
    <mergeCell ref="R155:S155"/>
    <mergeCell ref="D155:E155"/>
    <mergeCell ref="F155:G155"/>
    <mergeCell ref="H155:I155"/>
    <mergeCell ref="J155:K155"/>
    <mergeCell ref="L155:M155"/>
    <mergeCell ref="N155:O155"/>
    <mergeCell ref="R132:S132"/>
    <mergeCell ref="R137:S137"/>
    <mergeCell ref="P147:Q147"/>
    <mergeCell ref="R147:S147"/>
    <mergeCell ref="B161:S161"/>
    <mergeCell ref="D165:E165"/>
    <mergeCell ref="F165:H165"/>
    <mergeCell ref="R157:S157"/>
    <mergeCell ref="D158:E158"/>
    <mergeCell ref="F158:G158"/>
    <mergeCell ref="H158:I158"/>
    <mergeCell ref="J158:K158"/>
    <mergeCell ref="L158:M158"/>
    <mergeCell ref="N158:O158"/>
    <mergeCell ref="P158:Q158"/>
    <mergeCell ref="R158:S158"/>
  </mergeCells>
  <pageMargins left="0.15748031496062992" right="0.19685039370078741" top="0.85" bottom="0.31" header="0.19685039370078741" footer="0.23"/>
  <pageSetup paperSize="9" scale="80" fitToHeight="4"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tint="-0.499984740745262"/>
    <pageSetUpPr fitToPage="1"/>
  </sheetPr>
  <dimension ref="A1:O66"/>
  <sheetViews>
    <sheetView zoomScale="75" zoomScaleNormal="75" workbookViewId="0">
      <selection activeCell="K22" sqref="K22"/>
    </sheetView>
  </sheetViews>
  <sheetFormatPr defaultRowHeight="15" x14ac:dyDescent="0.25"/>
  <cols>
    <col min="1" max="1" width="7" style="520" bestFit="1" customWidth="1"/>
    <col min="2" max="2" width="44.140625" style="520" customWidth="1"/>
    <col min="3" max="3" width="12.42578125" style="520" bestFit="1" customWidth="1"/>
    <col min="4" max="4" width="14.28515625" style="520" bestFit="1" customWidth="1"/>
    <col min="5" max="5" width="15" style="520" customWidth="1"/>
    <col min="6" max="6" width="18.5703125" style="520" customWidth="1"/>
    <col min="7" max="7" width="14.140625" style="520" customWidth="1"/>
    <col min="8" max="8" width="15.28515625" style="520" customWidth="1"/>
    <col min="9" max="9" width="9.140625" style="520"/>
    <col min="10" max="10" width="13.140625" style="687" bestFit="1" customWidth="1"/>
    <col min="11" max="11" width="9.140625" style="520"/>
    <col min="12" max="12" width="10.7109375" style="520" customWidth="1"/>
    <col min="13" max="13" width="9.140625" style="520"/>
    <col min="14" max="14" width="11.5703125" style="520" bestFit="1" customWidth="1"/>
    <col min="15" max="238" width="9.140625" style="520"/>
    <col min="239" max="239" width="7" style="520" bestFit="1" customWidth="1"/>
    <col min="240" max="240" width="40.7109375" style="520" customWidth="1"/>
    <col min="241" max="241" width="13.42578125" style="520" customWidth="1"/>
    <col min="242" max="242" width="12.7109375" style="520" customWidth="1"/>
    <col min="243" max="243" width="13.7109375" style="520" customWidth="1"/>
    <col min="244" max="244" width="12.7109375" style="520" customWidth="1"/>
    <col min="245" max="245" width="20.140625" style="520" bestFit="1" customWidth="1"/>
    <col min="246" max="246" width="13.7109375" style="520" customWidth="1"/>
    <col min="247" max="247" width="15.5703125" style="520" customWidth="1"/>
    <col min="248" max="494" width="9.140625" style="520"/>
    <col min="495" max="495" width="7" style="520" bestFit="1" customWidth="1"/>
    <col min="496" max="496" width="40.7109375" style="520" customWidth="1"/>
    <col min="497" max="497" width="13.42578125" style="520" customWidth="1"/>
    <col min="498" max="498" width="12.7109375" style="520" customWidth="1"/>
    <col min="499" max="499" width="13.7109375" style="520" customWidth="1"/>
    <col min="500" max="500" width="12.7109375" style="520" customWidth="1"/>
    <col min="501" max="501" width="20.140625" style="520" bestFit="1" customWidth="1"/>
    <col min="502" max="502" width="13.7109375" style="520" customWidth="1"/>
    <col min="503" max="503" width="15.5703125" style="520" customWidth="1"/>
    <col min="504" max="750" width="9.140625" style="520"/>
    <col min="751" max="751" width="7" style="520" bestFit="1" customWidth="1"/>
    <col min="752" max="752" width="40.7109375" style="520" customWidth="1"/>
    <col min="753" max="753" width="13.42578125" style="520" customWidth="1"/>
    <col min="754" max="754" width="12.7109375" style="520" customWidth="1"/>
    <col min="755" max="755" width="13.7109375" style="520" customWidth="1"/>
    <col min="756" max="756" width="12.7109375" style="520" customWidth="1"/>
    <col min="757" max="757" width="20.140625" style="520" bestFit="1" customWidth="1"/>
    <col min="758" max="758" width="13.7109375" style="520" customWidth="1"/>
    <col min="759" max="759" width="15.5703125" style="520" customWidth="1"/>
    <col min="760" max="1006" width="9.140625" style="520"/>
    <col min="1007" max="1007" width="7" style="520" bestFit="1" customWidth="1"/>
    <col min="1008" max="1008" width="40.7109375" style="520" customWidth="1"/>
    <col min="1009" max="1009" width="13.42578125" style="520" customWidth="1"/>
    <col min="1010" max="1010" width="12.7109375" style="520" customWidth="1"/>
    <col min="1011" max="1011" width="13.7109375" style="520" customWidth="1"/>
    <col min="1012" max="1012" width="12.7109375" style="520" customWidth="1"/>
    <col min="1013" max="1013" width="20.140625" style="520" bestFit="1" customWidth="1"/>
    <col min="1014" max="1014" width="13.7109375" style="520" customWidth="1"/>
    <col min="1015" max="1015" width="15.5703125" style="520" customWidth="1"/>
    <col min="1016" max="1262" width="9.140625" style="520"/>
    <col min="1263" max="1263" width="7" style="520" bestFit="1" customWidth="1"/>
    <col min="1264" max="1264" width="40.7109375" style="520" customWidth="1"/>
    <col min="1265" max="1265" width="13.42578125" style="520" customWidth="1"/>
    <col min="1266" max="1266" width="12.7109375" style="520" customWidth="1"/>
    <col min="1267" max="1267" width="13.7109375" style="520" customWidth="1"/>
    <col min="1268" max="1268" width="12.7109375" style="520" customWidth="1"/>
    <col min="1269" max="1269" width="20.140625" style="520" bestFit="1" customWidth="1"/>
    <col min="1270" max="1270" width="13.7109375" style="520" customWidth="1"/>
    <col min="1271" max="1271" width="15.5703125" style="520" customWidth="1"/>
    <col min="1272" max="1518" width="9.140625" style="520"/>
    <col min="1519" max="1519" width="7" style="520" bestFit="1" customWidth="1"/>
    <col min="1520" max="1520" width="40.7109375" style="520" customWidth="1"/>
    <col min="1521" max="1521" width="13.42578125" style="520" customWidth="1"/>
    <col min="1522" max="1522" width="12.7109375" style="520" customWidth="1"/>
    <col min="1523" max="1523" width="13.7109375" style="520" customWidth="1"/>
    <col min="1524" max="1524" width="12.7109375" style="520" customWidth="1"/>
    <col min="1525" max="1525" width="20.140625" style="520" bestFit="1" customWidth="1"/>
    <col min="1526" max="1526" width="13.7109375" style="520" customWidth="1"/>
    <col min="1527" max="1527" width="15.5703125" style="520" customWidth="1"/>
    <col min="1528" max="1774" width="9.140625" style="520"/>
    <col min="1775" max="1775" width="7" style="520" bestFit="1" customWidth="1"/>
    <col min="1776" max="1776" width="40.7109375" style="520" customWidth="1"/>
    <col min="1777" max="1777" width="13.42578125" style="520" customWidth="1"/>
    <col min="1778" max="1778" width="12.7109375" style="520" customWidth="1"/>
    <col min="1779" max="1779" width="13.7109375" style="520" customWidth="1"/>
    <col min="1780" max="1780" width="12.7109375" style="520" customWidth="1"/>
    <col min="1781" max="1781" width="20.140625" style="520" bestFit="1" customWidth="1"/>
    <col min="1782" max="1782" width="13.7109375" style="520" customWidth="1"/>
    <col min="1783" max="1783" width="15.5703125" style="520" customWidth="1"/>
    <col min="1784" max="2030" width="9.140625" style="520"/>
    <col min="2031" max="2031" width="7" style="520" bestFit="1" customWidth="1"/>
    <col min="2032" max="2032" width="40.7109375" style="520" customWidth="1"/>
    <col min="2033" max="2033" width="13.42578125" style="520" customWidth="1"/>
    <col min="2034" max="2034" width="12.7109375" style="520" customWidth="1"/>
    <col min="2035" max="2035" width="13.7109375" style="520" customWidth="1"/>
    <col min="2036" max="2036" width="12.7109375" style="520" customWidth="1"/>
    <col min="2037" max="2037" width="20.140625" style="520" bestFit="1" customWidth="1"/>
    <col min="2038" max="2038" width="13.7109375" style="520" customWidth="1"/>
    <col min="2039" max="2039" width="15.5703125" style="520" customWidth="1"/>
    <col min="2040" max="2286" width="9.140625" style="520"/>
    <col min="2287" max="2287" width="7" style="520" bestFit="1" customWidth="1"/>
    <col min="2288" max="2288" width="40.7109375" style="520" customWidth="1"/>
    <col min="2289" max="2289" width="13.42578125" style="520" customWidth="1"/>
    <col min="2290" max="2290" width="12.7109375" style="520" customWidth="1"/>
    <col min="2291" max="2291" width="13.7109375" style="520" customWidth="1"/>
    <col min="2292" max="2292" width="12.7109375" style="520" customWidth="1"/>
    <col min="2293" max="2293" width="20.140625" style="520" bestFit="1" customWidth="1"/>
    <col min="2294" max="2294" width="13.7109375" style="520" customWidth="1"/>
    <col min="2295" max="2295" width="15.5703125" style="520" customWidth="1"/>
    <col min="2296" max="2542" width="9.140625" style="520"/>
    <col min="2543" max="2543" width="7" style="520" bestFit="1" customWidth="1"/>
    <col min="2544" max="2544" width="40.7109375" style="520" customWidth="1"/>
    <col min="2545" max="2545" width="13.42578125" style="520" customWidth="1"/>
    <col min="2546" max="2546" width="12.7109375" style="520" customWidth="1"/>
    <col min="2547" max="2547" width="13.7109375" style="520" customWidth="1"/>
    <col min="2548" max="2548" width="12.7109375" style="520" customWidth="1"/>
    <col min="2549" max="2549" width="20.140625" style="520" bestFit="1" customWidth="1"/>
    <col min="2550" max="2550" width="13.7109375" style="520" customWidth="1"/>
    <col min="2551" max="2551" width="15.5703125" style="520" customWidth="1"/>
    <col min="2552" max="2798" width="9.140625" style="520"/>
    <col min="2799" max="2799" width="7" style="520" bestFit="1" customWidth="1"/>
    <col min="2800" max="2800" width="40.7109375" style="520" customWidth="1"/>
    <col min="2801" max="2801" width="13.42578125" style="520" customWidth="1"/>
    <col min="2802" max="2802" width="12.7109375" style="520" customWidth="1"/>
    <col min="2803" max="2803" width="13.7109375" style="520" customWidth="1"/>
    <col min="2804" max="2804" width="12.7109375" style="520" customWidth="1"/>
    <col min="2805" max="2805" width="20.140625" style="520" bestFit="1" customWidth="1"/>
    <col min="2806" max="2806" width="13.7109375" style="520" customWidth="1"/>
    <col min="2807" max="2807" width="15.5703125" style="520" customWidth="1"/>
    <col min="2808" max="3054" width="9.140625" style="520"/>
    <col min="3055" max="3055" width="7" style="520" bestFit="1" customWidth="1"/>
    <col min="3056" max="3056" width="40.7109375" style="520" customWidth="1"/>
    <col min="3057" max="3057" width="13.42578125" style="520" customWidth="1"/>
    <col min="3058" max="3058" width="12.7109375" style="520" customWidth="1"/>
    <col min="3059" max="3059" width="13.7109375" style="520" customWidth="1"/>
    <col min="3060" max="3060" width="12.7109375" style="520" customWidth="1"/>
    <col min="3061" max="3061" width="20.140625" style="520" bestFit="1" customWidth="1"/>
    <col min="3062" max="3062" width="13.7109375" style="520" customWidth="1"/>
    <col min="3063" max="3063" width="15.5703125" style="520" customWidth="1"/>
    <col min="3064" max="3310" width="9.140625" style="520"/>
    <col min="3311" max="3311" width="7" style="520" bestFit="1" customWidth="1"/>
    <col min="3312" max="3312" width="40.7109375" style="520" customWidth="1"/>
    <col min="3313" max="3313" width="13.42578125" style="520" customWidth="1"/>
    <col min="3314" max="3314" width="12.7109375" style="520" customWidth="1"/>
    <col min="3315" max="3315" width="13.7109375" style="520" customWidth="1"/>
    <col min="3316" max="3316" width="12.7109375" style="520" customWidth="1"/>
    <col min="3317" max="3317" width="20.140625" style="520" bestFit="1" customWidth="1"/>
    <col min="3318" max="3318" width="13.7109375" style="520" customWidth="1"/>
    <col min="3319" max="3319" width="15.5703125" style="520" customWidth="1"/>
    <col min="3320" max="3566" width="9.140625" style="520"/>
    <col min="3567" max="3567" width="7" style="520" bestFit="1" customWidth="1"/>
    <col min="3568" max="3568" width="40.7109375" style="520" customWidth="1"/>
    <col min="3569" max="3569" width="13.42578125" style="520" customWidth="1"/>
    <col min="3570" max="3570" width="12.7109375" style="520" customWidth="1"/>
    <col min="3571" max="3571" width="13.7109375" style="520" customWidth="1"/>
    <col min="3572" max="3572" width="12.7109375" style="520" customWidth="1"/>
    <col min="3573" max="3573" width="20.140625" style="520" bestFit="1" customWidth="1"/>
    <col min="3574" max="3574" width="13.7109375" style="520" customWidth="1"/>
    <col min="3575" max="3575" width="15.5703125" style="520" customWidth="1"/>
    <col min="3576" max="3822" width="9.140625" style="520"/>
    <col min="3823" max="3823" width="7" style="520" bestFit="1" customWidth="1"/>
    <col min="3824" max="3824" width="40.7109375" style="520" customWidth="1"/>
    <col min="3825" max="3825" width="13.42578125" style="520" customWidth="1"/>
    <col min="3826" max="3826" width="12.7109375" style="520" customWidth="1"/>
    <col min="3827" max="3827" width="13.7109375" style="520" customWidth="1"/>
    <col min="3828" max="3828" width="12.7109375" style="520" customWidth="1"/>
    <col min="3829" max="3829" width="20.140625" style="520" bestFit="1" customWidth="1"/>
    <col min="3830" max="3830" width="13.7109375" style="520" customWidth="1"/>
    <col min="3831" max="3831" width="15.5703125" style="520" customWidth="1"/>
    <col min="3832" max="4078" width="9.140625" style="520"/>
    <col min="4079" max="4079" width="7" style="520" bestFit="1" customWidth="1"/>
    <col min="4080" max="4080" width="40.7109375" style="520" customWidth="1"/>
    <col min="4081" max="4081" width="13.42578125" style="520" customWidth="1"/>
    <col min="4082" max="4082" width="12.7109375" style="520" customWidth="1"/>
    <col min="4083" max="4083" width="13.7109375" style="520" customWidth="1"/>
    <col min="4084" max="4084" width="12.7109375" style="520" customWidth="1"/>
    <col min="4085" max="4085" width="20.140625" style="520" bestFit="1" customWidth="1"/>
    <col min="4086" max="4086" width="13.7109375" style="520" customWidth="1"/>
    <col min="4087" max="4087" width="15.5703125" style="520" customWidth="1"/>
    <col min="4088" max="4334" width="9.140625" style="520"/>
    <col min="4335" max="4335" width="7" style="520" bestFit="1" customWidth="1"/>
    <col min="4336" max="4336" width="40.7109375" style="520" customWidth="1"/>
    <col min="4337" max="4337" width="13.42578125" style="520" customWidth="1"/>
    <col min="4338" max="4338" width="12.7109375" style="520" customWidth="1"/>
    <col min="4339" max="4339" width="13.7109375" style="520" customWidth="1"/>
    <col min="4340" max="4340" width="12.7109375" style="520" customWidth="1"/>
    <col min="4341" max="4341" width="20.140625" style="520" bestFit="1" customWidth="1"/>
    <col min="4342" max="4342" width="13.7109375" style="520" customWidth="1"/>
    <col min="4343" max="4343" width="15.5703125" style="520" customWidth="1"/>
    <col min="4344" max="4590" width="9.140625" style="520"/>
    <col min="4591" max="4591" width="7" style="520" bestFit="1" customWidth="1"/>
    <col min="4592" max="4592" width="40.7109375" style="520" customWidth="1"/>
    <col min="4593" max="4593" width="13.42578125" style="520" customWidth="1"/>
    <col min="4594" max="4594" width="12.7109375" style="520" customWidth="1"/>
    <col min="4595" max="4595" width="13.7109375" style="520" customWidth="1"/>
    <col min="4596" max="4596" width="12.7109375" style="520" customWidth="1"/>
    <col min="4597" max="4597" width="20.140625" style="520" bestFit="1" customWidth="1"/>
    <col min="4598" max="4598" width="13.7109375" style="520" customWidth="1"/>
    <col min="4599" max="4599" width="15.5703125" style="520" customWidth="1"/>
    <col min="4600" max="4846" width="9.140625" style="520"/>
    <col min="4847" max="4847" width="7" style="520" bestFit="1" customWidth="1"/>
    <col min="4848" max="4848" width="40.7109375" style="520" customWidth="1"/>
    <col min="4849" max="4849" width="13.42578125" style="520" customWidth="1"/>
    <col min="4850" max="4850" width="12.7109375" style="520" customWidth="1"/>
    <col min="4851" max="4851" width="13.7109375" style="520" customWidth="1"/>
    <col min="4852" max="4852" width="12.7109375" style="520" customWidth="1"/>
    <col min="4853" max="4853" width="20.140625" style="520" bestFit="1" customWidth="1"/>
    <col min="4854" max="4854" width="13.7109375" style="520" customWidth="1"/>
    <col min="4855" max="4855" width="15.5703125" style="520" customWidth="1"/>
    <col min="4856" max="5102" width="9.140625" style="520"/>
    <col min="5103" max="5103" width="7" style="520" bestFit="1" customWidth="1"/>
    <col min="5104" max="5104" width="40.7109375" style="520" customWidth="1"/>
    <col min="5105" max="5105" width="13.42578125" style="520" customWidth="1"/>
    <col min="5106" max="5106" width="12.7109375" style="520" customWidth="1"/>
    <col min="5107" max="5107" width="13.7109375" style="520" customWidth="1"/>
    <col min="5108" max="5108" width="12.7109375" style="520" customWidth="1"/>
    <col min="5109" max="5109" width="20.140625" style="520" bestFit="1" customWidth="1"/>
    <col min="5110" max="5110" width="13.7109375" style="520" customWidth="1"/>
    <col min="5111" max="5111" width="15.5703125" style="520" customWidth="1"/>
    <col min="5112" max="5358" width="9.140625" style="520"/>
    <col min="5359" max="5359" width="7" style="520" bestFit="1" customWidth="1"/>
    <col min="5360" max="5360" width="40.7109375" style="520" customWidth="1"/>
    <col min="5361" max="5361" width="13.42578125" style="520" customWidth="1"/>
    <col min="5362" max="5362" width="12.7109375" style="520" customWidth="1"/>
    <col min="5363" max="5363" width="13.7109375" style="520" customWidth="1"/>
    <col min="5364" max="5364" width="12.7109375" style="520" customWidth="1"/>
    <col min="5365" max="5365" width="20.140625" style="520" bestFit="1" customWidth="1"/>
    <col min="5366" max="5366" width="13.7109375" style="520" customWidth="1"/>
    <col min="5367" max="5367" width="15.5703125" style="520" customWidth="1"/>
    <col min="5368" max="5614" width="9.140625" style="520"/>
    <col min="5615" max="5615" width="7" style="520" bestFit="1" customWidth="1"/>
    <col min="5616" max="5616" width="40.7109375" style="520" customWidth="1"/>
    <col min="5617" max="5617" width="13.42578125" style="520" customWidth="1"/>
    <col min="5618" max="5618" width="12.7109375" style="520" customWidth="1"/>
    <col min="5619" max="5619" width="13.7109375" style="520" customWidth="1"/>
    <col min="5620" max="5620" width="12.7109375" style="520" customWidth="1"/>
    <col min="5621" max="5621" width="20.140625" style="520" bestFit="1" customWidth="1"/>
    <col min="5622" max="5622" width="13.7109375" style="520" customWidth="1"/>
    <col min="5623" max="5623" width="15.5703125" style="520" customWidth="1"/>
    <col min="5624" max="5870" width="9.140625" style="520"/>
    <col min="5871" max="5871" width="7" style="520" bestFit="1" customWidth="1"/>
    <col min="5872" max="5872" width="40.7109375" style="520" customWidth="1"/>
    <col min="5873" max="5873" width="13.42578125" style="520" customWidth="1"/>
    <col min="5874" max="5874" width="12.7109375" style="520" customWidth="1"/>
    <col min="5875" max="5875" width="13.7109375" style="520" customWidth="1"/>
    <col min="5876" max="5876" width="12.7109375" style="520" customWidth="1"/>
    <col min="5877" max="5877" width="20.140625" style="520" bestFit="1" customWidth="1"/>
    <col min="5878" max="5878" width="13.7109375" style="520" customWidth="1"/>
    <col min="5879" max="5879" width="15.5703125" style="520" customWidth="1"/>
    <col min="5880" max="6126" width="9.140625" style="520"/>
    <col min="6127" max="6127" width="7" style="520" bestFit="1" customWidth="1"/>
    <col min="6128" max="6128" width="40.7109375" style="520" customWidth="1"/>
    <col min="6129" max="6129" width="13.42578125" style="520" customWidth="1"/>
    <col min="6130" max="6130" width="12.7109375" style="520" customWidth="1"/>
    <col min="6131" max="6131" width="13.7109375" style="520" customWidth="1"/>
    <col min="6132" max="6132" width="12.7109375" style="520" customWidth="1"/>
    <col min="6133" max="6133" width="20.140625" style="520" bestFit="1" customWidth="1"/>
    <col min="6134" max="6134" width="13.7109375" style="520" customWidth="1"/>
    <col min="6135" max="6135" width="15.5703125" style="520" customWidth="1"/>
    <col min="6136" max="6382" width="9.140625" style="520"/>
    <col min="6383" max="6383" width="7" style="520" bestFit="1" customWidth="1"/>
    <col min="6384" max="6384" width="40.7109375" style="520" customWidth="1"/>
    <col min="6385" max="6385" width="13.42578125" style="520" customWidth="1"/>
    <col min="6386" max="6386" width="12.7109375" style="520" customWidth="1"/>
    <col min="6387" max="6387" width="13.7109375" style="520" customWidth="1"/>
    <col min="6388" max="6388" width="12.7109375" style="520" customWidth="1"/>
    <col min="6389" max="6389" width="20.140625" style="520" bestFit="1" customWidth="1"/>
    <col min="6390" max="6390" width="13.7109375" style="520" customWidth="1"/>
    <col min="6391" max="6391" width="15.5703125" style="520" customWidth="1"/>
    <col min="6392" max="6638" width="9.140625" style="520"/>
    <col min="6639" max="6639" width="7" style="520" bestFit="1" customWidth="1"/>
    <col min="6640" max="6640" width="40.7109375" style="520" customWidth="1"/>
    <col min="6641" max="6641" width="13.42578125" style="520" customWidth="1"/>
    <col min="6642" max="6642" width="12.7109375" style="520" customWidth="1"/>
    <col min="6643" max="6643" width="13.7109375" style="520" customWidth="1"/>
    <col min="6644" max="6644" width="12.7109375" style="520" customWidth="1"/>
    <col min="6645" max="6645" width="20.140625" style="520" bestFit="1" customWidth="1"/>
    <col min="6646" max="6646" width="13.7109375" style="520" customWidth="1"/>
    <col min="6647" max="6647" width="15.5703125" style="520" customWidth="1"/>
    <col min="6648" max="6894" width="9.140625" style="520"/>
    <col min="6895" max="6895" width="7" style="520" bestFit="1" customWidth="1"/>
    <col min="6896" max="6896" width="40.7109375" style="520" customWidth="1"/>
    <col min="6897" max="6897" width="13.42578125" style="520" customWidth="1"/>
    <col min="6898" max="6898" width="12.7109375" style="520" customWidth="1"/>
    <col min="6899" max="6899" width="13.7109375" style="520" customWidth="1"/>
    <col min="6900" max="6900" width="12.7109375" style="520" customWidth="1"/>
    <col min="6901" max="6901" width="20.140625" style="520" bestFit="1" customWidth="1"/>
    <col min="6902" max="6902" width="13.7109375" style="520" customWidth="1"/>
    <col min="6903" max="6903" width="15.5703125" style="520" customWidth="1"/>
    <col min="6904" max="7150" width="9.140625" style="520"/>
    <col min="7151" max="7151" width="7" style="520" bestFit="1" customWidth="1"/>
    <col min="7152" max="7152" width="40.7109375" style="520" customWidth="1"/>
    <col min="7153" max="7153" width="13.42578125" style="520" customWidth="1"/>
    <col min="7154" max="7154" width="12.7109375" style="520" customWidth="1"/>
    <col min="7155" max="7155" width="13.7109375" style="520" customWidth="1"/>
    <col min="7156" max="7156" width="12.7109375" style="520" customWidth="1"/>
    <col min="7157" max="7157" width="20.140625" style="520" bestFit="1" customWidth="1"/>
    <col min="7158" max="7158" width="13.7109375" style="520" customWidth="1"/>
    <col min="7159" max="7159" width="15.5703125" style="520" customWidth="1"/>
    <col min="7160" max="7406" width="9.140625" style="520"/>
    <col min="7407" max="7407" width="7" style="520" bestFit="1" customWidth="1"/>
    <col min="7408" max="7408" width="40.7109375" style="520" customWidth="1"/>
    <col min="7409" max="7409" width="13.42578125" style="520" customWidth="1"/>
    <col min="7410" max="7410" width="12.7109375" style="520" customWidth="1"/>
    <col min="7411" max="7411" width="13.7109375" style="520" customWidth="1"/>
    <col min="7412" max="7412" width="12.7109375" style="520" customWidth="1"/>
    <col min="7413" max="7413" width="20.140625" style="520" bestFit="1" customWidth="1"/>
    <col min="7414" max="7414" width="13.7109375" style="520" customWidth="1"/>
    <col min="7415" max="7415" width="15.5703125" style="520" customWidth="1"/>
    <col min="7416" max="7662" width="9.140625" style="520"/>
    <col min="7663" max="7663" width="7" style="520" bestFit="1" customWidth="1"/>
    <col min="7664" max="7664" width="40.7109375" style="520" customWidth="1"/>
    <col min="7665" max="7665" width="13.42578125" style="520" customWidth="1"/>
    <col min="7666" max="7666" width="12.7109375" style="520" customWidth="1"/>
    <col min="7667" max="7667" width="13.7109375" style="520" customWidth="1"/>
    <col min="7668" max="7668" width="12.7109375" style="520" customWidth="1"/>
    <col min="7669" max="7669" width="20.140625" style="520" bestFit="1" customWidth="1"/>
    <col min="7670" max="7670" width="13.7109375" style="520" customWidth="1"/>
    <col min="7671" max="7671" width="15.5703125" style="520" customWidth="1"/>
    <col min="7672" max="7918" width="9.140625" style="520"/>
    <col min="7919" max="7919" width="7" style="520" bestFit="1" customWidth="1"/>
    <col min="7920" max="7920" width="40.7109375" style="520" customWidth="1"/>
    <col min="7921" max="7921" width="13.42578125" style="520" customWidth="1"/>
    <col min="7922" max="7922" width="12.7109375" style="520" customWidth="1"/>
    <col min="7923" max="7923" width="13.7109375" style="520" customWidth="1"/>
    <col min="7924" max="7924" width="12.7109375" style="520" customWidth="1"/>
    <col min="7925" max="7925" width="20.140625" style="520" bestFit="1" customWidth="1"/>
    <col min="7926" max="7926" width="13.7109375" style="520" customWidth="1"/>
    <col min="7927" max="7927" width="15.5703125" style="520" customWidth="1"/>
    <col min="7928" max="8174" width="9.140625" style="520"/>
    <col min="8175" max="8175" width="7" style="520" bestFit="1" customWidth="1"/>
    <col min="8176" max="8176" width="40.7109375" style="520" customWidth="1"/>
    <col min="8177" max="8177" width="13.42578125" style="520" customWidth="1"/>
    <col min="8178" max="8178" width="12.7109375" style="520" customWidth="1"/>
    <col min="8179" max="8179" width="13.7109375" style="520" customWidth="1"/>
    <col min="8180" max="8180" width="12.7109375" style="520" customWidth="1"/>
    <col min="8181" max="8181" width="20.140625" style="520" bestFit="1" customWidth="1"/>
    <col min="8182" max="8182" width="13.7109375" style="520" customWidth="1"/>
    <col min="8183" max="8183" width="15.5703125" style="520" customWidth="1"/>
    <col min="8184" max="8430" width="9.140625" style="520"/>
    <col min="8431" max="8431" width="7" style="520" bestFit="1" customWidth="1"/>
    <col min="8432" max="8432" width="40.7109375" style="520" customWidth="1"/>
    <col min="8433" max="8433" width="13.42578125" style="520" customWidth="1"/>
    <col min="8434" max="8434" width="12.7109375" style="520" customWidth="1"/>
    <col min="8435" max="8435" width="13.7109375" style="520" customWidth="1"/>
    <col min="8436" max="8436" width="12.7109375" style="520" customWidth="1"/>
    <col min="8437" max="8437" width="20.140625" style="520" bestFit="1" customWidth="1"/>
    <col min="8438" max="8438" width="13.7109375" style="520" customWidth="1"/>
    <col min="8439" max="8439" width="15.5703125" style="520" customWidth="1"/>
    <col min="8440" max="8686" width="9.140625" style="520"/>
    <col min="8687" max="8687" width="7" style="520" bestFit="1" customWidth="1"/>
    <col min="8688" max="8688" width="40.7109375" style="520" customWidth="1"/>
    <col min="8689" max="8689" width="13.42578125" style="520" customWidth="1"/>
    <col min="8690" max="8690" width="12.7109375" style="520" customWidth="1"/>
    <col min="8691" max="8691" width="13.7109375" style="520" customWidth="1"/>
    <col min="8692" max="8692" width="12.7109375" style="520" customWidth="1"/>
    <col min="8693" max="8693" width="20.140625" style="520" bestFit="1" customWidth="1"/>
    <col min="8694" max="8694" width="13.7109375" style="520" customWidth="1"/>
    <col min="8695" max="8695" width="15.5703125" style="520" customWidth="1"/>
    <col min="8696" max="8942" width="9.140625" style="520"/>
    <col min="8943" max="8943" width="7" style="520" bestFit="1" customWidth="1"/>
    <col min="8944" max="8944" width="40.7109375" style="520" customWidth="1"/>
    <col min="8945" max="8945" width="13.42578125" style="520" customWidth="1"/>
    <col min="8946" max="8946" width="12.7109375" style="520" customWidth="1"/>
    <col min="8947" max="8947" width="13.7109375" style="520" customWidth="1"/>
    <col min="8948" max="8948" width="12.7109375" style="520" customWidth="1"/>
    <col min="8949" max="8949" width="20.140625" style="520" bestFit="1" customWidth="1"/>
    <col min="8950" max="8950" width="13.7109375" style="520" customWidth="1"/>
    <col min="8951" max="8951" width="15.5703125" style="520" customWidth="1"/>
    <col min="8952" max="9198" width="9.140625" style="520"/>
    <col min="9199" max="9199" width="7" style="520" bestFit="1" customWidth="1"/>
    <col min="9200" max="9200" width="40.7109375" style="520" customWidth="1"/>
    <col min="9201" max="9201" width="13.42578125" style="520" customWidth="1"/>
    <col min="9202" max="9202" width="12.7109375" style="520" customWidth="1"/>
    <col min="9203" max="9203" width="13.7109375" style="520" customWidth="1"/>
    <col min="9204" max="9204" width="12.7109375" style="520" customWidth="1"/>
    <col min="9205" max="9205" width="20.140625" style="520" bestFit="1" customWidth="1"/>
    <col min="9206" max="9206" width="13.7109375" style="520" customWidth="1"/>
    <col min="9207" max="9207" width="15.5703125" style="520" customWidth="1"/>
    <col min="9208" max="9454" width="9.140625" style="520"/>
    <col min="9455" max="9455" width="7" style="520" bestFit="1" customWidth="1"/>
    <col min="9456" max="9456" width="40.7109375" style="520" customWidth="1"/>
    <col min="9457" max="9457" width="13.42578125" style="520" customWidth="1"/>
    <col min="9458" max="9458" width="12.7109375" style="520" customWidth="1"/>
    <col min="9459" max="9459" width="13.7109375" style="520" customWidth="1"/>
    <col min="9460" max="9460" width="12.7109375" style="520" customWidth="1"/>
    <col min="9461" max="9461" width="20.140625" style="520" bestFit="1" customWidth="1"/>
    <col min="9462" max="9462" width="13.7109375" style="520" customWidth="1"/>
    <col min="9463" max="9463" width="15.5703125" style="520" customWidth="1"/>
    <col min="9464" max="9710" width="9.140625" style="520"/>
    <col min="9711" max="9711" width="7" style="520" bestFit="1" customWidth="1"/>
    <col min="9712" max="9712" width="40.7109375" style="520" customWidth="1"/>
    <col min="9713" max="9713" width="13.42578125" style="520" customWidth="1"/>
    <col min="9714" max="9714" width="12.7109375" style="520" customWidth="1"/>
    <col min="9715" max="9715" width="13.7109375" style="520" customWidth="1"/>
    <col min="9716" max="9716" width="12.7109375" style="520" customWidth="1"/>
    <col min="9717" max="9717" width="20.140625" style="520" bestFit="1" customWidth="1"/>
    <col min="9718" max="9718" width="13.7109375" style="520" customWidth="1"/>
    <col min="9719" max="9719" width="15.5703125" style="520" customWidth="1"/>
    <col min="9720" max="9966" width="9.140625" style="520"/>
    <col min="9967" max="9967" width="7" style="520" bestFit="1" customWidth="1"/>
    <col min="9968" max="9968" width="40.7109375" style="520" customWidth="1"/>
    <col min="9969" max="9969" width="13.42578125" style="520" customWidth="1"/>
    <col min="9970" max="9970" width="12.7109375" style="520" customWidth="1"/>
    <col min="9971" max="9971" width="13.7109375" style="520" customWidth="1"/>
    <col min="9972" max="9972" width="12.7109375" style="520" customWidth="1"/>
    <col min="9973" max="9973" width="20.140625" style="520" bestFit="1" customWidth="1"/>
    <col min="9974" max="9974" width="13.7109375" style="520" customWidth="1"/>
    <col min="9975" max="9975" width="15.5703125" style="520" customWidth="1"/>
    <col min="9976" max="10222" width="9.140625" style="520"/>
    <col min="10223" max="10223" width="7" style="520" bestFit="1" customWidth="1"/>
    <col min="10224" max="10224" width="40.7109375" style="520" customWidth="1"/>
    <col min="10225" max="10225" width="13.42578125" style="520" customWidth="1"/>
    <col min="10226" max="10226" width="12.7109375" style="520" customWidth="1"/>
    <col min="10227" max="10227" width="13.7109375" style="520" customWidth="1"/>
    <col min="10228" max="10228" width="12.7109375" style="520" customWidth="1"/>
    <col min="10229" max="10229" width="20.140625" style="520" bestFit="1" customWidth="1"/>
    <col min="10230" max="10230" width="13.7109375" style="520" customWidth="1"/>
    <col min="10231" max="10231" width="15.5703125" style="520" customWidth="1"/>
    <col min="10232" max="10478" width="9.140625" style="520"/>
    <col min="10479" max="10479" width="7" style="520" bestFit="1" customWidth="1"/>
    <col min="10480" max="10480" width="40.7109375" style="520" customWidth="1"/>
    <col min="10481" max="10481" width="13.42578125" style="520" customWidth="1"/>
    <col min="10482" max="10482" width="12.7109375" style="520" customWidth="1"/>
    <col min="10483" max="10483" width="13.7109375" style="520" customWidth="1"/>
    <col min="10484" max="10484" width="12.7109375" style="520" customWidth="1"/>
    <col min="10485" max="10485" width="20.140625" style="520" bestFit="1" customWidth="1"/>
    <col min="10486" max="10486" width="13.7109375" style="520" customWidth="1"/>
    <col min="10487" max="10487" width="15.5703125" style="520" customWidth="1"/>
    <col min="10488" max="10734" width="9.140625" style="520"/>
    <col min="10735" max="10735" width="7" style="520" bestFit="1" customWidth="1"/>
    <col min="10736" max="10736" width="40.7109375" style="520" customWidth="1"/>
    <col min="10737" max="10737" width="13.42578125" style="520" customWidth="1"/>
    <col min="10738" max="10738" width="12.7109375" style="520" customWidth="1"/>
    <col min="10739" max="10739" width="13.7109375" style="520" customWidth="1"/>
    <col min="10740" max="10740" width="12.7109375" style="520" customWidth="1"/>
    <col min="10741" max="10741" width="20.140625" style="520" bestFit="1" customWidth="1"/>
    <col min="10742" max="10742" width="13.7109375" style="520" customWidth="1"/>
    <col min="10743" max="10743" width="15.5703125" style="520" customWidth="1"/>
    <col min="10744" max="10990" width="9.140625" style="520"/>
    <col min="10991" max="10991" width="7" style="520" bestFit="1" customWidth="1"/>
    <col min="10992" max="10992" width="40.7109375" style="520" customWidth="1"/>
    <col min="10993" max="10993" width="13.42578125" style="520" customWidth="1"/>
    <col min="10994" max="10994" width="12.7109375" style="520" customWidth="1"/>
    <col min="10995" max="10995" width="13.7109375" style="520" customWidth="1"/>
    <col min="10996" max="10996" width="12.7109375" style="520" customWidth="1"/>
    <col min="10997" max="10997" width="20.140625" style="520" bestFit="1" customWidth="1"/>
    <col min="10998" max="10998" width="13.7109375" style="520" customWidth="1"/>
    <col min="10999" max="10999" width="15.5703125" style="520" customWidth="1"/>
    <col min="11000" max="11246" width="9.140625" style="520"/>
    <col min="11247" max="11247" width="7" style="520" bestFit="1" customWidth="1"/>
    <col min="11248" max="11248" width="40.7109375" style="520" customWidth="1"/>
    <col min="11249" max="11249" width="13.42578125" style="520" customWidth="1"/>
    <col min="11250" max="11250" width="12.7109375" style="520" customWidth="1"/>
    <col min="11251" max="11251" width="13.7109375" style="520" customWidth="1"/>
    <col min="11252" max="11252" width="12.7109375" style="520" customWidth="1"/>
    <col min="11253" max="11253" width="20.140625" style="520" bestFit="1" customWidth="1"/>
    <col min="11254" max="11254" width="13.7109375" style="520" customWidth="1"/>
    <col min="11255" max="11255" width="15.5703125" style="520" customWidth="1"/>
    <col min="11256" max="11502" width="9.140625" style="520"/>
    <col min="11503" max="11503" width="7" style="520" bestFit="1" customWidth="1"/>
    <col min="11504" max="11504" width="40.7109375" style="520" customWidth="1"/>
    <col min="11505" max="11505" width="13.42578125" style="520" customWidth="1"/>
    <col min="11506" max="11506" width="12.7109375" style="520" customWidth="1"/>
    <col min="11507" max="11507" width="13.7109375" style="520" customWidth="1"/>
    <col min="11508" max="11508" width="12.7109375" style="520" customWidth="1"/>
    <col min="11509" max="11509" width="20.140625" style="520" bestFit="1" customWidth="1"/>
    <col min="11510" max="11510" width="13.7109375" style="520" customWidth="1"/>
    <col min="11511" max="11511" width="15.5703125" style="520" customWidth="1"/>
    <col min="11512" max="11758" width="9.140625" style="520"/>
    <col min="11759" max="11759" width="7" style="520" bestFit="1" customWidth="1"/>
    <col min="11760" max="11760" width="40.7109375" style="520" customWidth="1"/>
    <col min="11761" max="11761" width="13.42578125" style="520" customWidth="1"/>
    <col min="11762" max="11762" width="12.7109375" style="520" customWidth="1"/>
    <col min="11763" max="11763" width="13.7109375" style="520" customWidth="1"/>
    <col min="11764" max="11764" width="12.7109375" style="520" customWidth="1"/>
    <col min="11765" max="11765" width="20.140625" style="520" bestFit="1" customWidth="1"/>
    <col min="11766" max="11766" width="13.7109375" style="520" customWidth="1"/>
    <col min="11767" max="11767" width="15.5703125" style="520" customWidth="1"/>
    <col min="11768" max="12014" width="9.140625" style="520"/>
    <col min="12015" max="12015" width="7" style="520" bestFit="1" customWidth="1"/>
    <col min="12016" max="12016" width="40.7109375" style="520" customWidth="1"/>
    <col min="12017" max="12017" width="13.42578125" style="520" customWidth="1"/>
    <col min="12018" max="12018" width="12.7109375" style="520" customWidth="1"/>
    <col min="12019" max="12019" width="13.7109375" style="520" customWidth="1"/>
    <col min="12020" max="12020" width="12.7109375" style="520" customWidth="1"/>
    <col min="12021" max="12021" width="20.140625" style="520" bestFit="1" customWidth="1"/>
    <col min="12022" max="12022" width="13.7109375" style="520" customWidth="1"/>
    <col min="12023" max="12023" width="15.5703125" style="520" customWidth="1"/>
    <col min="12024" max="12270" width="9.140625" style="520"/>
    <col min="12271" max="12271" width="7" style="520" bestFit="1" customWidth="1"/>
    <col min="12272" max="12272" width="40.7109375" style="520" customWidth="1"/>
    <col min="12273" max="12273" width="13.42578125" style="520" customWidth="1"/>
    <col min="12274" max="12274" width="12.7109375" style="520" customWidth="1"/>
    <col min="12275" max="12275" width="13.7109375" style="520" customWidth="1"/>
    <col min="12276" max="12276" width="12.7109375" style="520" customWidth="1"/>
    <col min="12277" max="12277" width="20.140625" style="520" bestFit="1" customWidth="1"/>
    <col min="12278" max="12278" width="13.7109375" style="520" customWidth="1"/>
    <col min="12279" max="12279" width="15.5703125" style="520" customWidth="1"/>
    <col min="12280" max="12526" width="9.140625" style="520"/>
    <col min="12527" max="12527" width="7" style="520" bestFit="1" customWidth="1"/>
    <col min="12528" max="12528" width="40.7109375" style="520" customWidth="1"/>
    <col min="12529" max="12529" width="13.42578125" style="520" customWidth="1"/>
    <col min="12530" max="12530" width="12.7109375" style="520" customWidth="1"/>
    <col min="12531" max="12531" width="13.7109375" style="520" customWidth="1"/>
    <col min="12532" max="12532" width="12.7109375" style="520" customWidth="1"/>
    <col min="12533" max="12533" width="20.140625" style="520" bestFit="1" customWidth="1"/>
    <col min="12534" max="12534" width="13.7109375" style="520" customWidth="1"/>
    <col min="12535" max="12535" width="15.5703125" style="520" customWidth="1"/>
    <col min="12536" max="12782" width="9.140625" style="520"/>
    <col min="12783" max="12783" width="7" style="520" bestFit="1" customWidth="1"/>
    <col min="12784" max="12784" width="40.7109375" style="520" customWidth="1"/>
    <col min="12785" max="12785" width="13.42578125" style="520" customWidth="1"/>
    <col min="12786" max="12786" width="12.7109375" style="520" customWidth="1"/>
    <col min="12787" max="12787" width="13.7109375" style="520" customWidth="1"/>
    <col min="12788" max="12788" width="12.7109375" style="520" customWidth="1"/>
    <col min="12789" max="12789" width="20.140625" style="520" bestFit="1" customWidth="1"/>
    <col min="12790" max="12790" width="13.7109375" style="520" customWidth="1"/>
    <col min="12791" max="12791" width="15.5703125" style="520" customWidth="1"/>
    <col min="12792" max="13038" width="9.140625" style="520"/>
    <col min="13039" max="13039" width="7" style="520" bestFit="1" customWidth="1"/>
    <col min="13040" max="13040" width="40.7109375" style="520" customWidth="1"/>
    <col min="13041" max="13041" width="13.42578125" style="520" customWidth="1"/>
    <col min="13042" max="13042" width="12.7109375" style="520" customWidth="1"/>
    <col min="13043" max="13043" width="13.7109375" style="520" customWidth="1"/>
    <col min="13044" max="13044" width="12.7109375" style="520" customWidth="1"/>
    <col min="13045" max="13045" width="20.140625" style="520" bestFit="1" customWidth="1"/>
    <col min="13046" max="13046" width="13.7109375" style="520" customWidth="1"/>
    <col min="13047" max="13047" width="15.5703125" style="520" customWidth="1"/>
    <col min="13048" max="13294" width="9.140625" style="520"/>
    <col min="13295" max="13295" width="7" style="520" bestFit="1" customWidth="1"/>
    <col min="13296" max="13296" width="40.7109375" style="520" customWidth="1"/>
    <col min="13297" max="13297" width="13.42578125" style="520" customWidth="1"/>
    <col min="13298" max="13298" width="12.7109375" style="520" customWidth="1"/>
    <col min="13299" max="13299" width="13.7109375" style="520" customWidth="1"/>
    <col min="13300" max="13300" width="12.7109375" style="520" customWidth="1"/>
    <col min="13301" max="13301" width="20.140625" style="520" bestFit="1" customWidth="1"/>
    <col min="13302" max="13302" width="13.7109375" style="520" customWidth="1"/>
    <col min="13303" max="13303" width="15.5703125" style="520" customWidth="1"/>
    <col min="13304" max="13550" width="9.140625" style="520"/>
    <col min="13551" max="13551" width="7" style="520" bestFit="1" customWidth="1"/>
    <col min="13552" max="13552" width="40.7109375" style="520" customWidth="1"/>
    <col min="13553" max="13553" width="13.42578125" style="520" customWidth="1"/>
    <col min="13554" max="13554" width="12.7109375" style="520" customWidth="1"/>
    <col min="13555" max="13555" width="13.7109375" style="520" customWidth="1"/>
    <col min="13556" max="13556" width="12.7109375" style="520" customWidth="1"/>
    <col min="13557" max="13557" width="20.140625" style="520" bestFit="1" customWidth="1"/>
    <col min="13558" max="13558" width="13.7109375" style="520" customWidth="1"/>
    <col min="13559" max="13559" width="15.5703125" style="520" customWidth="1"/>
    <col min="13560" max="13806" width="9.140625" style="520"/>
    <col min="13807" max="13807" width="7" style="520" bestFit="1" customWidth="1"/>
    <col min="13808" max="13808" width="40.7109375" style="520" customWidth="1"/>
    <col min="13809" max="13809" width="13.42578125" style="520" customWidth="1"/>
    <col min="13810" max="13810" width="12.7109375" style="520" customWidth="1"/>
    <col min="13811" max="13811" width="13.7109375" style="520" customWidth="1"/>
    <col min="13812" max="13812" width="12.7109375" style="520" customWidth="1"/>
    <col min="13813" max="13813" width="20.140625" style="520" bestFit="1" customWidth="1"/>
    <col min="13814" max="13814" width="13.7109375" style="520" customWidth="1"/>
    <col min="13815" max="13815" width="15.5703125" style="520" customWidth="1"/>
    <col min="13816" max="14062" width="9.140625" style="520"/>
    <col min="14063" max="14063" width="7" style="520" bestFit="1" customWidth="1"/>
    <col min="14064" max="14064" width="40.7109375" style="520" customWidth="1"/>
    <col min="14065" max="14065" width="13.42578125" style="520" customWidth="1"/>
    <col min="14066" max="14066" width="12.7109375" style="520" customWidth="1"/>
    <col min="14067" max="14067" width="13.7109375" style="520" customWidth="1"/>
    <col min="14068" max="14068" width="12.7109375" style="520" customWidth="1"/>
    <col min="14069" max="14069" width="20.140625" style="520" bestFit="1" customWidth="1"/>
    <col min="14070" max="14070" width="13.7109375" style="520" customWidth="1"/>
    <col min="14071" max="14071" width="15.5703125" style="520" customWidth="1"/>
    <col min="14072" max="14318" width="9.140625" style="520"/>
    <col min="14319" max="14319" width="7" style="520" bestFit="1" customWidth="1"/>
    <col min="14320" max="14320" width="40.7109375" style="520" customWidth="1"/>
    <col min="14321" max="14321" width="13.42578125" style="520" customWidth="1"/>
    <col min="14322" max="14322" width="12.7109375" style="520" customWidth="1"/>
    <col min="14323" max="14323" width="13.7109375" style="520" customWidth="1"/>
    <col min="14324" max="14324" width="12.7109375" style="520" customWidth="1"/>
    <col min="14325" max="14325" width="20.140625" style="520" bestFit="1" customWidth="1"/>
    <col min="14326" max="14326" width="13.7109375" style="520" customWidth="1"/>
    <col min="14327" max="14327" width="15.5703125" style="520" customWidth="1"/>
    <col min="14328" max="14574" width="9.140625" style="520"/>
    <col min="14575" max="14575" width="7" style="520" bestFit="1" customWidth="1"/>
    <col min="14576" max="14576" width="40.7109375" style="520" customWidth="1"/>
    <col min="14577" max="14577" width="13.42578125" style="520" customWidth="1"/>
    <col min="14578" max="14578" width="12.7109375" style="520" customWidth="1"/>
    <col min="14579" max="14579" width="13.7109375" style="520" customWidth="1"/>
    <col min="14580" max="14580" width="12.7109375" style="520" customWidth="1"/>
    <col min="14581" max="14581" width="20.140625" style="520" bestFit="1" customWidth="1"/>
    <col min="14582" max="14582" width="13.7109375" style="520" customWidth="1"/>
    <col min="14583" max="14583" width="15.5703125" style="520" customWidth="1"/>
    <col min="14584" max="14830" width="9.140625" style="520"/>
    <col min="14831" max="14831" width="7" style="520" bestFit="1" customWidth="1"/>
    <col min="14832" max="14832" width="40.7109375" style="520" customWidth="1"/>
    <col min="14833" max="14833" width="13.42578125" style="520" customWidth="1"/>
    <col min="14834" max="14834" width="12.7109375" style="520" customWidth="1"/>
    <col min="14835" max="14835" width="13.7109375" style="520" customWidth="1"/>
    <col min="14836" max="14836" width="12.7109375" style="520" customWidth="1"/>
    <col min="14837" max="14837" width="20.140625" style="520" bestFit="1" customWidth="1"/>
    <col min="14838" max="14838" width="13.7109375" style="520" customWidth="1"/>
    <col min="14839" max="14839" width="15.5703125" style="520" customWidth="1"/>
    <col min="14840" max="15086" width="9.140625" style="520"/>
    <col min="15087" max="15087" width="7" style="520" bestFit="1" customWidth="1"/>
    <col min="15088" max="15088" width="40.7109375" style="520" customWidth="1"/>
    <col min="15089" max="15089" width="13.42578125" style="520" customWidth="1"/>
    <col min="15090" max="15090" width="12.7109375" style="520" customWidth="1"/>
    <col min="15091" max="15091" width="13.7109375" style="520" customWidth="1"/>
    <col min="15092" max="15092" width="12.7109375" style="520" customWidth="1"/>
    <col min="15093" max="15093" width="20.140625" style="520" bestFit="1" customWidth="1"/>
    <col min="15094" max="15094" width="13.7109375" style="520" customWidth="1"/>
    <col min="15095" max="15095" width="15.5703125" style="520" customWidth="1"/>
    <col min="15096" max="15342" width="9.140625" style="520"/>
    <col min="15343" max="15343" width="7" style="520" bestFit="1" customWidth="1"/>
    <col min="15344" max="15344" width="40.7109375" style="520" customWidth="1"/>
    <col min="15345" max="15345" width="13.42578125" style="520" customWidth="1"/>
    <col min="15346" max="15346" width="12.7109375" style="520" customWidth="1"/>
    <col min="15347" max="15347" width="13.7109375" style="520" customWidth="1"/>
    <col min="15348" max="15348" width="12.7109375" style="520" customWidth="1"/>
    <col min="15349" max="15349" width="20.140625" style="520" bestFit="1" customWidth="1"/>
    <col min="15350" max="15350" width="13.7109375" style="520" customWidth="1"/>
    <col min="15351" max="15351" width="15.5703125" style="520" customWidth="1"/>
    <col min="15352" max="15598" width="9.140625" style="520"/>
    <col min="15599" max="15599" width="7" style="520" bestFit="1" customWidth="1"/>
    <col min="15600" max="15600" width="40.7109375" style="520" customWidth="1"/>
    <col min="15601" max="15601" width="13.42578125" style="520" customWidth="1"/>
    <col min="15602" max="15602" width="12.7109375" style="520" customWidth="1"/>
    <col min="15603" max="15603" width="13.7109375" style="520" customWidth="1"/>
    <col min="15604" max="15604" width="12.7109375" style="520" customWidth="1"/>
    <col min="15605" max="15605" width="20.140625" style="520" bestFit="1" customWidth="1"/>
    <col min="15606" max="15606" width="13.7109375" style="520" customWidth="1"/>
    <col min="15607" max="15607" width="15.5703125" style="520" customWidth="1"/>
    <col min="15608" max="15854" width="9.140625" style="520"/>
    <col min="15855" max="15855" width="7" style="520" bestFit="1" customWidth="1"/>
    <col min="15856" max="15856" width="40.7109375" style="520" customWidth="1"/>
    <col min="15857" max="15857" width="13.42578125" style="520" customWidth="1"/>
    <col min="15858" max="15858" width="12.7109375" style="520" customWidth="1"/>
    <col min="15859" max="15859" width="13.7109375" style="520" customWidth="1"/>
    <col min="15860" max="15860" width="12.7109375" style="520" customWidth="1"/>
    <col min="15861" max="15861" width="20.140625" style="520" bestFit="1" customWidth="1"/>
    <col min="15862" max="15862" width="13.7109375" style="520" customWidth="1"/>
    <col min="15863" max="15863" width="15.5703125" style="520" customWidth="1"/>
    <col min="15864" max="16110" width="9.140625" style="520"/>
    <col min="16111" max="16111" width="7" style="520" bestFit="1" customWidth="1"/>
    <col min="16112" max="16112" width="40.7109375" style="520" customWidth="1"/>
    <col min="16113" max="16113" width="13.42578125" style="520" customWidth="1"/>
    <col min="16114" max="16114" width="12.7109375" style="520" customWidth="1"/>
    <col min="16115" max="16115" width="13.7109375" style="520" customWidth="1"/>
    <col min="16116" max="16116" width="12.7109375" style="520" customWidth="1"/>
    <col min="16117" max="16117" width="20.140625" style="520" bestFit="1" customWidth="1"/>
    <col min="16118" max="16118" width="13.7109375" style="520" customWidth="1"/>
    <col min="16119" max="16119" width="15.5703125" style="520" customWidth="1"/>
    <col min="16120" max="16366" width="9.140625" style="520"/>
    <col min="16367" max="16384" width="9.140625" style="520" customWidth="1"/>
  </cols>
  <sheetData>
    <row r="1" spans="1:13" x14ac:dyDescent="0.25">
      <c r="H1" s="520" t="s">
        <v>1044</v>
      </c>
    </row>
    <row r="4" spans="1:13" ht="36.75" customHeight="1" x14ac:dyDescent="0.25">
      <c r="A4" s="4229" t="s">
        <v>1921</v>
      </c>
      <c r="B4" s="4229"/>
      <c r="C4" s="4229"/>
      <c r="D4" s="4229"/>
      <c r="E4" s="4230" t="str">
        <f>'Вхідні дані'!F5</f>
        <v>ЧФ ДП "АМПУ"</v>
      </c>
      <c r="F4" s="4230"/>
      <c r="G4" s="3394" t="s">
        <v>460</v>
      </c>
      <c r="H4" s="3395" t="str">
        <f>'Вхідні дані'!F6</f>
        <v>2022-2023</v>
      </c>
    </row>
    <row r="5" spans="1:13" ht="15.75" thickBot="1" x14ac:dyDescent="0.3"/>
    <row r="6" spans="1:13" ht="16.5" thickBot="1" x14ac:dyDescent="0.3">
      <c r="A6" s="4231" t="s">
        <v>993</v>
      </c>
      <c r="B6" s="4231" t="s">
        <v>1045</v>
      </c>
      <c r="C6" s="4233" t="s">
        <v>1046</v>
      </c>
      <c r="D6" s="4233"/>
      <c r="E6" s="4233" t="s">
        <v>1047</v>
      </c>
      <c r="F6" s="4233"/>
      <c r="G6" s="4233" t="s">
        <v>1048</v>
      </c>
      <c r="H6" s="4233"/>
    </row>
    <row r="7" spans="1:13" ht="48" thickBot="1" x14ac:dyDescent="0.3">
      <c r="A7" s="4232"/>
      <c r="B7" s="4232"/>
      <c r="C7" s="3400" t="s">
        <v>1049</v>
      </c>
      <c r="D7" s="3401" t="s">
        <v>1050</v>
      </c>
      <c r="E7" s="3401" t="s">
        <v>1049</v>
      </c>
      <c r="F7" s="3401" t="s">
        <v>1050</v>
      </c>
      <c r="G7" s="3400" t="s">
        <v>1049</v>
      </c>
      <c r="H7" s="3401" t="s">
        <v>1050</v>
      </c>
      <c r="K7" s="1399" t="s">
        <v>2253</v>
      </c>
      <c r="L7" s="1399" t="s">
        <v>2254</v>
      </c>
    </row>
    <row r="8" spans="1:13" ht="16.5" thickBot="1" x14ac:dyDescent="0.3">
      <c r="A8" s="3448">
        <v>1</v>
      </c>
      <c r="B8" s="3435">
        <v>2</v>
      </c>
      <c r="C8" s="3449">
        <v>3</v>
      </c>
      <c r="D8" s="3449">
        <v>4</v>
      </c>
      <c r="E8" s="3449">
        <v>5</v>
      </c>
      <c r="F8" s="3449">
        <v>6</v>
      </c>
      <c r="G8" s="3449">
        <v>7</v>
      </c>
      <c r="H8" s="3449">
        <v>8</v>
      </c>
      <c r="K8" s="1399" t="s">
        <v>2255</v>
      </c>
      <c r="L8" s="1399" t="s">
        <v>2255</v>
      </c>
    </row>
    <row r="9" spans="1:13" s="686" customFormat="1" ht="36.75" customHeight="1" x14ac:dyDescent="0.2">
      <c r="A9" s="3402" t="s">
        <v>1051</v>
      </c>
      <c r="B9" s="3403" t="s">
        <v>1052</v>
      </c>
      <c r="C9" s="3403">
        <f>[51]Лист1!$C$20</f>
        <v>23</v>
      </c>
      <c r="D9" s="3404">
        <f>[52]Лист1!$U$21/2</f>
        <v>2514756.1</v>
      </c>
      <c r="E9" s="3403">
        <f>C9</f>
        <v>23</v>
      </c>
      <c r="F9" s="3405">
        <f>D9</f>
        <v>2514756.1</v>
      </c>
      <c r="G9" s="3403">
        <f>(C9*$K$9+E9*$L$9)/$M$9</f>
        <v>23</v>
      </c>
      <c r="H9" s="3404">
        <f>D9+F9</f>
        <v>5029512.2</v>
      </c>
      <c r="J9" s="2362"/>
      <c r="K9" s="1816">
        <f>'Вхідні дані'!D50</f>
        <v>152</v>
      </c>
      <c r="L9" s="1816">
        <f>M9-K9</f>
        <v>213</v>
      </c>
      <c r="M9" s="686">
        <v>365</v>
      </c>
    </row>
    <row r="10" spans="1:13" ht="15.75" hidden="1" x14ac:dyDescent="0.25">
      <c r="A10" s="3406"/>
      <c r="B10" s="3407" t="s">
        <v>1053</v>
      </c>
      <c r="C10" s="3407"/>
      <c r="D10" s="3408"/>
      <c r="E10" s="3407"/>
      <c r="F10" s="3408"/>
      <c r="G10" s="3409">
        <f>C10*K9/366+E10*L9/366</f>
        <v>0</v>
      </c>
      <c r="H10" s="3410">
        <f>D10+F10</f>
        <v>0</v>
      </c>
    </row>
    <row r="11" spans="1:13" s="686" customFormat="1" ht="17.25" customHeight="1" x14ac:dyDescent="0.2">
      <c r="A11" s="3406"/>
      <c r="B11" s="3411" t="s">
        <v>1054</v>
      </c>
      <c r="C11" s="3403"/>
      <c r="D11" s="3404">
        <f>SUM(D12:D13)</f>
        <v>553246.34</v>
      </c>
      <c r="E11" s="3403"/>
      <c r="F11" s="3404">
        <f>SUM(F12:F13)</f>
        <v>553246.34</v>
      </c>
      <c r="G11" s="3409"/>
      <c r="H11" s="3412">
        <f>H12+H13</f>
        <v>1106492.68</v>
      </c>
      <c r="J11" s="2362">
        <f>H9/G9/12</f>
        <v>18222.87</v>
      </c>
    </row>
    <row r="12" spans="1:13" ht="15.75" x14ac:dyDescent="0.25">
      <c r="A12" s="3406"/>
      <c r="B12" s="3413" t="s">
        <v>1055</v>
      </c>
      <c r="C12" s="3414">
        <f>'Вхідні дані'!D$44</f>
        <v>0.22</v>
      </c>
      <c r="D12" s="3408">
        <f>(D9-D10)*C12</f>
        <v>553246.34</v>
      </c>
      <c r="E12" s="3408"/>
      <c r="F12" s="3408">
        <f>(F9-F10)*C12</f>
        <v>553246.34</v>
      </c>
      <c r="G12" s="3415"/>
      <c r="H12" s="3410">
        <f>D12+F12</f>
        <v>1106492.68</v>
      </c>
    </row>
    <row r="13" spans="1:13" ht="15.75" hidden="1" x14ac:dyDescent="0.25">
      <c r="A13" s="3406"/>
      <c r="B13" s="3413" t="s">
        <v>1056</v>
      </c>
      <c r="C13" s="3416">
        <f>'Вхідні дані'!D$45</f>
        <v>0</v>
      </c>
      <c r="D13" s="3408">
        <f>D10*C13</f>
        <v>0</v>
      </c>
      <c r="E13" s="3408"/>
      <c r="F13" s="3408">
        <f>F10*C13</f>
        <v>0</v>
      </c>
      <c r="G13" s="3415"/>
      <c r="H13" s="3410">
        <f>D13+F13</f>
        <v>0</v>
      </c>
    </row>
    <row r="14" spans="1:13" s="686" customFormat="1" ht="28.5" x14ac:dyDescent="0.2">
      <c r="A14" s="3406" t="s">
        <v>1057</v>
      </c>
      <c r="B14" s="3417" t="s">
        <v>2363</v>
      </c>
      <c r="C14" s="3418">
        <f>[51]Лист1!$C$28-C19</f>
        <v>13</v>
      </c>
      <c r="D14" s="3419">
        <f>([52]Лист1!$U$29-[52]Лист1!$W$25)/2</f>
        <v>1390851.69</v>
      </c>
      <c r="E14" s="3418">
        <f>C14</f>
        <v>13</v>
      </c>
      <c r="F14" s="3420">
        <f>D14</f>
        <v>1390851.69</v>
      </c>
      <c r="G14" s="3403">
        <f>(C14*$K$9+E14*$L$9)/$M$9</f>
        <v>13</v>
      </c>
      <c r="H14" s="3412">
        <f>D14+F14</f>
        <v>2781703.38</v>
      </c>
      <c r="J14" s="2362"/>
    </row>
    <row r="15" spans="1:13" ht="15.75" hidden="1" x14ac:dyDescent="0.25">
      <c r="A15" s="3406"/>
      <c r="B15" s="3407" t="s">
        <v>1053</v>
      </c>
      <c r="C15" s="3407">
        <v>0</v>
      </c>
      <c r="D15" s="3408">
        <v>0</v>
      </c>
      <c r="E15" s="3407">
        <v>0</v>
      </c>
      <c r="F15" s="3408"/>
      <c r="G15" s="3421">
        <f>C15*157/366+E15*209/366</f>
        <v>0</v>
      </c>
      <c r="H15" s="3410">
        <f>D15+F15</f>
        <v>0</v>
      </c>
    </row>
    <row r="16" spans="1:13" s="686" customFormat="1" ht="16.5" customHeight="1" x14ac:dyDescent="0.2">
      <c r="A16" s="3406"/>
      <c r="B16" s="3411" t="s">
        <v>1054</v>
      </c>
      <c r="C16" s="3403"/>
      <c r="D16" s="3404">
        <f>SUM(D17:D18)</f>
        <v>305987.37</v>
      </c>
      <c r="E16" s="3403"/>
      <c r="F16" s="3404">
        <f>SUM(F17:F18)</f>
        <v>305987.37</v>
      </c>
      <c r="G16" s="3421"/>
      <c r="H16" s="3412">
        <f>H17+H18</f>
        <v>611974.74</v>
      </c>
      <c r="J16" s="2362">
        <f>H14/G14/12</f>
        <v>17831.43</v>
      </c>
    </row>
    <row r="17" spans="1:15" ht="15.75" x14ac:dyDescent="0.25">
      <c r="A17" s="3406"/>
      <c r="B17" s="3413" t="s">
        <v>1055</v>
      </c>
      <c r="C17" s="3414">
        <f>'Вхідні дані'!D$44</f>
        <v>0.22</v>
      </c>
      <c r="D17" s="3408">
        <f>(D14-D15)*C17</f>
        <v>305987.37</v>
      </c>
      <c r="E17" s="3408"/>
      <c r="F17" s="3408">
        <f>(F14-F15)*C17</f>
        <v>305987.37</v>
      </c>
      <c r="G17" s="3422"/>
      <c r="H17" s="3410">
        <f>D17+F17</f>
        <v>611974.74</v>
      </c>
      <c r="N17" s="2569">
        <f>H9/1000</f>
        <v>5029.51</v>
      </c>
    </row>
    <row r="18" spans="1:15" ht="15.75" hidden="1" x14ac:dyDescent="0.25">
      <c r="A18" s="3406"/>
      <c r="B18" s="3413" t="s">
        <v>1056</v>
      </c>
      <c r="C18" s="3416">
        <f>'Вхідні дані'!D$45</f>
        <v>0</v>
      </c>
      <c r="D18" s="3408">
        <f>D15*C18</f>
        <v>0</v>
      </c>
      <c r="E18" s="3408"/>
      <c r="F18" s="3408">
        <f>F15*C18</f>
        <v>0</v>
      </c>
      <c r="G18" s="3422"/>
      <c r="H18" s="3410">
        <f>D18+F18</f>
        <v>0</v>
      </c>
      <c r="N18" s="2569">
        <f>H19/1000</f>
        <v>241.43</v>
      </c>
    </row>
    <row r="19" spans="1:15" s="686" customFormat="1" ht="42.75" x14ac:dyDescent="0.2">
      <c r="A19" s="3406" t="s">
        <v>1058</v>
      </c>
      <c r="B19" s="3417" t="s">
        <v>2364</v>
      </c>
      <c r="C19" s="3423">
        <v>4</v>
      </c>
      <c r="D19" s="3420">
        <f>[52]Лист1!$W$24</f>
        <v>120712.82</v>
      </c>
      <c r="E19" s="3423">
        <v>4</v>
      </c>
      <c r="F19" s="3420">
        <f>D19</f>
        <v>120712.82</v>
      </c>
      <c r="G19" s="3424">
        <f>(C19*$K$9+E19*$L$9)/$M$9</f>
        <v>4</v>
      </c>
      <c r="H19" s="3412">
        <f>D19+F19</f>
        <v>241425.64</v>
      </c>
      <c r="J19" s="2362"/>
      <c r="N19" s="2562">
        <f>H14/1000</f>
        <v>2781.7</v>
      </c>
    </row>
    <row r="20" spans="1:15" ht="15.75" hidden="1" x14ac:dyDescent="0.25">
      <c r="A20" s="3406"/>
      <c r="B20" s="3407" t="s">
        <v>1053</v>
      </c>
      <c r="C20" s="3407"/>
      <c r="D20" s="3408"/>
      <c r="E20" s="3407"/>
      <c r="F20" s="3408"/>
      <c r="G20" s="3421">
        <f>C20*157/366+E20*209/366</f>
        <v>0</v>
      </c>
      <c r="H20" s="3410">
        <f>D20+F20</f>
        <v>0</v>
      </c>
      <c r="N20" s="2569">
        <f>H24/1000</f>
        <v>612.30999999999995</v>
      </c>
    </row>
    <row r="21" spans="1:15" s="686" customFormat="1" ht="16.5" customHeight="1" x14ac:dyDescent="0.2">
      <c r="A21" s="3406"/>
      <c r="B21" s="3411" t="s">
        <v>1054</v>
      </c>
      <c r="C21" s="3403"/>
      <c r="D21" s="3404">
        <f>SUM(D22:D23)</f>
        <v>26556.82</v>
      </c>
      <c r="E21" s="3403"/>
      <c r="F21" s="3404">
        <f>SUM(F22:F23)</f>
        <v>26556.82</v>
      </c>
      <c r="G21" s="3421"/>
      <c r="H21" s="3412">
        <f>H22+H23</f>
        <v>53113.64</v>
      </c>
      <c r="J21" s="2362">
        <f>H19/G19/12</f>
        <v>5029.7</v>
      </c>
      <c r="N21" s="2362">
        <f>H9+H14+H19+H24</f>
        <v>8664946.2599999998</v>
      </c>
      <c r="O21" s="2562">
        <f>N21/1000</f>
        <v>8664.9500000000007</v>
      </c>
    </row>
    <row r="22" spans="1:15" ht="15.75" x14ac:dyDescent="0.25">
      <c r="A22" s="3406"/>
      <c r="B22" s="3413" t="s">
        <v>1055</v>
      </c>
      <c r="C22" s="3414">
        <f>'Вхідні дані'!D$44</f>
        <v>0.22</v>
      </c>
      <c r="D22" s="3408">
        <f>(D19-D20)*C22</f>
        <v>26556.82</v>
      </c>
      <c r="E22" s="3408"/>
      <c r="F22" s="3408">
        <f>(F19-F20)*C22</f>
        <v>26556.82</v>
      </c>
      <c r="G22" s="3422"/>
      <c r="H22" s="3410">
        <f>D22+F22</f>
        <v>53113.64</v>
      </c>
    </row>
    <row r="23" spans="1:15" ht="15.75" hidden="1" x14ac:dyDescent="0.25">
      <c r="A23" s="3406"/>
      <c r="B23" s="3413" t="s">
        <v>1056</v>
      </c>
      <c r="C23" s="3416">
        <f>'Вхідні дані'!D$45</f>
        <v>0</v>
      </c>
      <c r="D23" s="3408">
        <f>D20*C23</f>
        <v>0</v>
      </c>
      <c r="E23" s="3408"/>
      <c r="F23" s="3408">
        <f>F20*C23</f>
        <v>0</v>
      </c>
      <c r="G23" s="3422"/>
      <c r="H23" s="3410">
        <f>D23+F23</f>
        <v>0</v>
      </c>
    </row>
    <row r="24" spans="1:15" s="686" customFormat="1" ht="28.5" x14ac:dyDescent="0.2">
      <c r="A24" s="3425" t="s">
        <v>1059</v>
      </c>
      <c r="B24" s="3417" t="s">
        <v>1060</v>
      </c>
      <c r="C24" s="3423">
        <v>2</v>
      </c>
      <c r="D24" s="3419">
        <f>[52]Лист1!$U$34/2</f>
        <v>306152.52</v>
      </c>
      <c r="E24" s="3423">
        <v>2</v>
      </c>
      <c r="F24" s="3420">
        <f>D24</f>
        <v>306152.52</v>
      </c>
      <c r="G24" s="3403">
        <f>(C24*$K$9+E24*$L$9)/$M$9</f>
        <v>2</v>
      </c>
      <c r="H24" s="3412">
        <f>D24+F24</f>
        <v>612305.04</v>
      </c>
      <c r="J24" s="2362"/>
    </row>
    <row r="25" spans="1:15" ht="15.75" hidden="1" x14ac:dyDescent="0.25">
      <c r="A25" s="3406"/>
      <c r="B25" s="3407" t="s">
        <v>1053</v>
      </c>
      <c r="C25" s="3407"/>
      <c r="D25" s="3408"/>
      <c r="E25" s="3407"/>
      <c r="F25" s="3408"/>
      <c r="G25" s="3409">
        <f>C25*157/366+E25*209/366</f>
        <v>0</v>
      </c>
      <c r="H25" s="3410">
        <f>D25+F25</f>
        <v>0</v>
      </c>
    </row>
    <row r="26" spans="1:15" s="686" customFormat="1" ht="17.25" customHeight="1" x14ac:dyDescent="0.2">
      <c r="A26" s="3406"/>
      <c r="B26" s="3411" t="s">
        <v>1054</v>
      </c>
      <c r="C26" s="3403"/>
      <c r="D26" s="3404">
        <f>SUM(D27:D28)</f>
        <v>67353.55</v>
      </c>
      <c r="E26" s="3403"/>
      <c r="F26" s="3404">
        <f>SUM(F27:F28)</f>
        <v>67353.55</v>
      </c>
      <c r="G26" s="3409"/>
      <c r="H26" s="3412">
        <f>H27+H28</f>
        <v>134707.1</v>
      </c>
      <c r="J26" s="2362">
        <f>H24/G24/12</f>
        <v>25512.71</v>
      </c>
    </row>
    <row r="27" spans="1:15" ht="15.75" x14ac:dyDescent="0.25">
      <c r="A27" s="3406"/>
      <c r="B27" s="3413" t="s">
        <v>1055</v>
      </c>
      <c r="C27" s="3414">
        <f>'Вхідні дані'!D$44</f>
        <v>0.22</v>
      </c>
      <c r="D27" s="3408">
        <f>(D24-D25)*C27</f>
        <v>67353.55</v>
      </c>
      <c r="E27" s="3408"/>
      <c r="F27" s="3408">
        <f>(F24-F25)*C27</f>
        <v>67353.55</v>
      </c>
      <c r="G27" s="3415"/>
      <c r="H27" s="3410">
        <f>D27+F27</f>
        <v>134707.1</v>
      </c>
    </row>
    <row r="28" spans="1:15" ht="15.75" hidden="1" x14ac:dyDescent="0.25">
      <c r="A28" s="3406"/>
      <c r="B28" s="3413" t="s">
        <v>1056</v>
      </c>
      <c r="C28" s="3416">
        <f>'Вхідні дані'!D$45</f>
        <v>0</v>
      </c>
      <c r="D28" s="3408">
        <f>D25*C28</f>
        <v>0</v>
      </c>
      <c r="E28" s="3408"/>
      <c r="F28" s="3408">
        <f>F25*C28</f>
        <v>0</v>
      </c>
      <c r="G28" s="3415"/>
      <c r="H28" s="3410">
        <f>D28+F28</f>
        <v>0</v>
      </c>
    </row>
    <row r="29" spans="1:15" s="686" customFormat="1" ht="28.5" x14ac:dyDescent="0.2">
      <c r="A29" s="3425" t="s">
        <v>1061</v>
      </c>
      <c r="B29" s="3426" t="s">
        <v>1062</v>
      </c>
      <c r="C29" s="3423">
        <v>0</v>
      </c>
      <c r="D29" s="3420">
        <v>0</v>
      </c>
      <c r="E29" s="3423">
        <v>0</v>
      </c>
      <c r="F29" s="3420">
        <f>D29</f>
        <v>0</v>
      </c>
      <c r="G29" s="3403">
        <f>(C29*$K$9+E29*$L$9)/$M$9</f>
        <v>0</v>
      </c>
      <c r="H29" s="3412">
        <f>D29+F29</f>
        <v>0</v>
      </c>
      <c r="J29" s="2363"/>
      <c r="O29" s="2497"/>
    </row>
    <row r="30" spans="1:15" ht="15.75" hidden="1" x14ac:dyDescent="0.25">
      <c r="A30" s="3406"/>
      <c r="B30" s="3407" t="s">
        <v>1053</v>
      </c>
      <c r="C30" s="3407"/>
      <c r="D30" s="3408"/>
      <c r="E30" s="3407"/>
      <c r="F30" s="3408"/>
      <c r="G30" s="3409">
        <f>C30*157/366+E30*209/366</f>
        <v>0</v>
      </c>
      <c r="H30" s="3410">
        <f>D30+F30</f>
        <v>0</v>
      </c>
    </row>
    <row r="31" spans="1:15" s="686" customFormat="1" ht="15" customHeight="1" x14ac:dyDescent="0.2">
      <c r="A31" s="3406"/>
      <c r="B31" s="3411" t="s">
        <v>1054</v>
      </c>
      <c r="C31" s="3403"/>
      <c r="D31" s="3404">
        <f>SUM(D32:D33)</f>
        <v>0</v>
      </c>
      <c r="E31" s="3403"/>
      <c r="F31" s="3404">
        <f>SUM(F32:F33)</f>
        <v>0</v>
      </c>
      <c r="G31" s="3409"/>
      <c r="H31" s="3412">
        <f>H32+H33</f>
        <v>0</v>
      </c>
      <c r="J31" s="2362" t="e">
        <f>H29/G29/12</f>
        <v>#DIV/0!</v>
      </c>
    </row>
    <row r="32" spans="1:15" ht="15.75" x14ac:dyDescent="0.25">
      <c r="A32" s="3406"/>
      <c r="B32" s="3413" t="s">
        <v>1055</v>
      </c>
      <c r="C32" s="3414">
        <f>'Вхідні дані'!D$44</f>
        <v>0.22</v>
      </c>
      <c r="D32" s="3408">
        <f>(D29-D30)*C32</f>
        <v>0</v>
      </c>
      <c r="E32" s="3408"/>
      <c r="F32" s="3408">
        <f>(F29-F30)*C32</f>
        <v>0</v>
      </c>
      <c r="G32" s="3415"/>
      <c r="H32" s="3410">
        <f>D32+F32</f>
        <v>0</v>
      </c>
    </row>
    <row r="33" spans="1:11" ht="15.75" hidden="1" x14ac:dyDescent="0.25">
      <c r="A33" s="3406"/>
      <c r="B33" s="3413" t="s">
        <v>1056</v>
      </c>
      <c r="C33" s="3416">
        <f>'Вхідні дані'!D$45</f>
        <v>0</v>
      </c>
      <c r="D33" s="3408">
        <f>D30*C33</f>
        <v>0</v>
      </c>
      <c r="E33" s="3408"/>
      <c r="F33" s="3408">
        <f>F30*C33</f>
        <v>0</v>
      </c>
      <c r="G33" s="3415"/>
      <c r="H33" s="3410">
        <f>D33+F33</f>
        <v>0</v>
      </c>
    </row>
    <row r="34" spans="1:11" s="686" customFormat="1" ht="28.5" x14ac:dyDescent="0.2">
      <c r="A34" s="3425" t="s">
        <v>1063</v>
      </c>
      <c r="B34" s="3426" t="s">
        <v>1064</v>
      </c>
      <c r="C34" s="3423"/>
      <c r="D34" s="3419"/>
      <c r="E34" s="3427"/>
      <c r="F34" s="3419"/>
      <c r="G34" s="3403">
        <f>(C34*$K$9+E34*$L$9)/$M$9</f>
        <v>0</v>
      </c>
      <c r="H34" s="3412">
        <f>D34+F34</f>
        <v>0</v>
      </c>
      <c r="J34" s="2362" t="s">
        <v>2860</v>
      </c>
    </row>
    <row r="35" spans="1:11" s="686" customFormat="1" ht="15.75" hidden="1" x14ac:dyDescent="0.2">
      <c r="A35" s="3425"/>
      <c r="B35" s="3407" t="s">
        <v>1053</v>
      </c>
      <c r="C35" s="3423"/>
      <c r="D35" s="3419"/>
      <c r="E35" s="3423"/>
      <c r="F35" s="3419"/>
      <c r="G35" s="3409">
        <f>C35*157/366+E35*209/366</f>
        <v>0</v>
      </c>
      <c r="H35" s="3412"/>
      <c r="J35" s="2362">
        <f>H54-H29</f>
        <v>12261325.560000001</v>
      </c>
      <c r="K35" s="2425">
        <f>G54-G29</f>
        <v>61</v>
      </c>
    </row>
    <row r="36" spans="1:11" s="686" customFormat="1" ht="15.75" x14ac:dyDescent="0.2">
      <c r="A36" s="3425"/>
      <c r="B36" s="3411" t="s">
        <v>1054</v>
      </c>
      <c r="C36" s="3403"/>
      <c r="D36" s="3404">
        <f>SUM(D37:D38)</f>
        <v>0</v>
      </c>
      <c r="E36" s="3403"/>
      <c r="F36" s="3404">
        <f>SUM(F37:F38)</f>
        <v>0</v>
      </c>
      <c r="G36" s="3409"/>
      <c r="H36" s="3412">
        <f>H37+H38</f>
        <v>0</v>
      </c>
      <c r="J36" s="2362">
        <f>J35/K35/12</f>
        <v>16750.439999999999</v>
      </c>
    </row>
    <row r="37" spans="1:11" s="686" customFormat="1" ht="15.75" x14ac:dyDescent="0.2">
      <c r="A37" s="3425"/>
      <c r="B37" s="3413" t="s">
        <v>1055</v>
      </c>
      <c r="C37" s="3414">
        <f>'Вхідні дані'!D$44</f>
        <v>0.22</v>
      </c>
      <c r="D37" s="3408">
        <f>(D34-D35)*C37</f>
        <v>0</v>
      </c>
      <c r="E37" s="3423"/>
      <c r="F37" s="3408">
        <f>(F34-F35)*C37</f>
        <v>0</v>
      </c>
      <c r="G37" s="3428"/>
      <c r="H37" s="3412">
        <f>D37+F37</f>
        <v>0</v>
      </c>
      <c r="J37" s="2362"/>
    </row>
    <row r="38" spans="1:11" s="686" customFormat="1" ht="15.75" hidden="1" x14ac:dyDescent="0.2">
      <c r="A38" s="3425"/>
      <c r="B38" s="3413" t="s">
        <v>1056</v>
      </c>
      <c r="C38" s="3416">
        <f>'Вхідні дані'!D$45</f>
        <v>0</v>
      </c>
      <c r="D38" s="3408">
        <f>D35*C38</f>
        <v>0</v>
      </c>
      <c r="E38" s="3423"/>
      <c r="F38" s="3408">
        <f>F35*C38</f>
        <v>0</v>
      </c>
      <c r="G38" s="3428"/>
      <c r="H38" s="3412">
        <f>D38+F38</f>
        <v>0</v>
      </c>
      <c r="J38" s="2362"/>
    </row>
    <row r="39" spans="1:11" s="686" customFormat="1" ht="42.75" x14ac:dyDescent="0.2">
      <c r="A39" s="3425" t="s">
        <v>1065</v>
      </c>
      <c r="B39" s="3417" t="s">
        <v>1066</v>
      </c>
      <c r="C39" s="3423">
        <f>8-8</f>
        <v>0</v>
      </c>
      <c r="D39" s="3419">
        <f>619486.726290411-619486.726290411</f>
        <v>0</v>
      </c>
      <c r="E39" s="3423">
        <f>8-8</f>
        <v>0</v>
      </c>
      <c r="F39" s="3419">
        <f>940632.061909589-940632.061909589</f>
        <v>0</v>
      </c>
      <c r="G39" s="3403">
        <f>(C39*$K$9+E39*$L$9)/$M$9</f>
        <v>0</v>
      </c>
      <c r="H39" s="3412">
        <f>D39+F39</f>
        <v>0</v>
      </c>
      <c r="J39" s="2362"/>
    </row>
    <row r="40" spans="1:11" s="686" customFormat="1" ht="15.75" hidden="1" x14ac:dyDescent="0.2">
      <c r="A40" s="3425"/>
      <c r="B40" s="3407" t="s">
        <v>1053</v>
      </c>
      <c r="C40" s="3423">
        <f>1-1</f>
        <v>0</v>
      </c>
      <c r="D40" s="3419">
        <f>75919.2867287671-75919.2867287671</f>
        <v>0</v>
      </c>
      <c r="E40" s="3423">
        <f>1-1</f>
        <v>0</v>
      </c>
      <c r="F40" s="3419">
        <f>113276.668471233-113276.668471233</f>
        <v>0</v>
      </c>
      <c r="G40" s="3409">
        <f>C40*157/366+E40*209/366</f>
        <v>0</v>
      </c>
      <c r="H40" s="3412">
        <f>D40+F40</f>
        <v>0</v>
      </c>
      <c r="J40" s="2362"/>
    </row>
    <row r="41" spans="1:11" s="686" customFormat="1" ht="15.75" x14ac:dyDescent="0.2">
      <c r="A41" s="3425"/>
      <c r="B41" s="3411" t="s">
        <v>1054</v>
      </c>
      <c r="C41" s="3403"/>
      <c r="D41" s="3404">
        <f>SUM(D42:D43)</f>
        <v>0</v>
      </c>
      <c r="E41" s="3403"/>
      <c r="F41" s="3404">
        <f>SUM(F42:F43)</f>
        <v>0</v>
      </c>
      <c r="G41" s="3409"/>
      <c r="H41" s="3412">
        <f>H42+H43</f>
        <v>0</v>
      </c>
      <c r="J41" s="2362"/>
    </row>
    <row r="42" spans="1:11" s="686" customFormat="1" ht="15.75" x14ac:dyDescent="0.2">
      <c r="A42" s="3425"/>
      <c r="B42" s="3413" t="s">
        <v>1055</v>
      </c>
      <c r="C42" s="3414">
        <f>'Вхідні дані'!D$44</f>
        <v>0.22</v>
      </c>
      <c r="D42" s="3408">
        <f>(D39-D40)*C42</f>
        <v>0</v>
      </c>
      <c r="E42" s="3419"/>
      <c r="F42" s="3408">
        <f>(F39-F40)*C42</f>
        <v>0</v>
      </c>
      <c r="G42" s="3428"/>
      <c r="H42" s="3412">
        <f>D42+F42</f>
        <v>0</v>
      </c>
      <c r="J42" s="2362"/>
    </row>
    <row r="43" spans="1:11" s="686" customFormat="1" ht="15.75" hidden="1" x14ac:dyDescent="0.2">
      <c r="A43" s="3425"/>
      <c r="B43" s="3413" t="s">
        <v>1056</v>
      </c>
      <c r="C43" s="3416">
        <f>'Вхідні дані'!D$45</f>
        <v>0</v>
      </c>
      <c r="D43" s="3408">
        <f>D40*C43</f>
        <v>0</v>
      </c>
      <c r="E43" s="3419"/>
      <c r="F43" s="3408">
        <f>F40*C43</f>
        <v>0</v>
      </c>
      <c r="G43" s="3428"/>
      <c r="H43" s="3412">
        <f>D43+F43</f>
        <v>0</v>
      </c>
      <c r="J43" s="2362"/>
    </row>
    <row r="44" spans="1:11" ht="15.75" x14ac:dyDescent="0.25">
      <c r="A44" s="3425" t="s">
        <v>1067</v>
      </c>
      <c r="B44" s="3417" t="s">
        <v>1068</v>
      </c>
      <c r="C44" s="3423">
        <v>19</v>
      </c>
      <c r="D44" s="3420">
        <f>[52]Лист1!$AE$74/2</f>
        <v>1309882.24</v>
      </c>
      <c r="E44" s="3429">
        <f>C44</f>
        <v>19</v>
      </c>
      <c r="F44" s="3420">
        <f>D44</f>
        <v>1309882.24</v>
      </c>
      <c r="G44" s="3403">
        <f>(C44*$K$9+E44*$L$9)/$M$9</f>
        <v>19</v>
      </c>
      <c r="H44" s="3412">
        <f>D44+F44</f>
        <v>2619764.48</v>
      </c>
    </row>
    <row r="45" spans="1:11" ht="15.75" hidden="1" x14ac:dyDescent="0.25">
      <c r="A45" s="3406"/>
      <c r="B45" s="3407" t="s">
        <v>1053</v>
      </c>
      <c r="C45" s="3407"/>
      <c r="D45" s="3408"/>
      <c r="E45" s="3407"/>
      <c r="F45" s="3408"/>
      <c r="G45" s="3409">
        <f>C45*157/366+E45*209/366</f>
        <v>0</v>
      </c>
      <c r="H45" s="3410">
        <f>D45+F45</f>
        <v>0</v>
      </c>
    </row>
    <row r="46" spans="1:11" s="686" customFormat="1" ht="15.75" x14ac:dyDescent="0.2">
      <c r="A46" s="3406"/>
      <c r="B46" s="3411" t="s">
        <v>1054</v>
      </c>
      <c r="C46" s="3403"/>
      <c r="D46" s="3404">
        <f>SUM(D47:D48)</f>
        <v>288174.09000000003</v>
      </c>
      <c r="E46" s="3403"/>
      <c r="F46" s="3404">
        <f>SUM(F47:F48)</f>
        <v>288174.09000000003</v>
      </c>
      <c r="G46" s="3409"/>
      <c r="H46" s="3412">
        <f>H47+H48</f>
        <v>576348.18000000005</v>
      </c>
      <c r="J46" s="2362">
        <f>H44/G44/12</f>
        <v>11490.2</v>
      </c>
    </row>
    <row r="47" spans="1:11" ht="15.75" x14ac:dyDescent="0.25">
      <c r="A47" s="3406"/>
      <c r="B47" s="3413" t="s">
        <v>1055</v>
      </c>
      <c r="C47" s="3414">
        <f>'Вхідні дані'!D$44</f>
        <v>0.22</v>
      </c>
      <c r="D47" s="3408">
        <f>(D44-D45)*C47</f>
        <v>288174.09000000003</v>
      </c>
      <c r="E47" s="3408"/>
      <c r="F47" s="3408">
        <f>(F44-F45)*C47</f>
        <v>288174.09000000003</v>
      </c>
      <c r="G47" s="3415"/>
      <c r="H47" s="3410">
        <f>D47+F47</f>
        <v>576348.18000000005</v>
      </c>
    </row>
    <row r="48" spans="1:11" ht="15.75" hidden="1" x14ac:dyDescent="0.25">
      <c r="A48" s="3406"/>
      <c r="B48" s="3413" t="s">
        <v>1056</v>
      </c>
      <c r="C48" s="3416">
        <f>'Вхідні дані'!D$45</f>
        <v>0</v>
      </c>
      <c r="D48" s="3408">
        <f>D45*C48</f>
        <v>0</v>
      </c>
      <c r="E48" s="3408"/>
      <c r="F48" s="3408">
        <f>F45*C48</f>
        <v>0</v>
      </c>
      <c r="G48" s="3415"/>
      <c r="H48" s="3410">
        <f>D48+F48</f>
        <v>0</v>
      </c>
    </row>
    <row r="49" spans="1:10" ht="28.5" x14ac:dyDescent="0.25">
      <c r="A49" s="3425" t="s">
        <v>1069</v>
      </c>
      <c r="B49" s="3417" t="s">
        <v>1070</v>
      </c>
      <c r="C49" s="3418"/>
      <c r="D49" s="3420">
        <f>[52]Лист1!$AB$100/2</f>
        <v>488307.41</v>
      </c>
      <c r="E49" s="3418"/>
      <c r="F49" s="3420">
        <f>D49</f>
        <v>488307.41</v>
      </c>
      <c r="G49" s="3403">
        <f>(C49*$K$9+E49*$L$9)/$M$9</f>
        <v>0</v>
      </c>
      <c r="H49" s="3412">
        <f>D49+F49</f>
        <v>976614.82</v>
      </c>
    </row>
    <row r="50" spans="1:10" ht="15.75" hidden="1" x14ac:dyDescent="0.25">
      <c r="A50" s="3406"/>
      <c r="B50" s="3407" t="s">
        <v>1053</v>
      </c>
      <c r="C50" s="3407"/>
      <c r="D50" s="3408">
        <v>0</v>
      </c>
      <c r="E50" s="3407"/>
      <c r="F50" s="3408">
        <v>0</v>
      </c>
      <c r="G50" s="3409"/>
      <c r="H50" s="3410">
        <f>D50+F50</f>
        <v>0</v>
      </c>
    </row>
    <row r="51" spans="1:10" s="686" customFormat="1" ht="15.75" x14ac:dyDescent="0.2">
      <c r="A51" s="3406"/>
      <c r="B51" s="3411" t="s">
        <v>1054</v>
      </c>
      <c r="C51" s="3403"/>
      <c r="D51" s="3404">
        <f>SUM(D52:D53)</f>
        <v>107427.63</v>
      </c>
      <c r="E51" s="3403"/>
      <c r="F51" s="3404">
        <f>SUM(F52:F53)</f>
        <v>107427.63</v>
      </c>
      <c r="G51" s="3409"/>
      <c r="H51" s="3412">
        <f>H52+H53</f>
        <v>214855.26</v>
      </c>
      <c r="J51" s="2362" t="e">
        <f>H49/G49/12</f>
        <v>#DIV/0!</v>
      </c>
    </row>
    <row r="52" spans="1:10" ht="16.5" thickBot="1" x14ac:dyDescent="0.3">
      <c r="A52" s="3406"/>
      <c r="B52" s="3413" t="s">
        <v>1055</v>
      </c>
      <c r="C52" s="3414">
        <f>'Вхідні дані'!D$44</f>
        <v>0.22</v>
      </c>
      <c r="D52" s="3408">
        <f>(D49-D50)*C52</f>
        <v>107427.63</v>
      </c>
      <c r="E52" s="3408"/>
      <c r="F52" s="3408">
        <f>(F49-F50)*C52</f>
        <v>107427.63</v>
      </c>
      <c r="G52" s="3415"/>
      <c r="H52" s="3410">
        <f>D52+F52</f>
        <v>214855.26</v>
      </c>
    </row>
    <row r="53" spans="1:10" ht="16.5" hidden="1" thickBot="1" x14ac:dyDescent="0.3">
      <c r="A53" s="3430"/>
      <c r="B53" s="3431" t="s">
        <v>1056</v>
      </c>
      <c r="C53" s="3416">
        <f>'Вхідні дані'!D$45</f>
        <v>0</v>
      </c>
      <c r="D53" s="3408">
        <f>D50*C53</f>
        <v>0</v>
      </c>
      <c r="E53" s="3432"/>
      <c r="F53" s="3408">
        <f>F50*C53</f>
        <v>0</v>
      </c>
      <c r="G53" s="3433"/>
      <c r="H53" s="3434">
        <f>D53+F53</f>
        <v>0</v>
      </c>
    </row>
    <row r="54" spans="1:10" ht="16.5" thickBot="1" x14ac:dyDescent="0.3">
      <c r="A54" s="3435"/>
      <c r="B54" s="3436" t="s">
        <v>1071</v>
      </c>
      <c r="C54" s="3437">
        <f>C9+C14+C19+C24+C29+C34+C39+C44+C49</f>
        <v>61</v>
      </c>
      <c r="D54" s="3438">
        <f t="shared" ref="D54:F54" si="0">D9+D14+D19+D24+D29+D34+D39+D44+D49</f>
        <v>6130662.7800000003</v>
      </c>
      <c r="E54" s="3437">
        <f>E9+E14+E19+E24+E29+E34+E39+E44+E49</f>
        <v>61</v>
      </c>
      <c r="F54" s="3438">
        <f t="shared" si="0"/>
        <v>6130662.7800000003</v>
      </c>
      <c r="G54" s="3439">
        <f>G9+G14+G19+G24+G29+G34+G39+G44+G49</f>
        <v>61</v>
      </c>
      <c r="H54" s="3440">
        <f>H49+H44+H29+H39+H24+H14+H9+H19</f>
        <v>12261325.560000001</v>
      </c>
    </row>
    <row r="55" spans="1:10" ht="15.75" hidden="1" thickBot="1" x14ac:dyDescent="0.3">
      <c r="A55" s="3441"/>
      <c r="B55" s="3442" t="s">
        <v>1053</v>
      </c>
      <c r="C55" s="3437">
        <f>C10+C15+C20+C25+C30+C35+C40+C45+C50</f>
        <v>0</v>
      </c>
      <c r="D55" s="3437">
        <f t="shared" ref="D55:F55" si="1">D10+D15+D20+D25+D30+D35+D40+D45+D50</f>
        <v>0</v>
      </c>
      <c r="E55" s="3437">
        <f t="shared" si="1"/>
        <v>0</v>
      </c>
      <c r="F55" s="3437">
        <f t="shared" si="1"/>
        <v>0</v>
      </c>
      <c r="G55" s="3443">
        <f>G10+G15+G20+G25+G30+G35+G40+G45+G50</f>
        <v>0</v>
      </c>
      <c r="H55" s="3444">
        <f>H10+H15+H20+H25+H30+H35+H40+H45+H50</f>
        <v>0</v>
      </c>
    </row>
    <row r="56" spans="1:10" ht="15.75" thickBot="1" x14ac:dyDescent="0.3">
      <c r="A56" s="3436"/>
      <c r="B56" s="3436" t="s">
        <v>1072</v>
      </c>
      <c r="C56" s="3436"/>
      <c r="D56" s="3445">
        <f>D11+D16+D21+D26+D31+D36+D41+D46+D51</f>
        <v>1348745.8</v>
      </c>
      <c r="E56" s="3436"/>
      <c r="F56" s="3445">
        <f>F11+F16+F21+F26+F31+F36+F41+F46+F51</f>
        <v>1348745.8</v>
      </c>
      <c r="G56" s="3446"/>
      <c r="H56" s="3447">
        <f>H11+H16+H21+H26+H31+H36+H41+H46+H51</f>
        <v>2697491.6</v>
      </c>
      <c r="J56" s="2362">
        <f>H54/G54/12</f>
        <v>16750.439999999999</v>
      </c>
    </row>
    <row r="58" spans="1:10" x14ac:dyDescent="0.25">
      <c r="A58" s="3396"/>
      <c r="B58" s="3396"/>
      <c r="C58" s="3396"/>
      <c r="D58" s="3396"/>
      <c r="E58" s="3396"/>
      <c r="F58" s="3396"/>
      <c r="G58" s="3396"/>
      <c r="H58" s="687"/>
    </row>
    <row r="59" spans="1:10" ht="18.75" x14ac:dyDescent="0.3">
      <c r="A59" s="3396"/>
      <c r="B59" s="4228" t="str">
        <f>'Вхідні дані'!B13</f>
        <v>Начальник Адміністрації морського порту Чорноморськ</v>
      </c>
      <c r="C59" s="4228"/>
      <c r="D59" s="4228"/>
      <c r="E59" s="3398" t="s">
        <v>368</v>
      </c>
      <c r="F59" s="4234" t="str">
        <f>'Вхідні дані'!F13</f>
        <v>Максим ШИРОКОВ</v>
      </c>
      <c r="G59" s="4234"/>
      <c r="H59" s="4234"/>
    </row>
    <row r="60" spans="1:10" ht="15.75" x14ac:dyDescent="0.25">
      <c r="A60" s="3396"/>
      <c r="B60" s="3450" t="s">
        <v>1074</v>
      </c>
      <c r="C60" s="3397"/>
      <c r="E60" s="3450" t="s">
        <v>219</v>
      </c>
      <c r="F60" s="4227" t="s">
        <v>3409</v>
      </c>
      <c r="G60" s="4227"/>
      <c r="H60" s="3451"/>
    </row>
    <row r="61" spans="1:10" x14ac:dyDescent="0.25">
      <c r="A61" s="3396"/>
      <c r="B61" s="3399"/>
      <c r="C61" s="3396"/>
      <c r="E61" s="3396"/>
      <c r="F61" s="3396"/>
      <c r="G61" s="3396"/>
    </row>
    <row r="63" spans="1:10" x14ac:dyDescent="0.25">
      <c r="G63" s="1817"/>
      <c r="H63" s="1932">
        <f>SUM(H64:H66)</f>
        <v>12261325.560000001</v>
      </c>
    </row>
    <row r="64" spans="1:10" x14ac:dyDescent="0.25">
      <c r="G64" s="1817" t="s">
        <v>1943</v>
      </c>
      <c r="H64" s="1818">
        <f>H9+H14+H19+H24+H29+H39</f>
        <v>8664946.2599999998</v>
      </c>
    </row>
    <row r="65" spans="7:8" x14ac:dyDescent="0.25">
      <c r="G65" s="1817" t="s">
        <v>1375</v>
      </c>
      <c r="H65" s="1818">
        <f>H44</f>
        <v>2619764.48</v>
      </c>
    </row>
    <row r="66" spans="7:8" x14ac:dyDescent="0.25">
      <c r="G66" s="1817" t="s">
        <v>2124</v>
      </c>
      <c r="H66" s="1818">
        <f>H49</f>
        <v>976614.82</v>
      </c>
    </row>
  </sheetData>
  <mergeCells count="10">
    <mergeCell ref="F60:G60"/>
    <mergeCell ref="B59:D59"/>
    <mergeCell ref="A4:D4"/>
    <mergeCell ref="E4:F4"/>
    <mergeCell ref="A6:A7"/>
    <mergeCell ref="B6:B7"/>
    <mergeCell ref="C6:D6"/>
    <mergeCell ref="E6:F6"/>
    <mergeCell ref="G6:H6"/>
    <mergeCell ref="F59:H59"/>
  </mergeCells>
  <pageMargins left="0.70866141732283472" right="0.21" top="0.5" bottom="0.47" header="0.31496062992125984" footer="0.31496062992125984"/>
  <pageSetup paperSize="9" scale="6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499984740745262"/>
    <pageSetUpPr fitToPage="1"/>
  </sheetPr>
  <dimension ref="A1:S126"/>
  <sheetViews>
    <sheetView workbookViewId="0">
      <selection activeCell="A19" sqref="A19"/>
    </sheetView>
  </sheetViews>
  <sheetFormatPr defaultColWidth="9.140625" defaultRowHeight="12" x14ac:dyDescent="0.25"/>
  <cols>
    <col min="1" max="1" width="31.42578125" style="443" customWidth="1"/>
    <col min="2" max="2" width="15.28515625" style="443" customWidth="1"/>
    <col min="3" max="3" width="11.7109375" style="440" customWidth="1"/>
    <col min="4" max="13" width="11" style="440" bestFit="1" customWidth="1"/>
    <col min="14" max="14" width="10.85546875" style="440" customWidth="1"/>
    <col min="15" max="15" width="14.7109375" style="440" customWidth="1"/>
    <col min="16" max="16" width="11.7109375" style="443" customWidth="1"/>
    <col min="17" max="17" width="22.28515625" style="443" customWidth="1"/>
    <col min="18" max="18" width="10" style="443" bestFit="1" customWidth="1"/>
    <col min="19" max="256" width="9.140625" style="443"/>
    <col min="257" max="257" width="23.5703125" style="443" customWidth="1"/>
    <col min="258" max="258" width="14.28515625" style="443" customWidth="1"/>
    <col min="259" max="270" width="11.28515625" style="443" customWidth="1"/>
    <col min="271" max="271" width="10.140625" style="443" customWidth="1"/>
    <col min="272" max="512" width="9.140625" style="443"/>
    <col min="513" max="513" width="23.5703125" style="443" customWidth="1"/>
    <col min="514" max="514" width="14.28515625" style="443" customWidth="1"/>
    <col min="515" max="526" width="11.28515625" style="443" customWidth="1"/>
    <col min="527" max="527" width="10.140625" style="443" customWidth="1"/>
    <col min="528" max="768" width="9.140625" style="443"/>
    <col min="769" max="769" width="23.5703125" style="443" customWidth="1"/>
    <col min="770" max="770" width="14.28515625" style="443" customWidth="1"/>
    <col min="771" max="782" width="11.28515625" style="443" customWidth="1"/>
    <col min="783" max="783" width="10.140625" style="443" customWidth="1"/>
    <col min="784" max="1024" width="9.140625" style="443"/>
    <col min="1025" max="1025" width="23.5703125" style="443" customWidth="1"/>
    <col min="1026" max="1026" width="14.28515625" style="443" customWidth="1"/>
    <col min="1027" max="1038" width="11.28515625" style="443" customWidth="1"/>
    <col min="1039" max="1039" width="10.140625" style="443" customWidth="1"/>
    <col min="1040" max="1280" width="9.140625" style="443"/>
    <col min="1281" max="1281" width="23.5703125" style="443" customWidth="1"/>
    <col min="1282" max="1282" width="14.28515625" style="443" customWidth="1"/>
    <col min="1283" max="1294" width="11.28515625" style="443" customWidth="1"/>
    <col min="1295" max="1295" width="10.140625" style="443" customWidth="1"/>
    <col min="1296" max="1536" width="9.140625" style="443"/>
    <col min="1537" max="1537" width="23.5703125" style="443" customWidth="1"/>
    <col min="1538" max="1538" width="14.28515625" style="443" customWidth="1"/>
    <col min="1539" max="1550" width="11.28515625" style="443" customWidth="1"/>
    <col min="1551" max="1551" width="10.140625" style="443" customWidth="1"/>
    <col min="1552" max="1792" width="9.140625" style="443"/>
    <col min="1793" max="1793" width="23.5703125" style="443" customWidth="1"/>
    <col min="1794" max="1794" width="14.28515625" style="443" customWidth="1"/>
    <col min="1795" max="1806" width="11.28515625" style="443" customWidth="1"/>
    <col min="1807" max="1807" width="10.140625" style="443" customWidth="1"/>
    <col min="1808" max="2048" width="9.140625" style="443"/>
    <col min="2049" max="2049" width="23.5703125" style="443" customWidth="1"/>
    <col min="2050" max="2050" width="14.28515625" style="443" customWidth="1"/>
    <col min="2051" max="2062" width="11.28515625" style="443" customWidth="1"/>
    <col min="2063" max="2063" width="10.140625" style="443" customWidth="1"/>
    <col min="2064" max="2304" width="9.140625" style="443"/>
    <col min="2305" max="2305" width="23.5703125" style="443" customWidth="1"/>
    <col min="2306" max="2306" width="14.28515625" style="443" customWidth="1"/>
    <col min="2307" max="2318" width="11.28515625" style="443" customWidth="1"/>
    <col min="2319" max="2319" width="10.140625" style="443" customWidth="1"/>
    <col min="2320" max="2560" width="9.140625" style="443"/>
    <col min="2561" max="2561" width="23.5703125" style="443" customWidth="1"/>
    <col min="2562" max="2562" width="14.28515625" style="443" customWidth="1"/>
    <col min="2563" max="2574" width="11.28515625" style="443" customWidth="1"/>
    <col min="2575" max="2575" width="10.140625" style="443" customWidth="1"/>
    <col min="2576" max="2816" width="9.140625" style="443"/>
    <col min="2817" max="2817" width="23.5703125" style="443" customWidth="1"/>
    <col min="2818" max="2818" width="14.28515625" style="443" customWidth="1"/>
    <col min="2819" max="2830" width="11.28515625" style="443" customWidth="1"/>
    <col min="2831" max="2831" width="10.140625" style="443" customWidth="1"/>
    <col min="2832" max="3072" width="9.140625" style="443"/>
    <col min="3073" max="3073" width="23.5703125" style="443" customWidth="1"/>
    <col min="3074" max="3074" width="14.28515625" style="443" customWidth="1"/>
    <col min="3075" max="3086" width="11.28515625" style="443" customWidth="1"/>
    <col min="3087" max="3087" width="10.140625" style="443" customWidth="1"/>
    <col min="3088" max="3328" width="9.140625" style="443"/>
    <col min="3329" max="3329" width="23.5703125" style="443" customWidth="1"/>
    <col min="3330" max="3330" width="14.28515625" style="443" customWidth="1"/>
    <col min="3331" max="3342" width="11.28515625" style="443" customWidth="1"/>
    <col min="3343" max="3343" width="10.140625" style="443" customWidth="1"/>
    <col min="3344" max="3584" width="9.140625" style="443"/>
    <col min="3585" max="3585" width="23.5703125" style="443" customWidth="1"/>
    <col min="3586" max="3586" width="14.28515625" style="443" customWidth="1"/>
    <col min="3587" max="3598" width="11.28515625" style="443" customWidth="1"/>
    <col min="3599" max="3599" width="10.140625" style="443" customWidth="1"/>
    <col min="3600" max="3840" width="9.140625" style="443"/>
    <col min="3841" max="3841" width="23.5703125" style="443" customWidth="1"/>
    <col min="3842" max="3842" width="14.28515625" style="443" customWidth="1"/>
    <col min="3843" max="3854" width="11.28515625" style="443" customWidth="1"/>
    <col min="3855" max="3855" width="10.140625" style="443" customWidth="1"/>
    <col min="3856" max="4096" width="9.140625" style="443"/>
    <col min="4097" max="4097" width="23.5703125" style="443" customWidth="1"/>
    <col min="4098" max="4098" width="14.28515625" style="443" customWidth="1"/>
    <col min="4099" max="4110" width="11.28515625" style="443" customWidth="1"/>
    <col min="4111" max="4111" width="10.140625" style="443" customWidth="1"/>
    <col min="4112" max="4352" width="9.140625" style="443"/>
    <col min="4353" max="4353" width="23.5703125" style="443" customWidth="1"/>
    <col min="4354" max="4354" width="14.28515625" style="443" customWidth="1"/>
    <col min="4355" max="4366" width="11.28515625" style="443" customWidth="1"/>
    <col min="4367" max="4367" width="10.140625" style="443" customWidth="1"/>
    <col min="4368" max="4608" width="9.140625" style="443"/>
    <col min="4609" max="4609" width="23.5703125" style="443" customWidth="1"/>
    <col min="4610" max="4610" width="14.28515625" style="443" customWidth="1"/>
    <col min="4611" max="4622" width="11.28515625" style="443" customWidth="1"/>
    <col min="4623" max="4623" width="10.140625" style="443" customWidth="1"/>
    <col min="4624" max="4864" width="9.140625" style="443"/>
    <col min="4865" max="4865" width="23.5703125" style="443" customWidth="1"/>
    <col min="4866" max="4866" width="14.28515625" style="443" customWidth="1"/>
    <col min="4867" max="4878" width="11.28515625" style="443" customWidth="1"/>
    <col min="4879" max="4879" width="10.140625" style="443" customWidth="1"/>
    <col min="4880" max="5120" width="9.140625" style="443"/>
    <col min="5121" max="5121" width="23.5703125" style="443" customWidth="1"/>
    <col min="5122" max="5122" width="14.28515625" style="443" customWidth="1"/>
    <col min="5123" max="5134" width="11.28515625" style="443" customWidth="1"/>
    <col min="5135" max="5135" width="10.140625" style="443" customWidth="1"/>
    <col min="5136" max="5376" width="9.140625" style="443"/>
    <col min="5377" max="5377" width="23.5703125" style="443" customWidth="1"/>
    <col min="5378" max="5378" width="14.28515625" style="443" customWidth="1"/>
    <col min="5379" max="5390" width="11.28515625" style="443" customWidth="1"/>
    <col min="5391" max="5391" width="10.140625" style="443" customWidth="1"/>
    <col min="5392" max="5632" width="9.140625" style="443"/>
    <col min="5633" max="5633" width="23.5703125" style="443" customWidth="1"/>
    <col min="5634" max="5634" width="14.28515625" style="443" customWidth="1"/>
    <col min="5635" max="5646" width="11.28515625" style="443" customWidth="1"/>
    <col min="5647" max="5647" width="10.140625" style="443" customWidth="1"/>
    <col min="5648" max="5888" width="9.140625" style="443"/>
    <col min="5889" max="5889" width="23.5703125" style="443" customWidth="1"/>
    <col min="5890" max="5890" width="14.28515625" style="443" customWidth="1"/>
    <col min="5891" max="5902" width="11.28515625" style="443" customWidth="1"/>
    <col min="5903" max="5903" width="10.140625" style="443" customWidth="1"/>
    <col min="5904" max="6144" width="9.140625" style="443"/>
    <col min="6145" max="6145" width="23.5703125" style="443" customWidth="1"/>
    <col min="6146" max="6146" width="14.28515625" style="443" customWidth="1"/>
    <col min="6147" max="6158" width="11.28515625" style="443" customWidth="1"/>
    <col min="6159" max="6159" width="10.140625" style="443" customWidth="1"/>
    <col min="6160" max="6400" width="9.140625" style="443"/>
    <col min="6401" max="6401" width="23.5703125" style="443" customWidth="1"/>
    <col min="6402" max="6402" width="14.28515625" style="443" customWidth="1"/>
    <col min="6403" max="6414" width="11.28515625" style="443" customWidth="1"/>
    <col min="6415" max="6415" width="10.140625" style="443" customWidth="1"/>
    <col min="6416" max="6656" width="9.140625" style="443"/>
    <col min="6657" max="6657" width="23.5703125" style="443" customWidth="1"/>
    <col min="6658" max="6658" width="14.28515625" style="443" customWidth="1"/>
    <col min="6659" max="6670" width="11.28515625" style="443" customWidth="1"/>
    <col min="6671" max="6671" width="10.140625" style="443" customWidth="1"/>
    <col min="6672" max="6912" width="9.140625" style="443"/>
    <col min="6913" max="6913" width="23.5703125" style="443" customWidth="1"/>
    <col min="6914" max="6914" width="14.28515625" style="443" customWidth="1"/>
    <col min="6915" max="6926" width="11.28515625" style="443" customWidth="1"/>
    <col min="6927" max="6927" width="10.140625" style="443" customWidth="1"/>
    <col min="6928" max="7168" width="9.140625" style="443"/>
    <col min="7169" max="7169" width="23.5703125" style="443" customWidth="1"/>
    <col min="7170" max="7170" width="14.28515625" style="443" customWidth="1"/>
    <col min="7171" max="7182" width="11.28515625" style="443" customWidth="1"/>
    <col min="7183" max="7183" width="10.140625" style="443" customWidth="1"/>
    <col min="7184" max="7424" width="9.140625" style="443"/>
    <col min="7425" max="7425" width="23.5703125" style="443" customWidth="1"/>
    <col min="7426" max="7426" width="14.28515625" style="443" customWidth="1"/>
    <col min="7427" max="7438" width="11.28515625" style="443" customWidth="1"/>
    <col min="7439" max="7439" width="10.140625" style="443" customWidth="1"/>
    <col min="7440" max="7680" width="9.140625" style="443"/>
    <col min="7681" max="7681" width="23.5703125" style="443" customWidth="1"/>
    <col min="7682" max="7682" width="14.28515625" style="443" customWidth="1"/>
    <col min="7683" max="7694" width="11.28515625" style="443" customWidth="1"/>
    <col min="7695" max="7695" width="10.140625" style="443" customWidth="1"/>
    <col min="7696" max="7936" width="9.140625" style="443"/>
    <col min="7937" max="7937" width="23.5703125" style="443" customWidth="1"/>
    <col min="7938" max="7938" width="14.28515625" style="443" customWidth="1"/>
    <col min="7939" max="7950" width="11.28515625" style="443" customWidth="1"/>
    <col min="7951" max="7951" width="10.140625" style="443" customWidth="1"/>
    <col min="7952" max="8192" width="9.140625" style="443"/>
    <col min="8193" max="8193" width="23.5703125" style="443" customWidth="1"/>
    <col min="8194" max="8194" width="14.28515625" style="443" customWidth="1"/>
    <col min="8195" max="8206" width="11.28515625" style="443" customWidth="1"/>
    <col min="8207" max="8207" width="10.140625" style="443" customWidth="1"/>
    <col min="8208" max="8448" width="9.140625" style="443"/>
    <col min="8449" max="8449" width="23.5703125" style="443" customWidth="1"/>
    <col min="8450" max="8450" width="14.28515625" style="443" customWidth="1"/>
    <col min="8451" max="8462" width="11.28515625" style="443" customWidth="1"/>
    <col min="8463" max="8463" width="10.140625" style="443" customWidth="1"/>
    <col min="8464" max="8704" width="9.140625" style="443"/>
    <col min="8705" max="8705" width="23.5703125" style="443" customWidth="1"/>
    <col min="8706" max="8706" width="14.28515625" style="443" customWidth="1"/>
    <col min="8707" max="8718" width="11.28515625" style="443" customWidth="1"/>
    <col min="8719" max="8719" width="10.140625" style="443" customWidth="1"/>
    <col min="8720" max="8960" width="9.140625" style="443"/>
    <col min="8961" max="8961" width="23.5703125" style="443" customWidth="1"/>
    <col min="8962" max="8962" width="14.28515625" style="443" customWidth="1"/>
    <col min="8963" max="8974" width="11.28515625" style="443" customWidth="1"/>
    <col min="8975" max="8975" width="10.140625" style="443" customWidth="1"/>
    <col min="8976" max="9216" width="9.140625" style="443"/>
    <col min="9217" max="9217" width="23.5703125" style="443" customWidth="1"/>
    <col min="9218" max="9218" width="14.28515625" style="443" customWidth="1"/>
    <col min="9219" max="9230" width="11.28515625" style="443" customWidth="1"/>
    <col min="9231" max="9231" width="10.140625" style="443" customWidth="1"/>
    <col min="9232" max="9472" width="9.140625" style="443"/>
    <col min="9473" max="9473" width="23.5703125" style="443" customWidth="1"/>
    <col min="9474" max="9474" width="14.28515625" style="443" customWidth="1"/>
    <col min="9475" max="9486" width="11.28515625" style="443" customWidth="1"/>
    <col min="9487" max="9487" width="10.140625" style="443" customWidth="1"/>
    <col min="9488" max="9728" width="9.140625" style="443"/>
    <col min="9729" max="9729" width="23.5703125" style="443" customWidth="1"/>
    <col min="9730" max="9730" width="14.28515625" style="443" customWidth="1"/>
    <col min="9731" max="9742" width="11.28515625" style="443" customWidth="1"/>
    <col min="9743" max="9743" width="10.140625" style="443" customWidth="1"/>
    <col min="9744" max="9984" width="9.140625" style="443"/>
    <col min="9985" max="9985" width="23.5703125" style="443" customWidth="1"/>
    <col min="9986" max="9986" width="14.28515625" style="443" customWidth="1"/>
    <col min="9987" max="9998" width="11.28515625" style="443" customWidth="1"/>
    <col min="9999" max="9999" width="10.140625" style="443" customWidth="1"/>
    <col min="10000" max="10240" width="9.140625" style="443"/>
    <col min="10241" max="10241" width="23.5703125" style="443" customWidth="1"/>
    <col min="10242" max="10242" width="14.28515625" style="443" customWidth="1"/>
    <col min="10243" max="10254" width="11.28515625" style="443" customWidth="1"/>
    <col min="10255" max="10255" width="10.140625" style="443" customWidth="1"/>
    <col min="10256" max="10496" width="9.140625" style="443"/>
    <col min="10497" max="10497" width="23.5703125" style="443" customWidth="1"/>
    <col min="10498" max="10498" width="14.28515625" style="443" customWidth="1"/>
    <col min="10499" max="10510" width="11.28515625" style="443" customWidth="1"/>
    <col min="10511" max="10511" width="10.140625" style="443" customWidth="1"/>
    <col min="10512" max="10752" width="9.140625" style="443"/>
    <col min="10753" max="10753" width="23.5703125" style="443" customWidth="1"/>
    <col min="10754" max="10754" width="14.28515625" style="443" customWidth="1"/>
    <col min="10755" max="10766" width="11.28515625" style="443" customWidth="1"/>
    <col min="10767" max="10767" width="10.140625" style="443" customWidth="1"/>
    <col min="10768" max="11008" width="9.140625" style="443"/>
    <col min="11009" max="11009" width="23.5703125" style="443" customWidth="1"/>
    <col min="11010" max="11010" width="14.28515625" style="443" customWidth="1"/>
    <col min="11011" max="11022" width="11.28515625" style="443" customWidth="1"/>
    <col min="11023" max="11023" width="10.140625" style="443" customWidth="1"/>
    <col min="11024" max="11264" width="9.140625" style="443"/>
    <col min="11265" max="11265" width="23.5703125" style="443" customWidth="1"/>
    <col min="11266" max="11266" width="14.28515625" style="443" customWidth="1"/>
    <col min="11267" max="11278" width="11.28515625" style="443" customWidth="1"/>
    <col min="11279" max="11279" width="10.140625" style="443" customWidth="1"/>
    <col min="11280" max="11520" width="9.140625" style="443"/>
    <col min="11521" max="11521" width="23.5703125" style="443" customWidth="1"/>
    <col min="11522" max="11522" width="14.28515625" style="443" customWidth="1"/>
    <col min="11523" max="11534" width="11.28515625" style="443" customWidth="1"/>
    <col min="11535" max="11535" width="10.140625" style="443" customWidth="1"/>
    <col min="11536" max="11776" width="9.140625" style="443"/>
    <col min="11777" max="11777" width="23.5703125" style="443" customWidth="1"/>
    <col min="11778" max="11778" width="14.28515625" style="443" customWidth="1"/>
    <col min="11779" max="11790" width="11.28515625" style="443" customWidth="1"/>
    <col min="11791" max="11791" width="10.140625" style="443" customWidth="1"/>
    <col min="11792" max="12032" width="9.140625" style="443"/>
    <col min="12033" max="12033" width="23.5703125" style="443" customWidth="1"/>
    <col min="12034" max="12034" width="14.28515625" style="443" customWidth="1"/>
    <col min="12035" max="12046" width="11.28515625" style="443" customWidth="1"/>
    <col min="12047" max="12047" width="10.140625" style="443" customWidth="1"/>
    <col min="12048" max="12288" width="9.140625" style="443"/>
    <col min="12289" max="12289" width="23.5703125" style="443" customWidth="1"/>
    <col min="12290" max="12290" width="14.28515625" style="443" customWidth="1"/>
    <col min="12291" max="12302" width="11.28515625" style="443" customWidth="1"/>
    <col min="12303" max="12303" width="10.140625" style="443" customWidth="1"/>
    <col min="12304" max="12544" width="9.140625" style="443"/>
    <col min="12545" max="12545" width="23.5703125" style="443" customWidth="1"/>
    <col min="12546" max="12546" width="14.28515625" style="443" customWidth="1"/>
    <col min="12547" max="12558" width="11.28515625" style="443" customWidth="1"/>
    <col min="12559" max="12559" width="10.140625" style="443" customWidth="1"/>
    <col min="12560" max="12800" width="9.140625" style="443"/>
    <col min="12801" max="12801" width="23.5703125" style="443" customWidth="1"/>
    <col min="12802" max="12802" width="14.28515625" style="443" customWidth="1"/>
    <col min="12803" max="12814" width="11.28515625" style="443" customWidth="1"/>
    <col min="12815" max="12815" width="10.140625" style="443" customWidth="1"/>
    <col min="12816" max="13056" width="9.140625" style="443"/>
    <col min="13057" max="13057" width="23.5703125" style="443" customWidth="1"/>
    <col min="13058" max="13058" width="14.28515625" style="443" customWidth="1"/>
    <col min="13059" max="13070" width="11.28515625" style="443" customWidth="1"/>
    <col min="13071" max="13071" width="10.140625" style="443" customWidth="1"/>
    <col min="13072" max="13312" width="9.140625" style="443"/>
    <col min="13313" max="13313" width="23.5703125" style="443" customWidth="1"/>
    <col min="13314" max="13314" width="14.28515625" style="443" customWidth="1"/>
    <col min="13315" max="13326" width="11.28515625" style="443" customWidth="1"/>
    <col min="13327" max="13327" width="10.140625" style="443" customWidth="1"/>
    <col min="13328" max="13568" width="9.140625" style="443"/>
    <col min="13569" max="13569" width="23.5703125" style="443" customWidth="1"/>
    <col min="13570" max="13570" width="14.28515625" style="443" customWidth="1"/>
    <col min="13571" max="13582" width="11.28515625" style="443" customWidth="1"/>
    <col min="13583" max="13583" width="10.140625" style="443" customWidth="1"/>
    <col min="13584" max="13824" width="9.140625" style="443"/>
    <col min="13825" max="13825" width="23.5703125" style="443" customWidth="1"/>
    <col min="13826" max="13826" width="14.28515625" style="443" customWidth="1"/>
    <col min="13827" max="13838" width="11.28515625" style="443" customWidth="1"/>
    <col min="13839" max="13839" width="10.140625" style="443" customWidth="1"/>
    <col min="13840" max="14080" width="9.140625" style="443"/>
    <col min="14081" max="14081" width="23.5703125" style="443" customWidth="1"/>
    <col min="14082" max="14082" width="14.28515625" style="443" customWidth="1"/>
    <col min="14083" max="14094" width="11.28515625" style="443" customWidth="1"/>
    <col min="14095" max="14095" width="10.140625" style="443" customWidth="1"/>
    <col min="14096" max="14336" width="9.140625" style="443"/>
    <col min="14337" max="14337" width="23.5703125" style="443" customWidth="1"/>
    <col min="14338" max="14338" width="14.28515625" style="443" customWidth="1"/>
    <col min="14339" max="14350" width="11.28515625" style="443" customWidth="1"/>
    <col min="14351" max="14351" width="10.140625" style="443" customWidth="1"/>
    <col min="14352" max="14592" width="9.140625" style="443"/>
    <col min="14593" max="14593" width="23.5703125" style="443" customWidth="1"/>
    <col min="14594" max="14594" width="14.28515625" style="443" customWidth="1"/>
    <col min="14595" max="14606" width="11.28515625" style="443" customWidth="1"/>
    <col min="14607" max="14607" width="10.140625" style="443" customWidth="1"/>
    <col min="14608" max="14848" width="9.140625" style="443"/>
    <col min="14849" max="14849" width="23.5703125" style="443" customWidth="1"/>
    <col min="14850" max="14850" width="14.28515625" style="443" customWidth="1"/>
    <col min="14851" max="14862" width="11.28515625" style="443" customWidth="1"/>
    <col min="14863" max="14863" width="10.140625" style="443" customWidth="1"/>
    <col min="14864" max="15104" width="9.140625" style="443"/>
    <col min="15105" max="15105" width="23.5703125" style="443" customWidth="1"/>
    <col min="15106" max="15106" width="14.28515625" style="443" customWidth="1"/>
    <col min="15107" max="15118" width="11.28515625" style="443" customWidth="1"/>
    <col min="15119" max="15119" width="10.140625" style="443" customWidth="1"/>
    <col min="15120" max="15360" width="9.140625" style="443"/>
    <col min="15361" max="15361" width="23.5703125" style="443" customWidth="1"/>
    <col min="15362" max="15362" width="14.28515625" style="443" customWidth="1"/>
    <col min="15363" max="15374" width="11.28515625" style="443" customWidth="1"/>
    <col min="15375" max="15375" width="10.140625" style="443" customWidth="1"/>
    <col min="15376" max="15616" width="9.140625" style="443"/>
    <col min="15617" max="15617" width="23.5703125" style="443" customWidth="1"/>
    <col min="15618" max="15618" width="14.28515625" style="443" customWidth="1"/>
    <col min="15619" max="15630" width="11.28515625" style="443" customWidth="1"/>
    <col min="15631" max="15631" width="10.140625" style="443" customWidth="1"/>
    <col min="15632" max="15872" width="9.140625" style="443"/>
    <col min="15873" max="15873" width="23.5703125" style="443" customWidth="1"/>
    <col min="15874" max="15874" width="14.28515625" style="443" customWidth="1"/>
    <col min="15875" max="15886" width="11.28515625" style="443" customWidth="1"/>
    <col min="15887" max="15887" width="10.140625" style="443" customWidth="1"/>
    <col min="15888" max="16128" width="9.140625" style="443"/>
    <col min="16129" max="16129" width="23.5703125" style="443" customWidth="1"/>
    <col min="16130" max="16130" width="14.28515625" style="443" customWidth="1"/>
    <col min="16131" max="16142" width="11.28515625" style="443" customWidth="1"/>
    <col min="16143" max="16143" width="10.140625" style="443" customWidth="1"/>
    <col min="16144" max="16384" width="9.140625" style="443"/>
  </cols>
  <sheetData>
    <row r="1" spans="1:17" ht="15.75" x14ac:dyDescent="0.25">
      <c r="O1" s="1044" t="s">
        <v>1079</v>
      </c>
    </row>
    <row r="3" spans="1:17" s="480" customFormat="1" ht="15" customHeight="1" x14ac:dyDescent="0.25">
      <c r="B3" s="4244" t="s">
        <v>1077</v>
      </c>
      <c r="C3" s="4244"/>
      <c r="D3" s="4244"/>
      <c r="E3" s="4245" t="str">
        <f>'Вхідні дані'!F5</f>
        <v>ЧФ ДП "АМПУ"</v>
      </c>
      <c r="F3" s="4245"/>
      <c r="G3" s="4245"/>
      <c r="H3" s="4245"/>
      <c r="I3" s="4246" t="s">
        <v>1078</v>
      </c>
      <c r="J3" s="4246"/>
      <c r="K3" s="4246"/>
      <c r="L3" s="1042" t="str">
        <f>'Вхідні дані'!F6</f>
        <v>2022-2023</v>
      </c>
      <c r="M3" s="1043" t="s">
        <v>647</v>
      </c>
      <c r="N3" s="481"/>
      <c r="O3" s="481"/>
    </row>
    <row r="4" spans="1:17" s="480" customFormat="1" ht="15" x14ac:dyDescent="0.25">
      <c r="A4" s="482"/>
      <c r="B4" s="482"/>
      <c r="C4" s="482"/>
      <c r="D4" s="482"/>
      <c r="E4" s="482"/>
      <c r="F4" s="482"/>
      <c r="G4" s="483"/>
      <c r="H4" s="483"/>
      <c r="I4" s="483"/>
      <c r="J4" s="483"/>
      <c r="K4" s="483"/>
      <c r="L4" s="483"/>
      <c r="M4" s="483"/>
      <c r="N4" s="483"/>
      <c r="O4" s="483"/>
    </row>
    <row r="5" spans="1:17" s="480" customFormat="1" ht="15.75" x14ac:dyDescent="0.25">
      <c r="A5" s="4239" t="s">
        <v>1084</v>
      </c>
      <c r="B5" s="4249" t="s">
        <v>2547</v>
      </c>
      <c r="C5" s="4251" t="s">
        <v>1085</v>
      </c>
      <c r="D5" s="4251"/>
      <c r="E5" s="4251"/>
      <c r="F5" s="4251"/>
      <c r="G5" s="4251"/>
      <c r="H5" s="4251"/>
      <c r="I5" s="4251"/>
      <c r="J5" s="4251"/>
      <c r="K5" s="4251"/>
      <c r="L5" s="4251"/>
      <c r="M5" s="4251"/>
      <c r="N5" s="4251"/>
      <c r="O5" s="4252" t="s">
        <v>1080</v>
      </c>
    </row>
    <row r="6" spans="1:17" s="480" customFormat="1" ht="112.15" customHeight="1" x14ac:dyDescent="0.25">
      <c r="A6" s="4239"/>
      <c r="B6" s="4250"/>
      <c r="C6" s="1038">
        <v>44470</v>
      </c>
      <c r="D6" s="1038">
        <v>44501</v>
      </c>
      <c r="E6" s="1038">
        <v>44531</v>
      </c>
      <c r="F6" s="1038">
        <v>44562</v>
      </c>
      <c r="G6" s="1038">
        <v>44593</v>
      </c>
      <c r="H6" s="1038">
        <v>44621</v>
      </c>
      <c r="I6" s="1038">
        <v>44652</v>
      </c>
      <c r="J6" s="1038">
        <v>44682</v>
      </c>
      <c r="K6" s="1038">
        <v>44713</v>
      </c>
      <c r="L6" s="1038">
        <v>44743</v>
      </c>
      <c r="M6" s="1038">
        <v>44774</v>
      </c>
      <c r="N6" s="1038">
        <v>44805</v>
      </c>
      <c r="O6" s="4252"/>
    </row>
    <row r="7" spans="1:17" s="484" customFormat="1" ht="15.75" x14ac:dyDescent="0.25">
      <c r="A7" s="1039">
        <v>1</v>
      </c>
      <c r="B7" s="1039">
        <v>2</v>
      </c>
      <c r="C7" s="1039">
        <v>3</v>
      </c>
      <c r="D7" s="1039">
        <v>4</v>
      </c>
      <c r="E7" s="1039">
        <v>5</v>
      </c>
      <c r="F7" s="1039">
        <v>6</v>
      </c>
      <c r="G7" s="1039">
        <v>7</v>
      </c>
      <c r="H7" s="1039">
        <v>8</v>
      </c>
      <c r="I7" s="1039">
        <v>9</v>
      </c>
      <c r="J7" s="1039">
        <v>10</v>
      </c>
      <c r="K7" s="1039">
        <v>11</v>
      </c>
      <c r="L7" s="1039">
        <v>12</v>
      </c>
      <c r="M7" s="1039">
        <v>13</v>
      </c>
      <c r="N7" s="1039">
        <v>14</v>
      </c>
      <c r="O7" s="1039">
        <v>15</v>
      </c>
    </row>
    <row r="8" spans="1:17" ht="15.75" x14ac:dyDescent="0.25">
      <c r="A8" s="1040" t="s">
        <v>1081</v>
      </c>
      <c r="B8" s="1921">
        <f>15027944.37+13558.69-14.5</f>
        <v>15041488.560000001</v>
      </c>
      <c r="C8" s="1921">
        <v>175284.6</v>
      </c>
      <c r="D8" s="1921">
        <v>175284.45</v>
      </c>
      <c r="E8" s="1921">
        <v>175283.64</v>
      </c>
      <c r="F8" s="1921">
        <v>174381.34</v>
      </c>
      <c r="G8" s="1921">
        <v>173064.28</v>
      </c>
      <c r="H8" s="1921">
        <v>172853.65</v>
      </c>
      <c r="I8" s="1921">
        <v>172853.65</v>
      </c>
      <c r="J8" s="1921">
        <v>172853.38</v>
      </c>
      <c r="K8" s="1921">
        <v>172244.85</v>
      </c>
      <c r="L8" s="1921">
        <v>172244.56</v>
      </c>
      <c r="M8" s="1921">
        <v>153619.92000000001</v>
      </c>
      <c r="N8" s="1921">
        <v>153619.64000000001</v>
      </c>
      <c r="O8" s="1922">
        <f>SUM(C8:N8)</f>
        <v>2043587.96</v>
      </c>
      <c r="P8" s="2032">
        <f>15041488.56</f>
        <v>15041488.560000001</v>
      </c>
      <c r="Q8" s="1919">
        <f>B8-P8</f>
        <v>0</v>
      </c>
    </row>
    <row r="9" spans="1:17" ht="15.75" x14ac:dyDescent="0.25">
      <c r="A9" s="1040" t="s">
        <v>2549</v>
      </c>
      <c r="B9" s="1921">
        <v>27050337.100000001</v>
      </c>
      <c r="C9" s="1921">
        <v>337061.74</v>
      </c>
      <c r="D9" s="1921">
        <v>337061.74</v>
      </c>
      <c r="E9" s="1921">
        <v>337061.74</v>
      </c>
      <c r="F9" s="1921">
        <v>337061.74</v>
      </c>
      <c r="G9" s="1921">
        <v>337061.74</v>
      </c>
      <c r="H9" s="1921">
        <v>337061.74</v>
      </c>
      <c r="I9" s="1921">
        <v>337048.74</v>
      </c>
      <c r="J9" s="1921">
        <v>337045.35</v>
      </c>
      <c r="K9" s="1921">
        <v>337045.35</v>
      </c>
      <c r="L9" s="1921">
        <v>337045.35</v>
      </c>
      <c r="M9" s="1921">
        <v>337045.12</v>
      </c>
      <c r="N9" s="1921">
        <v>336966.61</v>
      </c>
      <c r="O9" s="1922">
        <f t="shared" ref="O9:O16" si="0">SUM(C9:N9)</f>
        <v>4044566.96</v>
      </c>
      <c r="P9" s="2032">
        <f>29460162.33</f>
        <v>29460162.329999998</v>
      </c>
      <c r="Q9" s="2033">
        <f>P9-B9-B10</f>
        <v>0</v>
      </c>
    </row>
    <row r="10" spans="1:17" ht="15.75" x14ac:dyDescent="0.25">
      <c r="A10" s="1040" t="s">
        <v>2548</v>
      </c>
      <c r="B10" s="1921">
        <f>2409836.55-11.32</f>
        <v>2409825.23</v>
      </c>
      <c r="C10" s="1921">
        <v>28763.23</v>
      </c>
      <c r="D10" s="1921">
        <v>28763.23</v>
      </c>
      <c r="E10" s="1921">
        <v>28763.23</v>
      </c>
      <c r="F10" s="1921">
        <v>28763.23</v>
      </c>
      <c r="G10" s="1921">
        <v>28763.23</v>
      </c>
      <c r="H10" s="1921">
        <v>28763.23</v>
      </c>
      <c r="I10" s="1921">
        <v>28763.23</v>
      </c>
      <c r="J10" s="1921">
        <v>28763.23</v>
      </c>
      <c r="K10" s="1921">
        <v>28763.23</v>
      </c>
      <c r="L10" s="1921">
        <v>28763.23</v>
      </c>
      <c r="M10" s="1921">
        <v>28763.23</v>
      </c>
      <c r="N10" s="1921">
        <v>28763.23</v>
      </c>
      <c r="O10" s="1922">
        <f t="shared" si="0"/>
        <v>345158.76</v>
      </c>
      <c r="P10" s="2032"/>
      <c r="Q10" s="2032"/>
    </row>
    <row r="11" spans="1:17" ht="15.75" x14ac:dyDescent="0.25">
      <c r="A11" s="1040" t="s">
        <v>1082</v>
      </c>
      <c r="B11" s="1921">
        <f>17792.43+B110</f>
        <v>4039263.92</v>
      </c>
      <c r="C11" s="1921">
        <f>738.2+C110</f>
        <v>73263.3</v>
      </c>
      <c r="D11" s="1921">
        <f>738.2+D110</f>
        <v>73263.3</v>
      </c>
      <c r="E11" s="1921">
        <f t="shared" ref="E11:N11" si="1">738.2+E110</f>
        <v>73263.3</v>
      </c>
      <c r="F11" s="1921">
        <f t="shared" si="1"/>
        <v>73263.3</v>
      </c>
      <c r="G11" s="1921">
        <f t="shared" si="1"/>
        <v>73263.3</v>
      </c>
      <c r="H11" s="1921">
        <f t="shared" si="1"/>
        <v>73263.3</v>
      </c>
      <c r="I11" s="1921">
        <f t="shared" si="1"/>
        <v>73263.3</v>
      </c>
      <c r="J11" s="1921">
        <f t="shared" si="1"/>
        <v>73263.3</v>
      </c>
      <c r="K11" s="1921">
        <f t="shared" si="1"/>
        <v>73263.3</v>
      </c>
      <c r="L11" s="1921">
        <f t="shared" si="1"/>
        <v>73263.3</v>
      </c>
      <c r="M11" s="1921">
        <f t="shared" si="1"/>
        <v>73263.3</v>
      </c>
      <c r="N11" s="1921">
        <f t="shared" si="1"/>
        <v>73263.3</v>
      </c>
      <c r="O11" s="1922">
        <f t="shared" si="0"/>
        <v>879159.6</v>
      </c>
      <c r="P11" s="2032">
        <v>4039263.92</v>
      </c>
      <c r="Q11" s="1919">
        <f>P11-B11</f>
        <v>0</v>
      </c>
    </row>
    <row r="12" spans="1:17" ht="33.75" customHeight="1" x14ac:dyDescent="0.25">
      <c r="A12" s="1040" t="s">
        <v>985</v>
      </c>
      <c r="B12" s="1921">
        <v>23737.42</v>
      </c>
      <c r="C12" s="1921">
        <v>840.99</v>
      </c>
      <c r="D12" s="1921">
        <v>840.99</v>
      </c>
      <c r="E12" s="1921">
        <v>840.99</v>
      </c>
      <c r="F12" s="1921">
        <v>840.99</v>
      </c>
      <c r="G12" s="1921">
        <v>840.99</v>
      </c>
      <c r="H12" s="1921">
        <v>840.99</v>
      </c>
      <c r="I12" s="1921">
        <v>840.99</v>
      </c>
      <c r="J12" s="1921">
        <v>840.99</v>
      </c>
      <c r="K12" s="1921">
        <v>840.99</v>
      </c>
      <c r="L12" s="1921">
        <v>840.99</v>
      </c>
      <c r="M12" s="1921">
        <v>840.99</v>
      </c>
      <c r="N12" s="1921">
        <v>840.99</v>
      </c>
      <c r="O12" s="1922">
        <f>SUM(C12:N12)</f>
        <v>10091.879999999999</v>
      </c>
      <c r="P12" s="2032">
        <v>23737.42</v>
      </c>
      <c r="Q12" s="1919">
        <f t="shared" ref="Q12:Q13" si="2">P12-B12</f>
        <v>0</v>
      </c>
    </row>
    <row r="13" spans="1:17" ht="30.75" customHeight="1" x14ac:dyDescent="0.25">
      <c r="A13" s="1040" t="s">
        <v>1083</v>
      </c>
      <c r="B13" s="1921">
        <v>15862.42</v>
      </c>
      <c r="C13" s="1921">
        <v>345.71</v>
      </c>
      <c r="D13" s="1921">
        <v>345.71</v>
      </c>
      <c r="E13" s="1921">
        <v>345.71</v>
      </c>
      <c r="F13" s="1921">
        <v>345.71</v>
      </c>
      <c r="G13" s="1921">
        <v>345.71</v>
      </c>
      <c r="H13" s="1921">
        <v>345.71</v>
      </c>
      <c r="I13" s="1921">
        <v>345.71</v>
      </c>
      <c r="J13" s="1921">
        <v>345.71</v>
      </c>
      <c r="K13" s="1921">
        <v>345.71</v>
      </c>
      <c r="L13" s="1921">
        <v>345.71</v>
      </c>
      <c r="M13" s="1921">
        <v>345.71</v>
      </c>
      <c r="N13" s="1921">
        <v>345.71</v>
      </c>
      <c r="O13" s="1922">
        <f>SUM(C13:N13)</f>
        <v>4148.5200000000004</v>
      </c>
      <c r="P13" s="2032">
        <v>15862.42</v>
      </c>
      <c r="Q13" s="1919">
        <f t="shared" si="2"/>
        <v>0</v>
      </c>
    </row>
    <row r="14" spans="1:17" ht="15.75" x14ac:dyDescent="0.25">
      <c r="A14" s="1040" t="s">
        <v>2669</v>
      </c>
      <c r="B14" s="1921">
        <f>7769550.14000001-B110</f>
        <v>3748078.65</v>
      </c>
      <c r="C14" s="1921">
        <f>121833.85-C110</f>
        <v>49308.75</v>
      </c>
      <c r="D14" s="1921">
        <f>121833.85-D110</f>
        <v>49308.75</v>
      </c>
      <c r="E14" s="1921">
        <f>121833.85-E110</f>
        <v>49308.75</v>
      </c>
      <c r="F14" s="1921">
        <f>121833.85-F110</f>
        <v>49308.75</v>
      </c>
      <c r="G14" s="1921">
        <f>121833.85-G110</f>
        <v>49308.75</v>
      </c>
      <c r="H14" s="1921">
        <f>121764.94-H110</f>
        <v>49239.839999999997</v>
      </c>
      <c r="I14" s="1921">
        <f t="shared" ref="I14:N14" si="3">121764.42-I110</f>
        <v>49239.32</v>
      </c>
      <c r="J14" s="1921">
        <f t="shared" si="3"/>
        <v>49239.32</v>
      </c>
      <c r="K14" s="1921">
        <f t="shared" si="3"/>
        <v>49239.32</v>
      </c>
      <c r="L14" s="1921">
        <f t="shared" si="3"/>
        <v>49239.32</v>
      </c>
      <c r="M14" s="1921">
        <f t="shared" si="3"/>
        <v>49239.32</v>
      </c>
      <c r="N14" s="1921">
        <f t="shared" si="3"/>
        <v>49239.32</v>
      </c>
      <c r="O14" s="1922">
        <f t="shared" si="0"/>
        <v>591219.51</v>
      </c>
      <c r="P14" s="2032">
        <f>3748078.65</f>
        <v>3748078.65</v>
      </c>
      <c r="Q14" s="1919">
        <f>B14-P14</f>
        <v>0</v>
      </c>
    </row>
    <row r="15" spans="1:17" ht="15.75" x14ac:dyDescent="0.25">
      <c r="A15" s="1040" t="s">
        <v>997</v>
      </c>
      <c r="B15" s="1921">
        <v>671510.03</v>
      </c>
      <c r="C15" s="1921">
        <v>7738.96</v>
      </c>
      <c r="D15" s="1921">
        <v>7738.96</v>
      </c>
      <c r="E15" s="1921">
        <v>7738.96</v>
      </c>
      <c r="F15" s="1921">
        <v>7738.96</v>
      </c>
      <c r="G15" s="1921">
        <v>7738.96</v>
      </c>
      <c r="H15" s="1921">
        <v>7738.96</v>
      </c>
      <c r="I15" s="1921">
        <v>7693.21</v>
      </c>
      <c r="J15" s="1921">
        <v>7689.79</v>
      </c>
      <c r="K15" s="1921">
        <v>7689.79</v>
      </c>
      <c r="L15" s="1921">
        <v>7689.79</v>
      </c>
      <c r="M15" s="1921">
        <v>7689.79</v>
      </c>
      <c r="N15" s="1921">
        <v>7689.79</v>
      </c>
      <c r="O15" s="1922">
        <f t="shared" si="0"/>
        <v>92575.92</v>
      </c>
      <c r="P15" s="2032">
        <v>671510.03</v>
      </c>
      <c r="Q15" s="1919">
        <f>B15-P15</f>
        <v>0</v>
      </c>
    </row>
    <row r="16" spans="1:17" ht="15.75" x14ac:dyDescent="0.25">
      <c r="A16" s="1040" t="s">
        <v>1076</v>
      </c>
      <c r="B16" s="1921">
        <v>179537.8</v>
      </c>
      <c r="C16" s="1921">
        <v>3231.96</v>
      </c>
      <c r="D16" s="1921">
        <v>3231.96</v>
      </c>
      <c r="E16" s="1921">
        <v>3231.96</v>
      </c>
      <c r="F16" s="1921">
        <v>3231.96</v>
      </c>
      <c r="G16" s="1921">
        <v>3231.76</v>
      </c>
      <c r="H16" s="1921">
        <v>2996.89</v>
      </c>
      <c r="I16" s="1921">
        <v>2996.89</v>
      </c>
      <c r="J16" s="1921">
        <v>2996.89</v>
      </c>
      <c r="K16" s="1921">
        <v>2996.89</v>
      </c>
      <c r="L16" s="1921">
        <v>2996.89</v>
      </c>
      <c r="M16" s="1921">
        <v>2996.89</v>
      </c>
      <c r="N16" s="1921">
        <v>2996.89</v>
      </c>
      <c r="O16" s="1922">
        <f t="shared" si="0"/>
        <v>37137.83</v>
      </c>
      <c r="P16" s="2032">
        <v>179537.8</v>
      </c>
      <c r="Q16" s="1919">
        <f>B16-P16</f>
        <v>0</v>
      </c>
    </row>
    <row r="17" spans="1:17" s="485" customFormat="1" ht="15.75" x14ac:dyDescent="0.25">
      <c r="A17" s="1041" t="s">
        <v>989</v>
      </c>
      <c r="B17" s="1923">
        <f t="shared" ref="B17:O17" si="4">SUM(B8:B16)</f>
        <v>53179641.130000003</v>
      </c>
      <c r="C17" s="1923">
        <f t="shared" si="4"/>
        <v>675839.24</v>
      </c>
      <c r="D17" s="1923">
        <f t="shared" si="4"/>
        <v>675839.09</v>
      </c>
      <c r="E17" s="1923">
        <f t="shared" si="4"/>
        <v>675838.28</v>
      </c>
      <c r="F17" s="1923">
        <f t="shared" si="4"/>
        <v>674935.98</v>
      </c>
      <c r="G17" s="1923">
        <f t="shared" si="4"/>
        <v>673618.72</v>
      </c>
      <c r="H17" s="1923">
        <f t="shared" si="4"/>
        <v>673104.31</v>
      </c>
      <c r="I17" s="1923">
        <f t="shared" si="4"/>
        <v>673045.04</v>
      </c>
      <c r="J17" s="1923">
        <f t="shared" si="4"/>
        <v>673037.96</v>
      </c>
      <c r="K17" s="1923">
        <f t="shared" si="4"/>
        <v>672429.43</v>
      </c>
      <c r="L17" s="1923">
        <f t="shared" si="4"/>
        <v>672429.14</v>
      </c>
      <c r="M17" s="1923">
        <f t="shared" si="4"/>
        <v>653804.27</v>
      </c>
      <c r="N17" s="1923">
        <f t="shared" si="4"/>
        <v>653725.48</v>
      </c>
      <c r="O17" s="1923">
        <f t="shared" si="4"/>
        <v>8047646.9400000004</v>
      </c>
      <c r="P17" s="485">
        <f>SUM(P8:P16)</f>
        <v>53179641.130000003</v>
      </c>
      <c r="Q17" s="2034">
        <f>P17-B17</f>
        <v>0</v>
      </c>
    </row>
    <row r="18" spans="1:17" ht="23.25" customHeight="1" x14ac:dyDescent="0.25">
      <c r="M18" s="487"/>
      <c r="N18" s="487"/>
      <c r="O18" s="487"/>
    </row>
    <row r="19" spans="1:17" ht="18.75" x14ac:dyDescent="0.25">
      <c r="B19" s="479" t="str">
        <f>'Вхідні дані'!B13</f>
        <v>Начальник Адміністрації морського порту Чорноморськ</v>
      </c>
      <c r="C19" s="443"/>
      <c r="G19" s="441" t="s">
        <v>368</v>
      </c>
      <c r="M19" s="4247" t="str">
        <f>'Вхідні дані'!F13</f>
        <v>Максим ШИРОКОВ</v>
      </c>
      <c r="N19" s="4247"/>
      <c r="O19" s="4247"/>
    </row>
    <row r="20" spans="1:17" ht="15.75" x14ac:dyDescent="0.25">
      <c r="B20" s="442"/>
      <c r="C20" s="443"/>
      <c r="G20" s="444" t="s">
        <v>219</v>
      </c>
      <c r="M20" s="4248" t="s">
        <v>1926</v>
      </c>
      <c r="N20" s="4248"/>
      <c r="O20" s="4248"/>
    </row>
    <row r="21" spans="1:17" s="440" customFormat="1" ht="18.75" x14ac:dyDescent="0.25">
      <c r="B21" s="479" t="s">
        <v>2571</v>
      </c>
      <c r="G21" s="441" t="s">
        <v>368</v>
      </c>
      <c r="M21" s="4247" t="s">
        <v>2572</v>
      </c>
      <c r="N21" s="4247"/>
      <c r="O21" s="4247"/>
    </row>
    <row r="22" spans="1:17" s="440" customFormat="1" ht="15.75" x14ac:dyDescent="0.25">
      <c r="B22" s="446" t="s">
        <v>1073</v>
      </c>
      <c r="G22" s="444" t="s">
        <v>219</v>
      </c>
      <c r="M22" s="4248" t="s">
        <v>1926</v>
      </c>
      <c r="N22" s="4248"/>
      <c r="O22" s="4248"/>
    </row>
    <row r="23" spans="1:17" s="440" customFormat="1" x14ac:dyDescent="0.25">
      <c r="A23" s="486"/>
      <c r="B23" s="443"/>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spans="1:19" hidden="1" x14ac:dyDescent="0.25">
      <c r="O33" s="1916"/>
      <c r="P33" s="1916"/>
      <c r="Q33" s="1916"/>
    </row>
    <row r="34" spans="1:19" hidden="1" x14ac:dyDescent="0.25">
      <c r="A34" s="1914" t="s">
        <v>2550</v>
      </c>
      <c r="C34" s="1915" t="s">
        <v>2560</v>
      </c>
      <c r="D34" s="1915" t="s">
        <v>2566</v>
      </c>
      <c r="E34" s="1915" t="s">
        <v>2567</v>
      </c>
      <c r="F34" s="1915" t="s">
        <v>2551</v>
      </c>
      <c r="G34" s="1915" t="s">
        <v>2552</v>
      </c>
      <c r="H34" s="1915" t="s">
        <v>2553</v>
      </c>
      <c r="I34" s="1915" t="s">
        <v>2554</v>
      </c>
      <c r="J34" s="1915" t="s">
        <v>2555</v>
      </c>
      <c r="K34" s="1915" t="s">
        <v>2556</v>
      </c>
      <c r="L34" s="1915" t="s">
        <v>2557</v>
      </c>
      <c r="M34" s="1915" t="s">
        <v>2558</v>
      </c>
      <c r="N34" s="1915" t="s">
        <v>2559</v>
      </c>
      <c r="O34" s="1917" t="s">
        <v>2560</v>
      </c>
      <c r="P34" s="1916"/>
      <c r="Q34" s="1916"/>
      <c r="R34" s="440"/>
      <c r="S34" s="440"/>
    </row>
    <row r="35" spans="1:19" hidden="1" x14ac:dyDescent="0.25">
      <c r="A35" s="443" t="s">
        <v>2561</v>
      </c>
      <c r="C35" s="1915">
        <v>15027944.369999999</v>
      </c>
      <c r="D35" s="1915">
        <v>14852673.01</v>
      </c>
      <c r="E35" s="1915">
        <v>14677401.800000001</v>
      </c>
      <c r="F35" s="1915">
        <v>14502118.34</v>
      </c>
      <c r="G35" s="1915">
        <v>14327741.85</v>
      </c>
      <c r="H35" s="1915">
        <v>14154690.810000001</v>
      </c>
      <c r="I35" s="1915">
        <v>13981850.4</v>
      </c>
      <c r="J35" s="1915">
        <v>13809009.99</v>
      </c>
      <c r="K35" s="1915">
        <v>13636169.85</v>
      </c>
      <c r="L35" s="1915">
        <v>13463938.24</v>
      </c>
      <c r="M35" s="1915">
        <v>13291706.92</v>
      </c>
      <c r="N35" s="1915">
        <v>13138100.24</v>
      </c>
      <c r="O35" s="1917">
        <v>40037896.229999997</v>
      </c>
      <c r="P35" s="1916">
        <f>O35-O37</f>
        <v>39523302.880000003</v>
      </c>
      <c r="Q35" s="1920">
        <f>O38-P35</f>
        <v>0</v>
      </c>
      <c r="R35" s="440"/>
      <c r="S35" s="440"/>
    </row>
    <row r="36" spans="1:19" hidden="1" x14ac:dyDescent="0.25">
      <c r="A36" s="443" t="s">
        <v>2562</v>
      </c>
      <c r="C36" s="1915">
        <v>20003220.239999998</v>
      </c>
      <c r="D36" s="1915">
        <v>20003220.239999998</v>
      </c>
      <c r="E36" s="1915">
        <v>20003220.239999998</v>
      </c>
      <c r="F36" s="1915">
        <v>20003220.239999998</v>
      </c>
      <c r="G36" s="1915">
        <v>20003220.239999998</v>
      </c>
      <c r="H36" s="1915">
        <v>20003220.239999998</v>
      </c>
      <c r="I36" s="1915">
        <v>20003220.239999998</v>
      </c>
      <c r="J36" s="1915">
        <v>20003220.239999998</v>
      </c>
      <c r="K36" s="1915">
        <v>20003220.239999998</v>
      </c>
      <c r="L36" s="1915">
        <v>20003220.239999998</v>
      </c>
      <c r="M36" s="1915">
        <v>20003220.239999998</v>
      </c>
      <c r="N36" s="1915">
        <v>20003220.239999998</v>
      </c>
      <c r="O36" s="1917">
        <v>70685792.939999998</v>
      </c>
      <c r="P36" s="1916"/>
      <c r="Q36" s="1916"/>
      <c r="R36" s="440"/>
      <c r="S36" s="440"/>
    </row>
    <row r="37" spans="1:19" hidden="1" x14ac:dyDescent="0.25">
      <c r="A37" s="443" t="s">
        <v>2563</v>
      </c>
      <c r="C37" s="1915">
        <v>175284.6</v>
      </c>
      <c r="D37" s="1915">
        <v>175284.45</v>
      </c>
      <c r="E37" s="1915">
        <v>175283.64</v>
      </c>
      <c r="F37" s="1915">
        <v>174381.34</v>
      </c>
      <c r="G37" s="1915">
        <v>173064.28</v>
      </c>
      <c r="H37" s="1915">
        <v>172853.65</v>
      </c>
      <c r="I37" s="1915">
        <v>172853.65</v>
      </c>
      <c r="J37" s="1915">
        <v>172853.38</v>
      </c>
      <c r="K37" s="1915">
        <v>172244.85</v>
      </c>
      <c r="L37" s="1915">
        <v>172244.56</v>
      </c>
      <c r="M37" s="1915">
        <v>153619.92000000001</v>
      </c>
      <c r="N37" s="1915">
        <v>153619.64000000001</v>
      </c>
      <c r="O37" s="1917">
        <v>514593.35</v>
      </c>
      <c r="P37" s="1916"/>
      <c r="Q37" s="1916"/>
      <c r="R37" s="440"/>
      <c r="S37" s="440"/>
    </row>
    <row r="38" spans="1:19" hidden="1" x14ac:dyDescent="0.25">
      <c r="A38" s="443" t="s">
        <v>2564</v>
      </c>
      <c r="C38" s="1915">
        <v>14852659.77</v>
      </c>
      <c r="D38" s="1915">
        <v>14677388.560000001</v>
      </c>
      <c r="E38" s="1915">
        <v>14502118.16</v>
      </c>
      <c r="F38" s="1915">
        <v>14327737</v>
      </c>
      <c r="G38" s="1915">
        <v>14154677.57</v>
      </c>
      <c r="H38" s="1915">
        <v>13981837.16</v>
      </c>
      <c r="I38" s="1915">
        <v>13808996.75</v>
      </c>
      <c r="J38" s="1915">
        <v>13636156.609999999</v>
      </c>
      <c r="K38" s="1915">
        <v>13463925</v>
      </c>
      <c r="L38" s="1915">
        <v>13291693.68</v>
      </c>
      <c r="M38" s="1915">
        <v>13138087</v>
      </c>
      <c r="N38" s="1915">
        <v>12984480.6</v>
      </c>
      <c r="O38" s="1917">
        <v>39523302.880000003</v>
      </c>
      <c r="P38" s="1916"/>
      <c r="Q38" s="1916"/>
      <c r="R38" s="440"/>
      <c r="S38" s="440"/>
    </row>
    <row r="39" spans="1:19" hidden="1" x14ac:dyDescent="0.25">
      <c r="A39" s="443" t="s">
        <v>2565</v>
      </c>
      <c r="C39" s="1915"/>
      <c r="D39" s="1915"/>
      <c r="E39" s="1915"/>
      <c r="F39" s="1915">
        <v>174381.34</v>
      </c>
      <c r="G39" s="1915">
        <v>173064.28</v>
      </c>
      <c r="H39" s="1915">
        <v>172853.65</v>
      </c>
      <c r="I39" s="1915">
        <v>172853.65</v>
      </c>
      <c r="J39" s="1915">
        <v>172853.38</v>
      </c>
      <c r="K39" s="1915">
        <v>172244.85</v>
      </c>
      <c r="L39" s="1915">
        <v>172244.56</v>
      </c>
      <c r="M39" s="1915">
        <v>153619.92000000001</v>
      </c>
      <c r="N39" s="1915">
        <v>153619.64000000001</v>
      </c>
      <c r="O39" s="1917">
        <v>513583.71</v>
      </c>
      <c r="P39" s="1916"/>
      <c r="Q39" s="1916"/>
      <c r="R39" s="440"/>
      <c r="S39" s="440"/>
    </row>
    <row r="40" spans="1:19" hidden="1" x14ac:dyDescent="0.25">
      <c r="C40" s="1915">
        <v>175284.6</v>
      </c>
      <c r="D40" s="1915">
        <v>175284.45</v>
      </c>
      <c r="E40" s="1915">
        <v>175283.64</v>
      </c>
      <c r="F40" s="1915">
        <v>174381.34</v>
      </c>
      <c r="G40" s="1915">
        <v>173064.28</v>
      </c>
      <c r="H40" s="1915">
        <v>172853.65</v>
      </c>
      <c r="I40" s="1915">
        <v>172853.65</v>
      </c>
      <c r="J40" s="1915">
        <v>172853.38</v>
      </c>
      <c r="K40" s="1915">
        <v>172244.85</v>
      </c>
      <c r="L40" s="1915">
        <v>172244.56</v>
      </c>
      <c r="M40" s="1915">
        <v>153619.92000000001</v>
      </c>
      <c r="N40" s="1915">
        <v>153619.64000000001</v>
      </c>
      <c r="O40" s="1917">
        <v>514593.35</v>
      </c>
      <c r="P40" s="1916"/>
      <c r="Q40" s="1916"/>
      <c r="R40" s="440"/>
      <c r="S40" s="440"/>
    </row>
    <row r="41" spans="1:19" hidden="1" x14ac:dyDescent="0.25">
      <c r="C41" s="1915"/>
      <c r="D41" s="1915"/>
      <c r="E41" s="1915"/>
      <c r="F41" s="1915"/>
      <c r="G41" s="1915"/>
      <c r="H41" s="1915"/>
      <c r="I41" s="1915"/>
      <c r="J41" s="1915"/>
      <c r="K41" s="1915"/>
      <c r="L41" s="1915"/>
      <c r="M41" s="1915"/>
      <c r="N41" s="1915"/>
      <c r="O41" s="1916"/>
      <c r="P41" s="1916"/>
      <c r="Q41" s="1916"/>
    </row>
    <row r="42" spans="1:19" hidden="1" x14ac:dyDescent="0.25">
      <c r="A42" s="485" t="s">
        <v>2568</v>
      </c>
      <c r="C42" s="1915" t="s">
        <v>2560</v>
      </c>
      <c r="D42" s="1915" t="s">
        <v>2566</v>
      </c>
      <c r="E42" s="1915" t="s">
        <v>2567</v>
      </c>
      <c r="F42" s="1915" t="s">
        <v>2551</v>
      </c>
      <c r="G42" s="1915" t="s">
        <v>2552</v>
      </c>
      <c r="H42" s="1915" t="s">
        <v>2553</v>
      </c>
      <c r="I42" s="1915" t="s">
        <v>2554</v>
      </c>
      <c r="J42" s="1915" t="s">
        <v>2555</v>
      </c>
      <c r="K42" s="1915" t="s">
        <v>2556</v>
      </c>
      <c r="L42" s="1915" t="s">
        <v>2557</v>
      </c>
      <c r="M42" s="1915" t="s">
        <v>2558</v>
      </c>
      <c r="N42" s="1915" t="s">
        <v>2559</v>
      </c>
      <c r="O42" s="1917"/>
      <c r="P42" s="1916"/>
      <c r="Q42" s="1916"/>
    </row>
    <row r="43" spans="1:19" hidden="1" x14ac:dyDescent="0.25">
      <c r="A43" s="443" t="s">
        <v>2561</v>
      </c>
      <c r="C43" s="1915">
        <v>27050337.100000001</v>
      </c>
      <c r="D43" s="1915">
        <v>26713286.68</v>
      </c>
      <c r="E43" s="1915">
        <v>26376236.260000002</v>
      </c>
      <c r="F43" s="1915">
        <v>26039185.84</v>
      </c>
      <c r="G43" s="1915">
        <v>25702135.420000002</v>
      </c>
      <c r="H43" s="1915">
        <v>25365085</v>
      </c>
      <c r="I43" s="1915">
        <v>25028034.579999998</v>
      </c>
      <c r="J43" s="1915">
        <v>24690997.16</v>
      </c>
      <c r="K43" s="1915">
        <v>24353963.129999999</v>
      </c>
      <c r="L43" s="1915">
        <v>24016929.100000001</v>
      </c>
      <c r="M43" s="1915">
        <v>23679895.07</v>
      </c>
      <c r="N43" s="1915">
        <v>23342861.27</v>
      </c>
      <c r="O43" s="1917">
        <f>C43</f>
        <v>27050337.100000001</v>
      </c>
      <c r="P43" s="1916">
        <f>O43-O45</f>
        <v>23005770.140000001</v>
      </c>
      <c r="Q43" s="1918">
        <f>O46-P43</f>
        <v>124.52</v>
      </c>
    </row>
    <row r="44" spans="1:19" hidden="1" x14ac:dyDescent="0.25">
      <c r="A44" s="443" t="s">
        <v>2562</v>
      </c>
      <c r="C44" s="1915">
        <v>45885568.850000001</v>
      </c>
      <c r="D44" s="1915">
        <v>45885568.850000001</v>
      </c>
      <c r="E44" s="1915">
        <v>45885568.850000001</v>
      </c>
      <c r="F44" s="1915">
        <v>45885568.850000001</v>
      </c>
      <c r="G44" s="1915">
        <v>45885568.850000001</v>
      </c>
      <c r="H44" s="1915">
        <v>45885568.850000001</v>
      </c>
      <c r="I44" s="1915">
        <v>45885568.850000001</v>
      </c>
      <c r="J44" s="1915">
        <v>45885568.850000001</v>
      </c>
      <c r="K44" s="1915">
        <v>45885568.850000001</v>
      </c>
      <c r="L44" s="1915">
        <v>45885568.850000001</v>
      </c>
      <c r="M44" s="1915">
        <v>45885568.850000001</v>
      </c>
      <c r="N44" s="1915">
        <v>45885568.850000001</v>
      </c>
      <c r="O44" s="1917">
        <v>20003220.239999998</v>
      </c>
      <c r="P44" s="1916"/>
      <c r="Q44" s="1916"/>
    </row>
    <row r="45" spans="1:19" hidden="1" x14ac:dyDescent="0.25">
      <c r="A45" s="443" t="s">
        <v>2563</v>
      </c>
      <c r="C45" s="1915">
        <v>337061.74</v>
      </c>
      <c r="D45" s="1915">
        <v>337061.74</v>
      </c>
      <c r="E45" s="1915">
        <v>337061.74</v>
      </c>
      <c r="F45" s="1915">
        <v>337061.74</v>
      </c>
      <c r="G45" s="1915">
        <v>337061.74</v>
      </c>
      <c r="H45" s="1915">
        <v>337061.74</v>
      </c>
      <c r="I45" s="1915">
        <v>337048.74</v>
      </c>
      <c r="J45" s="1915">
        <v>337045.35</v>
      </c>
      <c r="K45" s="1915">
        <v>337045.35</v>
      </c>
      <c r="L45" s="1915">
        <v>337045.35</v>
      </c>
      <c r="M45" s="1915">
        <v>337045.12</v>
      </c>
      <c r="N45" s="1915">
        <v>336966.61</v>
      </c>
      <c r="O45" s="1917">
        <f>SUM(C45:N45)</f>
        <v>4044566.96</v>
      </c>
      <c r="P45" s="1916"/>
      <c r="Q45" s="1916"/>
    </row>
    <row r="46" spans="1:19" hidden="1" x14ac:dyDescent="0.25">
      <c r="A46" s="443" t="s">
        <v>2564</v>
      </c>
      <c r="C46" s="1915">
        <v>26713275.359999999</v>
      </c>
      <c r="D46" s="1915">
        <v>26376224.940000001</v>
      </c>
      <c r="E46" s="1915">
        <v>26039174.52</v>
      </c>
      <c r="F46" s="1915">
        <v>25702124.100000001</v>
      </c>
      <c r="G46" s="1915">
        <v>25365073.68</v>
      </c>
      <c r="H46" s="1915">
        <v>25028023.260000002</v>
      </c>
      <c r="I46" s="1915">
        <v>24690985.84</v>
      </c>
      <c r="J46" s="1915">
        <v>24353951.809999999</v>
      </c>
      <c r="K46" s="1915">
        <v>24016917.780000001</v>
      </c>
      <c r="L46" s="1915">
        <v>23679883.75</v>
      </c>
      <c r="M46" s="1915">
        <v>23342849.949999999</v>
      </c>
      <c r="N46" s="1915">
        <v>23005894.66</v>
      </c>
      <c r="O46" s="1917">
        <f>N46</f>
        <v>23005894.66</v>
      </c>
      <c r="P46" s="1916"/>
      <c r="Q46" s="1916"/>
    </row>
    <row r="47" spans="1:19" hidden="1" x14ac:dyDescent="0.25">
      <c r="A47" s="443" t="s">
        <v>2565</v>
      </c>
      <c r="C47" s="1915"/>
      <c r="D47" s="1915"/>
      <c r="E47" s="1915"/>
      <c r="F47" s="1915">
        <v>337061.74</v>
      </c>
      <c r="G47" s="1915">
        <v>337061.74</v>
      </c>
      <c r="H47" s="1915">
        <v>337061.74</v>
      </c>
      <c r="I47" s="1915">
        <v>337048.74</v>
      </c>
      <c r="J47" s="1915">
        <v>337045.35</v>
      </c>
      <c r="K47" s="1915">
        <v>337045.35</v>
      </c>
      <c r="L47" s="1915">
        <v>337045.35</v>
      </c>
      <c r="M47" s="1915">
        <v>337045.12</v>
      </c>
      <c r="N47" s="1915">
        <v>336966.61</v>
      </c>
      <c r="O47" s="1917"/>
      <c r="P47" s="1916"/>
      <c r="Q47" s="1916"/>
    </row>
    <row r="48" spans="1:19" hidden="1" x14ac:dyDescent="0.25">
      <c r="C48" s="1915">
        <v>337061.74</v>
      </c>
      <c r="D48" s="1915">
        <v>337061.74</v>
      </c>
      <c r="E48" s="1915">
        <v>337061.74</v>
      </c>
      <c r="F48" s="1915">
        <v>337061.74</v>
      </c>
      <c r="G48" s="1915">
        <v>337061.74</v>
      </c>
      <c r="H48" s="1915">
        <v>337061.74</v>
      </c>
      <c r="I48" s="1915">
        <v>337048.74</v>
      </c>
      <c r="J48" s="1915">
        <v>337045.35</v>
      </c>
      <c r="K48" s="1915">
        <v>337045.35</v>
      </c>
      <c r="L48" s="1915">
        <v>337045.35</v>
      </c>
      <c r="M48" s="1915">
        <v>337045.12</v>
      </c>
      <c r="N48" s="1915">
        <v>336966.61</v>
      </c>
      <c r="O48" s="1917">
        <f>O43-O46</f>
        <v>4044442.44</v>
      </c>
      <c r="P48" s="1916"/>
      <c r="Q48" s="1916"/>
    </row>
    <row r="49" spans="1:17" x14ac:dyDescent="0.25">
      <c r="C49" s="1915"/>
      <c r="D49" s="1915"/>
      <c r="E49" s="1915"/>
      <c r="F49" s="1915"/>
      <c r="G49" s="1915"/>
      <c r="H49" s="1915"/>
      <c r="I49" s="1915"/>
      <c r="J49" s="1915"/>
      <c r="K49" s="1915"/>
      <c r="L49" s="1915"/>
      <c r="M49" s="1915"/>
      <c r="N49" s="1915"/>
      <c r="O49" s="1916"/>
      <c r="P49" s="1916"/>
      <c r="Q49" s="1916"/>
    </row>
    <row r="50" spans="1:17" hidden="1" x14ac:dyDescent="0.25">
      <c r="A50" s="485" t="s">
        <v>2569</v>
      </c>
      <c r="C50" s="1915" t="s">
        <v>2560</v>
      </c>
      <c r="D50" s="1915" t="s">
        <v>2566</v>
      </c>
      <c r="E50" s="1915" t="s">
        <v>2567</v>
      </c>
      <c r="F50" s="1915" t="s">
        <v>2551</v>
      </c>
      <c r="G50" s="1915" t="s">
        <v>2552</v>
      </c>
      <c r="H50" s="1915" t="s">
        <v>2553</v>
      </c>
      <c r="I50" s="1915" t="s">
        <v>2554</v>
      </c>
      <c r="J50" s="1915" t="s">
        <v>2555</v>
      </c>
      <c r="K50" s="1915" t="s">
        <v>2556</v>
      </c>
      <c r="L50" s="1915" t="s">
        <v>2557</v>
      </c>
      <c r="M50" s="1915" t="s">
        <v>2558</v>
      </c>
      <c r="N50" s="1915" t="s">
        <v>2559</v>
      </c>
      <c r="O50" s="1917"/>
      <c r="P50" s="1916"/>
      <c r="Q50" s="1916"/>
    </row>
    <row r="51" spans="1:17" hidden="1" x14ac:dyDescent="0.25">
      <c r="A51" s="443" t="s">
        <v>2561</v>
      </c>
      <c r="B51" s="440">
        <f>B10-C51</f>
        <v>-11.32</v>
      </c>
      <c r="C51" s="1915">
        <v>2409836.5499999998</v>
      </c>
      <c r="D51" s="1915">
        <v>2381073.3199999998</v>
      </c>
      <c r="E51" s="1915">
        <v>2352310.09</v>
      </c>
      <c r="F51" s="1915">
        <v>2323546.86</v>
      </c>
      <c r="G51" s="1915">
        <v>2294783.63</v>
      </c>
      <c r="H51" s="1915">
        <v>2266020.4</v>
      </c>
      <c r="I51" s="1915">
        <v>2237257.17</v>
      </c>
      <c r="J51" s="1915">
        <v>2208493.94</v>
      </c>
      <c r="K51" s="1915">
        <v>2179730.71</v>
      </c>
      <c r="L51" s="1915">
        <v>2150967.48</v>
      </c>
      <c r="M51" s="1915">
        <v>2122204.25</v>
      </c>
      <c r="N51" s="1915">
        <v>2093441.02</v>
      </c>
      <c r="O51" s="1917">
        <f>C51</f>
        <v>2409836.5499999998</v>
      </c>
      <c r="P51" s="1916">
        <f>O51-O53</f>
        <v>2064677.79</v>
      </c>
      <c r="Q51" s="1916">
        <f>O54-P51</f>
        <v>0</v>
      </c>
    </row>
    <row r="52" spans="1:17" hidden="1" x14ac:dyDescent="0.25">
      <c r="A52" s="443" t="s">
        <v>2562</v>
      </c>
      <c r="C52" s="1915">
        <v>5318749.79</v>
      </c>
      <c r="D52" s="1915">
        <v>5318749.79</v>
      </c>
      <c r="E52" s="1915">
        <v>5318749.79</v>
      </c>
      <c r="F52" s="1915">
        <v>5318749.79</v>
      </c>
      <c r="G52" s="1915">
        <v>5318749.79</v>
      </c>
      <c r="H52" s="1915">
        <v>5318749.79</v>
      </c>
      <c r="I52" s="1915">
        <v>5318749.79</v>
      </c>
      <c r="J52" s="1915">
        <v>5318749.79</v>
      </c>
      <c r="K52" s="1915">
        <v>5318749.79</v>
      </c>
      <c r="L52" s="1915">
        <v>5318749.79</v>
      </c>
      <c r="M52" s="1915">
        <v>5318749.79</v>
      </c>
      <c r="N52" s="1915">
        <v>5318749.79</v>
      </c>
      <c r="O52" s="1917">
        <v>20003220.239999998</v>
      </c>
      <c r="P52" s="1916"/>
      <c r="Q52" s="1916"/>
    </row>
    <row r="53" spans="1:17" hidden="1" x14ac:dyDescent="0.25">
      <c r="A53" s="443" t="s">
        <v>2563</v>
      </c>
      <c r="B53" s="440">
        <f>O10-O53</f>
        <v>0</v>
      </c>
      <c r="C53" s="1915">
        <v>28763.23</v>
      </c>
      <c r="D53" s="1915">
        <v>28763.23</v>
      </c>
      <c r="E53" s="1915">
        <v>28763.23</v>
      </c>
      <c r="F53" s="1915">
        <v>28763.23</v>
      </c>
      <c r="G53" s="1915">
        <v>28763.23</v>
      </c>
      <c r="H53" s="1915">
        <v>28763.23</v>
      </c>
      <c r="I53" s="1915">
        <v>28763.23</v>
      </c>
      <c r="J53" s="1915">
        <v>28763.23</v>
      </c>
      <c r="K53" s="1915">
        <v>28763.23</v>
      </c>
      <c r="L53" s="1915">
        <v>28763.23</v>
      </c>
      <c r="M53" s="1915">
        <v>28763.23</v>
      </c>
      <c r="N53" s="1915">
        <v>28763.23</v>
      </c>
      <c r="O53" s="1917">
        <f>SUM(C53:N53)</f>
        <v>345158.76</v>
      </c>
      <c r="P53" s="1916"/>
      <c r="Q53" s="1916"/>
    </row>
    <row r="54" spans="1:17" hidden="1" x14ac:dyDescent="0.25">
      <c r="A54" s="443" t="s">
        <v>2564</v>
      </c>
      <c r="C54" s="1915">
        <v>2381073.3199999998</v>
      </c>
      <c r="D54" s="1915">
        <v>2352310.09</v>
      </c>
      <c r="E54" s="1915">
        <v>2323546.86</v>
      </c>
      <c r="F54" s="1915">
        <v>2294783.63</v>
      </c>
      <c r="G54" s="1915">
        <v>2266020.4</v>
      </c>
      <c r="H54" s="1915">
        <v>2237257.17</v>
      </c>
      <c r="I54" s="1915">
        <v>2208493.94</v>
      </c>
      <c r="J54" s="1915">
        <v>2179730.71</v>
      </c>
      <c r="K54" s="1915">
        <v>2150967.48</v>
      </c>
      <c r="L54" s="1915">
        <v>2122204.25</v>
      </c>
      <c r="M54" s="1915">
        <v>2093441.02</v>
      </c>
      <c r="N54" s="1915">
        <v>2064677.79</v>
      </c>
      <c r="O54" s="1917">
        <f>N54</f>
        <v>2064677.79</v>
      </c>
      <c r="P54" s="1916"/>
      <c r="Q54" s="1916"/>
    </row>
    <row r="55" spans="1:17" hidden="1" x14ac:dyDescent="0.25">
      <c r="A55" s="443" t="s">
        <v>2565</v>
      </c>
      <c r="C55" s="1915">
        <f>C51-C53-C54</f>
        <v>0</v>
      </c>
      <c r="D55" s="1915">
        <f t="shared" ref="D55" si="5">D51-D53-D54</f>
        <v>0</v>
      </c>
      <c r="E55" s="1915">
        <f t="shared" ref="E55" si="6">E51-E53-E54</f>
        <v>0</v>
      </c>
      <c r="F55" s="1915">
        <f t="shared" ref="F55" si="7">F51-F53-F54</f>
        <v>0</v>
      </c>
      <c r="G55" s="1915">
        <f t="shared" ref="G55" si="8">G51-G53-G54</f>
        <v>0</v>
      </c>
      <c r="H55" s="1915">
        <f t="shared" ref="H55" si="9">H51-H53-H54</f>
        <v>0</v>
      </c>
      <c r="I55" s="1915">
        <f t="shared" ref="I55" si="10">I51-I53-I54</f>
        <v>0</v>
      </c>
      <c r="J55" s="1915">
        <f t="shared" ref="J55" si="11">J51-J53-J54</f>
        <v>0</v>
      </c>
      <c r="K55" s="1915">
        <f t="shared" ref="K55" si="12">K51-K53-K54</f>
        <v>0</v>
      </c>
      <c r="L55" s="1915">
        <f t="shared" ref="L55" si="13">L51-L53-L54</f>
        <v>0</v>
      </c>
      <c r="M55" s="1915">
        <f t="shared" ref="M55" si="14">M51-M53-M54</f>
        <v>0</v>
      </c>
      <c r="N55" s="1915">
        <f t="shared" ref="N55" si="15">N51-N53-N54</f>
        <v>0</v>
      </c>
      <c r="O55" s="1917"/>
      <c r="P55" s="1916"/>
      <c r="Q55" s="1916"/>
    </row>
    <row r="56" spans="1:17" hidden="1" x14ac:dyDescent="0.25">
      <c r="C56" s="1915">
        <v>28763.23</v>
      </c>
      <c r="D56" s="1915">
        <v>28763.23</v>
      </c>
      <c r="E56" s="1915">
        <v>28763.23</v>
      </c>
      <c r="F56" s="1915">
        <v>28763.23</v>
      </c>
      <c r="G56" s="1915">
        <v>28763.23</v>
      </c>
      <c r="H56" s="1915">
        <v>28763.23</v>
      </c>
      <c r="I56" s="1915">
        <v>28763.23</v>
      </c>
      <c r="J56" s="1915">
        <v>28763.23</v>
      </c>
      <c r="K56" s="1915">
        <v>28763.23</v>
      </c>
      <c r="L56" s="1915">
        <v>28763.23</v>
      </c>
      <c r="M56" s="1915">
        <v>28763.23</v>
      </c>
      <c r="N56" s="1915">
        <v>28763.23</v>
      </c>
      <c r="O56" s="1917">
        <f>O51-O54</f>
        <v>345158.76</v>
      </c>
      <c r="P56" s="1916"/>
      <c r="Q56" s="1916"/>
    </row>
    <row r="57" spans="1:17" hidden="1" x14ac:dyDescent="0.25">
      <c r="C57" s="1915"/>
      <c r="D57" s="1915"/>
      <c r="E57" s="1915"/>
      <c r="F57" s="1915"/>
      <c r="G57" s="1915"/>
      <c r="H57" s="1915"/>
      <c r="I57" s="1915"/>
      <c r="J57" s="1915"/>
      <c r="K57" s="1915"/>
      <c r="L57" s="1915"/>
      <c r="M57" s="1915"/>
      <c r="N57" s="1915"/>
      <c r="O57" s="1916"/>
      <c r="P57" s="1916"/>
      <c r="Q57" s="1916"/>
    </row>
    <row r="58" spans="1:17" hidden="1" x14ac:dyDescent="0.25">
      <c r="A58" s="485" t="s">
        <v>2570</v>
      </c>
      <c r="C58" s="1915" t="s">
        <v>2560</v>
      </c>
      <c r="D58" s="1915" t="s">
        <v>2566</v>
      </c>
      <c r="E58" s="1915" t="s">
        <v>2567</v>
      </c>
      <c r="F58" s="1915" t="s">
        <v>2551</v>
      </c>
      <c r="G58" s="1915" t="s">
        <v>2552</v>
      </c>
      <c r="H58" s="1915" t="s">
        <v>2553</v>
      </c>
      <c r="I58" s="1915" t="s">
        <v>2554</v>
      </c>
      <c r="J58" s="1915" t="s">
        <v>2555</v>
      </c>
      <c r="K58" s="1915" t="s">
        <v>2556</v>
      </c>
      <c r="L58" s="1915" t="s">
        <v>2557</v>
      </c>
      <c r="M58" s="1915" t="s">
        <v>2558</v>
      </c>
      <c r="N58" s="1915" t="s">
        <v>2559</v>
      </c>
      <c r="O58" s="1916"/>
      <c r="P58" s="1916"/>
      <c r="Q58" s="1916"/>
    </row>
    <row r="59" spans="1:17" hidden="1" x14ac:dyDescent="0.25">
      <c r="A59" s="443" t="s">
        <v>2561</v>
      </c>
      <c r="B59" s="440">
        <f>B11-C59</f>
        <v>4021471.49</v>
      </c>
      <c r="C59" s="1915">
        <v>17792.43</v>
      </c>
      <c r="D59" s="1915">
        <v>17054.23</v>
      </c>
      <c r="E59" s="1915">
        <v>16316.03</v>
      </c>
      <c r="F59" s="1915">
        <v>15577.83</v>
      </c>
      <c r="G59" s="1915">
        <v>14839.63</v>
      </c>
      <c r="H59" s="1915">
        <v>14101.43</v>
      </c>
      <c r="I59" s="1915">
        <v>13363.23</v>
      </c>
      <c r="J59" s="1915">
        <v>12625.03</v>
      </c>
      <c r="K59" s="1915">
        <v>11886.83</v>
      </c>
      <c r="L59" s="1915">
        <v>11148.63</v>
      </c>
      <c r="M59" s="1915">
        <v>10410.43</v>
      </c>
      <c r="N59" s="1915">
        <v>9672.23</v>
      </c>
      <c r="O59" s="1917">
        <f>C59</f>
        <v>17792.43</v>
      </c>
      <c r="P59" s="1916">
        <f>O59-O61</f>
        <v>8934.0300000000007</v>
      </c>
      <c r="Q59" s="1916">
        <f>O62-P59</f>
        <v>0</v>
      </c>
    </row>
    <row r="60" spans="1:17" hidden="1" x14ac:dyDescent="0.25">
      <c r="A60" s="443" t="s">
        <v>2562</v>
      </c>
      <c r="C60" s="1915">
        <v>44290.75</v>
      </c>
      <c r="D60" s="1915">
        <v>44290.75</v>
      </c>
      <c r="E60" s="1915">
        <v>44290.75</v>
      </c>
      <c r="F60" s="1915">
        <v>44290.75</v>
      </c>
      <c r="G60" s="1915">
        <v>44290.75</v>
      </c>
      <c r="H60" s="1915">
        <v>44290.75</v>
      </c>
      <c r="I60" s="1915">
        <v>44290.75</v>
      </c>
      <c r="J60" s="1915">
        <v>44290.75</v>
      </c>
      <c r="K60" s="1915">
        <v>44290.75</v>
      </c>
      <c r="L60" s="1915">
        <v>44290.75</v>
      </c>
      <c r="M60" s="1915">
        <v>44290.75</v>
      </c>
      <c r="N60" s="1915">
        <v>44290.75</v>
      </c>
      <c r="O60" s="1917">
        <v>20003220.239999998</v>
      </c>
      <c r="P60" s="1916"/>
      <c r="Q60" s="1916"/>
    </row>
    <row r="61" spans="1:17" hidden="1" x14ac:dyDescent="0.25">
      <c r="A61" s="443" t="s">
        <v>2563</v>
      </c>
      <c r="B61" s="440">
        <f>O11-O61</f>
        <v>870301.2</v>
      </c>
      <c r="C61" s="1915">
        <v>738.2</v>
      </c>
      <c r="D61" s="1915">
        <v>738.2</v>
      </c>
      <c r="E61" s="1915">
        <v>738.2</v>
      </c>
      <c r="F61" s="1915">
        <v>738.2</v>
      </c>
      <c r="G61" s="1915">
        <v>738.2</v>
      </c>
      <c r="H61" s="1915">
        <v>738.2</v>
      </c>
      <c r="I61" s="1915">
        <v>738.2</v>
      </c>
      <c r="J61" s="1915">
        <v>738.2</v>
      </c>
      <c r="K61" s="1915">
        <v>738.2</v>
      </c>
      <c r="L61" s="1915">
        <v>738.2</v>
      </c>
      <c r="M61" s="1915">
        <v>738.2</v>
      </c>
      <c r="N61" s="1915">
        <v>738.2</v>
      </c>
      <c r="O61" s="1917">
        <f>SUM(C61:N61)</f>
        <v>8858.4</v>
      </c>
      <c r="P61" s="1916"/>
      <c r="Q61" s="1916"/>
    </row>
    <row r="62" spans="1:17" hidden="1" x14ac:dyDescent="0.25">
      <c r="A62" s="443" t="s">
        <v>2564</v>
      </c>
      <c r="C62" s="1915">
        <v>17054.23</v>
      </c>
      <c r="D62" s="1915">
        <v>16316.03</v>
      </c>
      <c r="E62" s="1915">
        <v>15577.83</v>
      </c>
      <c r="F62" s="1915">
        <v>14839.63</v>
      </c>
      <c r="G62" s="1915">
        <v>14101.43</v>
      </c>
      <c r="H62" s="1915">
        <v>13363.23</v>
      </c>
      <c r="I62" s="1915">
        <v>12625.03</v>
      </c>
      <c r="J62" s="1915">
        <v>11886.83</v>
      </c>
      <c r="K62" s="1915">
        <v>11148.63</v>
      </c>
      <c r="L62" s="1915">
        <v>10410.43</v>
      </c>
      <c r="M62" s="1915">
        <v>9672.23</v>
      </c>
      <c r="N62" s="1915">
        <v>8934.0300000000007</v>
      </c>
      <c r="O62" s="1917">
        <f>N62</f>
        <v>8934.0300000000007</v>
      </c>
      <c r="P62" s="1916"/>
      <c r="Q62" s="1916"/>
    </row>
    <row r="63" spans="1:17" hidden="1" x14ac:dyDescent="0.25">
      <c r="A63" s="443" t="s">
        <v>2565</v>
      </c>
      <c r="C63" s="1915">
        <f>C59-C61-C62</f>
        <v>0</v>
      </c>
      <c r="D63" s="1915">
        <f t="shared" ref="D63" si="16">D59-D61-D62</f>
        <v>0</v>
      </c>
      <c r="E63" s="1915">
        <f t="shared" ref="E63" si="17">E59-E61-E62</f>
        <v>0</v>
      </c>
      <c r="F63" s="1915">
        <f t="shared" ref="F63" si="18">F59-F61-F62</f>
        <v>0</v>
      </c>
      <c r="G63" s="1915">
        <f t="shared" ref="G63" si="19">G59-G61-G62</f>
        <v>0</v>
      </c>
      <c r="H63" s="1915">
        <f t="shared" ref="H63" si="20">H59-H61-H62</f>
        <v>0</v>
      </c>
      <c r="I63" s="1915">
        <f t="shared" ref="I63" si="21">I59-I61-I62</f>
        <v>0</v>
      </c>
      <c r="J63" s="1915">
        <f t="shared" ref="J63" si="22">J59-J61-J62</f>
        <v>0</v>
      </c>
      <c r="K63" s="1915">
        <f t="shared" ref="K63" si="23">K59-K61-K62</f>
        <v>0</v>
      </c>
      <c r="L63" s="1915">
        <f t="shared" ref="L63" si="24">L59-L61-L62</f>
        <v>0</v>
      </c>
      <c r="M63" s="1915">
        <f t="shared" ref="M63" si="25">M59-M61-M62</f>
        <v>0</v>
      </c>
      <c r="N63" s="1915">
        <f t="shared" ref="N63" si="26">N59-N61-N62</f>
        <v>0</v>
      </c>
      <c r="O63" s="1917"/>
      <c r="P63" s="1916"/>
      <c r="Q63" s="1916"/>
    </row>
    <row r="64" spans="1:17" hidden="1" x14ac:dyDescent="0.25">
      <c r="C64" s="1915">
        <v>738.2</v>
      </c>
      <c r="D64" s="1915">
        <v>738.2</v>
      </c>
      <c r="E64" s="1915">
        <v>738.2</v>
      </c>
      <c r="F64" s="1915">
        <v>738.2</v>
      </c>
      <c r="G64" s="1915">
        <v>738.2</v>
      </c>
      <c r="H64" s="1915">
        <v>738.2</v>
      </c>
      <c r="I64" s="1915">
        <v>738.2</v>
      </c>
      <c r="J64" s="1915">
        <v>738.2</v>
      </c>
      <c r="K64" s="1915">
        <v>738.2</v>
      </c>
      <c r="L64" s="1915">
        <v>738.2</v>
      </c>
      <c r="M64" s="1915">
        <v>738.2</v>
      </c>
      <c r="N64" s="1915">
        <v>738.2</v>
      </c>
      <c r="O64" s="1917">
        <f>O59-O62</f>
        <v>8858.4</v>
      </c>
      <c r="P64" s="1916"/>
      <c r="Q64" s="1916"/>
    </row>
    <row r="65" spans="1:17" x14ac:dyDescent="0.25">
      <c r="C65" s="1915"/>
      <c r="D65" s="1915"/>
      <c r="E65" s="1915"/>
      <c r="F65" s="1915"/>
      <c r="G65" s="1915"/>
      <c r="H65" s="1915"/>
      <c r="I65" s="1915"/>
      <c r="J65" s="1915"/>
      <c r="K65" s="1915"/>
      <c r="L65" s="1915"/>
      <c r="M65" s="1915"/>
      <c r="N65" s="1915"/>
      <c r="O65" s="1916"/>
      <c r="P65" s="1916"/>
      <c r="Q65" s="1916"/>
    </row>
    <row r="66" spans="1:17" ht="24" hidden="1" x14ac:dyDescent="0.25">
      <c r="A66" s="485" t="s">
        <v>985</v>
      </c>
      <c r="C66" s="1915" t="s">
        <v>2560</v>
      </c>
      <c r="D66" s="1915" t="s">
        <v>2566</v>
      </c>
      <c r="E66" s="1915" t="s">
        <v>2567</v>
      </c>
      <c r="F66" s="1915" t="s">
        <v>2551</v>
      </c>
      <c r="G66" s="1915" t="s">
        <v>2552</v>
      </c>
      <c r="H66" s="1915" t="s">
        <v>2553</v>
      </c>
      <c r="I66" s="1915" t="s">
        <v>2554</v>
      </c>
      <c r="J66" s="1915" t="s">
        <v>2555</v>
      </c>
      <c r="K66" s="1915" t="s">
        <v>2556</v>
      </c>
      <c r="L66" s="1915" t="s">
        <v>2557</v>
      </c>
      <c r="M66" s="1915" t="s">
        <v>2558</v>
      </c>
      <c r="N66" s="1915" t="s">
        <v>2559</v>
      </c>
      <c r="O66" s="1916"/>
      <c r="P66" s="1916"/>
      <c r="Q66" s="1916"/>
    </row>
    <row r="67" spans="1:17" hidden="1" x14ac:dyDescent="0.25">
      <c r="A67" s="443" t="s">
        <v>2561</v>
      </c>
      <c r="B67" s="1915">
        <f>C67-B12</f>
        <v>0</v>
      </c>
      <c r="C67" s="1915">
        <v>23737.42</v>
      </c>
      <c r="D67" s="1915">
        <v>22896.43</v>
      </c>
      <c r="E67" s="1915">
        <v>22055.439999999999</v>
      </c>
      <c r="F67" s="1915">
        <v>21214.45</v>
      </c>
      <c r="G67" s="1915">
        <v>20373.46</v>
      </c>
      <c r="H67" s="1915">
        <v>19532.47</v>
      </c>
      <c r="I67" s="1915">
        <v>18691.48</v>
      </c>
      <c r="J67" s="1915">
        <v>17850.490000000002</v>
      </c>
      <c r="K67" s="1915">
        <v>17009.5</v>
      </c>
      <c r="L67" s="1915">
        <v>16168.51</v>
      </c>
      <c r="M67" s="1915">
        <v>15327.52</v>
      </c>
      <c r="N67" s="1915">
        <v>14486.53</v>
      </c>
      <c r="O67" s="1917">
        <f>C67</f>
        <v>23737.42</v>
      </c>
      <c r="P67" s="1916">
        <f>O67-O69</f>
        <v>13645.54</v>
      </c>
      <c r="Q67" s="1916">
        <f>O70-P67</f>
        <v>0</v>
      </c>
    </row>
    <row r="68" spans="1:17" hidden="1" x14ac:dyDescent="0.25">
      <c r="A68" s="443" t="s">
        <v>2562</v>
      </c>
      <c r="C68" s="1915">
        <v>50458.67</v>
      </c>
      <c r="D68" s="1915">
        <v>50458.67</v>
      </c>
      <c r="E68" s="1915">
        <v>50458.67</v>
      </c>
      <c r="F68" s="1915">
        <v>50458.67</v>
      </c>
      <c r="G68" s="1915">
        <v>50458.67</v>
      </c>
      <c r="H68" s="1915">
        <v>50458.67</v>
      </c>
      <c r="I68" s="1915">
        <v>50458.67</v>
      </c>
      <c r="J68" s="1915">
        <v>50458.67</v>
      </c>
      <c r="K68" s="1915">
        <v>50458.67</v>
      </c>
      <c r="L68" s="1915">
        <v>50458.67</v>
      </c>
      <c r="M68" s="1915">
        <v>50458.67</v>
      </c>
      <c r="N68" s="1915">
        <v>50458.67</v>
      </c>
      <c r="O68" s="1917">
        <v>20003220.239999998</v>
      </c>
      <c r="P68" s="1916"/>
      <c r="Q68" s="1916"/>
    </row>
    <row r="69" spans="1:17" hidden="1" x14ac:dyDescent="0.25">
      <c r="A69" s="443" t="s">
        <v>2563</v>
      </c>
      <c r="B69" s="440">
        <f>O12-O69</f>
        <v>0</v>
      </c>
      <c r="C69" s="1915">
        <v>840.99</v>
      </c>
      <c r="D69" s="1915">
        <v>840.99</v>
      </c>
      <c r="E69" s="1915">
        <v>840.99</v>
      </c>
      <c r="F69" s="1915">
        <v>840.99</v>
      </c>
      <c r="G69" s="1915">
        <v>840.99</v>
      </c>
      <c r="H69" s="1915">
        <v>840.99</v>
      </c>
      <c r="I69" s="1915">
        <v>840.99</v>
      </c>
      <c r="J69" s="1915">
        <v>840.99</v>
      </c>
      <c r="K69" s="1915">
        <v>840.99</v>
      </c>
      <c r="L69" s="1915">
        <v>840.99</v>
      </c>
      <c r="M69" s="1915">
        <v>840.99</v>
      </c>
      <c r="N69" s="1915">
        <v>840.99</v>
      </c>
      <c r="O69" s="1917">
        <f>SUM(C69:N69)</f>
        <v>10091.879999999999</v>
      </c>
      <c r="P69" s="1916"/>
      <c r="Q69" s="1916"/>
    </row>
    <row r="70" spans="1:17" hidden="1" x14ac:dyDescent="0.25">
      <c r="A70" s="443" t="s">
        <v>2564</v>
      </c>
      <c r="C70" s="1915">
        <v>22896.43</v>
      </c>
      <c r="D70" s="1915">
        <v>22055.439999999999</v>
      </c>
      <c r="E70" s="1915">
        <v>21214.45</v>
      </c>
      <c r="F70" s="1915">
        <v>20373.46</v>
      </c>
      <c r="G70" s="1915">
        <v>19532.47</v>
      </c>
      <c r="H70" s="1915">
        <v>18691.48</v>
      </c>
      <c r="I70" s="1915">
        <v>17850.490000000002</v>
      </c>
      <c r="J70" s="1915">
        <v>17009.5</v>
      </c>
      <c r="K70" s="1915">
        <v>16168.51</v>
      </c>
      <c r="L70" s="1915">
        <v>15327.52</v>
      </c>
      <c r="M70" s="1915">
        <v>14486.53</v>
      </c>
      <c r="N70" s="1915">
        <v>13645.54</v>
      </c>
      <c r="O70" s="1917">
        <f>N70</f>
        <v>13645.54</v>
      </c>
      <c r="P70" s="1916"/>
      <c r="Q70" s="1916"/>
    </row>
    <row r="71" spans="1:17" hidden="1" x14ac:dyDescent="0.25">
      <c r="A71" s="443" t="s">
        <v>2565</v>
      </c>
      <c r="C71" s="1915">
        <f>C67-C69-C70</f>
        <v>0</v>
      </c>
      <c r="D71" s="1915">
        <f t="shared" ref="D71" si="27">D67-D69-D70</f>
        <v>0</v>
      </c>
      <c r="E71" s="1915">
        <f t="shared" ref="E71" si="28">E67-E69-E70</f>
        <v>0</v>
      </c>
      <c r="F71" s="1915">
        <f t="shared" ref="F71" si="29">F67-F69-F70</f>
        <v>0</v>
      </c>
      <c r="G71" s="1915">
        <f t="shared" ref="G71" si="30">G67-G69-G70</f>
        <v>0</v>
      </c>
      <c r="H71" s="1915">
        <f t="shared" ref="H71" si="31">H67-H69-H70</f>
        <v>0</v>
      </c>
      <c r="I71" s="1915">
        <f t="shared" ref="I71" si="32">I67-I69-I70</f>
        <v>0</v>
      </c>
      <c r="J71" s="1915">
        <f t="shared" ref="J71" si="33">J67-J69-J70</f>
        <v>0</v>
      </c>
      <c r="K71" s="1915">
        <f t="shared" ref="K71" si="34">K67-K69-K70</f>
        <v>0</v>
      </c>
      <c r="L71" s="1915">
        <f t="shared" ref="L71" si="35">L67-L69-L70</f>
        <v>0</v>
      </c>
      <c r="M71" s="1915">
        <f t="shared" ref="M71" si="36">M67-M69-M70</f>
        <v>0</v>
      </c>
      <c r="N71" s="1915">
        <f t="shared" ref="N71" si="37">N67-N69-N70</f>
        <v>0</v>
      </c>
      <c r="O71" s="1917"/>
      <c r="P71" s="1916"/>
      <c r="Q71" s="1916"/>
    </row>
    <row r="72" spans="1:17" hidden="1" x14ac:dyDescent="0.25">
      <c r="C72" s="1915">
        <v>840.99</v>
      </c>
      <c r="D72" s="1915">
        <v>840.99</v>
      </c>
      <c r="E72" s="1915">
        <v>840.99</v>
      </c>
      <c r="F72" s="1915">
        <v>840.99</v>
      </c>
      <c r="G72" s="1915">
        <v>840.99</v>
      </c>
      <c r="H72" s="1915">
        <v>840.99</v>
      </c>
      <c r="I72" s="1915">
        <v>840.99</v>
      </c>
      <c r="J72" s="1915">
        <v>840.99</v>
      </c>
      <c r="K72" s="1915">
        <v>840.99</v>
      </c>
      <c r="L72" s="1915">
        <v>840.99</v>
      </c>
      <c r="M72" s="1915">
        <v>840.99</v>
      </c>
      <c r="N72" s="1915">
        <v>840.99</v>
      </c>
      <c r="O72" s="1917">
        <f>O67-O70</f>
        <v>10091.879999999999</v>
      </c>
      <c r="P72" s="1916"/>
      <c r="Q72" s="1916"/>
    </row>
    <row r="73" spans="1:17" hidden="1" x14ac:dyDescent="0.25">
      <c r="C73" s="1915"/>
      <c r="D73" s="1915"/>
      <c r="E73" s="1915"/>
      <c r="F73" s="1915"/>
      <c r="G73" s="1915"/>
      <c r="H73" s="1915"/>
      <c r="I73" s="1915"/>
      <c r="J73" s="1915"/>
      <c r="K73" s="1915"/>
      <c r="L73" s="1915"/>
      <c r="M73" s="1915"/>
      <c r="N73" s="1915"/>
      <c r="O73" s="1916"/>
      <c r="P73" s="1916"/>
      <c r="Q73" s="1916"/>
    </row>
    <row r="74" spans="1:17" ht="24" hidden="1" x14ac:dyDescent="0.25">
      <c r="A74" s="485" t="s">
        <v>1083</v>
      </c>
      <c r="C74" s="1915" t="s">
        <v>2560</v>
      </c>
      <c r="D74" s="1915" t="s">
        <v>2566</v>
      </c>
      <c r="E74" s="1915" t="s">
        <v>2567</v>
      </c>
      <c r="F74" s="1915" t="s">
        <v>2551</v>
      </c>
      <c r="G74" s="1915" t="s">
        <v>2552</v>
      </c>
      <c r="H74" s="1915" t="s">
        <v>2553</v>
      </c>
      <c r="I74" s="1915" t="s">
        <v>2554</v>
      </c>
      <c r="J74" s="1915" t="s">
        <v>2555</v>
      </c>
      <c r="K74" s="1915" t="s">
        <v>2556</v>
      </c>
      <c r="L74" s="1915" t="s">
        <v>2557</v>
      </c>
      <c r="M74" s="1915" t="s">
        <v>2558</v>
      </c>
      <c r="N74" s="1915" t="s">
        <v>2559</v>
      </c>
      <c r="O74" s="1916"/>
      <c r="P74" s="1916"/>
      <c r="Q74" s="1916"/>
    </row>
    <row r="75" spans="1:17" hidden="1" x14ac:dyDescent="0.25">
      <c r="A75" s="443" t="s">
        <v>2561</v>
      </c>
      <c r="B75" s="1915">
        <f>C75-B13</f>
        <v>0</v>
      </c>
      <c r="C75" s="1915">
        <v>15862.42</v>
      </c>
      <c r="D75" s="1915">
        <v>15516.71</v>
      </c>
      <c r="E75" s="1915">
        <v>15171</v>
      </c>
      <c r="F75" s="1915">
        <v>14825.29</v>
      </c>
      <c r="G75" s="1915">
        <v>14479.58</v>
      </c>
      <c r="H75" s="1915">
        <v>14133.87</v>
      </c>
      <c r="I75" s="1915">
        <v>13788.16</v>
      </c>
      <c r="J75" s="1915">
        <v>13442.45</v>
      </c>
      <c r="K75" s="1915">
        <v>13096.74</v>
      </c>
      <c r="L75" s="1915">
        <v>12751.03</v>
      </c>
      <c r="M75" s="1915">
        <v>12405.32</v>
      </c>
      <c r="N75" s="1915">
        <v>12059.61</v>
      </c>
      <c r="O75" s="1917">
        <f>C75</f>
        <v>15862.42</v>
      </c>
      <c r="P75" s="1916">
        <f>O75-O77</f>
        <v>11713.9</v>
      </c>
      <c r="Q75" s="1916">
        <f>O78-P75</f>
        <v>0</v>
      </c>
    </row>
    <row r="76" spans="1:17" hidden="1" x14ac:dyDescent="0.25">
      <c r="A76" s="443" t="s">
        <v>2562</v>
      </c>
      <c r="C76" s="1915">
        <v>24822.33</v>
      </c>
      <c r="D76" s="1915">
        <v>24822.33</v>
      </c>
      <c r="E76" s="1915">
        <v>24822.33</v>
      </c>
      <c r="F76" s="1915">
        <v>24822.33</v>
      </c>
      <c r="G76" s="1915">
        <v>24822.33</v>
      </c>
      <c r="H76" s="1915">
        <v>24822.33</v>
      </c>
      <c r="I76" s="1915">
        <v>24822.33</v>
      </c>
      <c r="J76" s="1915">
        <v>24822.33</v>
      </c>
      <c r="K76" s="1915">
        <v>24822.33</v>
      </c>
      <c r="L76" s="1915">
        <v>24822.33</v>
      </c>
      <c r="M76" s="1915">
        <v>24822.33</v>
      </c>
      <c r="N76" s="1915">
        <v>24822.33</v>
      </c>
      <c r="O76" s="1917">
        <v>20003220.239999998</v>
      </c>
      <c r="P76" s="1916"/>
      <c r="Q76" s="1916"/>
    </row>
    <row r="77" spans="1:17" hidden="1" x14ac:dyDescent="0.25">
      <c r="A77" s="443" t="s">
        <v>2563</v>
      </c>
      <c r="B77" s="440">
        <f>O13-O77</f>
        <v>0</v>
      </c>
      <c r="C77" s="1915">
        <v>345.71</v>
      </c>
      <c r="D77" s="1915">
        <v>345.71</v>
      </c>
      <c r="E77" s="1915">
        <v>345.71</v>
      </c>
      <c r="F77" s="1915">
        <v>345.71</v>
      </c>
      <c r="G77" s="1915">
        <v>345.71</v>
      </c>
      <c r="H77" s="1915">
        <v>345.71</v>
      </c>
      <c r="I77" s="1915">
        <v>345.71</v>
      </c>
      <c r="J77" s="1915">
        <v>345.71</v>
      </c>
      <c r="K77" s="1915">
        <v>345.71</v>
      </c>
      <c r="L77" s="1915">
        <v>345.71</v>
      </c>
      <c r="M77" s="1915">
        <v>345.71</v>
      </c>
      <c r="N77" s="1915">
        <v>345.71</v>
      </c>
      <c r="O77" s="1917">
        <f>SUM(C77:N77)</f>
        <v>4148.5200000000004</v>
      </c>
      <c r="P77" s="1916"/>
      <c r="Q77" s="1916"/>
    </row>
    <row r="78" spans="1:17" hidden="1" x14ac:dyDescent="0.25">
      <c r="A78" s="443" t="s">
        <v>2564</v>
      </c>
      <c r="C78" s="1915">
        <v>15516.71</v>
      </c>
      <c r="D78" s="1915">
        <v>15171</v>
      </c>
      <c r="E78" s="1915">
        <v>14825.29</v>
      </c>
      <c r="F78" s="1915">
        <v>14479.58</v>
      </c>
      <c r="G78" s="1915">
        <v>14133.87</v>
      </c>
      <c r="H78" s="1915">
        <v>13788.16</v>
      </c>
      <c r="I78" s="1915">
        <v>13442.45</v>
      </c>
      <c r="J78" s="1915">
        <v>13096.74</v>
      </c>
      <c r="K78" s="1915">
        <v>12751.03</v>
      </c>
      <c r="L78" s="1915">
        <v>12405.32</v>
      </c>
      <c r="M78" s="1915">
        <v>12059.61</v>
      </c>
      <c r="N78" s="1915">
        <v>11713.9</v>
      </c>
      <c r="O78" s="1917">
        <f>N78</f>
        <v>11713.9</v>
      </c>
      <c r="P78" s="1916"/>
      <c r="Q78" s="1916"/>
    </row>
    <row r="79" spans="1:17" hidden="1" x14ac:dyDescent="0.25">
      <c r="A79" s="443" t="s">
        <v>2565</v>
      </c>
      <c r="C79" s="1915">
        <f>C75-C77-C78</f>
        <v>0</v>
      </c>
      <c r="D79" s="1915">
        <f t="shared" ref="D79" si="38">D75-D77-D78</f>
        <v>0</v>
      </c>
      <c r="E79" s="1915">
        <f t="shared" ref="E79" si="39">E75-E77-E78</f>
        <v>0</v>
      </c>
      <c r="F79" s="1915">
        <f t="shared" ref="F79" si="40">F75-F77-F78</f>
        <v>0</v>
      </c>
      <c r="G79" s="1915">
        <f t="shared" ref="G79" si="41">G75-G77-G78</f>
        <v>0</v>
      </c>
      <c r="H79" s="1915">
        <f t="shared" ref="H79" si="42">H75-H77-H78</f>
        <v>0</v>
      </c>
      <c r="I79" s="1915">
        <f t="shared" ref="I79" si="43">I75-I77-I78</f>
        <v>0</v>
      </c>
      <c r="J79" s="1915">
        <f t="shared" ref="J79" si="44">J75-J77-J78</f>
        <v>0</v>
      </c>
      <c r="K79" s="1915">
        <f t="shared" ref="K79" si="45">K75-K77-K78</f>
        <v>0</v>
      </c>
      <c r="L79" s="1915">
        <f t="shared" ref="L79" si="46">L75-L77-L78</f>
        <v>0</v>
      </c>
      <c r="M79" s="1915">
        <f t="shared" ref="M79" si="47">M75-M77-M78</f>
        <v>0</v>
      </c>
      <c r="N79" s="1915">
        <f t="shared" ref="N79" si="48">N75-N77-N78</f>
        <v>0</v>
      </c>
      <c r="O79" s="1917"/>
      <c r="P79" s="1916"/>
      <c r="Q79" s="1916"/>
    </row>
    <row r="80" spans="1:17" hidden="1" x14ac:dyDescent="0.25">
      <c r="C80" s="1915">
        <v>345.71</v>
      </c>
      <c r="D80" s="1915">
        <v>345.71</v>
      </c>
      <c r="E80" s="1915">
        <v>345.71</v>
      </c>
      <c r="F80" s="1915">
        <v>345.71</v>
      </c>
      <c r="G80" s="1915">
        <v>345.71</v>
      </c>
      <c r="H80" s="1915">
        <v>345.71</v>
      </c>
      <c r="I80" s="1915">
        <v>345.71</v>
      </c>
      <c r="J80" s="1915">
        <v>345.71</v>
      </c>
      <c r="K80" s="1915">
        <v>345.71</v>
      </c>
      <c r="L80" s="1915">
        <v>345.71</v>
      </c>
      <c r="M80" s="1915">
        <v>345.71</v>
      </c>
      <c r="N80" s="1915">
        <v>345.71</v>
      </c>
      <c r="O80" s="1917">
        <f>O75-O78</f>
        <v>4148.5200000000004</v>
      </c>
      <c r="P80" s="1916"/>
      <c r="Q80" s="1916"/>
    </row>
    <row r="81" spans="1:18" x14ac:dyDescent="0.25">
      <c r="C81" s="1915"/>
      <c r="D81" s="1915"/>
      <c r="E81" s="1915"/>
      <c r="F81" s="1915"/>
      <c r="G81" s="1915"/>
      <c r="H81" s="1915"/>
      <c r="I81" s="1915"/>
      <c r="J81" s="1915"/>
      <c r="K81" s="1915"/>
      <c r="L81" s="1915"/>
      <c r="M81" s="1915"/>
      <c r="N81" s="1915"/>
      <c r="O81" s="1916"/>
      <c r="P81" s="1916"/>
      <c r="Q81" s="1916"/>
    </row>
    <row r="82" spans="1:18" hidden="1" x14ac:dyDescent="0.25">
      <c r="A82" s="485" t="s">
        <v>1642</v>
      </c>
      <c r="C82" s="1915" t="s">
        <v>2560</v>
      </c>
      <c r="D82" s="1915" t="s">
        <v>2566</v>
      </c>
      <c r="E82" s="1915" t="s">
        <v>2567</v>
      </c>
      <c r="F82" s="1915" t="s">
        <v>2551</v>
      </c>
      <c r="G82" s="1915" t="s">
        <v>2552</v>
      </c>
      <c r="H82" s="1915" t="s">
        <v>2553</v>
      </c>
      <c r="I82" s="1915" t="s">
        <v>2554</v>
      </c>
      <c r="J82" s="1915" t="s">
        <v>2555</v>
      </c>
      <c r="K82" s="1915" t="s">
        <v>2556</v>
      </c>
      <c r="L82" s="1915" t="s">
        <v>2557</v>
      </c>
      <c r="M82" s="1915" t="s">
        <v>2558</v>
      </c>
      <c r="N82" s="1915" t="s">
        <v>2559</v>
      </c>
      <c r="O82" s="1916"/>
      <c r="P82" s="1916"/>
      <c r="Q82" s="1916"/>
    </row>
    <row r="83" spans="1:18" hidden="1" x14ac:dyDescent="0.25">
      <c r="A83" s="443" t="s">
        <v>2561</v>
      </c>
      <c r="B83" s="440">
        <f>B14-C83</f>
        <v>-4021471.49</v>
      </c>
      <c r="C83" s="1915">
        <v>7769550.1399999997</v>
      </c>
      <c r="D83" s="1915">
        <v>7647716.29</v>
      </c>
      <c r="E83" s="1915">
        <v>7525882.4400000004</v>
      </c>
      <c r="F83" s="1915">
        <v>7404048.5899999999</v>
      </c>
      <c r="G83" s="1915">
        <v>7282214.7400000002</v>
      </c>
      <c r="H83" s="1915">
        <v>7160380.8899999997</v>
      </c>
      <c r="I83" s="1915">
        <v>7038615.9500000002</v>
      </c>
      <c r="J83" s="1915">
        <v>6916851.5300000003</v>
      </c>
      <c r="K83" s="1915">
        <v>6795087.1100000003</v>
      </c>
      <c r="L83" s="1915">
        <v>6673322.6900000004</v>
      </c>
      <c r="M83" s="1915">
        <v>6551558.2699999996</v>
      </c>
      <c r="N83" s="1915">
        <v>6429793.8499999996</v>
      </c>
      <c r="O83" s="1917">
        <f>C83</f>
        <v>7769550.1399999997</v>
      </c>
      <c r="P83" s="1916">
        <f>O83-O85</f>
        <v>6308029.4299999997</v>
      </c>
      <c r="Q83" s="1916">
        <f>O86-P83</f>
        <v>0</v>
      </c>
    </row>
    <row r="84" spans="1:18" hidden="1" x14ac:dyDescent="0.25">
      <c r="A84" s="443" t="s">
        <v>2562</v>
      </c>
      <c r="C84" s="1915">
        <v>17309851.710000001</v>
      </c>
      <c r="D84" s="1915">
        <v>17309851.710000001</v>
      </c>
      <c r="E84" s="1915">
        <v>17309851.710000001</v>
      </c>
      <c r="F84" s="1915">
        <v>17309851.710000001</v>
      </c>
      <c r="G84" s="1915">
        <v>17309851.710000001</v>
      </c>
      <c r="H84" s="1915">
        <v>17309851.710000001</v>
      </c>
      <c r="I84" s="1915">
        <v>17309851.710000001</v>
      </c>
      <c r="J84" s="1915">
        <v>17309851.710000001</v>
      </c>
      <c r="K84" s="1915">
        <v>17309851.710000001</v>
      </c>
      <c r="L84" s="1915">
        <v>17309851.710000001</v>
      </c>
      <c r="M84" s="1915">
        <v>17309851.710000001</v>
      </c>
      <c r="N84" s="1915">
        <v>17309851.710000001</v>
      </c>
      <c r="O84" s="1917">
        <v>20003220.239999998</v>
      </c>
      <c r="P84" s="1916"/>
      <c r="Q84" s="1916"/>
    </row>
    <row r="85" spans="1:18" hidden="1" x14ac:dyDescent="0.25">
      <c r="A85" s="443" t="s">
        <v>2563</v>
      </c>
      <c r="B85" s="440">
        <f>O14-O85</f>
        <v>-870301.2</v>
      </c>
      <c r="C85" s="1915">
        <v>121833.85</v>
      </c>
      <c r="D85" s="1915">
        <v>121833.85</v>
      </c>
      <c r="E85" s="1915">
        <v>121833.85</v>
      </c>
      <c r="F85" s="1915">
        <v>121833.85</v>
      </c>
      <c r="G85" s="1915">
        <v>121833.85</v>
      </c>
      <c r="H85" s="1915">
        <v>121764.94</v>
      </c>
      <c r="I85" s="1915">
        <v>121764.42</v>
      </c>
      <c r="J85" s="1915">
        <v>121764.42</v>
      </c>
      <c r="K85" s="1915">
        <v>121764.42</v>
      </c>
      <c r="L85" s="1915">
        <v>121764.42</v>
      </c>
      <c r="M85" s="1915">
        <v>121764.42</v>
      </c>
      <c r="N85" s="1915">
        <v>121764.42</v>
      </c>
      <c r="O85" s="1917">
        <f>SUM(C85:N85)</f>
        <v>1461520.71</v>
      </c>
      <c r="P85" s="1916"/>
      <c r="Q85" s="1916"/>
    </row>
    <row r="86" spans="1:18" hidden="1" x14ac:dyDescent="0.25">
      <c r="A86" s="443" t="s">
        <v>2564</v>
      </c>
      <c r="C86" s="1915">
        <v>7647716.29</v>
      </c>
      <c r="D86" s="1915">
        <v>7525882.4400000004</v>
      </c>
      <c r="E86" s="1915">
        <v>7404048.5899999999</v>
      </c>
      <c r="F86" s="1915">
        <v>7282214.7400000002</v>
      </c>
      <c r="G86" s="1915">
        <v>7160380.8899999997</v>
      </c>
      <c r="H86" s="1915">
        <v>7038615.9500000002</v>
      </c>
      <c r="I86" s="1915">
        <v>6916851.5300000003</v>
      </c>
      <c r="J86" s="1915">
        <v>6795087.1100000003</v>
      </c>
      <c r="K86" s="1915">
        <v>6673322.6900000004</v>
      </c>
      <c r="L86" s="1915">
        <v>6551558.2699999996</v>
      </c>
      <c r="M86" s="1915">
        <v>6429793.8499999996</v>
      </c>
      <c r="N86" s="1915">
        <v>6308029.4299999997</v>
      </c>
      <c r="O86" s="1917">
        <f>N86</f>
        <v>6308029.4299999997</v>
      </c>
      <c r="P86" s="1916"/>
      <c r="Q86" s="1916"/>
    </row>
    <row r="87" spans="1:18" hidden="1" x14ac:dyDescent="0.25">
      <c r="A87" s="443" t="s">
        <v>2565</v>
      </c>
      <c r="C87" s="1915">
        <f>C83-C85-C86</f>
        <v>0</v>
      </c>
      <c r="D87" s="1915">
        <f t="shared" ref="D87" si="49">D83-D85-D86</f>
        <v>0</v>
      </c>
      <c r="E87" s="1915">
        <f t="shared" ref="E87" si="50">E83-E85-E86</f>
        <v>0</v>
      </c>
      <c r="F87" s="1915">
        <f t="shared" ref="F87" si="51">F83-F85-F86</f>
        <v>0</v>
      </c>
      <c r="G87" s="1915">
        <f t="shared" ref="G87" si="52">G83-G85-G86</f>
        <v>0</v>
      </c>
      <c r="H87" s="1915">
        <f t="shared" ref="H87" si="53">H83-H85-H86</f>
        <v>0</v>
      </c>
      <c r="I87" s="1915">
        <f t="shared" ref="I87" si="54">I83-I85-I86</f>
        <v>0</v>
      </c>
      <c r="J87" s="1915">
        <f t="shared" ref="J87" si="55">J83-J85-J86</f>
        <v>0</v>
      </c>
      <c r="K87" s="1915">
        <f t="shared" ref="K87" si="56">K83-K85-K86</f>
        <v>0</v>
      </c>
      <c r="L87" s="1915">
        <f t="shared" ref="L87" si="57">L83-L85-L86</f>
        <v>0</v>
      </c>
      <c r="M87" s="1915">
        <f t="shared" ref="M87" si="58">M83-M85-M86</f>
        <v>0</v>
      </c>
      <c r="N87" s="1915">
        <f t="shared" ref="N87" si="59">N83-N85-N86</f>
        <v>0</v>
      </c>
      <c r="O87" s="1917"/>
      <c r="P87" s="1916"/>
      <c r="Q87" s="1916"/>
    </row>
    <row r="88" spans="1:18" hidden="1" x14ac:dyDescent="0.25">
      <c r="C88" s="1915">
        <v>121833.85</v>
      </c>
      <c r="D88" s="1915">
        <v>121833.85</v>
      </c>
      <c r="E88" s="1915">
        <v>121833.85</v>
      </c>
      <c r="F88" s="1915">
        <v>121833.85</v>
      </c>
      <c r="G88" s="1915">
        <v>121833.85</v>
      </c>
      <c r="H88" s="1915">
        <v>121764.94</v>
      </c>
      <c r="I88" s="1915">
        <v>121764.42</v>
      </c>
      <c r="J88" s="1915">
        <v>121764.42</v>
      </c>
      <c r="K88" s="1915">
        <v>121764.42</v>
      </c>
      <c r="L88" s="1915">
        <v>121764.42</v>
      </c>
      <c r="M88" s="1915">
        <v>121764.42</v>
      </c>
      <c r="N88" s="1915">
        <v>121764.42</v>
      </c>
      <c r="O88" s="1917">
        <f>O83-O86</f>
        <v>1461520.71</v>
      </c>
      <c r="P88" s="1916"/>
      <c r="Q88" s="1916"/>
    </row>
    <row r="89" spans="1:18" hidden="1" x14ac:dyDescent="0.25">
      <c r="C89" s="1915"/>
      <c r="D89" s="1915"/>
      <c r="E89" s="1915"/>
      <c r="F89" s="1915"/>
      <c r="G89" s="1915"/>
      <c r="H89" s="1915"/>
      <c r="I89" s="1915"/>
      <c r="J89" s="1915"/>
      <c r="K89" s="1915"/>
      <c r="L89" s="1915"/>
      <c r="M89" s="1915"/>
      <c r="N89" s="1915"/>
      <c r="O89" s="1916"/>
      <c r="P89" s="1916"/>
      <c r="Q89" s="1916"/>
    </row>
    <row r="90" spans="1:18" hidden="1" x14ac:dyDescent="0.25">
      <c r="A90" s="485" t="s">
        <v>997</v>
      </c>
      <c r="C90" s="1915" t="s">
        <v>2560</v>
      </c>
      <c r="D90" s="1915" t="s">
        <v>2566</v>
      </c>
      <c r="E90" s="1915" t="s">
        <v>2567</v>
      </c>
      <c r="F90" s="1915" t="s">
        <v>2551</v>
      </c>
      <c r="G90" s="1915" t="s">
        <v>2552</v>
      </c>
      <c r="H90" s="1915" t="s">
        <v>2553</v>
      </c>
      <c r="I90" s="1915" t="s">
        <v>2554</v>
      </c>
      <c r="J90" s="1915" t="s">
        <v>2555</v>
      </c>
      <c r="K90" s="1915" t="s">
        <v>2556</v>
      </c>
      <c r="L90" s="1915" t="s">
        <v>2557</v>
      </c>
      <c r="M90" s="1915" t="s">
        <v>2558</v>
      </c>
      <c r="N90" s="1915" t="s">
        <v>2559</v>
      </c>
      <c r="O90" s="1917"/>
      <c r="P90" s="1916"/>
      <c r="Q90" s="1916"/>
    </row>
    <row r="91" spans="1:18" hidden="1" x14ac:dyDescent="0.25">
      <c r="A91" s="443" t="s">
        <v>2561</v>
      </c>
      <c r="B91" s="440">
        <f>B15-C91</f>
        <v>0</v>
      </c>
      <c r="C91" s="1915">
        <v>671510.03</v>
      </c>
      <c r="D91" s="1919">
        <v>663771.06999999995</v>
      </c>
      <c r="E91" s="1919">
        <v>656032.11</v>
      </c>
      <c r="F91" s="1915">
        <v>648293.15</v>
      </c>
      <c r="G91" s="1915">
        <v>640554.18999999994</v>
      </c>
      <c r="H91" s="1915">
        <v>632815.23</v>
      </c>
      <c r="I91" s="1915">
        <v>625076.27</v>
      </c>
      <c r="J91" s="1915">
        <v>617383.06000000006</v>
      </c>
      <c r="K91" s="1915">
        <v>609693.27</v>
      </c>
      <c r="L91" s="1915">
        <v>602003.48</v>
      </c>
      <c r="M91" s="1915">
        <v>594313.68999999994</v>
      </c>
      <c r="N91" s="1915">
        <v>586623.9</v>
      </c>
      <c r="O91" s="1917">
        <f>C91</f>
        <v>671510.03</v>
      </c>
      <c r="P91" s="1916">
        <f>O91-O93</f>
        <v>578934.11</v>
      </c>
      <c r="Q91" s="1918">
        <f>O94-P91</f>
        <v>0</v>
      </c>
      <c r="R91" s="443">
        <f>Q91/12</f>
        <v>0</v>
      </c>
    </row>
    <row r="92" spans="1:18" hidden="1" x14ac:dyDescent="0.25">
      <c r="A92" s="443" t="s">
        <v>2562</v>
      </c>
      <c r="C92" s="1915">
        <v>861376.44</v>
      </c>
      <c r="D92" s="1915">
        <v>861376.44</v>
      </c>
      <c r="E92" s="1915">
        <v>861376.44</v>
      </c>
      <c r="F92" s="1915">
        <v>861376.44</v>
      </c>
      <c r="G92" s="1915">
        <v>861376.44</v>
      </c>
      <c r="H92" s="1915">
        <v>861376.44</v>
      </c>
      <c r="I92" s="1915">
        <v>861376.44</v>
      </c>
      <c r="J92" s="1915">
        <v>861376.44</v>
      </c>
      <c r="K92" s="1915">
        <v>861376.44</v>
      </c>
      <c r="L92" s="1915">
        <v>861376.44</v>
      </c>
      <c r="M92" s="1915">
        <v>861376.44</v>
      </c>
      <c r="N92" s="1915">
        <v>861376.44</v>
      </c>
      <c r="O92" s="1917">
        <v>20003220.239999998</v>
      </c>
      <c r="P92" s="1916"/>
      <c r="Q92" s="1916"/>
    </row>
    <row r="93" spans="1:18" hidden="1" x14ac:dyDescent="0.25">
      <c r="A93" s="443" t="s">
        <v>2563</v>
      </c>
      <c r="B93" s="440">
        <f>O15-O93</f>
        <v>0</v>
      </c>
      <c r="C93" s="1915">
        <v>7738.96</v>
      </c>
      <c r="D93" s="1915">
        <v>7738.96</v>
      </c>
      <c r="E93" s="1915">
        <v>7738.96</v>
      </c>
      <c r="F93" s="1915">
        <v>7738.96</v>
      </c>
      <c r="G93" s="1915">
        <v>7738.96</v>
      </c>
      <c r="H93" s="1915">
        <v>7738.96</v>
      </c>
      <c r="I93" s="1915">
        <v>7693.21</v>
      </c>
      <c r="J93" s="1915">
        <v>7689.79</v>
      </c>
      <c r="K93" s="1915">
        <v>7689.79</v>
      </c>
      <c r="L93" s="1915">
        <v>7689.79</v>
      </c>
      <c r="M93" s="1915">
        <v>7689.79</v>
      </c>
      <c r="N93" s="1915">
        <v>7689.79</v>
      </c>
      <c r="O93" s="1917">
        <f>SUM(C93:N93)</f>
        <v>92575.92</v>
      </c>
      <c r="P93" s="1916"/>
      <c r="Q93" s="1916"/>
    </row>
    <row r="94" spans="1:18" hidden="1" x14ac:dyDescent="0.25">
      <c r="A94" s="443" t="s">
        <v>2564</v>
      </c>
      <c r="C94" s="1919">
        <v>663771.06999999995</v>
      </c>
      <c r="D94" s="1919">
        <v>656032.11</v>
      </c>
      <c r="E94" s="1915">
        <v>648293.15</v>
      </c>
      <c r="F94" s="1915">
        <v>640554.18999999994</v>
      </c>
      <c r="G94" s="1915">
        <v>632815.23</v>
      </c>
      <c r="H94" s="1915">
        <v>625076.27</v>
      </c>
      <c r="I94" s="1915">
        <v>617383.06000000006</v>
      </c>
      <c r="J94" s="1915">
        <v>609693.27</v>
      </c>
      <c r="K94" s="1915">
        <v>602003.48</v>
      </c>
      <c r="L94" s="1915">
        <v>594313.68999999994</v>
      </c>
      <c r="M94" s="1915">
        <v>586623.9</v>
      </c>
      <c r="N94" s="1915">
        <v>578934.11</v>
      </c>
      <c r="O94" s="1917">
        <f>N94</f>
        <v>578934.11</v>
      </c>
      <c r="P94" s="1916"/>
      <c r="Q94" s="1916"/>
    </row>
    <row r="95" spans="1:18" hidden="1" x14ac:dyDescent="0.25">
      <c r="A95" s="443" t="s">
        <v>2565</v>
      </c>
      <c r="C95" s="1915"/>
      <c r="D95" s="1915"/>
      <c r="E95" s="1915"/>
      <c r="F95" s="1915">
        <f t="shared" ref="F95" si="60">F91-F93-F94</f>
        <v>0</v>
      </c>
      <c r="G95" s="1915">
        <f t="shared" ref="G95" si="61">G91-G93-G94</f>
        <v>0</v>
      </c>
      <c r="H95" s="1915">
        <f t="shared" ref="H95" si="62">H91-H93-H94</f>
        <v>0</v>
      </c>
      <c r="I95" s="1915">
        <f t="shared" ref="I95" si="63">I91-I93-I94</f>
        <v>0</v>
      </c>
      <c r="J95" s="1915">
        <f t="shared" ref="J95" si="64">J91-J93-J94</f>
        <v>0</v>
      </c>
      <c r="K95" s="1915">
        <f t="shared" ref="K95" si="65">K91-K93-K94</f>
        <v>0</v>
      </c>
      <c r="L95" s="1915">
        <f t="shared" ref="L95" si="66">L91-L93-L94</f>
        <v>0</v>
      </c>
      <c r="M95" s="1915">
        <f t="shared" ref="M95" si="67">M91-M93-M94</f>
        <v>0</v>
      </c>
      <c r="N95" s="1915">
        <f t="shared" ref="N95" si="68">N91-N93-N94</f>
        <v>0</v>
      </c>
      <c r="O95" s="1917"/>
      <c r="P95" s="1916"/>
      <c r="Q95" s="1916"/>
    </row>
    <row r="96" spans="1:18" hidden="1" x14ac:dyDescent="0.25">
      <c r="C96" s="1915">
        <v>7738.96</v>
      </c>
      <c r="D96" s="1915">
        <v>7738.96</v>
      </c>
      <c r="E96" s="1915">
        <v>7738.96</v>
      </c>
      <c r="F96" s="1915">
        <v>7738.96</v>
      </c>
      <c r="G96" s="1915">
        <v>7738.96</v>
      </c>
      <c r="H96" s="1915">
        <v>7738.96</v>
      </c>
      <c r="I96" s="1915">
        <v>7693.21</v>
      </c>
      <c r="J96" s="1915">
        <v>7689.79</v>
      </c>
      <c r="K96" s="1915">
        <v>7689.79</v>
      </c>
      <c r="L96" s="1915">
        <v>7689.79</v>
      </c>
      <c r="M96" s="1915">
        <v>7689.79</v>
      </c>
      <c r="N96" s="1915">
        <v>7689.79</v>
      </c>
      <c r="O96" s="1917">
        <f>O91-O94</f>
        <v>92575.92</v>
      </c>
      <c r="P96" s="1916"/>
      <c r="Q96" s="1916"/>
    </row>
    <row r="97" spans="1:17" x14ac:dyDescent="0.25">
      <c r="C97" s="1915"/>
      <c r="D97" s="1915"/>
      <c r="E97" s="1915"/>
      <c r="F97" s="1915"/>
      <c r="G97" s="1915"/>
      <c r="H97" s="1915"/>
      <c r="I97" s="1915"/>
      <c r="J97" s="1915"/>
      <c r="K97" s="1915"/>
      <c r="L97" s="1915"/>
      <c r="M97" s="1915"/>
      <c r="N97" s="1915"/>
      <c r="O97" s="1916"/>
      <c r="P97" s="1916"/>
      <c r="Q97" s="1916"/>
    </row>
    <row r="98" spans="1:17" x14ac:dyDescent="0.25">
      <c r="A98" s="485" t="s">
        <v>1076</v>
      </c>
      <c r="C98" s="1915" t="s">
        <v>2560</v>
      </c>
      <c r="D98" s="1915" t="s">
        <v>2566</v>
      </c>
      <c r="E98" s="1915" t="s">
        <v>2567</v>
      </c>
      <c r="F98" s="1915" t="s">
        <v>2551</v>
      </c>
      <c r="G98" s="1915" t="s">
        <v>2552</v>
      </c>
      <c r="H98" s="1915" t="s">
        <v>2553</v>
      </c>
      <c r="I98" s="1915" t="s">
        <v>2554</v>
      </c>
      <c r="J98" s="1915" t="s">
        <v>2555</v>
      </c>
      <c r="K98" s="1915" t="s">
        <v>2556</v>
      </c>
      <c r="L98" s="1915" t="s">
        <v>2557</v>
      </c>
      <c r="M98" s="1915" t="s">
        <v>2558</v>
      </c>
      <c r="N98" s="1915" t="s">
        <v>2559</v>
      </c>
      <c r="O98" s="1917"/>
      <c r="P98" s="1916"/>
      <c r="Q98" s="1916"/>
    </row>
    <row r="99" spans="1:17" x14ac:dyDescent="0.25">
      <c r="A99" s="443" t="s">
        <v>2561</v>
      </c>
      <c r="B99" s="1915">
        <f>C99-B16</f>
        <v>0</v>
      </c>
      <c r="C99" s="1915">
        <v>179537.8</v>
      </c>
      <c r="D99" s="1915">
        <v>176305.84</v>
      </c>
      <c r="E99" s="1915">
        <v>173073.88</v>
      </c>
      <c r="F99" s="1915">
        <v>169841.92000000001</v>
      </c>
      <c r="G99" s="1915">
        <v>166609.96</v>
      </c>
      <c r="H99" s="1915">
        <v>163378.20000000001</v>
      </c>
      <c r="I99" s="1915">
        <v>160381.31</v>
      </c>
      <c r="J99" s="1915">
        <v>157384.42000000001</v>
      </c>
      <c r="K99" s="1915">
        <v>154387.53</v>
      </c>
      <c r="L99" s="1915">
        <v>151390.64000000001</v>
      </c>
      <c r="M99" s="1915">
        <v>148393.75</v>
      </c>
      <c r="N99" s="1915">
        <v>145396.85999999999</v>
      </c>
      <c r="O99" s="1917">
        <f>C99</f>
        <v>179537.8</v>
      </c>
      <c r="P99" s="1916">
        <f>O99-O101</f>
        <v>142399.97</v>
      </c>
      <c r="Q99" s="1916">
        <f>O102-P99</f>
        <v>0</v>
      </c>
    </row>
    <row r="100" spans="1:17" x14ac:dyDescent="0.25">
      <c r="A100" s="443" t="s">
        <v>2562</v>
      </c>
      <c r="C100" s="1915">
        <v>328632.39</v>
      </c>
      <c r="D100" s="1915">
        <v>328632.39</v>
      </c>
      <c r="E100" s="1915">
        <v>328632.39</v>
      </c>
      <c r="F100" s="1915">
        <v>328632.39</v>
      </c>
      <c r="G100" s="1915">
        <v>328632.39</v>
      </c>
      <c r="H100" s="1915">
        <v>328632.39</v>
      </c>
      <c r="I100" s="1915">
        <v>328632.39</v>
      </c>
      <c r="J100" s="1915">
        <v>328632.39</v>
      </c>
      <c r="K100" s="1915">
        <v>328632.39</v>
      </c>
      <c r="L100" s="1915">
        <v>328632.39</v>
      </c>
      <c r="M100" s="1915">
        <v>328632.39</v>
      </c>
      <c r="N100" s="1915">
        <v>328632.39</v>
      </c>
      <c r="O100" s="1917">
        <v>20003220.239999998</v>
      </c>
      <c r="P100" s="1916"/>
      <c r="Q100" s="1916"/>
    </row>
    <row r="101" spans="1:17" x14ac:dyDescent="0.25">
      <c r="A101" s="443" t="s">
        <v>2563</v>
      </c>
      <c r="B101" s="1915">
        <f>O101-O16</f>
        <v>0</v>
      </c>
      <c r="C101" s="1915">
        <v>3231.96</v>
      </c>
      <c r="D101" s="1915">
        <v>3231.96</v>
      </c>
      <c r="E101" s="1915">
        <v>3231.96</v>
      </c>
      <c r="F101" s="1915">
        <v>3231.96</v>
      </c>
      <c r="G101" s="1915">
        <v>3231.76</v>
      </c>
      <c r="H101" s="1915">
        <v>2996.89</v>
      </c>
      <c r="I101" s="1915">
        <v>2996.89</v>
      </c>
      <c r="J101" s="1915">
        <v>2996.89</v>
      </c>
      <c r="K101" s="1915">
        <v>2996.89</v>
      </c>
      <c r="L101" s="1915">
        <v>2996.89</v>
      </c>
      <c r="M101" s="1915">
        <v>2996.89</v>
      </c>
      <c r="N101" s="1915">
        <v>2996.89</v>
      </c>
      <c r="O101" s="1917">
        <f>SUM(C101:N101)</f>
        <v>37137.83</v>
      </c>
      <c r="P101" s="1916"/>
      <c r="Q101" s="1916"/>
    </row>
    <row r="102" spans="1:17" x14ac:dyDescent="0.25">
      <c r="A102" s="443" t="s">
        <v>2564</v>
      </c>
      <c r="C102" s="1915">
        <v>176305.84</v>
      </c>
      <c r="D102" s="1915">
        <v>173073.88</v>
      </c>
      <c r="E102" s="1915">
        <v>169841.92000000001</v>
      </c>
      <c r="F102" s="1915">
        <v>166609.96</v>
      </c>
      <c r="G102" s="1915">
        <v>163378.20000000001</v>
      </c>
      <c r="H102" s="1915">
        <v>160381.31</v>
      </c>
      <c r="I102" s="1915">
        <v>157384.42000000001</v>
      </c>
      <c r="J102" s="1915">
        <v>154387.53</v>
      </c>
      <c r="K102" s="1915">
        <v>151390.64000000001</v>
      </c>
      <c r="L102" s="1915">
        <v>148393.75</v>
      </c>
      <c r="M102" s="1915">
        <v>145396.85999999999</v>
      </c>
      <c r="N102" s="1915">
        <v>142399.97</v>
      </c>
      <c r="O102" s="1917">
        <f>N102</f>
        <v>142399.97</v>
      </c>
      <c r="P102" s="1916"/>
      <c r="Q102" s="1916"/>
    </row>
    <row r="103" spans="1:17" x14ac:dyDescent="0.25">
      <c r="A103" s="443" t="s">
        <v>2565</v>
      </c>
      <c r="C103" s="1915">
        <f>C99-C101-C102</f>
        <v>0</v>
      </c>
      <c r="D103" s="1915">
        <f t="shared" ref="D103" si="69">D99-D101-D102</f>
        <v>0</v>
      </c>
      <c r="E103" s="1915">
        <f t="shared" ref="E103" si="70">E99-E101-E102</f>
        <v>0</v>
      </c>
      <c r="F103" s="1915">
        <f t="shared" ref="F103" si="71">F99-F101-F102</f>
        <v>0</v>
      </c>
      <c r="G103" s="1915">
        <f t="shared" ref="G103" si="72">G99-G101-G102</f>
        <v>0</v>
      </c>
      <c r="H103" s="1915">
        <f t="shared" ref="H103" si="73">H99-H101-H102</f>
        <v>0</v>
      </c>
      <c r="I103" s="1915">
        <f t="shared" ref="I103" si="74">I99-I101-I102</f>
        <v>0</v>
      </c>
      <c r="J103" s="1915">
        <f t="shared" ref="J103" si="75">J99-J101-J102</f>
        <v>0</v>
      </c>
      <c r="K103" s="1915">
        <f t="shared" ref="K103" si="76">K99-K101-K102</f>
        <v>0</v>
      </c>
      <c r="L103" s="1915">
        <f t="shared" ref="L103" si="77">L99-L101-L102</f>
        <v>0</v>
      </c>
      <c r="M103" s="1915">
        <f t="shared" ref="M103" si="78">M99-M101-M102</f>
        <v>0</v>
      </c>
      <c r="N103" s="1915">
        <f t="shared" ref="N103" si="79">N99-N101-N102</f>
        <v>0</v>
      </c>
      <c r="O103" s="1917"/>
      <c r="P103" s="1916"/>
      <c r="Q103" s="1916"/>
    </row>
    <row r="104" spans="1:17" x14ac:dyDescent="0.25">
      <c r="C104" s="1915">
        <v>3231.96</v>
      </c>
      <c r="D104" s="1915">
        <v>3231.96</v>
      </c>
      <c r="E104" s="1915">
        <v>3231.96</v>
      </c>
      <c r="F104" s="1915">
        <v>3231.96</v>
      </c>
      <c r="G104" s="1915">
        <v>3231.76</v>
      </c>
      <c r="H104" s="1915">
        <v>2996.89</v>
      </c>
      <c r="I104" s="1915">
        <v>2996.89</v>
      </c>
      <c r="J104" s="1915">
        <v>2996.89</v>
      </c>
      <c r="K104" s="1915">
        <v>2996.89</v>
      </c>
      <c r="L104" s="1915">
        <v>2996.89</v>
      </c>
      <c r="M104" s="1915">
        <v>2996.89</v>
      </c>
      <c r="N104" s="1915">
        <v>2996.89</v>
      </c>
      <c r="O104" s="1917">
        <f>O99-O102</f>
        <v>37137.83</v>
      </c>
      <c r="P104" s="1916"/>
      <c r="Q104" s="1916"/>
    </row>
    <row r="105" spans="1:17" x14ac:dyDescent="0.25">
      <c r="C105" s="1915"/>
      <c r="D105" s="1915"/>
      <c r="E105" s="1915"/>
      <c r="F105" s="1915"/>
      <c r="G105" s="1915"/>
      <c r="H105" s="1915"/>
      <c r="I105" s="1915"/>
      <c r="J105" s="1915"/>
      <c r="K105" s="1915"/>
      <c r="L105" s="1915"/>
      <c r="M105" s="1915"/>
      <c r="N105" s="1915"/>
    </row>
    <row r="108" spans="1:17" x14ac:dyDescent="0.25">
      <c r="D108" s="440">
        <f>D91-C94</f>
        <v>0</v>
      </c>
      <c r="E108" s="440">
        <f t="shared" ref="E108:N108" si="80">E91-D94</f>
        <v>0</v>
      </c>
      <c r="F108" s="440">
        <f t="shared" si="80"/>
        <v>0</v>
      </c>
      <c r="G108" s="440">
        <f t="shared" si="80"/>
        <v>0</v>
      </c>
      <c r="H108" s="440">
        <f t="shared" si="80"/>
        <v>0</v>
      </c>
      <c r="I108" s="440">
        <f t="shared" si="80"/>
        <v>0</v>
      </c>
      <c r="J108" s="440">
        <f t="shared" si="80"/>
        <v>0</v>
      </c>
      <c r="K108" s="440">
        <f t="shared" si="80"/>
        <v>0</v>
      </c>
      <c r="L108" s="440">
        <f t="shared" si="80"/>
        <v>0</v>
      </c>
      <c r="M108" s="440">
        <f t="shared" si="80"/>
        <v>0</v>
      </c>
      <c r="N108" s="440">
        <f t="shared" si="80"/>
        <v>0</v>
      </c>
    </row>
    <row r="110" spans="1:17" x14ac:dyDescent="0.25">
      <c r="A110" s="443" t="s">
        <v>2665</v>
      </c>
      <c r="B110" s="443">
        <f>4021471.49</f>
        <v>4021471.49</v>
      </c>
      <c r="C110" s="440">
        <v>72525.100000000006</v>
      </c>
      <c r="D110" s="440">
        <v>72525.100000000006</v>
      </c>
      <c r="E110" s="440">
        <v>72525.100000000006</v>
      </c>
      <c r="F110" s="440">
        <v>72525.100000000006</v>
      </c>
      <c r="G110" s="440">
        <v>72525.100000000006</v>
      </c>
      <c r="H110" s="440">
        <v>72525.100000000006</v>
      </c>
      <c r="I110" s="440">
        <v>72525.100000000006</v>
      </c>
      <c r="J110" s="440">
        <v>72525.100000000006</v>
      </c>
      <c r="K110" s="440">
        <v>72525.100000000006</v>
      </c>
      <c r="L110" s="440">
        <v>72525.100000000006</v>
      </c>
      <c r="M110" s="440">
        <v>72525.100000000006</v>
      </c>
      <c r="N110" s="440">
        <v>72525.100000000006</v>
      </c>
      <c r="O110" s="440">
        <f>SUM(C110:N110)</f>
        <v>870301.2</v>
      </c>
    </row>
    <row r="112" spans="1:17" ht="36" customHeight="1" x14ac:dyDescent="0.25">
      <c r="A112" s="4237" t="s">
        <v>2666</v>
      </c>
      <c r="B112" s="4237"/>
      <c r="C112" s="4237"/>
      <c r="D112" s="4237"/>
    </row>
    <row r="113" spans="1:15" ht="24.6" customHeight="1" x14ac:dyDescent="0.25">
      <c r="A113" s="4239" t="s">
        <v>1084</v>
      </c>
      <c r="B113" s="4238" t="s">
        <v>2667</v>
      </c>
      <c r="C113" s="4240" t="s">
        <v>432</v>
      </c>
      <c r="D113" s="4241"/>
    </row>
    <row r="114" spans="1:15" x14ac:dyDescent="0.25">
      <c r="A114" s="4239"/>
      <c r="B114" s="4238"/>
      <c r="C114" s="4242" t="str">
        <f>L3</f>
        <v>2022-2023</v>
      </c>
      <c r="D114" s="4243"/>
    </row>
    <row r="115" spans="1:15" ht="15.75" x14ac:dyDescent="0.25">
      <c r="A115" s="1040" t="s">
        <v>1081</v>
      </c>
      <c r="B115" s="2035">
        <v>294894.45</v>
      </c>
      <c r="C115" s="4235">
        <v>19360.22</v>
      </c>
      <c r="D115" s="4235"/>
    </row>
    <row r="116" spans="1:15" ht="15.75" x14ac:dyDescent="0.25">
      <c r="A116" s="1040" t="s">
        <v>2668</v>
      </c>
      <c r="B116" s="2035">
        <v>177345.09</v>
      </c>
      <c r="C116" s="4235">
        <v>7577.09</v>
      </c>
      <c r="D116" s="4235"/>
    </row>
    <row r="117" spans="1:15" ht="15.75" x14ac:dyDescent="0.25">
      <c r="A117" s="1040" t="s">
        <v>1082</v>
      </c>
      <c r="B117" s="2035">
        <v>25541.25</v>
      </c>
      <c r="C117" s="4235">
        <v>8110</v>
      </c>
      <c r="D117" s="4235"/>
    </row>
    <row r="118" spans="1:15" ht="31.5" x14ac:dyDescent="0.25">
      <c r="A118" s="1040" t="s">
        <v>985</v>
      </c>
      <c r="B118" s="2035">
        <v>27209.99</v>
      </c>
      <c r="C118" s="4235">
        <v>9070</v>
      </c>
      <c r="D118" s="4235"/>
    </row>
    <row r="119" spans="1:15" ht="47.25" x14ac:dyDescent="0.25">
      <c r="A119" s="1040" t="s">
        <v>1083</v>
      </c>
      <c r="B119" s="2035">
        <v>6040.83</v>
      </c>
      <c r="C119" s="4235">
        <v>2013.61</v>
      </c>
      <c r="D119" s="4235"/>
    </row>
    <row r="120" spans="1:15" ht="15.75" x14ac:dyDescent="0.25">
      <c r="A120" s="2037" t="s">
        <v>1076</v>
      </c>
      <c r="B120" s="2035">
        <v>85704.88</v>
      </c>
      <c r="C120" s="4235">
        <v>11430.45</v>
      </c>
      <c r="D120" s="4235"/>
    </row>
    <row r="121" spans="1:15" ht="15.75" x14ac:dyDescent="0.25">
      <c r="A121" s="2037" t="s">
        <v>997</v>
      </c>
      <c r="B121" s="2035">
        <v>144457.96</v>
      </c>
      <c r="C121" s="4235">
        <v>2500</v>
      </c>
      <c r="D121" s="4235"/>
    </row>
    <row r="122" spans="1:15" ht="15.75" x14ac:dyDescent="0.25">
      <c r="A122" s="2037" t="s">
        <v>2669</v>
      </c>
      <c r="B122" s="2035">
        <v>10720.17</v>
      </c>
      <c r="C122" s="4235">
        <v>2277.5</v>
      </c>
      <c r="D122" s="4235"/>
    </row>
    <row r="123" spans="1:15" s="485" customFormat="1" ht="15.75" x14ac:dyDescent="0.25">
      <c r="A123" s="1041" t="s">
        <v>989</v>
      </c>
      <c r="B123" s="2038">
        <v>771914.62</v>
      </c>
      <c r="C123" s="4236">
        <v>62338.86</v>
      </c>
      <c r="D123" s="4236"/>
      <c r="E123" s="2036"/>
      <c r="F123" s="2036"/>
      <c r="G123" s="2036"/>
      <c r="H123" s="2036"/>
      <c r="I123" s="2036"/>
      <c r="J123" s="2036"/>
      <c r="K123" s="2036"/>
      <c r="L123" s="2036"/>
      <c r="M123" s="2036"/>
      <c r="N123" s="2036"/>
      <c r="O123" s="2036"/>
    </row>
    <row r="126" spans="1:15" s="542" customFormat="1" ht="13.9" customHeight="1" x14ac:dyDescent="0.25">
      <c r="A126" s="542" t="s">
        <v>928</v>
      </c>
      <c r="C126" s="542" t="s">
        <v>2245</v>
      </c>
    </row>
  </sheetData>
  <mergeCells count="25">
    <mergeCell ref="M22:O22"/>
    <mergeCell ref="A5:A6"/>
    <mergeCell ref="B5:B6"/>
    <mergeCell ref="C5:N5"/>
    <mergeCell ref="O5:O6"/>
    <mergeCell ref="B3:D3"/>
    <mergeCell ref="E3:H3"/>
    <mergeCell ref="I3:K3"/>
    <mergeCell ref="M19:O19"/>
    <mergeCell ref="M21:O21"/>
    <mergeCell ref="M20:O20"/>
    <mergeCell ref="C120:D120"/>
    <mergeCell ref="C121:D121"/>
    <mergeCell ref="C122:D122"/>
    <mergeCell ref="C123:D123"/>
    <mergeCell ref="A112:D112"/>
    <mergeCell ref="C115:D115"/>
    <mergeCell ref="C116:D116"/>
    <mergeCell ref="C117:D117"/>
    <mergeCell ref="C118:D118"/>
    <mergeCell ref="C119:D119"/>
    <mergeCell ref="B113:B114"/>
    <mergeCell ref="A113:A114"/>
    <mergeCell ref="C113:D113"/>
    <mergeCell ref="C114:D114"/>
  </mergeCells>
  <pageMargins left="1.23" right="0.15748031496062992" top="0.74803149606299213" bottom="0.27559055118110237" header="0.31496062992125984" footer="0.19685039370078741"/>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499984740745262"/>
  </sheetPr>
  <dimension ref="B1:L32"/>
  <sheetViews>
    <sheetView topLeftCell="A13" workbookViewId="0">
      <selection activeCell="G32" sqref="G32"/>
    </sheetView>
  </sheetViews>
  <sheetFormatPr defaultColWidth="8.85546875" defaultRowHeight="15.75" x14ac:dyDescent="0.25"/>
  <cols>
    <col min="1" max="1" width="6.5703125" style="542" customWidth="1"/>
    <col min="2" max="2" width="5.5703125" style="542" bestFit="1" customWidth="1"/>
    <col min="3" max="3" width="30.5703125" style="542" bestFit="1" customWidth="1"/>
    <col min="4" max="4" width="11" style="542" customWidth="1"/>
    <col min="5" max="5" width="10" style="542" customWidth="1"/>
    <col min="6" max="6" width="15.85546875" style="542" customWidth="1"/>
    <col min="7" max="7" width="17.7109375" style="542" bestFit="1" customWidth="1"/>
    <col min="8" max="8" width="19.28515625" style="542" customWidth="1"/>
    <col min="9" max="9" width="19.85546875" style="542" bestFit="1" customWidth="1"/>
    <col min="10" max="16384" width="8.85546875" style="542"/>
  </cols>
  <sheetData>
    <row r="1" spans="2:9" x14ac:dyDescent="0.25">
      <c r="H1" s="542" t="s">
        <v>1366</v>
      </c>
    </row>
    <row r="3" spans="2:9" ht="15.75" customHeight="1" x14ac:dyDescent="0.25">
      <c r="B3" s="4253" t="s">
        <v>1367</v>
      </c>
      <c r="C3" s="4253"/>
      <c r="D3" s="4253"/>
      <c r="E3" s="4253"/>
      <c r="F3" s="4253"/>
      <c r="G3" s="4253"/>
      <c r="H3" s="4253"/>
    </row>
    <row r="4" spans="2:9" ht="15.75" customHeight="1" x14ac:dyDescent="0.25">
      <c r="B4" s="630"/>
      <c r="C4" s="4254" t="str">
        <f>'Вхідні дані'!$F$5</f>
        <v>ЧФ ДП "АМПУ"</v>
      </c>
      <c r="D4" s="4254"/>
      <c r="E4" s="4254"/>
      <c r="F4" s="630" t="s">
        <v>460</v>
      </c>
      <c r="G4" s="1033" t="str">
        <f>'Вхідні дані'!$F$6</f>
        <v>2022-2023</v>
      </c>
      <c r="H4" s="630" t="s">
        <v>647</v>
      </c>
    </row>
    <row r="5" spans="2:9" ht="16.5" thickBot="1" x14ac:dyDescent="0.3"/>
    <row r="6" spans="2:9" s="543" customFormat="1" ht="32.25" thickBot="1" x14ac:dyDescent="0.3">
      <c r="B6" s="547" t="s">
        <v>1009</v>
      </c>
      <c r="C6" s="554" t="s">
        <v>1350</v>
      </c>
      <c r="D6" s="550" t="s">
        <v>1351</v>
      </c>
      <c r="E6" s="546" t="s">
        <v>1352</v>
      </c>
      <c r="F6" s="546" t="s">
        <v>1370</v>
      </c>
      <c r="G6" s="699" t="s">
        <v>1353</v>
      </c>
      <c r="H6" s="559" t="s">
        <v>1368</v>
      </c>
      <c r="I6" s="702" t="s">
        <v>1369</v>
      </c>
    </row>
    <row r="7" spans="2:9" x14ac:dyDescent="0.25">
      <c r="B7" s="548">
        <v>1</v>
      </c>
      <c r="C7" s="555"/>
      <c r="D7" s="551"/>
      <c r="E7" s="545">
        <v>0</v>
      </c>
      <c r="F7" s="716"/>
      <c r="G7" s="700" t="s">
        <v>1355</v>
      </c>
      <c r="H7" s="555" t="s">
        <v>1356</v>
      </c>
      <c r="I7" s="703" t="s">
        <v>1076</v>
      </c>
    </row>
    <row r="8" spans="2:9" x14ac:dyDescent="0.25">
      <c r="B8" s="549">
        <v>2</v>
      </c>
      <c r="C8" s="556"/>
      <c r="D8" s="552"/>
      <c r="E8" s="544">
        <v>0</v>
      </c>
      <c r="F8" s="717"/>
      <c r="G8" s="701" t="s">
        <v>1355</v>
      </c>
      <c r="H8" s="556" t="s">
        <v>1357</v>
      </c>
      <c r="I8" s="703" t="s">
        <v>997</v>
      </c>
    </row>
    <row r="9" spans="2:9" x14ac:dyDescent="0.25">
      <c r="B9" s="549">
        <v>3</v>
      </c>
      <c r="C9" s="556"/>
      <c r="D9" s="552"/>
      <c r="E9" s="544">
        <v>0</v>
      </c>
      <c r="F9" s="717"/>
      <c r="G9" s="701" t="s">
        <v>1355</v>
      </c>
      <c r="H9" s="556" t="s">
        <v>1358</v>
      </c>
      <c r="I9" s="703" t="s">
        <v>997</v>
      </c>
    </row>
    <row r="10" spans="2:9" x14ac:dyDescent="0.25">
      <c r="B10" s="549">
        <v>4</v>
      </c>
      <c r="C10" s="556"/>
      <c r="D10" s="552"/>
      <c r="E10" s="544">
        <v>0</v>
      </c>
      <c r="F10" s="717"/>
      <c r="G10" s="701" t="s">
        <v>1355</v>
      </c>
      <c r="H10" s="556" t="s">
        <v>1356</v>
      </c>
      <c r="I10" s="704" t="s">
        <v>996</v>
      </c>
    </row>
    <row r="11" spans="2:9" x14ac:dyDescent="0.25">
      <c r="B11" s="549">
        <v>5</v>
      </c>
      <c r="C11" s="556"/>
      <c r="D11" s="552"/>
      <c r="E11" s="544">
        <v>0</v>
      </c>
      <c r="F11" s="717"/>
      <c r="G11" s="701" t="s">
        <v>1355</v>
      </c>
      <c r="H11" s="556" t="s">
        <v>1359</v>
      </c>
      <c r="I11" s="704" t="s">
        <v>921</v>
      </c>
    </row>
    <row r="12" spans="2:9" x14ac:dyDescent="0.25">
      <c r="B12" s="549">
        <v>6</v>
      </c>
      <c r="C12" s="556"/>
      <c r="D12" s="552"/>
      <c r="E12" s="544">
        <v>0</v>
      </c>
      <c r="F12" s="717"/>
      <c r="G12" s="701" t="s">
        <v>1355</v>
      </c>
      <c r="H12" s="556" t="s">
        <v>1361</v>
      </c>
      <c r="I12" s="704" t="s">
        <v>880</v>
      </c>
    </row>
    <row r="13" spans="2:9" x14ac:dyDescent="0.25">
      <c r="B13" s="549">
        <v>7</v>
      </c>
      <c r="C13" s="556"/>
      <c r="D13" s="552"/>
      <c r="E13" s="544">
        <v>0</v>
      </c>
      <c r="F13" s="717"/>
      <c r="G13" s="701" t="s">
        <v>1355</v>
      </c>
      <c r="H13" s="556" t="s">
        <v>1362</v>
      </c>
      <c r="I13" s="704" t="s">
        <v>1363</v>
      </c>
    </row>
    <row r="14" spans="2:9" x14ac:dyDescent="0.25">
      <c r="B14" s="549">
        <v>8</v>
      </c>
      <c r="C14" s="556"/>
      <c r="D14" s="552"/>
      <c r="E14" s="544">
        <v>0</v>
      </c>
      <c r="F14" s="717"/>
      <c r="G14" s="701" t="s">
        <v>1355</v>
      </c>
      <c r="H14" s="556" t="s">
        <v>1362</v>
      </c>
      <c r="I14" s="704" t="s">
        <v>1363</v>
      </c>
    </row>
    <row r="15" spans="2:9" x14ac:dyDescent="0.25">
      <c r="B15" s="549">
        <v>9</v>
      </c>
      <c r="C15" s="556"/>
      <c r="D15" s="552"/>
      <c r="E15" s="544">
        <v>0</v>
      </c>
      <c r="F15" s="717"/>
      <c r="G15" s="701" t="s">
        <v>1355</v>
      </c>
      <c r="H15" s="556" t="s">
        <v>1364</v>
      </c>
      <c r="I15" s="703" t="s">
        <v>997</v>
      </c>
    </row>
    <row r="16" spans="2:9" x14ac:dyDescent="0.25">
      <c r="B16" s="549">
        <v>10</v>
      </c>
      <c r="C16" s="556"/>
      <c r="D16" s="553"/>
      <c r="E16" s="544">
        <v>0</v>
      </c>
      <c r="F16" s="717"/>
      <c r="G16" s="701" t="s">
        <v>1355</v>
      </c>
      <c r="H16" s="556" t="s">
        <v>1356</v>
      </c>
      <c r="I16" s="703" t="s">
        <v>1076</v>
      </c>
    </row>
    <row r="17" spans="2:12" ht="16.5" thickBot="1" x14ac:dyDescent="0.3">
      <c r="B17" s="1000">
        <v>11</v>
      </c>
      <c r="C17" s="706"/>
      <c r="D17" s="1001"/>
      <c r="E17" s="1002">
        <v>0</v>
      </c>
      <c r="F17" s="1003"/>
      <c r="G17" s="1004" t="s">
        <v>1355</v>
      </c>
      <c r="H17" s="706" t="s">
        <v>1356</v>
      </c>
      <c r="I17" s="707" t="s">
        <v>1076</v>
      </c>
    </row>
    <row r="18" spans="2:12" ht="16.5" thickBot="1" x14ac:dyDescent="0.3">
      <c r="B18" s="1005"/>
      <c r="C18" s="1006"/>
      <c r="D18" s="1007"/>
      <c r="E18" s="1008"/>
      <c r="F18" s="1008"/>
      <c r="G18" s="1009"/>
      <c r="H18" s="708" t="s">
        <v>1802</v>
      </c>
      <c r="I18" s="713">
        <f>SUM(I19:I25)</f>
        <v>0</v>
      </c>
    </row>
    <row r="19" spans="2:12" x14ac:dyDescent="0.25">
      <c r="B19" s="548"/>
      <c r="C19" s="555"/>
      <c r="D19" s="551"/>
      <c r="E19" s="545"/>
      <c r="F19" s="545"/>
      <c r="G19" s="700"/>
      <c r="H19" s="555" t="s">
        <v>880</v>
      </c>
      <c r="I19" s="714">
        <f>F12</f>
        <v>0</v>
      </c>
    </row>
    <row r="20" spans="2:12" x14ac:dyDescent="0.25">
      <c r="B20" s="549"/>
      <c r="C20" s="556"/>
      <c r="D20" s="552"/>
      <c r="E20" s="544"/>
      <c r="F20" s="544"/>
      <c r="G20" s="558"/>
      <c r="H20" s="556" t="s">
        <v>954</v>
      </c>
      <c r="I20" s="715"/>
    </row>
    <row r="21" spans="2:12" x14ac:dyDescent="0.25">
      <c r="B21" s="549"/>
      <c r="C21" s="556"/>
      <c r="D21" s="552"/>
      <c r="E21" s="544"/>
      <c r="F21" s="544"/>
      <c r="G21" s="558"/>
      <c r="H21" s="556" t="s">
        <v>921</v>
      </c>
      <c r="I21" s="715">
        <f>F11</f>
        <v>0</v>
      </c>
    </row>
    <row r="22" spans="2:12" x14ac:dyDescent="0.25">
      <c r="B22" s="549"/>
      <c r="C22" s="556"/>
      <c r="D22" s="552"/>
      <c r="E22" s="544"/>
      <c r="F22" s="544"/>
      <c r="G22" s="558"/>
      <c r="H22" s="556" t="s">
        <v>1365</v>
      </c>
      <c r="I22" s="715"/>
    </row>
    <row r="23" spans="2:12" x14ac:dyDescent="0.25">
      <c r="B23" s="549"/>
      <c r="C23" s="556"/>
      <c r="D23" s="552"/>
      <c r="E23" s="544"/>
      <c r="F23" s="544"/>
      <c r="G23" s="558"/>
      <c r="H23" s="556" t="s">
        <v>1363</v>
      </c>
      <c r="I23" s="715">
        <f>F13+F14</f>
        <v>0</v>
      </c>
    </row>
    <row r="24" spans="2:12" x14ac:dyDescent="0.25">
      <c r="B24" s="549"/>
      <c r="C24" s="556"/>
      <c r="D24" s="552"/>
      <c r="E24" s="544"/>
      <c r="F24" s="544"/>
      <c r="G24" s="558"/>
      <c r="H24" s="705" t="s">
        <v>1076</v>
      </c>
      <c r="I24" s="715">
        <f>F7+F10+F16+F17</f>
        <v>0</v>
      </c>
    </row>
    <row r="25" spans="2:12" ht="16.5" thickBot="1" x14ac:dyDescent="0.3">
      <c r="B25" s="709"/>
      <c r="C25" s="557"/>
      <c r="D25" s="710"/>
      <c r="E25" s="711"/>
      <c r="F25" s="711"/>
      <c r="G25" s="712"/>
      <c r="H25" s="1010" t="s">
        <v>997</v>
      </c>
      <c r="I25" s="1011">
        <f>F8+F9+F15</f>
        <v>0</v>
      </c>
    </row>
    <row r="28" spans="2:12" ht="15.75" customHeight="1" x14ac:dyDescent="0.25">
      <c r="B28" s="4255" t="s">
        <v>1920</v>
      </c>
      <c r="C28" s="4255"/>
      <c r="D28" s="4255"/>
      <c r="E28" s="4255"/>
      <c r="F28" s="4256" t="str">
        <f>'Вхідні дані'!$F$5</f>
        <v>ЧФ ДП "АМПУ"</v>
      </c>
      <c r="G28" s="4256"/>
      <c r="H28" s="911" t="s">
        <v>460</v>
      </c>
      <c r="I28" s="1037" t="str">
        <f>'Вхідні дані'!$F$6</f>
        <v>2022-2023</v>
      </c>
      <c r="J28" s="911" t="s">
        <v>647</v>
      </c>
    </row>
    <row r="29" spans="2:12" ht="16.5" thickBot="1" x14ac:dyDescent="0.3">
      <c r="C29"/>
      <c r="D29"/>
      <c r="E29"/>
      <c r="F29"/>
      <c r="G29"/>
      <c r="H29"/>
      <c r="I29"/>
      <c r="J29"/>
      <c r="K29"/>
    </row>
    <row r="30" spans="2:12" ht="32.25" thickBot="1" x14ac:dyDescent="0.3">
      <c r="B30" s="1018" t="s">
        <v>1377</v>
      </c>
      <c r="C30" s="1015" t="s">
        <v>880</v>
      </c>
      <c r="D30" s="1015" t="s">
        <v>881</v>
      </c>
      <c r="E30" s="1015" t="s">
        <v>921</v>
      </c>
      <c r="F30" s="1015" t="s">
        <v>1378</v>
      </c>
      <c r="G30" s="1015" t="s">
        <v>1363</v>
      </c>
      <c r="H30" s="1016" t="s">
        <v>1076</v>
      </c>
      <c r="I30" s="1016" t="s">
        <v>997</v>
      </c>
      <c r="J30" s="1017" t="s">
        <v>1376</v>
      </c>
    </row>
    <row r="31" spans="2:12" ht="16.5" thickBot="1" x14ac:dyDescent="0.3">
      <c r="B31" s="1019">
        <v>2020</v>
      </c>
      <c r="C31" s="1013">
        <v>492.5</v>
      </c>
      <c r="D31" s="1013">
        <v>255</v>
      </c>
      <c r="E31" s="1013">
        <v>10</v>
      </c>
      <c r="F31" s="1013"/>
      <c r="G31" s="1013">
        <v>25</v>
      </c>
      <c r="H31" s="1013">
        <v>60</v>
      </c>
      <c r="I31" s="1013">
        <v>158.5</v>
      </c>
      <c r="J31" s="1014">
        <f>SUM(C31:I31)</f>
        <v>1001</v>
      </c>
      <c r="K31" s="2026" t="s">
        <v>2660</v>
      </c>
    </row>
    <row r="32" spans="2:12" ht="16.5" thickBot="1" x14ac:dyDescent="0.3">
      <c r="B32" s="1019" t="s">
        <v>2251</v>
      </c>
      <c r="C32" s="560">
        <f>C31</f>
        <v>492.5</v>
      </c>
      <c r="D32" s="560">
        <f t="shared" ref="D32:I32" si="0">D31</f>
        <v>255</v>
      </c>
      <c r="E32" s="560">
        <f t="shared" si="0"/>
        <v>10</v>
      </c>
      <c r="F32" s="560">
        <f t="shared" si="0"/>
        <v>0</v>
      </c>
      <c r="G32" s="560">
        <f t="shared" si="0"/>
        <v>25</v>
      </c>
      <c r="H32" s="560">
        <f t="shared" si="0"/>
        <v>60</v>
      </c>
      <c r="I32" s="560">
        <f t="shared" si="0"/>
        <v>158.5</v>
      </c>
      <c r="J32" s="1012">
        <f>SUM(C32:I32)</f>
        <v>1001</v>
      </c>
      <c r="L32" s="542">
        <v>1000</v>
      </c>
    </row>
  </sheetData>
  <mergeCells count="4">
    <mergeCell ref="B3:H3"/>
    <mergeCell ref="C4:E4"/>
    <mergeCell ref="B28:E28"/>
    <mergeCell ref="F28:G28"/>
  </mergeCells>
  <pageMargins left="0.7" right="0.33"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499984740745262"/>
  </sheetPr>
  <dimension ref="A1:V25"/>
  <sheetViews>
    <sheetView zoomScale="75" zoomScaleNormal="75" workbookViewId="0">
      <selection activeCell="N25" sqref="N25:O25"/>
    </sheetView>
  </sheetViews>
  <sheetFormatPr defaultColWidth="12.5703125" defaultRowHeight="15" x14ac:dyDescent="0.25"/>
  <cols>
    <col min="1" max="1" width="12.5703125" style="890"/>
    <col min="2" max="2" width="6.140625" style="890" customWidth="1"/>
    <col min="3" max="3" width="27.42578125" style="890" customWidth="1"/>
    <col min="4" max="4" width="5.5703125" style="890" customWidth="1"/>
    <col min="5" max="5" width="12.5703125" style="890"/>
    <col min="6" max="6" width="5.7109375" style="890" customWidth="1"/>
    <col min="7" max="7" width="12.5703125" style="890"/>
    <col min="8" max="8" width="5.140625" style="890" customWidth="1"/>
    <col min="9" max="9" width="12.5703125" style="890"/>
    <col min="10" max="10" width="5.140625" style="890" customWidth="1"/>
    <col min="11" max="11" width="12.5703125" style="890"/>
    <col min="12" max="12" width="5" style="890" customWidth="1"/>
    <col min="13" max="13" width="12.5703125" style="890"/>
    <col min="14" max="14" width="5.7109375" style="890" customWidth="1"/>
    <col min="15" max="15" width="12.5703125" style="890"/>
    <col min="16" max="16" width="5" style="890" customWidth="1"/>
    <col min="17" max="17" width="12.5703125" style="890"/>
    <col min="18" max="18" width="12.5703125" style="891"/>
    <col min="19" max="16384" width="12.5703125" style="890"/>
  </cols>
  <sheetData>
    <row r="1" spans="2:18" ht="15.75" x14ac:dyDescent="0.25">
      <c r="R1" s="992" t="s">
        <v>1079</v>
      </c>
    </row>
    <row r="3" spans="2:18" s="814" customFormat="1" ht="21" customHeight="1" x14ac:dyDescent="0.3">
      <c r="B3" s="4266" t="s">
        <v>1906</v>
      </c>
      <c r="C3" s="4266"/>
      <c r="D3" s="4266"/>
      <c r="E3" s="4266"/>
      <c r="F3" s="4266"/>
      <c r="G3" s="4266"/>
      <c r="I3" s="1031" t="str">
        <f>'Вхідні дані'!F5</f>
        <v>ЧФ ДП "АМПУ"</v>
      </c>
      <c r="J3" s="1031"/>
      <c r="K3" s="1031"/>
      <c r="L3" s="1031"/>
      <c r="M3" s="1031"/>
      <c r="N3" s="814" t="s">
        <v>460</v>
      </c>
      <c r="O3" s="1031" t="str">
        <f>'Вхідні дані'!F6</f>
        <v>2022-2023</v>
      </c>
      <c r="P3" s="814" t="s">
        <v>647</v>
      </c>
      <c r="R3" s="894"/>
    </row>
    <row r="4" spans="2:18" x14ac:dyDescent="0.25">
      <c r="C4" s="890" t="s">
        <v>856</v>
      </c>
    </row>
    <row r="5" spans="2:18" ht="15.75" thickBot="1" x14ac:dyDescent="0.3"/>
    <row r="6" spans="2:18" ht="15.75" x14ac:dyDescent="0.25">
      <c r="B6" s="4260" t="s">
        <v>993</v>
      </c>
      <c r="C6" s="4262" t="s">
        <v>1527</v>
      </c>
      <c r="D6" s="4259" t="s">
        <v>880</v>
      </c>
      <c r="E6" s="4259"/>
      <c r="F6" s="4259" t="s">
        <v>954</v>
      </c>
      <c r="G6" s="4259"/>
      <c r="H6" s="4259" t="s">
        <v>921</v>
      </c>
      <c r="I6" s="4259"/>
      <c r="J6" s="4259" t="s">
        <v>995</v>
      </c>
      <c r="K6" s="4259"/>
      <c r="L6" s="4259" t="s">
        <v>883</v>
      </c>
      <c r="M6" s="4259"/>
      <c r="N6" s="4259" t="s">
        <v>996</v>
      </c>
      <c r="O6" s="4259"/>
      <c r="P6" s="4259" t="s">
        <v>997</v>
      </c>
      <c r="Q6" s="4267"/>
      <c r="R6" s="4257" t="s">
        <v>998</v>
      </c>
    </row>
    <row r="7" spans="2:18" ht="16.5" thickBot="1" x14ac:dyDescent="0.3">
      <c r="B7" s="4261"/>
      <c r="C7" s="4263"/>
      <c r="D7" s="984" t="s">
        <v>890</v>
      </c>
      <c r="E7" s="984" t="s">
        <v>1011</v>
      </c>
      <c r="F7" s="984" t="s">
        <v>890</v>
      </c>
      <c r="G7" s="984" t="s">
        <v>1011</v>
      </c>
      <c r="H7" s="984" t="s">
        <v>890</v>
      </c>
      <c r="I7" s="984" t="s">
        <v>1011</v>
      </c>
      <c r="J7" s="984" t="s">
        <v>890</v>
      </c>
      <c r="K7" s="984" t="s">
        <v>1011</v>
      </c>
      <c r="L7" s="984" t="s">
        <v>890</v>
      </c>
      <c r="M7" s="984" t="s">
        <v>1011</v>
      </c>
      <c r="N7" s="984" t="s">
        <v>890</v>
      </c>
      <c r="O7" s="984" t="s">
        <v>1011</v>
      </c>
      <c r="P7" s="984" t="s">
        <v>890</v>
      </c>
      <c r="Q7" s="985" t="s">
        <v>1011</v>
      </c>
      <c r="R7" s="4258"/>
    </row>
    <row r="8" spans="2:18" ht="15.75" x14ac:dyDescent="0.25">
      <c r="B8" s="4268">
        <v>1</v>
      </c>
      <c r="C8" s="4270" t="s">
        <v>1528</v>
      </c>
      <c r="D8" s="809"/>
      <c r="E8" s="809"/>
      <c r="F8" s="809">
        <v>1</v>
      </c>
      <c r="G8" s="809">
        <v>1514</v>
      </c>
      <c r="H8" s="809"/>
      <c r="I8" s="809"/>
      <c r="J8" s="809"/>
      <c r="K8" s="809"/>
      <c r="L8" s="809"/>
      <c r="M8" s="809"/>
      <c r="N8" s="809">
        <v>1</v>
      </c>
      <c r="O8" s="809">
        <v>832</v>
      </c>
      <c r="R8" s="987">
        <f>D8*E8+F8*G8+H8*I8+J8*K8+L8*M8+N8*O8+N10*O10</f>
        <v>3295</v>
      </c>
    </row>
    <row r="9" spans="2:18" ht="15.75" x14ac:dyDescent="0.25">
      <c r="B9" s="4268"/>
      <c r="C9" s="4270"/>
      <c r="D9" s="809"/>
      <c r="E9" s="809"/>
      <c r="F9" s="809">
        <v>1</v>
      </c>
      <c r="G9" s="809">
        <v>1514</v>
      </c>
      <c r="H9" s="809"/>
      <c r="I9" s="809"/>
      <c r="J9" s="809"/>
      <c r="K9" s="809"/>
      <c r="L9" s="809"/>
      <c r="M9" s="809"/>
      <c r="N9" s="809">
        <v>1</v>
      </c>
      <c r="O9" s="809">
        <v>949</v>
      </c>
      <c r="P9" s="809">
        <v>1</v>
      </c>
      <c r="Q9" s="810">
        <v>769</v>
      </c>
      <c r="R9" s="988">
        <f t="shared" ref="R9:R23" si="0">D9*E9+F9*G9+H9*I9+J9*K9+L9*M9+N9*O9+P9*Q9</f>
        <v>3232</v>
      </c>
    </row>
    <row r="10" spans="2:18" ht="15.75" x14ac:dyDescent="0.25">
      <c r="B10" s="4268"/>
      <c r="C10" s="4270"/>
      <c r="D10" s="809"/>
      <c r="E10" s="809"/>
      <c r="F10" s="809">
        <v>1</v>
      </c>
      <c r="G10" s="809">
        <v>1514</v>
      </c>
      <c r="H10" s="809"/>
      <c r="I10" s="809"/>
      <c r="J10" s="809"/>
      <c r="K10" s="809"/>
      <c r="L10" s="809"/>
      <c r="M10" s="809"/>
      <c r="N10" s="809">
        <v>1</v>
      </c>
      <c r="O10" s="810">
        <v>949</v>
      </c>
      <c r="P10" s="809"/>
      <c r="Q10" s="810"/>
      <c r="R10" s="988">
        <f t="shared" si="0"/>
        <v>2463</v>
      </c>
    </row>
    <row r="11" spans="2:18" ht="15.75" x14ac:dyDescent="0.25">
      <c r="B11" s="4268"/>
      <c r="C11" s="4270"/>
      <c r="D11" s="809"/>
      <c r="E11" s="809"/>
      <c r="F11" s="809">
        <v>1</v>
      </c>
      <c r="G11" s="809">
        <v>1514</v>
      </c>
      <c r="H11" s="809"/>
      <c r="I11" s="809"/>
      <c r="J11" s="809"/>
      <c r="K11" s="809"/>
      <c r="L11" s="809"/>
      <c r="M11" s="809"/>
      <c r="N11" s="809"/>
      <c r="O11" s="809"/>
      <c r="P11" s="809"/>
      <c r="Q11" s="810"/>
      <c r="R11" s="988">
        <f t="shared" si="0"/>
        <v>1514</v>
      </c>
    </row>
    <row r="12" spans="2:18" ht="15.75" x14ac:dyDescent="0.25">
      <c r="B12" s="4268"/>
      <c r="C12" s="4270"/>
      <c r="D12" s="809"/>
      <c r="E12" s="809"/>
      <c r="F12" s="809">
        <v>1</v>
      </c>
      <c r="G12" s="809">
        <v>1514</v>
      </c>
      <c r="H12" s="809"/>
      <c r="I12" s="809"/>
      <c r="J12" s="809"/>
      <c r="K12" s="809"/>
      <c r="L12" s="809"/>
      <c r="M12" s="809"/>
      <c r="N12" s="809"/>
      <c r="O12" s="809"/>
      <c r="P12" s="809"/>
      <c r="Q12" s="810"/>
      <c r="R12" s="988">
        <f t="shared" si="0"/>
        <v>1514</v>
      </c>
    </row>
    <row r="13" spans="2:18" ht="15.75" x14ac:dyDescent="0.25">
      <c r="B13" s="4268"/>
      <c r="C13" s="4270"/>
      <c r="D13" s="809"/>
      <c r="E13" s="809"/>
      <c r="F13" s="809">
        <v>1</v>
      </c>
      <c r="G13" s="809">
        <v>1389</v>
      </c>
      <c r="H13" s="809"/>
      <c r="I13" s="809"/>
      <c r="J13" s="809"/>
      <c r="K13" s="809"/>
      <c r="L13" s="809"/>
      <c r="M13" s="809"/>
      <c r="N13" s="809"/>
      <c r="O13" s="809"/>
      <c r="P13" s="809"/>
      <c r="Q13" s="810"/>
      <c r="R13" s="988">
        <f t="shared" si="0"/>
        <v>1389</v>
      </c>
    </row>
    <row r="14" spans="2:18" ht="15.75" x14ac:dyDescent="0.25">
      <c r="B14" s="4268"/>
      <c r="C14" s="4270"/>
      <c r="D14" s="809"/>
      <c r="E14" s="809"/>
      <c r="F14" s="809"/>
      <c r="G14" s="809"/>
      <c r="H14" s="809"/>
      <c r="I14" s="809"/>
      <c r="J14" s="809"/>
      <c r="K14" s="809"/>
      <c r="L14" s="809"/>
      <c r="M14" s="809"/>
      <c r="N14" s="809"/>
      <c r="O14" s="809"/>
      <c r="P14" s="809"/>
      <c r="Q14" s="810"/>
      <c r="R14" s="988">
        <f t="shared" si="0"/>
        <v>0</v>
      </c>
    </row>
    <row r="15" spans="2:18" ht="15.75" x14ac:dyDescent="0.25">
      <c r="B15" s="4268"/>
      <c r="C15" s="4270"/>
      <c r="D15" s="809"/>
      <c r="E15" s="809"/>
      <c r="F15" s="809">
        <v>1</v>
      </c>
      <c r="G15" s="809">
        <v>1265</v>
      </c>
      <c r="H15" s="809"/>
      <c r="I15" s="809"/>
      <c r="J15" s="809"/>
      <c r="K15" s="809"/>
      <c r="L15" s="809"/>
      <c r="M15" s="809"/>
      <c r="N15" s="809"/>
      <c r="O15" s="809"/>
      <c r="P15" s="809"/>
      <c r="Q15" s="810"/>
      <c r="R15" s="988">
        <f t="shared" si="0"/>
        <v>1265</v>
      </c>
    </row>
    <row r="16" spans="2:18" ht="15.75" x14ac:dyDescent="0.25">
      <c r="B16" s="4268"/>
      <c r="C16" s="4270"/>
      <c r="D16" s="809"/>
      <c r="E16" s="809"/>
      <c r="F16" s="809">
        <v>1</v>
      </c>
      <c r="G16" s="809">
        <v>1514</v>
      </c>
      <c r="H16" s="809"/>
      <c r="I16" s="809"/>
      <c r="J16" s="809"/>
      <c r="K16" s="809"/>
      <c r="L16" s="809"/>
      <c r="M16" s="809"/>
      <c r="N16" s="809"/>
      <c r="O16" s="809"/>
      <c r="P16" s="809"/>
      <c r="Q16" s="810"/>
      <c r="R16" s="988">
        <f t="shared" si="0"/>
        <v>1514</v>
      </c>
    </row>
    <row r="17" spans="1:22" ht="15.75" x14ac:dyDescent="0.25">
      <c r="B17" s="4268"/>
      <c r="C17" s="4270"/>
      <c r="D17" s="809"/>
      <c r="E17" s="809"/>
      <c r="F17" s="809"/>
      <c r="G17" s="809"/>
      <c r="H17" s="809"/>
      <c r="I17" s="809"/>
      <c r="J17" s="809"/>
      <c r="K17" s="809"/>
      <c r="L17" s="809"/>
      <c r="M17" s="809"/>
      <c r="N17" s="809"/>
      <c r="O17" s="809"/>
      <c r="P17" s="809"/>
      <c r="Q17" s="810"/>
      <c r="R17" s="988">
        <f t="shared" si="0"/>
        <v>0</v>
      </c>
    </row>
    <row r="18" spans="1:22" ht="15.75" x14ac:dyDescent="0.25">
      <c r="B18" s="4268"/>
      <c r="C18" s="4270"/>
      <c r="D18" s="809"/>
      <c r="E18" s="809"/>
      <c r="F18" s="809"/>
      <c r="G18" s="809"/>
      <c r="H18" s="809"/>
      <c r="I18" s="809"/>
      <c r="J18" s="809"/>
      <c r="K18" s="809"/>
      <c r="L18" s="809"/>
      <c r="M18" s="809"/>
      <c r="N18" s="809"/>
      <c r="O18" s="809"/>
      <c r="P18" s="809"/>
      <c r="Q18" s="810"/>
      <c r="R18" s="988">
        <f t="shared" si="0"/>
        <v>0</v>
      </c>
    </row>
    <row r="19" spans="1:22" ht="18" customHeight="1" x14ac:dyDescent="0.25">
      <c r="A19" s="892" t="s">
        <v>1529</v>
      </c>
      <c r="B19" s="4268"/>
      <c r="C19" s="4271"/>
      <c r="D19" s="889"/>
      <c r="E19" s="889"/>
      <c r="F19" s="889"/>
      <c r="G19" s="889"/>
      <c r="H19" s="889"/>
      <c r="I19" s="889"/>
      <c r="J19" s="889"/>
      <c r="K19" s="889"/>
      <c r="L19" s="889"/>
      <c r="M19" s="889"/>
      <c r="N19" s="889"/>
      <c r="O19" s="889"/>
      <c r="P19" s="889"/>
      <c r="Q19" s="991"/>
      <c r="R19" s="988">
        <f t="shared" si="0"/>
        <v>0</v>
      </c>
      <c r="S19" s="893">
        <f>S20-R20</f>
        <v>-3161</v>
      </c>
    </row>
    <row r="20" spans="1:22" ht="18.600000000000001" customHeight="1" x14ac:dyDescent="0.25">
      <c r="B20" s="4269"/>
      <c r="C20" s="811" t="s">
        <v>1014</v>
      </c>
      <c r="D20" s="4264">
        <f>D8*E8+D9*E9+D10*E10+D11*E11+D12*E12+D13*E13+D14*E14+D15*E15+D16*E16+D17*E17+D18*E18+D19*E19</f>
        <v>0</v>
      </c>
      <c r="E20" s="4265"/>
      <c r="F20" s="4264">
        <f>F8*G8+F9*G9+F10*G10+F11*G11+F12*G12+F13*G13+F14*G14+F15*G15+F16*G16+F17*G17+F18*G18+F19*G19</f>
        <v>11738</v>
      </c>
      <c r="G20" s="4265"/>
      <c r="H20" s="4264">
        <f>H8*I8+H9*I9+H10*I10+H11*I11+H12*I12+H13*I13+H14*I14+H15*I15+H16*I16+H17*I17+H18*I18+H19*I19</f>
        <v>0</v>
      </c>
      <c r="I20" s="4265"/>
      <c r="J20" s="4264">
        <f>J8*K8+J9*K9+J10*K10+J11*K11+J12*K12+J13*K13+J14*K14+J15*K15+J16*K16+J17*K17+J18*K18+J19*K19</f>
        <v>0</v>
      </c>
      <c r="K20" s="4265"/>
      <c r="L20" s="4264">
        <f>L8*M8+L9*M9+L10*M10+L11*M11+L12*M12+L13*M13+L14*M14+L15*M15+L16*M16+L17*M17+L18*M18+L19*M19</f>
        <v>0</v>
      </c>
      <c r="M20" s="4265"/>
      <c r="N20" s="4264">
        <f>N8*O8+N9*O9+N10*O10+N11*O11+N12*O12+N13*O13+N14*O14+N15*O15+N16*O16+N17*O17+N18*O18+N19*O19</f>
        <v>2730</v>
      </c>
      <c r="O20" s="4265"/>
      <c r="P20" s="4264">
        <f>P8*Q8+P9*Q9+P10*Q10+P11*Q11+P12*Q12+P13*Q13+P14*Q14+P15*Q15+P16*Q16+P17*Q17+P18*Q18+P19*Q19</f>
        <v>769</v>
      </c>
      <c r="Q20" s="4265"/>
      <c r="R20" s="989">
        <f>SUM(R8:R19)</f>
        <v>16186</v>
      </c>
      <c r="S20" s="890">
        <f>1106+9161+2758</f>
        <v>13025</v>
      </c>
    </row>
    <row r="21" spans="1:22" ht="45" customHeight="1" x14ac:dyDescent="0.25">
      <c r="A21" s="892" t="s">
        <v>1530</v>
      </c>
      <c r="B21" s="4272">
        <v>2</v>
      </c>
      <c r="C21" s="815" t="s">
        <v>1531</v>
      </c>
      <c r="D21" s="812">
        <v>1</v>
      </c>
      <c r="E21" s="812">
        <f>(2400+3000)-G21</f>
        <v>1000</v>
      </c>
      <c r="F21" s="812">
        <v>1</v>
      </c>
      <c r="G21" s="812">
        <v>4400</v>
      </c>
      <c r="H21" s="812"/>
      <c r="I21" s="812"/>
      <c r="J21" s="812"/>
      <c r="K21" s="812"/>
      <c r="L21" s="812"/>
      <c r="M21" s="812"/>
      <c r="N21" s="813"/>
      <c r="O21" s="813"/>
      <c r="P21" s="812"/>
      <c r="Q21" s="986"/>
      <c r="R21" s="988">
        <f t="shared" si="0"/>
        <v>5400</v>
      </c>
      <c r="S21" s="1421" t="s">
        <v>2583</v>
      </c>
    </row>
    <row r="22" spans="1:22" ht="15.75" x14ac:dyDescent="0.25">
      <c r="B22" s="4269"/>
      <c r="C22" s="811" t="s">
        <v>1014</v>
      </c>
      <c r="D22" s="4264">
        <f>D21*E21</f>
        <v>1000</v>
      </c>
      <c r="E22" s="4265"/>
      <c r="F22" s="4264">
        <f>F21*G21</f>
        <v>4400</v>
      </c>
      <c r="G22" s="4265"/>
      <c r="H22" s="4264"/>
      <c r="I22" s="4265"/>
      <c r="J22" s="4264"/>
      <c r="K22" s="4265"/>
      <c r="L22" s="4264"/>
      <c r="M22" s="4265"/>
      <c r="N22" s="4264"/>
      <c r="O22" s="4265"/>
      <c r="P22" s="4264"/>
      <c r="Q22" s="4273"/>
      <c r="R22" s="989">
        <f>SUM(R21)</f>
        <v>5400</v>
      </c>
    </row>
    <row r="23" spans="1:22" ht="73.900000000000006" customHeight="1" x14ac:dyDescent="0.25">
      <c r="B23" s="4274">
        <v>3</v>
      </c>
      <c r="C23" s="815" t="s">
        <v>1532</v>
      </c>
      <c r="D23" s="812">
        <v>1</v>
      </c>
      <c r="E23" s="812">
        <v>6069</v>
      </c>
      <c r="F23" s="812">
        <v>1</v>
      </c>
      <c r="G23" s="812">
        <f>2400+3000</f>
        <v>5400</v>
      </c>
      <c r="H23" s="812"/>
      <c r="I23" s="812"/>
      <c r="J23" s="813"/>
      <c r="K23" s="813"/>
      <c r="L23" s="812"/>
      <c r="M23" s="812"/>
      <c r="N23" s="812"/>
      <c r="O23" s="812"/>
      <c r="P23" s="812"/>
      <c r="Q23" s="986"/>
      <c r="R23" s="988">
        <f t="shared" si="0"/>
        <v>11469</v>
      </c>
      <c r="S23" s="1421" t="s">
        <v>2583</v>
      </c>
    </row>
    <row r="24" spans="1:22" ht="15.75" x14ac:dyDescent="0.25">
      <c r="B24" s="4275"/>
      <c r="C24" s="811" t="s">
        <v>1014</v>
      </c>
      <c r="D24" s="4264">
        <f>D23*E23</f>
        <v>6069</v>
      </c>
      <c r="E24" s="4265"/>
      <c r="F24" s="4264">
        <f>F23*G23</f>
        <v>5400</v>
      </c>
      <c r="G24" s="4265"/>
      <c r="H24" s="4264">
        <f>H23*I23</f>
        <v>0</v>
      </c>
      <c r="I24" s="4265"/>
      <c r="J24" s="4264">
        <f>J23*K23</f>
        <v>0</v>
      </c>
      <c r="K24" s="4265"/>
      <c r="L24" s="4264">
        <f>L23*M23</f>
        <v>0</v>
      </c>
      <c r="M24" s="4265"/>
      <c r="N24" s="4264">
        <f>N23*O23</f>
        <v>0</v>
      </c>
      <c r="O24" s="4265"/>
      <c r="P24" s="4264">
        <f>P23*Q23</f>
        <v>0</v>
      </c>
      <c r="Q24" s="4273"/>
      <c r="R24" s="989">
        <f>SUM(R23)</f>
        <v>11469</v>
      </c>
    </row>
    <row r="25" spans="1:22" ht="16.5" thickBot="1" x14ac:dyDescent="0.3">
      <c r="B25" s="982"/>
      <c r="C25" s="983" t="s">
        <v>1019</v>
      </c>
      <c r="D25" s="4276">
        <f>D20+D22+D24</f>
        <v>7069</v>
      </c>
      <c r="E25" s="4277"/>
      <c r="F25" s="4276">
        <f>F20+F22+F24</f>
        <v>21538</v>
      </c>
      <c r="G25" s="4277"/>
      <c r="H25" s="4276">
        <f>H20+H22+H24</f>
        <v>0</v>
      </c>
      <c r="I25" s="4277"/>
      <c r="J25" s="4276">
        <f>J20+J22+J24</f>
        <v>0</v>
      </c>
      <c r="K25" s="4277"/>
      <c r="L25" s="4276">
        <f>L20+L22+L24</f>
        <v>0</v>
      </c>
      <c r="M25" s="4277"/>
      <c r="N25" s="4276">
        <f>N20+N22+N24</f>
        <v>2730</v>
      </c>
      <c r="O25" s="4277"/>
      <c r="P25" s="4276">
        <f>P20+P22+P24</f>
        <v>769</v>
      </c>
      <c r="Q25" s="4278"/>
      <c r="R25" s="990">
        <f>R20+R22+R24</f>
        <v>33055</v>
      </c>
      <c r="V25" s="890" t="s">
        <v>1826</v>
      </c>
    </row>
  </sheetData>
  <mergeCells count="43">
    <mergeCell ref="N24:O24"/>
    <mergeCell ref="P24:Q24"/>
    <mergeCell ref="D25:E25"/>
    <mergeCell ref="F25:G25"/>
    <mergeCell ref="H25:I25"/>
    <mergeCell ref="J25:K25"/>
    <mergeCell ref="L25:M25"/>
    <mergeCell ref="N25:O25"/>
    <mergeCell ref="P25:Q25"/>
    <mergeCell ref="L24:M24"/>
    <mergeCell ref="B23:B24"/>
    <mergeCell ref="D24:E24"/>
    <mergeCell ref="F24:G24"/>
    <mergeCell ref="H24:I24"/>
    <mergeCell ref="J24:K24"/>
    <mergeCell ref="L22:M22"/>
    <mergeCell ref="N22:O22"/>
    <mergeCell ref="P22:Q22"/>
    <mergeCell ref="J20:K20"/>
    <mergeCell ref="L20:M20"/>
    <mergeCell ref="B21:B22"/>
    <mergeCell ref="D22:E22"/>
    <mergeCell ref="F22:G22"/>
    <mergeCell ref="H22:I22"/>
    <mergeCell ref="J22:K22"/>
    <mergeCell ref="H20:I20"/>
    <mergeCell ref="L6:M6"/>
    <mergeCell ref="B3:G3"/>
    <mergeCell ref="N6:O6"/>
    <mergeCell ref="P6:Q6"/>
    <mergeCell ref="N20:O20"/>
    <mergeCell ref="P20:Q20"/>
    <mergeCell ref="B8:B20"/>
    <mergeCell ref="C8:C19"/>
    <mergeCell ref="D20:E20"/>
    <mergeCell ref="F20:G20"/>
    <mergeCell ref="R6:R7"/>
    <mergeCell ref="J6:K6"/>
    <mergeCell ref="B6:B7"/>
    <mergeCell ref="C6:C7"/>
    <mergeCell ref="D6:E6"/>
    <mergeCell ref="F6:G6"/>
    <mergeCell ref="H6:I6"/>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499984740745262"/>
  </sheetPr>
  <dimension ref="A1:S59"/>
  <sheetViews>
    <sheetView topLeftCell="A28" workbookViewId="0">
      <selection activeCell="E31" sqref="E31"/>
    </sheetView>
  </sheetViews>
  <sheetFormatPr defaultColWidth="9.140625" defaultRowHeight="15.75" x14ac:dyDescent="0.25"/>
  <cols>
    <col min="1" max="1" width="7.7109375" style="837" customWidth="1"/>
    <col min="2" max="2" width="5.5703125" style="835" customWidth="1"/>
    <col min="3" max="3" width="44.28515625" style="836" customWidth="1"/>
    <col min="4" max="4" width="4.7109375" style="837" customWidth="1"/>
    <col min="5" max="5" width="11.7109375" style="837" bestFit="1" customWidth="1"/>
    <col min="6" max="6" width="8.42578125" style="837" customWidth="1"/>
    <col min="7" max="7" width="10.140625" style="837" bestFit="1" customWidth="1"/>
    <col min="8" max="8" width="4.28515625" style="837" customWidth="1"/>
    <col min="9" max="9" width="10.85546875" style="837" customWidth="1"/>
    <col min="10" max="10" width="4.42578125" style="837" customWidth="1"/>
    <col min="11" max="11" width="12" style="837" customWidth="1"/>
    <col min="12" max="12" width="4.7109375" style="837" customWidth="1"/>
    <col min="13" max="13" width="10.140625" style="837" bestFit="1" customWidth="1"/>
    <col min="14" max="14" width="4.140625" style="837" customWidth="1"/>
    <col min="15" max="15" width="9.28515625" style="837" customWidth="1"/>
    <col min="16" max="16" width="4.7109375" style="837" customWidth="1"/>
    <col min="17" max="17" width="12.85546875" style="837" customWidth="1"/>
    <col min="18" max="18" width="11.28515625" style="837" bestFit="1" customWidth="1"/>
    <col min="19" max="19" width="21" style="1852" customWidth="1"/>
    <col min="20" max="20" width="10.28515625" style="837" customWidth="1"/>
    <col min="21" max="16384" width="9.140625" style="837"/>
  </cols>
  <sheetData>
    <row r="1" spans="1:19" x14ac:dyDescent="0.25">
      <c r="R1" s="837" t="s">
        <v>1079</v>
      </c>
    </row>
    <row r="3" spans="1:19" s="836" customFormat="1" x14ac:dyDescent="0.25">
      <c r="B3" s="4281" t="s">
        <v>1915</v>
      </c>
      <c r="C3" s="4281"/>
      <c r="D3" s="4281"/>
      <c r="E3" s="4281"/>
      <c r="F3" s="4281"/>
      <c r="H3" s="1020" t="str">
        <f>'Вхідні дані'!$F$5</f>
        <v>ЧФ ДП "АМПУ"</v>
      </c>
      <c r="I3" s="1020"/>
      <c r="J3" s="1020"/>
      <c r="K3" s="1020"/>
      <c r="L3" s="1020"/>
      <c r="M3" s="1858" t="s">
        <v>460</v>
      </c>
      <c r="N3" s="1021" t="str">
        <f>'Вхідні дані'!$F$6</f>
        <v>2022-2023</v>
      </c>
      <c r="O3" s="1022"/>
      <c r="P3" s="932" t="s">
        <v>647</v>
      </c>
      <c r="Q3" s="932"/>
      <c r="R3" s="932"/>
      <c r="S3" s="1852"/>
    </row>
    <row r="5" spans="1:19" ht="16.5" thickBot="1" x14ac:dyDescent="0.3">
      <c r="R5" s="837" t="s">
        <v>992</v>
      </c>
    </row>
    <row r="6" spans="1:19" ht="15" x14ac:dyDescent="0.25">
      <c r="B6" s="4282" t="s">
        <v>993</v>
      </c>
      <c r="C6" s="4284" t="s">
        <v>1527</v>
      </c>
      <c r="D6" s="4279" t="s">
        <v>880</v>
      </c>
      <c r="E6" s="4279"/>
      <c r="F6" s="4279" t="s">
        <v>954</v>
      </c>
      <c r="G6" s="4279"/>
      <c r="H6" s="4279" t="s">
        <v>921</v>
      </c>
      <c r="I6" s="4279"/>
      <c r="J6" s="4279" t="s">
        <v>995</v>
      </c>
      <c r="K6" s="4279"/>
      <c r="L6" s="4279" t="s">
        <v>883</v>
      </c>
      <c r="M6" s="4279"/>
      <c r="N6" s="4279" t="s">
        <v>996</v>
      </c>
      <c r="O6" s="4279"/>
      <c r="P6" s="4279" t="s">
        <v>997</v>
      </c>
      <c r="Q6" s="4280"/>
      <c r="R6" s="949" t="s">
        <v>998</v>
      </c>
    </row>
    <row r="7" spans="1:19" thickBot="1" x14ac:dyDescent="0.3">
      <c r="B7" s="4283"/>
      <c r="C7" s="4285"/>
      <c r="D7" s="938" t="s">
        <v>890</v>
      </c>
      <c r="E7" s="938" t="s">
        <v>1011</v>
      </c>
      <c r="F7" s="938" t="s">
        <v>890</v>
      </c>
      <c r="G7" s="938" t="s">
        <v>1011</v>
      </c>
      <c r="H7" s="938" t="s">
        <v>890</v>
      </c>
      <c r="I7" s="938" t="s">
        <v>1011</v>
      </c>
      <c r="J7" s="938" t="s">
        <v>890</v>
      </c>
      <c r="K7" s="938" t="s">
        <v>1011</v>
      </c>
      <c r="L7" s="938" t="s">
        <v>890</v>
      </c>
      <c r="M7" s="938" t="s">
        <v>1011</v>
      </c>
      <c r="N7" s="938" t="s">
        <v>890</v>
      </c>
      <c r="O7" s="938" t="s">
        <v>1011</v>
      </c>
      <c r="P7" s="938" t="s">
        <v>890</v>
      </c>
      <c r="Q7" s="946" t="s">
        <v>1011</v>
      </c>
      <c r="R7" s="950" t="s">
        <v>446</v>
      </c>
    </row>
    <row r="8" spans="1:19" thickBot="1" x14ac:dyDescent="0.3">
      <c r="B8" s="1116"/>
      <c r="C8" s="1113" t="s">
        <v>80</v>
      </c>
      <c r="D8" s="958"/>
      <c r="E8" s="959">
        <f>D9*E9+D10*E10+D11*E11+D12*E12+D13*E13+D14*E14+D15*E15+D16*E16+D17*E17+D18*E18+D19*E19</f>
        <v>37822.19</v>
      </c>
      <c r="F8" s="958"/>
      <c r="G8" s="959">
        <f>F9*G9+F10*G10+F11*G11+F12*G12+F13*G13+F14*G14+F15*G15+F16*G16+F17*G17+F18*G18+F19*G19</f>
        <v>600</v>
      </c>
      <c r="H8" s="4287">
        <f>H9*I9+H10*I10+H11*I11+H12*I12+H13*I13+H14*I14+H15*I15+H16*I16+H17*I17+H18*I18+H19*I19</f>
        <v>0</v>
      </c>
      <c r="I8" s="4287"/>
      <c r="J8" s="4287">
        <f>J9*K9+J10*K10+J11*K11+J12*K12+J13*K13+J14*K14+J15*K15+J16*K16+J17*K17+J18*K18+J19*K19</f>
        <v>0</v>
      </c>
      <c r="K8" s="4287"/>
      <c r="L8" s="4287">
        <f>L9*M9+L10*M10+L11*M11+L12*M12+L13*M13+L14*M14+L15*M15+L16*M16+L17*M17+L18*M18+L19*M19</f>
        <v>0</v>
      </c>
      <c r="M8" s="4287"/>
      <c r="N8" s="958"/>
      <c r="O8" s="959">
        <f>N9*O9+N10*O10+N11*O11+N12*O12+N13*O13+N14*O14+N15*O15+N16*O16+N17*O17+N18*O18+N19*O19</f>
        <v>600</v>
      </c>
      <c r="P8" s="4287">
        <f>P9*Q9+P10*Q10+P11*Q11+P12*Q12+P13*Q13+P14*Q14+P15*Q15+P16*Q16+P17*Q17+P18*Q18+P19*Q19</f>
        <v>0</v>
      </c>
      <c r="Q8" s="4288"/>
      <c r="R8" s="960">
        <f>SUM(R9:R17)</f>
        <v>37822.19</v>
      </c>
    </row>
    <row r="9" spans="1:19" ht="30" x14ac:dyDescent="0.25">
      <c r="A9" s="1960" t="s">
        <v>2597</v>
      </c>
      <c r="B9" s="1114">
        <v>1</v>
      </c>
      <c r="C9" s="1111" t="s">
        <v>1834</v>
      </c>
      <c r="D9" s="935"/>
      <c r="E9" s="936"/>
      <c r="F9" s="937"/>
      <c r="G9" s="937"/>
      <c r="H9" s="937"/>
      <c r="I9" s="937"/>
      <c r="J9" s="937"/>
      <c r="K9" s="937"/>
      <c r="L9" s="937"/>
      <c r="M9" s="937"/>
      <c r="N9" s="937"/>
      <c r="O9" s="937"/>
      <c r="P9" s="937"/>
      <c r="Q9" s="947"/>
      <c r="R9" s="951">
        <f>D9*E9+F9*G9+H9*I9+J9*K9+L9*M9+N9*O9+P9*Q9</f>
        <v>0</v>
      </c>
      <c r="S9" s="1852" t="s">
        <v>2587</v>
      </c>
    </row>
    <row r="10" spans="1:19" ht="15" x14ac:dyDescent="0.25">
      <c r="B10" s="1115">
        <f>B9+1</f>
        <v>2</v>
      </c>
      <c r="C10" s="1112" t="s">
        <v>1835</v>
      </c>
      <c r="D10" s="838"/>
      <c r="E10" s="839"/>
      <c r="F10" s="838"/>
      <c r="G10" s="838"/>
      <c r="H10" s="838"/>
      <c r="I10" s="838"/>
      <c r="J10" s="838"/>
      <c r="K10" s="838"/>
      <c r="L10" s="838"/>
      <c r="M10" s="838"/>
      <c r="N10" s="838"/>
      <c r="O10" s="838"/>
      <c r="P10" s="838"/>
      <c r="Q10" s="948"/>
      <c r="R10" s="952">
        <f t="shared" ref="R10:R19" si="0">D10*E10+F10*G10+H10*I10+J10*K10+L10*M10+N10*O10+P10*Q10</f>
        <v>0</v>
      </c>
    </row>
    <row r="11" spans="1:19" ht="15" x14ac:dyDescent="0.25">
      <c r="B11" s="1115">
        <f t="shared" ref="B11:B19" si="1">B10+1</f>
        <v>3</v>
      </c>
      <c r="C11" s="1112" t="s">
        <v>1836</v>
      </c>
      <c r="D11" s="838">
        <v>1</v>
      </c>
      <c r="E11" s="839">
        <v>17606.580000000002</v>
      </c>
      <c r="F11" s="838"/>
      <c r="G11" s="838"/>
      <c r="H11" s="838"/>
      <c r="I11" s="838"/>
      <c r="J11" s="838"/>
      <c r="K11" s="838"/>
      <c r="L11" s="838"/>
      <c r="M11" s="838"/>
      <c r="N11" s="838"/>
      <c r="O11" s="838"/>
      <c r="P11" s="838"/>
      <c r="Q11" s="948"/>
      <c r="R11" s="952">
        <f t="shared" si="0"/>
        <v>17606.580000000002</v>
      </c>
      <c r="S11" s="1852" t="s">
        <v>2592</v>
      </c>
    </row>
    <row r="12" spans="1:19" ht="15" customHeight="1" x14ac:dyDescent="0.25">
      <c r="B12" s="1115">
        <f t="shared" si="1"/>
        <v>4</v>
      </c>
      <c r="C12" s="1112" t="s">
        <v>1837</v>
      </c>
      <c r="D12" s="838">
        <v>1</v>
      </c>
      <c r="E12" s="839">
        <v>16335.76</v>
      </c>
      <c r="F12" s="838"/>
      <c r="G12" s="838"/>
      <c r="H12" s="838"/>
      <c r="I12" s="838"/>
      <c r="J12" s="838"/>
      <c r="K12" s="838"/>
      <c r="L12" s="838"/>
      <c r="M12" s="838"/>
      <c r="N12" s="838"/>
      <c r="O12" s="838"/>
      <c r="P12" s="838"/>
      <c r="Q12" s="948"/>
      <c r="R12" s="952">
        <f t="shared" si="0"/>
        <v>16335.76</v>
      </c>
      <c r="S12" s="1852" t="s">
        <v>2593</v>
      </c>
    </row>
    <row r="13" spans="1:19" ht="15" x14ac:dyDescent="0.25">
      <c r="B13" s="1115">
        <f t="shared" si="1"/>
        <v>5</v>
      </c>
      <c r="C13" s="1112" t="s">
        <v>1838</v>
      </c>
      <c r="D13" s="838">
        <v>1</v>
      </c>
      <c r="E13" s="839">
        <v>3879.85</v>
      </c>
      <c r="F13" s="838"/>
      <c r="G13" s="838"/>
      <c r="H13" s="838"/>
      <c r="I13" s="838"/>
      <c r="J13" s="838"/>
      <c r="K13" s="838"/>
      <c r="L13" s="838"/>
      <c r="M13" s="838"/>
      <c r="N13" s="838"/>
      <c r="O13" s="838"/>
      <c r="P13" s="838"/>
      <c r="Q13" s="948"/>
      <c r="R13" s="952">
        <f t="shared" si="0"/>
        <v>3879.85</v>
      </c>
      <c r="S13" s="1852" t="s">
        <v>2594</v>
      </c>
    </row>
    <row r="14" spans="1:19" ht="15" x14ac:dyDescent="0.25">
      <c r="B14" s="1115">
        <f t="shared" si="1"/>
        <v>6</v>
      </c>
      <c r="C14" s="1112" t="s">
        <v>1839</v>
      </c>
      <c r="D14" s="838"/>
      <c r="E14" s="839"/>
      <c r="F14" s="838"/>
      <c r="G14" s="840"/>
      <c r="H14" s="838"/>
      <c r="I14" s="838"/>
      <c r="J14" s="838"/>
      <c r="K14" s="838"/>
      <c r="L14" s="838"/>
      <c r="M14" s="838"/>
      <c r="N14" s="838"/>
      <c r="O14" s="838"/>
      <c r="P14" s="838"/>
      <c r="Q14" s="948"/>
      <c r="R14" s="952">
        <f t="shared" si="0"/>
        <v>0</v>
      </c>
      <c r="S14" s="1961" t="s">
        <v>2589</v>
      </c>
    </row>
    <row r="15" spans="1:19" ht="15" x14ac:dyDescent="0.25">
      <c r="B15" s="1115">
        <f t="shared" si="1"/>
        <v>7</v>
      </c>
      <c r="C15" s="1112" t="s">
        <v>1840</v>
      </c>
      <c r="D15" s="838"/>
      <c r="E15" s="839"/>
      <c r="F15" s="838"/>
      <c r="G15" s="838"/>
      <c r="H15" s="838"/>
      <c r="I15" s="838"/>
      <c r="J15" s="838"/>
      <c r="K15" s="838"/>
      <c r="L15" s="838"/>
      <c r="M15" s="838"/>
      <c r="N15" s="838"/>
      <c r="O15" s="838"/>
      <c r="P15" s="838"/>
      <c r="Q15" s="948"/>
      <c r="R15" s="952">
        <f t="shared" si="0"/>
        <v>0</v>
      </c>
    </row>
    <row r="16" spans="1:19" ht="30" x14ac:dyDescent="0.25">
      <c r="B16" s="1115">
        <f t="shared" si="1"/>
        <v>8</v>
      </c>
      <c r="C16" s="1112" t="s">
        <v>1841</v>
      </c>
      <c r="D16" s="838"/>
      <c r="E16" s="839"/>
      <c r="F16" s="838"/>
      <c r="G16" s="838"/>
      <c r="H16" s="838"/>
      <c r="I16" s="838"/>
      <c r="J16" s="838"/>
      <c r="K16" s="838"/>
      <c r="L16" s="838"/>
      <c r="M16" s="838"/>
      <c r="N16" s="838"/>
      <c r="O16" s="838"/>
      <c r="P16" s="838"/>
      <c r="Q16" s="948"/>
      <c r="R16" s="952">
        <f t="shared" si="0"/>
        <v>0</v>
      </c>
    </row>
    <row r="17" spans="1:19" ht="30" x14ac:dyDescent="0.25">
      <c r="A17" s="837" t="s">
        <v>2546</v>
      </c>
      <c r="B17" s="1115">
        <f t="shared" si="1"/>
        <v>9</v>
      </c>
      <c r="C17" s="1112" t="s">
        <v>1842</v>
      </c>
      <c r="D17" s="838"/>
      <c r="E17" s="839"/>
      <c r="F17" s="838"/>
      <c r="G17" s="838"/>
      <c r="H17" s="838"/>
      <c r="I17" s="838"/>
      <c r="J17" s="838"/>
      <c r="K17" s="838"/>
      <c r="L17" s="838"/>
      <c r="M17" s="838"/>
      <c r="N17" s="838"/>
      <c r="O17" s="838"/>
      <c r="P17" s="838"/>
      <c r="Q17" s="948"/>
      <c r="R17" s="952">
        <f t="shared" si="0"/>
        <v>0</v>
      </c>
      <c r="S17" s="1852" t="s">
        <v>2590</v>
      </c>
    </row>
    <row r="18" spans="1:19" ht="30" x14ac:dyDescent="0.25">
      <c r="B18" s="1115">
        <f t="shared" si="1"/>
        <v>10</v>
      </c>
      <c r="C18" s="1112" t="s">
        <v>1843</v>
      </c>
      <c r="D18" s="838"/>
      <c r="E18" s="839"/>
      <c r="F18" s="841">
        <v>1</v>
      </c>
      <c r="G18" s="841">
        <v>600</v>
      </c>
      <c r="H18" s="838"/>
      <c r="I18" s="838"/>
      <c r="J18" s="838"/>
      <c r="K18" s="838"/>
      <c r="L18" s="838"/>
      <c r="M18" s="838"/>
      <c r="N18" s="838">
        <v>1</v>
      </c>
      <c r="O18" s="838">
        <v>600</v>
      </c>
      <c r="P18" s="838"/>
      <c r="Q18" s="948"/>
      <c r="R18" s="952">
        <f t="shared" si="0"/>
        <v>1200</v>
      </c>
      <c r="S18" s="1852" t="s">
        <v>2483</v>
      </c>
    </row>
    <row r="19" spans="1:19" ht="15" x14ac:dyDescent="0.25">
      <c r="B19" s="1115">
        <f t="shared" si="1"/>
        <v>11</v>
      </c>
      <c r="C19" s="1112" t="s">
        <v>1844</v>
      </c>
      <c r="D19" s="838"/>
      <c r="E19" s="839"/>
      <c r="F19" s="838"/>
      <c r="G19" s="838"/>
      <c r="H19" s="838"/>
      <c r="I19" s="838"/>
      <c r="J19" s="838"/>
      <c r="K19" s="838"/>
      <c r="L19" s="838"/>
      <c r="M19" s="838"/>
      <c r="N19" s="838"/>
      <c r="O19" s="838"/>
      <c r="P19" s="838"/>
      <c r="Q19" s="948"/>
      <c r="R19" s="952">
        <f t="shared" si="0"/>
        <v>0</v>
      </c>
    </row>
    <row r="20" spans="1:19" x14ac:dyDescent="0.25">
      <c r="G20" s="1958"/>
    </row>
    <row r="24" spans="1:19" x14ac:dyDescent="0.25">
      <c r="R24" s="837" t="s">
        <v>1079</v>
      </c>
    </row>
    <row r="25" spans="1:19" ht="15" x14ac:dyDescent="0.25">
      <c r="B25" s="837"/>
      <c r="C25" s="837"/>
    </row>
    <row r="26" spans="1:19" ht="32.450000000000003" customHeight="1" x14ac:dyDescent="0.3">
      <c r="B26" s="4286" t="s">
        <v>1848</v>
      </c>
      <c r="C26" s="4286"/>
      <c r="D26" s="4286"/>
      <c r="E26" s="4286"/>
      <c r="F26" s="4286"/>
      <c r="G26" s="931"/>
      <c r="H26" s="1020" t="str">
        <f>'Вхідні дані'!$F$5</f>
        <v>ЧФ ДП "АМПУ"</v>
      </c>
      <c r="I26" s="1020"/>
      <c r="J26" s="1020"/>
      <c r="K26" s="1020"/>
      <c r="L26" s="1020"/>
      <c r="M26" s="930" t="s">
        <v>460</v>
      </c>
      <c r="N26" s="1021" t="str">
        <f>'Вхідні дані'!$F$6</f>
        <v>2022-2023</v>
      </c>
      <c r="O26" s="1022"/>
      <c r="P26" s="932" t="s">
        <v>647</v>
      </c>
    </row>
    <row r="27" spans="1:19" thickBot="1" x14ac:dyDescent="0.3">
      <c r="B27" s="837"/>
      <c r="C27" s="837"/>
    </row>
    <row r="28" spans="1:19" x14ac:dyDescent="0.25">
      <c r="B28" s="4289" t="s">
        <v>993</v>
      </c>
      <c r="C28" s="4291" t="s">
        <v>1845</v>
      </c>
      <c r="D28" s="4293" t="s">
        <v>880</v>
      </c>
      <c r="E28" s="4293"/>
      <c r="F28" s="4293" t="s">
        <v>954</v>
      </c>
      <c r="G28" s="4293"/>
      <c r="H28" s="4293" t="s">
        <v>921</v>
      </c>
      <c r="I28" s="4293"/>
      <c r="J28" s="4293" t="s">
        <v>995</v>
      </c>
      <c r="K28" s="4293"/>
      <c r="L28" s="4293" t="s">
        <v>883</v>
      </c>
      <c r="M28" s="4293"/>
      <c r="N28" s="4293" t="s">
        <v>996</v>
      </c>
      <c r="O28" s="4293"/>
      <c r="P28" s="4293" t="s">
        <v>997</v>
      </c>
      <c r="Q28" s="4294"/>
      <c r="R28" s="943" t="s">
        <v>998</v>
      </c>
    </row>
    <row r="29" spans="1:19" ht="16.5" thickBot="1" x14ac:dyDescent="0.3">
      <c r="B29" s="4290"/>
      <c r="C29" s="4292"/>
      <c r="D29" s="941" t="s">
        <v>890</v>
      </c>
      <c r="E29" s="941" t="s">
        <v>1011</v>
      </c>
      <c r="F29" s="941" t="s">
        <v>890</v>
      </c>
      <c r="G29" s="941" t="s">
        <v>1011</v>
      </c>
      <c r="H29" s="941" t="s">
        <v>890</v>
      </c>
      <c r="I29" s="941" t="s">
        <v>1011</v>
      </c>
      <c r="J29" s="941" t="s">
        <v>890</v>
      </c>
      <c r="K29" s="941" t="s">
        <v>1011</v>
      </c>
      <c r="L29" s="941" t="s">
        <v>890</v>
      </c>
      <c r="M29" s="941" t="s">
        <v>1011</v>
      </c>
      <c r="N29" s="941" t="s">
        <v>890</v>
      </c>
      <c r="O29" s="941" t="s">
        <v>1011</v>
      </c>
      <c r="P29" s="941" t="s">
        <v>890</v>
      </c>
      <c r="Q29" s="942" t="s">
        <v>1011</v>
      </c>
      <c r="R29" s="944" t="s">
        <v>446</v>
      </c>
    </row>
    <row r="30" spans="1:19" ht="16.5" thickBot="1" x14ac:dyDescent="0.3">
      <c r="B30" s="953"/>
      <c r="C30" s="954" t="s">
        <v>80</v>
      </c>
      <c r="D30" s="955"/>
      <c r="E30" s="956">
        <f>SUMPRODUCT(D31:D59,E31:E59)</f>
        <v>121770.74</v>
      </c>
      <c r="F30" s="955"/>
      <c r="G30" s="956">
        <f>SUMPRODUCT(F31:F59,G31:G59)</f>
        <v>42198.04</v>
      </c>
      <c r="H30" s="955"/>
      <c r="I30" s="956">
        <f>SUMPRODUCT(H31:H59,I31:I59)</f>
        <v>261</v>
      </c>
      <c r="J30" s="955"/>
      <c r="K30" s="956">
        <f>SUMPRODUCT(J31:J59,K31:K59)</f>
        <v>261</v>
      </c>
      <c r="L30" s="955"/>
      <c r="M30" s="956">
        <f>SUMPRODUCT(L31:L59,M31:M59)</f>
        <v>791.5</v>
      </c>
      <c r="N30" s="955"/>
      <c r="O30" s="956">
        <f>SUMPRODUCT(N31:N59,O31:O59)</f>
        <v>1044</v>
      </c>
      <c r="P30" s="955"/>
      <c r="Q30" s="956">
        <f>SUMPRODUCT(P31:P59,Q31:Q59)</f>
        <v>1689.5</v>
      </c>
      <c r="R30" s="957">
        <f>SUM(R31:R59)</f>
        <v>168015.78</v>
      </c>
    </row>
    <row r="31" spans="1:19" ht="31.5" x14ac:dyDescent="0.25">
      <c r="B31" s="939">
        <v>1</v>
      </c>
      <c r="C31" s="844" t="s">
        <v>2649</v>
      </c>
      <c r="D31" s="940">
        <v>1</v>
      </c>
      <c r="E31" s="2028">
        <f>18594.72/1.2+49633.5/1.2</f>
        <v>56856.85</v>
      </c>
      <c r="F31" s="2018"/>
      <c r="G31" s="2019"/>
      <c r="H31" s="2018"/>
      <c r="I31" s="2019"/>
      <c r="J31" s="2018"/>
      <c r="K31" s="2019"/>
      <c r="L31" s="2018"/>
      <c r="M31" s="2019"/>
      <c r="N31" s="2018"/>
      <c r="O31" s="2019"/>
      <c r="P31" s="2018"/>
      <c r="Q31" s="2020"/>
      <c r="R31" s="945">
        <f>D31*E31+F31*G31+H31*I31+J31*K31+L31*M31+N31*O31+P31*Q31</f>
        <v>56856.85</v>
      </c>
      <c r="S31" s="1852" t="s">
        <v>2661</v>
      </c>
    </row>
    <row r="32" spans="1:19" ht="19.149999999999999" customHeight="1" x14ac:dyDescent="0.25">
      <c r="B32" s="934">
        <f>B31+1</f>
        <v>2</v>
      </c>
      <c r="C32" s="843" t="s">
        <v>2650</v>
      </c>
      <c r="D32" s="923">
        <v>1</v>
      </c>
      <c r="E32" s="924">
        <v>9308.33</v>
      </c>
      <c r="F32" s="2011"/>
      <c r="G32" s="2012"/>
      <c r="H32" s="2011"/>
      <c r="I32" s="2012"/>
      <c r="J32" s="2011"/>
      <c r="K32" s="2012"/>
      <c r="L32" s="2011"/>
      <c r="M32" s="2012"/>
      <c r="N32" s="2011"/>
      <c r="O32" s="2012"/>
      <c r="P32" s="2011"/>
      <c r="Q32" s="2021"/>
      <c r="R32" s="945">
        <f t="shared" ref="R32:R59" si="2">D32*E32+F32*G32+H32*I32+J32*K32+L32*M32+N32*O32+P32*Q32</f>
        <v>9308.33</v>
      </c>
      <c r="S32" s="2008" t="s">
        <v>2651</v>
      </c>
    </row>
    <row r="33" spans="1:19" ht="30" x14ac:dyDescent="0.25">
      <c r="B33" s="934">
        <f t="shared" ref="B33:B58" si="3">B32+1</f>
        <v>3</v>
      </c>
      <c r="C33" s="1853" t="s">
        <v>2459</v>
      </c>
      <c r="D33" s="838">
        <v>1</v>
      </c>
      <c r="E33" s="839">
        <f>1500/1.2*CEILING(('Вхідні дані'!D50/30),1)</f>
        <v>7500</v>
      </c>
      <c r="F33" s="2014"/>
      <c r="G33" s="2014"/>
      <c r="H33" s="2014"/>
      <c r="I33" s="2014"/>
      <c r="J33" s="2014"/>
      <c r="K33" s="2014"/>
      <c r="L33" s="2014"/>
      <c r="M33" s="2014"/>
      <c r="N33" s="2014"/>
      <c r="O33" s="2014"/>
      <c r="P33" s="2014"/>
      <c r="Q33" s="2015"/>
      <c r="R33" s="945">
        <f t="shared" si="2"/>
        <v>7500</v>
      </c>
      <c r="S33" s="1852" t="s">
        <v>2460</v>
      </c>
    </row>
    <row r="34" spans="1:19" ht="30" x14ac:dyDescent="0.25">
      <c r="B34" s="934">
        <f t="shared" si="3"/>
        <v>4</v>
      </c>
      <c r="C34" s="2009" t="s">
        <v>2654</v>
      </c>
      <c r="D34" s="1109"/>
      <c r="E34" s="1110"/>
      <c r="F34" s="2016"/>
      <c r="G34" s="2016"/>
      <c r="H34" s="2016"/>
      <c r="I34" s="2016"/>
      <c r="J34" s="2016"/>
      <c r="K34" s="2016"/>
      <c r="L34" s="2016"/>
      <c r="M34" s="2016"/>
      <c r="N34" s="2016"/>
      <c r="O34" s="2016"/>
      <c r="P34" s="2016"/>
      <c r="Q34" s="2017"/>
      <c r="R34" s="945">
        <f t="shared" si="2"/>
        <v>0</v>
      </c>
    </row>
    <row r="35" spans="1:19" ht="33.6" customHeight="1" x14ac:dyDescent="0.25">
      <c r="A35" s="1959"/>
      <c r="B35" s="934">
        <f t="shared" si="3"/>
        <v>5</v>
      </c>
      <c r="C35" s="843" t="s">
        <v>2598</v>
      </c>
      <c r="D35" s="923">
        <v>1</v>
      </c>
      <c r="E35" s="924">
        <f>1239.08/1.2</f>
        <v>1032.57</v>
      </c>
      <c r="F35" s="2011"/>
      <c r="G35" s="2012"/>
      <c r="H35" s="2011"/>
      <c r="I35" s="2012"/>
      <c r="J35" s="2011"/>
      <c r="K35" s="2012"/>
      <c r="L35" s="2011"/>
      <c r="M35" s="2012"/>
      <c r="N35" s="2011"/>
      <c r="O35" s="2012"/>
      <c r="P35" s="2011"/>
      <c r="Q35" s="2013"/>
      <c r="R35" s="945">
        <f t="shared" si="2"/>
        <v>1032.57</v>
      </c>
      <c r="S35" s="1957" t="s">
        <v>2599</v>
      </c>
    </row>
    <row r="36" spans="1:19" ht="33" customHeight="1" x14ac:dyDescent="0.25">
      <c r="A36" s="1959"/>
      <c r="B36" s="934">
        <f t="shared" si="3"/>
        <v>6</v>
      </c>
      <c r="C36" s="843" t="s">
        <v>2600</v>
      </c>
      <c r="D36" s="923">
        <v>1</v>
      </c>
      <c r="E36" s="924">
        <f>1239.08/1.2</f>
        <v>1032.57</v>
      </c>
      <c r="F36" s="2011"/>
      <c r="G36" s="2012"/>
      <c r="H36" s="2011"/>
      <c r="I36" s="2012"/>
      <c r="J36" s="2011"/>
      <c r="K36" s="2012"/>
      <c r="L36" s="2011"/>
      <c r="M36" s="2012"/>
      <c r="N36" s="2011"/>
      <c r="O36" s="2012"/>
      <c r="P36" s="2011"/>
      <c r="Q36" s="2013"/>
      <c r="R36" s="945">
        <f t="shared" si="2"/>
        <v>1032.57</v>
      </c>
      <c r="S36" s="1957" t="s">
        <v>2601</v>
      </c>
    </row>
    <row r="37" spans="1:19" ht="33.6" customHeight="1" x14ac:dyDescent="0.25">
      <c r="A37" s="1959"/>
      <c r="B37" s="934">
        <f t="shared" si="3"/>
        <v>7</v>
      </c>
      <c r="C37" s="843" t="s">
        <v>2655</v>
      </c>
      <c r="D37" s="923"/>
      <c r="E37" s="924"/>
      <c r="F37" s="2011"/>
      <c r="G37" s="2012"/>
      <c r="H37" s="2011"/>
      <c r="I37" s="2012"/>
      <c r="J37" s="2011"/>
      <c r="K37" s="2012"/>
      <c r="L37" s="2011"/>
      <c r="M37" s="2012"/>
      <c r="N37" s="2011"/>
      <c r="O37" s="2012"/>
      <c r="P37" s="2011"/>
      <c r="Q37" s="2013"/>
      <c r="R37" s="945">
        <f t="shared" si="2"/>
        <v>0</v>
      </c>
      <c r="S37" s="1957"/>
    </row>
    <row r="38" spans="1:19" ht="30" customHeight="1" x14ac:dyDescent="0.25">
      <c r="A38" s="1959"/>
      <c r="B38" s="934">
        <f t="shared" si="3"/>
        <v>8</v>
      </c>
      <c r="C38" s="2147" t="s">
        <v>2656</v>
      </c>
      <c r="D38" s="923">
        <v>1</v>
      </c>
      <c r="E38" s="2146">
        <f>12900/1.2</f>
        <v>10750</v>
      </c>
      <c r="F38" s="2011"/>
      <c r="G38" s="2012"/>
      <c r="H38" s="2011"/>
      <c r="I38" s="2012"/>
      <c r="J38" s="2011"/>
      <c r="K38" s="2012"/>
      <c r="L38" s="2011"/>
      <c r="M38" s="2012"/>
      <c r="N38" s="2011"/>
      <c r="O38" s="2012"/>
      <c r="P38" s="2011"/>
      <c r="Q38" s="2013"/>
      <c r="R38" s="945">
        <f t="shared" si="2"/>
        <v>10750</v>
      </c>
      <c r="S38" s="1957"/>
    </row>
    <row r="39" spans="1:19" ht="30" x14ac:dyDescent="0.25">
      <c r="B39" s="934">
        <f t="shared" si="3"/>
        <v>9</v>
      </c>
      <c r="C39" s="1853" t="s">
        <v>2653</v>
      </c>
      <c r="D39" s="841"/>
      <c r="E39" s="839"/>
      <c r="F39" s="838">
        <v>1</v>
      </c>
      <c r="G39" s="839">
        <f>3000/1.2*CEILING(('Вхідні дані'!D50/30),1)</f>
        <v>15000</v>
      </c>
      <c r="H39" s="841"/>
      <c r="I39" s="841"/>
      <c r="J39" s="841"/>
      <c r="K39" s="841"/>
      <c r="L39" s="841"/>
      <c r="M39" s="841"/>
      <c r="N39" s="841"/>
      <c r="O39" s="841"/>
      <c r="P39" s="841"/>
      <c r="Q39" s="841"/>
      <c r="R39" s="945">
        <f t="shared" si="2"/>
        <v>15000</v>
      </c>
      <c r="S39" s="1852" t="s">
        <v>2461</v>
      </c>
    </row>
    <row r="40" spans="1:19" ht="30" customHeight="1" x14ac:dyDescent="0.25">
      <c r="A40" s="1959"/>
      <c r="B40" s="934">
        <f t="shared" si="3"/>
        <v>10</v>
      </c>
      <c r="C40" s="1853" t="s">
        <v>2659</v>
      </c>
      <c r="D40" s="923"/>
      <c r="E40" s="924"/>
      <c r="F40" s="2022"/>
      <c r="G40" s="2023"/>
      <c r="H40" s="2022"/>
      <c r="I40" s="2023"/>
      <c r="J40" s="2022"/>
      <c r="K40" s="2023"/>
      <c r="L40" s="2022"/>
      <c r="M40" s="2023"/>
      <c r="N40" s="2022"/>
      <c r="O40" s="2023"/>
      <c r="P40" s="2022"/>
      <c r="Q40" s="2024"/>
      <c r="R40" s="945">
        <f t="shared" si="2"/>
        <v>0</v>
      </c>
      <c r="S40" s="1957"/>
    </row>
    <row r="41" spans="1:19" ht="31.5" x14ac:dyDescent="0.25">
      <c r="B41" s="934">
        <f t="shared" si="3"/>
        <v>11</v>
      </c>
      <c r="C41" s="843" t="s">
        <v>2481</v>
      </c>
      <c r="D41" s="1857"/>
      <c r="E41" s="1857"/>
      <c r="F41" s="923">
        <v>8</v>
      </c>
      <c r="G41" s="924">
        <v>2006.88</v>
      </c>
      <c r="H41" s="925"/>
      <c r="I41" s="924"/>
      <c r="J41" s="925"/>
      <c r="K41" s="924"/>
      <c r="L41" s="925"/>
      <c r="M41" s="924"/>
      <c r="N41" s="925"/>
      <c r="O41" s="924"/>
      <c r="P41" s="925"/>
      <c r="Q41" s="928"/>
      <c r="R41" s="945">
        <f t="shared" si="2"/>
        <v>16055.04</v>
      </c>
      <c r="S41" s="1852" t="s">
        <v>2482</v>
      </c>
    </row>
    <row r="42" spans="1:19" ht="46.15" customHeight="1" x14ac:dyDescent="0.25">
      <c r="A42" s="1959" t="s">
        <v>2546</v>
      </c>
      <c r="B42" s="934">
        <f t="shared" si="3"/>
        <v>12</v>
      </c>
      <c r="C42" s="2010" t="s">
        <v>2652</v>
      </c>
      <c r="D42" s="923"/>
      <c r="E42" s="924"/>
      <c r="F42" s="925"/>
      <c r="G42" s="924"/>
      <c r="H42" s="925"/>
      <c r="I42" s="924"/>
      <c r="J42" s="925"/>
      <c r="K42" s="924"/>
      <c r="L42" s="925"/>
      <c r="M42" s="924"/>
      <c r="N42" s="925"/>
      <c r="O42" s="924"/>
      <c r="P42" s="925"/>
      <c r="Q42" s="928"/>
      <c r="R42" s="945">
        <f t="shared" si="2"/>
        <v>0</v>
      </c>
    </row>
    <row r="43" spans="1:19" x14ac:dyDescent="0.25">
      <c r="B43" s="934">
        <f t="shared" si="3"/>
        <v>13</v>
      </c>
      <c r="C43" s="842"/>
      <c r="D43" s="20"/>
      <c r="E43" s="926"/>
      <c r="F43" s="925"/>
      <c r="G43" s="927"/>
      <c r="H43" s="925"/>
      <c r="I43" s="924"/>
      <c r="J43" s="925"/>
      <c r="K43" s="924"/>
      <c r="L43" s="925"/>
      <c r="M43" s="924"/>
      <c r="N43" s="925"/>
      <c r="O43" s="924"/>
      <c r="P43" s="925"/>
      <c r="Q43" s="928"/>
      <c r="R43" s="945">
        <f t="shared" si="2"/>
        <v>0</v>
      </c>
    </row>
    <row r="44" spans="1:19" ht="47.25" x14ac:dyDescent="0.25">
      <c r="B44" s="934">
        <f t="shared" si="3"/>
        <v>14</v>
      </c>
      <c r="C44" s="1840" t="s">
        <v>2425</v>
      </c>
      <c r="D44" s="923">
        <v>1</v>
      </c>
      <c r="E44" s="1866">
        <f>5588.3/1.2</f>
        <v>4656.92</v>
      </c>
      <c r="F44" s="925"/>
      <c r="G44" s="924"/>
      <c r="H44" s="925"/>
      <c r="I44" s="924"/>
      <c r="J44" s="925"/>
      <c r="K44" s="924"/>
      <c r="L44" s="925"/>
      <c r="M44" s="924"/>
      <c r="N44" s="925"/>
      <c r="O44" s="924"/>
      <c r="P44" s="925"/>
      <c r="Q44" s="928"/>
      <c r="R44" s="945">
        <f t="shared" si="2"/>
        <v>4656.92</v>
      </c>
      <c r="S44" s="1841" t="s">
        <v>2426</v>
      </c>
    </row>
    <row r="45" spans="1:19" x14ac:dyDescent="0.25">
      <c r="B45" s="934">
        <f t="shared" si="3"/>
        <v>15</v>
      </c>
      <c r="C45" s="843"/>
      <c r="D45" s="923"/>
      <c r="E45" s="924"/>
      <c r="F45" s="925"/>
      <c r="G45" s="924"/>
      <c r="H45" s="925"/>
      <c r="I45" s="924"/>
      <c r="J45" s="925"/>
      <c r="K45" s="924"/>
      <c r="L45" s="925"/>
      <c r="M45" s="924"/>
      <c r="N45" s="925"/>
      <c r="O45" s="924"/>
      <c r="P45" s="925"/>
      <c r="Q45" s="928"/>
      <c r="R45" s="945">
        <f t="shared" si="2"/>
        <v>0</v>
      </c>
    </row>
    <row r="46" spans="1:19" x14ac:dyDescent="0.25">
      <c r="B46" s="934">
        <f t="shared" si="3"/>
        <v>16</v>
      </c>
      <c r="C46" s="837"/>
      <c r="D46" s="923"/>
      <c r="E46" s="924"/>
      <c r="F46" s="925"/>
      <c r="G46" s="924"/>
      <c r="H46" s="925"/>
      <c r="I46" s="924"/>
      <c r="J46" s="925"/>
      <c r="K46" s="924"/>
      <c r="L46" s="925"/>
      <c r="M46" s="924"/>
      <c r="N46" s="925"/>
      <c r="O46" s="924"/>
      <c r="P46" s="925"/>
      <c r="Q46" s="928"/>
      <c r="R46" s="945">
        <f t="shared" si="2"/>
        <v>0</v>
      </c>
    </row>
    <row r="47" spans="1:19" x14ac:dyDescent="0.25">
      <c r="B47" s="934">
        <f t="shared" si="3"/>
        <v>17</v>
      </c>
      <c r="C47" s="837"/>
      <c r="D47" s="923"/>
      <c r="E47" s="924"/>
      <c r="F47" s="925"/>
      <c r="G47" s="924"/>
      <c r="H47" s="925"/>
      <c r="I47" s="924"/>
      <c r="J47" s="925"/>
      <c r="K47" s="924"/>
      <c r="L47" s="925"/>
      <c r="M47" s="924"/>
      <c r="N47" s="925"/>
      <c r="O47" s="924"/>
      <c r="P47" s="925"/>
      <c r="Q47" s="928"/>
      <c r="R47" s="945">
        <f t="shared" si="2"/>
        <v>0</v>
      </c>
    </row>
    <row r="48" spans="1:19" ht="18.75" customHeight="1" x14ac:dyDescent="0.25">
      <c r="B48" s="934">
        <f t="shared" si="3"/>
        <v>18</v>
      </c>
      <c r="C48" s="843"/>
      <c r="D48" s="923"/>
      <c r="E48" s="924"/>
      <c r="F48" s="925"/>
      <c r="G48" s="924"/>
      <c r="H48" s="925"/>
      <c r="I48" s="924"/>
      <c r="J48" s="925"/>
      <c r="K48" s="924"/>
      <c r="L48" s="925"/>
      <c r="M48" s="924"/>
      <c r="N48" s="925"/>
      <c r="O48" s="924"/>
      <c r="P48" s="925"/>
      <c r="Q48" s="928"/>
      <c r="R48" s="945">
        <f t="shared" si="2"/>
        <v>0</v>
      </c>
    </row>
    <row r="49" spans="1:19" x14ac:dyDescent="0.25">
      <c r="B49" s="934">
        <f t="shared" si="3"/>
        <v>19</v>
      </c>
      <c r="C49" s="843"/>
      <c r="D49" s="923"/>
      <c r="E49" s="924"/>
      <c r="F49" s="925"/>
      <c r="G49" s="924"/>
      <c r="H49" s="925"/>
      <c r="I49" s="924"/>
      <c r="J49" s="925"/>
      <c r="K49" s="924"/>
      <c r="L49" s="925"/>
      <c r="M49" s="924"/>
      <c r="N49" s="925"/>
      <c r="O49" s="924"/>
      <c r="P49" s="925"/>
      <c r="Q49" s="928"/>
      <c r="R49" s="945">
        <f t="shared" si="2"/>
        <v>0</v>
      </c>
    </row>
    <row r="50" spans="1:19" ht="47.25" x14ac:dyDescent="0.25">
      <c r="B50" s="934">
        <f t="shared" si="3"/>
        <v>20</v>
      </c>
      <c r="C50" s="843" t="s">
        <v>2662</v>
      </c>
      <c r="D50" s="923"/>
      <c r="E50" s="924"/>
      <c r="F50" s="925"/>
      <c r="G50" s="924"/>
      <c r="H50" s="925"/>
      <c r="I50" s="924"/>
      <c r="J50" s="925"/>
      <c r="K50" s="924"/>
      <c r="L50" s="925"/>
      <c r="M50" s="924"/>
      <c r="N50" s="925"/>
      <c r="O50" s="924"/>
      <c r="P50" s="925"/>
      <c r="Q50" s="928"/>
      <c r="R50" s="945">
        <f t="shared" si="2"/>
        <v>0</v>
      </c>
    </row>
    <row r="51" spans="1:19" ht="46.5" customHeight="1" x14ac:dyDescent="0.25">
      <c r="B51" s="934">
        <f t="shared" si="3"/>
        <v>21</v>
      </c>
      <c r="C51" s="843" t="s">
        <v>2663</v>
      </c>
      <c r="D51" s="1121"/>
      <c r="E51" s="924"/>
      <c r="F51" s="925"/>
      <c r="G51" s="924"/>
      <c r="H51" s="925"/>
      <c r="I51" s="924"/>
      <c r="J51" s="925"/>
      <c r="K51" s="924"/>
      <c r="L51" s="925"/>
      <c r="M51" s="924"/>
      <c r="N51" s="925"/>
      <c r="O51" s="924"/>
      <c r="P51" s="925"/>
      <c r="Q51" s="928"/>
      <c r="R51" s="945">
        <f t="shared" si="2"/>
        <v>0</v>
      </c>
      <c r="S51" s="2031">
        <f>D53+D54+F53+F54+H54+J54+L54+N54+P53</f>
        <v>29</v>
      </c>
    </row>
    <row r="52" spans="1:19" x14ac:dyDescent="0.25">
      <c r="B52" s="934">
        <f t="shared" si="3"/>
        <v>22</v>
      </c>
      <c r="C52" s="2029" t="s">
        <v>1846</v>
      </c>
      <c r="D52" s="923">
        <v>1</v>
      </c>
      <c r="E52" s="924">
        <v>1655.5</v>
      </c>
      <c r="F52" s="925">
        <v>1</v>
      </c>
      <c r="G52" s="924">
        <v>984</v>
      </c>
      <c r="H52" s="925"/>
      <c r="I52" s="924"/>
      <c r="J52" s="925"/>
      <c r="K52" s="924"/>
      <c r="L52" s="925">
        <v>1</v>
      </c>
      <c r="M52" s="924">
        <v>128.5</v>
      </c>
      <c r="N52" s="925"/>
      <c r="O52" s="924"/>
      <c r="P52" s="925">
        <v>1</v>
      </c>
      <c r="Q52" s="928">
        <v>483.5</v>
      </c>
      <c r="R52" s="945">
        <f t="shared" si="2"/>
        <v>3251.5</v>
      </c>
      <c r="S52" s="1852" t="s">
        <v>2664</v>
      </c>
    </row>
    <row r="53" spans="1:19" x14ac:dyDescent="0.25">
      <c r="B53" s="934">
        <f t="shared" si="3"/>
        <v>23</v>
      </c>
      <c r="C53" s="2029" t="s">
        <v>1846</v>
      </c>
      <c r="D53" s="2030">
        <v>4</v>
      </c>
      <c r="E53" s="924">
        <v>402</v>
      </c>
      <c r="F53" s="925">
        <v>7</v>
      </c>
      <c r="G53" s="924">
        <v>402</v>
      </c>
      <c r="H53" s="925"/>
      <c r="I53" s="924"/>
      <c r="J53" s="925"/>
      <c r="K53" s="924"/>
      <c r="L53" s="925">
        <v>1</v>
      </c>
      <c r="M53" s="924">
        <v>402</v>
      </c>
      <c r="N53" s="925"/>
      <c r="O53" s="924"/>
      <c r="P53" s="925">
        <v>3</v>
      </c>
      <c r="Q53" s="928">
        <v>402</v>
      </c>
      <c r="R53" s="945">
        <f t="shared" si="2"/>
        <v>6030</v>
      </c>
      <c r="S53" s="1852" t="s">
        <v>2472</v>
      </c>
    </row>
    <row r="54" spans="1:19" x14ac:dyDescent="0.25">
      <c r="B54" s="934">
        <f t="shared" si="3"/>
        <v>24</v>
      </c>
      <c r="C54" s="2029" t="s">
        <v>1846</v>
      </c>
      <c r="D54" s="2030">
        <v>1</v>
      </c>
      <c r="E54" s="924">
        <v>1620</v>
      </c>
      <c r="F54" s="925">
        <v>7</v>
      </c>
      <c r="G54" s="924">
        <v>735</v>
      </c>
      <c r="H54" s="925">
        <v>1</v>
      </c>
      <c r="I54" s="924">
        <v>261</v>
      </c>
      <c r="J54" s="925">
        <v>1</v>
      </c>
      <c r="K54" s="924">
        <v>261</v>
      </c>
      <c r="L54" s="925">
        <v>1</v>
      </c>
      <c r="M54" s="924">
        <v>261</v>
      </c>
      <c r="N54" s="925">
        <v>4</v>
      </c>
      <c r="O54" s="924">
        <v>261</v>
      </c>
      <c r="P54" s="925"/>
      <c r="Q54" s="928"/>
      <c r="R54" s="945">
        <f t="shared" si="2"/>
        <v>8592</v>
      </c>
      <c r="S54" s="1852" t="s">
        <v>2472</v>
      </c>
    </row>
    <row r="55" spans="1:19" ht="78.75" x14ac:dyDescent="0.25">
      <c r="A55" s="1959" t="s">
        <v>2546</v>
      </c>
      <c r="B55" s="934">
        <f t="shared" si="3"/>
        <v>25</v>
      </c>
      <c r="C55" s="2010" t="s">
        <v>1847</v>
      </c>
      <c r="D55" s="923"/>
      <c r="E55" s="924"/>
      <c r="F55" s="925"/>
      <c r="G55" s="924"/>
      <c r="H55" s="925"/>
      <c r="I55" s="924"/>
      <c r="J55" s="925"/>
      <c r="K55" s="924"/>
      <c r="L55" s="925"/>
      <c r="M55" s="924"/>
      <c r="N55" s="925"/>
      <c r="O55" s="924"/>
      <c r="P55" s="925"/>
      <c r="Q55" s="928"/>
      <c r="R55" s="945">
        <f t="shared" si="2"/>
        <v>0</v>
      </c>
      <c r="S55" s="1957" t="s">
        <v>2588</v>
      </c>
    </row>
    <row r="56" spans="1:19" ht="47.25" x14ac:dyDescent="0.25">
      <c r="B56" s="934">
        <f t="shared" si="3"/>
        <v>26</v>
      </c>
      <c r="C56" s="1839" t="s">
        <v>2414</v>
      </c>
      <c r="D56" s="841">
        <v>1</v>
      </c>
      <c r="E56" s="841">
        <f>5700/1.2</f>
        <v>4750</v>
      </c>
      <c r="F56" s="841"/>
      <c r="G56" s="841"/>
      <c r="H56" s="841"/>
      <c r="I56" s="841"/>
      <c r="J56" s="841"/>
      <c r="K56" s="841"/>
      <c r="L56" s="841"/>
      <c r="M56" s="841"/>
      <c r="N56" s="841"/>
      <c r="O56" s="841"/>
      <c r="P56" s="841"/>
      <c r="Q56" s="841"/>
      <c r="R56" s="945">
        <f t="shared" si="2"/>
        <v>4750</v>
      </c>
      <c r="S56" s="1852" t="s">
        <v>2657</v>
      </c>
    </row>
    <row r="57" spans="1:19" ht="31.5" x14ac:dyDescent="0.25">
      <c r="B57" s="934">
        <f t="shared" si="3"/>
        <v>27</v>
      </c>
      <c r="C57" s="1839" t="s">
        <v>2465</v>
      </c>
      <c r="D57" s="841"/>
      <c r="E57" s="841"/>
      <c r="F57" s="841">
        <v>1</v>
      </c>
      <c r="G57" s="841">
        <f>1200</f>
        <v>1200</v>
      </c>
      <c r="H57" s="841"/>
      <c r="I57" s="841"/>
      <c r="J57" s="841"/>
      <c r="K57" s="841"/>
      <c r="L57" s="841"/>
      <c r="M57" s="841"/>
      <c r="N57" s="841"/>
      <c r="O57" s="841"/>
      <c r="P57" s="841"/>
      <c r="Q57" s="841"/>
      <c r="R57" s="945">
        <f t="shared" si="2"/>
        <v>1200</v>
      </c>
      <c r="S57" s="1852" t="s">
        <v>2466</v>
      </c>
    </row>
    <row r="58" spans="1:19" ht="31.5" x14ac:dyDescent="0.25">
      <c r="B58" s="934">
        <f t="shared" si="3"/>
        <v>28</v>
      </c>
      <c r="C58" s="1839" t="s">
        <v>2467</v>
      </c>
      <c r="D58" s="841"/>
      <c r="E58" s="841"/>
      <c r="F58" s="841">
        <v>1</v>
      </c>
      <c r="G58" s="841">
        <f>1200/1.2</f>
        <v>1000</v>
      </c>
      <c r="H58" s="841"/>
      <c r="I58" s="841"/>
      <c r="J58" s="841"/>
      <c r="K58" s="841"/>
      <c r="L58" s="841"/>
      <c r="M58" s="841"/>
      <c r="N58" s="841"/>
      <c r="O58" s="841"/>
      <c r="P58" s="841"/>
      <c r="Q58" s="841"/>
      <c r="R58" s="945">
        <f t="shared" si="2"/>
        <v>1000</v>
      </c>
      <c r="S58" s="1852" t="s">
        <v>2468</v>
      </c>
    </row>
    <row r="59" spans="1:19" ht="30" x14ac:dyDescent="0.25">
      <c r="B59" s="934">
        <f>B39+1</f>
        <v>10</v>
      </c>
      <c r="C59" s="1853" t="s">
        <v>2462</v>
      </c>
      <c r="D59" s="841">
        <v>1</v>
      </c>
      <c r="E59" s="839">
        <f>4200/1.2*CEILING(('Вхідні дані'!D50/30),1)</f>
        <v>21000</v>
      </c>
      <c r="F59" s="841"/>
      <c r="G59" s="841"/>
      <c r="H59" s="841"/>
      <c r="I59" s="841"/>
      <c r="J59" s="841"/>
      <c r="K59" s="841"/>
      <c r="L59" s="841"/>
      <c r="M59" s="841"/>
      <c r="N59" s="841"/>
      <c r="O59" s="841"/>
      <c r="P59" s="841"/>
      <c r="Q59" s="841"/>
      <c r="R59" s="945">
        <f t="shared" si="2"/>
        <v>21000</v>
      </c>
      <c r="S59" s="1852" t="s">
        <v>2463</v>
      </c>
    </row>
  </sheetData>
  <mergeCells count="24">
    <mergeCell ref="B26:F26"/>
    <mergeCell ref="P8:Q8"/>
    <mergeCell ref="B28:B29"/>
    <mergeCell ref="C28:C29"/>
    <mergeCell ref="D28:E28"/>
    <mergeCell ref="F28:G28"/>
    <mergeCell ref="H28:I28"/>
    <mergeCell ref="J28:K28"/>
    <mergeCell ref="L28:M28"/>
    <mergeCell ref="N28:O28"/>
    <mergeCell ref="P28:Q28"/>
    <mergeCell ref="H8:I8"/>
    <mergeCell ref="J8:K8"/>
    <mergeCell ref="L8:M8"/>
    <mergeCell ref="J6:K6"/>
    <mergeCell ref="L6:M6"/>
    <mergeCell ref="N6:O6"/>
    <mergeCell ref="P6:Q6"/>
    <mergeCell ref="B3:F3"/>
    <mergeCell ref="B6:B7"/>
    <mergeCell ref="C6:C7"/>
    <mergeCell ref="D6:E6"/>
    <mergeCell ref="F6:G6"/>
    <mergeCell ref="H6:I6"/>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tint="-0.499984740745262"/>
    <pageSetUpPr fitToPage="1"/>
  </sheetPr>
  <dimension ref="A1:M29"/>
  <sheetViews>
    <sheetView topLeftCell="A5" workbookViewId="0">
      <selection activeCell="E28" sqref="E28"/>
    </sheetView>
  </sheetViews>
  <sheetFormatPr defaultColWidth="9.140625" defaultRowHeight="15" x14ac:dyDescent="0.25"/>
  <cols>
    <col min="1" max="1" width="34.42578125" style="1891" customWidth="1"/>
    <col min="2" max="2" width="11.28515625" style="18" customWidth="1"/>
    <col min="3" max="3" width="13.5703125" style="18" customWidth="1"/>
    <col min="4" max="4" width="13.85546875" style="18" customWidth="1"/>
    <col min="5" max="5" width="11.5703125" style="18" customWidth="1"/>
    <col min="6" max="6" width="11.28515625" style="18" customWidth="1"/>
    <col min="7" max="7" width="11.7109375" style="18" customWidth="1"/>
    <col min="8" max="8" width="13" style="18" customWidth="1"/>
    <col min="9" max="9" width="12.28515625" style="821" customWidth="1"/>
    <col min="10" max="10" width="25.140625" style="18" customWidth="1"/>
    <col min="11" max="16384" width="9.140625" style="18"/>
  </cols>
  <sheetData>
    <row r="1" spans="1:9" ht="43.5" customHeight="1" thickBot="1" x14ac:dyDescent="0.3">
      <c r="A1" s="4295" t="s">
        <v>2505</v>
      </c>
      <c r="B1" s="4295"/>
      <c r="C1" s="4295"/>
      <c r="D1" s="4295"/>
      <c r="E1" s="4295"/>
      <c r="F1" s="4295"/>
      <c r="G1" s="4295"/>
      <c r="H1" s="4295"/>
      <c r="I1" s="4295"/>
    </row>
    <row r="2" spans="1:9" s="108" customFormat="1" ht="35.25" customHeight="1" thickBot="1" x14ac:dyDescent="0.3">
      <c r="A2" s="1869" t="s">
        <v>2417</v>
      </c>
      <c r="B2" s="1870" t="s">
        <v>2506</v>
      </c>
      <c r="C2" s="1870" t="s">
        <v>2507</v>
      </c>
      <c r="D2" s="1870" t="s">
        <v>921</v>
      </c>
      <c r="E2" s="1870" t="s">
        <v>1365</v>
      </c>
      <c r="F2" s="1870" t="s">
        <v>883</v>
      </c>
      <c r="G2" s="1870" t="s">
        <v>996</v>
      </c>
      <c r="H2" s="1871" t="s">
        <v>2508</v>
      </c>
      <c r="I2" s="1872" t="s">
        <v>998</v>
      </c>
    </row>
    <row r="3" spans="1:9" s="1876" customFormat="1" ht="23.25" customHeight="1" thickBot="1" x14ac:dyDescent="0.25">
      <c r="A3" s="1873" t="s">
        <v>2509</v>
      </c>
      <c r="B3" s="1874">
        <f>SUM(B4:B23)</f>
        <v>0</v>
      </c>
      <c r="C3" s="1874">
        <f t="shared" ref="C3:I3" si="0">SUM(C4:C23)</f>
        <v>6763.2</v>
      </c>
      <c r="D3" s="1874">
        <f t="shared" si="0"/>
        <v>0</v>
      </c>
      <c r="E3" s="1874">
        <f t="shared" si="0"/>
        <v>1489.2</v>
      </c>
      <c r="F3" s="1874">
        <f t="shared" si="0"/>
        <v>0</v>
      </c>
      <c r="G3" s="1904">
        <f t="shared" si="0"/>
        <v>20047.61</v>
      </c>
      <c r="H3" s="1875">
        <f t="shared" si="0"/>
        <v>32373.96</v>
      </c>
      <c r="I3" s="1903">
        <f t="shared" si="0"/>
        <v>60673.97</v>
      </c>
    </row>
    <row r="4" spans="1:9" x14ac:dyDescent="0.25">
      <c r="A4" s="1877" t="s">
        <v>2510</v>
      </c>
      <c r="B4" s="1878"/>
      <c r="C4" s="1878"/>
      <c r="D4" s="1878"/>
      <c r="E4" s="1878"/>
      <c r="F4" s="1878"/>
      <c r="G4" s="1878"/>
      <c r="H4" s="1879">
        <v>832.8</v>
      </c>
      <c r="I4" s="1880">
        <f>SUM(B4:H4)</f>
        <v>832.8</v>
      </c>
    </row>
    <row r="5" spans="1:9" x14ac:dyDescent="0.25">
      <c r="A5" s="1881" t="s">
        <v>2532</v>
      </c>
      <c r="B5" s="1882"/>
      <c r="C5" s="1882"/>
      <c r="D5" s="1882"/>
      <c r="E5" s="1882">
        <v>436.8</v>
      </c>
      <c r="F5" s="1882"/>
      <c r="G5" s="1882"/>
      <c r="H5" s="1883"/>
      <c r="I5" s="1884">
        <f t="shared" ref="I5:I23" si="1">SUM(B5:H5)</f>
        <v>436.8</v>
      </c>
    </row>
    <row r="6" spans="1:9" ht="15.75" customHeight="1" x14ac:dyDescent="0.25">
      <c r="A6" s="1881" t="s">
        <v>2511</v>
      </c>
      <c r="B6" s="1882"/>
      <c r="C6" s="1882"/>
      <c r="D6" s="1882"/>
      <c r="E6" s="1882"/>
      <c r="F6" s="1882"/>
      <c r="G6" s="1882"/>
      <c r="H6" s="1883">
        <v>5776.8</v>
      </c>
      <c r="I6" s="1884">
        <f t="shared" si="1"/>
        <v>5776.8</v>
      </c>
    </row>
    <row r="7" spans="1:9" x14ac:dyDescent="0.25">
      <c r="A7" s="1881" t="s">
        <v>2512</v>
      </c>
      <c r="B7" s="1882"/>
      <c r="C7" s="1882"/>
      <c r="D7" s="1882"/>
      <c r="E7" s="1882"/>
      <c r="F7" s="1882"/>
      <c r="G7" s="1882"/>
      <c r="H7" s="1883">
        <v>1749.84</v>
      </c>
      <c r="I7" s="1884">
        <f t="shared" si="1"/>
        <v>1749.84</v>
      </c>
    </row>
    <row r="8" spans="1:9" x14ac:dyDescent="0.25">
      <c r="A8" s="1881" t="s">
        <v>2513</v>
      </c>
      <c r="B8" s="1882"/>
      <c r="C8" s="1882"/>
      <c r="D8" s="1882"/>
      <c r="E8" s="1882"/>
      <c r="F8" s="1882"/>
      <c r="G8" s="1882"/>
      <c r="H8" s="1883">
        <v>684</v>
      </c>
      <c r="I8" s="1884">
        <f t="shared" si="1"/>
        <v>684</v>
      </c>
    </row>
    <row r="9" spans="1:9" x14ac:dyDescent="0.25">
      <c r="A9" s="1881" t="s">
        <v>2514</v>
      </c>
      <c r="B9" s="1882"/>
      <c r="C9" s="1882"/>
      <c r="D9" s="1882"/>
      <c r="E9" s="1882"/>
      <c r="F9" s="1882"/>
      <c r="G9" s="1882"/>
      <c r="H9" s="1883">
        <v>220.8</v>
      </c>
      <c r="I9" s="1884">
        <f t="shared" si="1"/>
        <v>220.8</v>
      </c>
    </row>
    <row r="10" spans="1:9" x14ac:dyDescent="0.25">
      <c r="A10" s="1881" t="s">
        <v>2515</v>
      </c>
      <c r="B10" s="1882"/>
      <c r="C10" s="1882"/>
      <c r="D10" s="1882"/>
      <c r="E10" s="1882"/>
      <c r="F10" s="1882"/>
      <c r="G10" s="1882"/>
      <c r="H10" s="1883">
        <v>492.48</v>
      </c>
      <c r="I10" s="1884">
        <f t="shared" si="1"/>
        <v>492.48</v>
      </c>
    </row>
    <row r="11" spans="1:9" x14ac:dyDescent="0.25">
      <c r="A11" s="1881" t="s">
        <v>2531</v>
      </c>
      <c r="B11" s="1882"/>
      <c r="C11" s="1882"/>
      <c r="D11" s="1882"/>
      <c r="E11" s="1882">
        <v>840</v>
      </c>
      <c r="F11" s="1882"/>
      <c r="G11" s="1882"/>
      <c r="H11" s="1883"/>
      <c r="I11" s="1884">
        <f t="shared" si="1"/>
        <v>840</v>
      </c>
    </row>
    <row r="12" spans="1:9" x14ac:dyDescent="0.25">
      <c r="A12" s="1881" t="s">
        <v>2516</v>
      </c>
      <c r="B12" s="1882"/>
      <c r="C12" s="1882"/>
      <c r="D12" s="1882"/>
      <c r="E12" s="1882"/>
      <c r="F12" s="1882"/>
      <c r="G12" s="1882"/>
      <c r="H12" s="1883">
        <v>300</v>
      </c>
      <c r="I12" s="1884">
        <f t="shared" si="1"/>
        <v>300</v>
      </c>
    </row>
    <row r="13" spans="1:9" x14ac:dyDescent="0.25">
      <c r="A13" s="1881" t="s">
        <v>2517</v>
      </c>
      <c r="B13" s="1882"/>
      <c r="C13" s="1882"/>
      <c r="D13" s="1882"/>
      <c r="E13" s="1882"/>
      <c r="F13" s="1882"/>
      <c r="G13" s="1882"/>
      <c r="H13" s="1883">
        <v>6399.24</v>
      </c>
      <c r="I13" s="1884">
        <f t="shared" si="1"/>
        <v>6399.24</v>
      </c>
    </row>
    <row r="14" spans="1:9" x14ac:dyDescent="0.25">
      <c r="A14" s="1881" t="s">
        <v>2518</v>
      </c>
      <c r="B14" s="1882"/>
      <c r="C14" s="1882"/>
      <c r="D14" s="1882"/>
      <c r="E14" s="1882"/>
      <c r="F14" s="1882"/>
      <c r="G14" s="1882">
        <v>3599.16</v>
      </c>
      <c r="H14" s="1883"/>
      <c r="I14" s="1884">
        <f t="shared" si="1"/>
        <v>3599.16</v>
      </c>
    </row>
    <row r="15" spans="1:9" x14ac:dyDescent="0.25">
      <c r="A15" s="1881" t="s">
        <v>2519</v>
      </c>
      <c r="B15" s="1882"/>
      <c r="C15" s="1882"/>
      <c r="D15" s="1882"/>
      <c r="E15" s="1882"/>
      <c r="F15" s="1882"/>
      <c r="G15" s="1901">
        <f>4075.32/12*3+4075.32/2/12*9</f>
        <v>2547.08</v>
      </c>
      <c r="H15" s="1883"/>
      <c r="I15" s="1884">
        <f t="shared" si="1"/>
        <v>2547.08</v>
      </c>
    </row>
    <row r="16" spans="1:9" ht="45" customHeight="1" x14ac:dyDescent="0.25">
      <c r="A16" s="1881" t="s">
        <v>2520</v>
      </c>
      <c r="B16" s="1882"/>
      <c r="C16" s="1882"/>
      <c r="D16" s="1882"/>
      <c r="E16" s="1882"/>
      <c r="F16" s="1882"/>
      <c r="G16" s="1882">
        <v>3231.24</v>
      </c>
      <c r="H16" s="1883"/>
      <c r="I16" s="1884">
        <f t="shared" si="1"/>
        <v>3231.24</v>
      </c>
    </row>
    <row r="17" spans="1:13" x14ac:dyDescent="0.25">
      <c r="A17" s="1881" t="s">
        <v>2521</v>
      </c>
      <c r="B17" s="1882"/>
      <c r="C17" s="1882"/>
      <c r="D17" s="1882"/>
      <c r="E17" s="1882"/>
      <c r="F17" s="1882"/>
      <c r="G17" s="1882"/>
      <c r="H17" s="1883">
        <v>6763.2</v>
      </c>
      <c r="I17" s="1884">
        <f t="shared" si="1"/>
        <v>6763.2</v>
      </c>
    </row>
    <row r="18" spans="1:13" ht="16.5" customHeight="1" x14ac:dyDescent="0.25">
      <c r="A18" s="1881" t="s">
        <v>2522</v>
      </c>
      <c r="B18" s="1882"/>
      <c r="C18" s="1883">
        <v>6763.2</v>
      </c>
      <c r="D18" s="1882"/>
      <c r="E18" s="1882"/>
      <c r="F18" s="1882"/>
      <c r="G18" s="1882"/>
      <c r="H18" s="1883"/>
      <c r="I18" s="1884">
        <f t="shared" si="1"/>
        <v>6763.2</v>
      </c>
    </row>
    <row r="19" spans="1:13" x14ac:dyDescent="0.25">
      <c r="A19" s="1881" t="s">
        <v>2523</v>
      </c>
      <c r="B19" s="1882"/>
      <c r="C19" s="1882"/>
      <c r="D19" s="1882"/>
      <c r="E19" s="1882"/>
      <c r="F19" s="1882"/>
      <c r="G19" s="1882"/>
      <c r="H19" s="1883">
        <v>6827.28</v>
      </c>
      <c r="I19" s="1884">
        <f t="shared" si="1"/>
        <v>6827.28</v>
      </c>
    </row>
    <row r="20" spans="1:13" ht="30" x14ac:dyDescent="0.25">
      <c r="A20" s="1881" t="s">
        <v>2524</v>
      </c>
      <c r="B20" s="1882"/>
      <c r="C20" s="1882"/>
      <c r="D20" s="1882"/>
      <c r="E20" s="1882"/>
      <c r="F20" s="1882"/>
      <c r="G20" s="1882"/>
      <c r="H20" s="1883">
        <v>2115.12</v>
      </c>
      <c r="I20" s="1884">
        <f t="shared" si="1"/>
        <v>2115.12</v>
      </c>
    </row>
    <row r="21" spans="1:13" ht="30.75" thickBot="1" x14ac:dyDescent="0.3">
      <c r="A21" s="1881" t="s">
        <v>1502</v>
      </c>
      <c r="B21" s="1882"/>
      <c r="C21" s="1882"/>
      <c r="D21" s="1882"/>
      <c r="E21" s="1883">
        <f>306/9*12/2+16.8/2</f>
        <v>212.4</v>
      </c>
      <c r="F21" s="1882"/>
      <c r="G21" s="1882"/>
      <c r="H21" s="1883">
        <f>306/9*12/2+16.8/2</f>
        <v>212.4</v>
      </c>
      <c r="I21" s="1884">
        <f t="shared" si="1"/>
        <v>424.8</v>
      </c>
      <c r="J21" s="1899" t="s">
        <v>2415</v>
      </c>
      <c r="K21" s="18">
        <v>424.8</v>
      </c>
      <c r="L21" s="18">
        <f>K21/1.2</f>
        <v>354</v>
      </c>
    </row>
    <row r="22" spans="1:13" ht="30" x14ac:dyDescent="0.25">
      <c r="A22" s="1885" t="s">
        <v>2525</v>
      </c>
      <c r="B22" s="1886"/>
      <c r="C22" s="1886"/>
      <c r="D22" s="1886"/>
      <c r="E22" s="1886"/>
      <c r="F22" s="1886"/>
      <c r="G22" s="1886">
        <v>4920</v>
      </c>
      <c r="H22" s="1887"/>
      <c r="I22" s="1884">
        <f t="shared" si="1"/>
        <v>4920</v>
      </c>
    </row>
    <row r="23" spans="1:13" ht="15.75" thickBot="1" x14ac:dyDescent="0.3">
      <c r="A23" s="1888" t="s">
        <v>2526</v>
      </c>
      <c r="B23" s="1889"/>
      <c r="C23" s="1889"/>
      <c r="D23" s="1889"/>
      <c r="E23" s="1889"/>
      <c r="F23" s="1889"/>
      <c r="G23" s="1902">
        <f>4300/9*12+16.8</f>
        <v>5750.13</v>
      </c>
      <c r="H23" s="1890"/>
      <c r="I23" s="1900">
        <f t="shared" si="1"/>
        <v>5750.13</v>
      </c>
      <c r="J23" s="1899" t="s">
        <v>2415</v>
      </c>
    </row>
    <row r="25" spans="1:13" s="435" customFormat="1" ht="15.75" x14ac:dyDescent="0.25">
      <c r="A25" s="4139" t="str">
        <f>'Вхідні дані'!B13</f>
        <v>Начальник Адміністрації морського порту Чорноморськ</v>
      </c>
      <c r="B25" s="4139"/>
      <c r="C25" s="1934"/>
      <c r="D25" s="441" t="s">
        <v>368</v>
      </c>
      <c r="E25" s="1934"/>
      <c r="F25" s="4111" t="str">
        <f>'Вхідні дані'!$F$13</f>
        <v>Максим ШИРОКОВ</v>
      </c>
      <c r="G25" s="4111"/>
      <c r="H25" s="4111"/>
      <c r="I25" s="440"/>
      <c r="J25" s="440"/>
      <c r="K25" s="440"/>
      <c r="L25" s="440"/>
      <c r="M25" s="440"/>
    </row>
    <row r="26" spans="1:13" s="435" customFormat="1" x14ac:dyDescent="0.25">
      <c r="B26" s="442"/>
      <c r="C26" s="443"/>
      <c r="D26" s="444" t="s">
        <v>219</v>
      </c>
      <c r="E26" s="440"/>
      <c r="F26" s="4112" t="s">
        <v>1926</v>
      </c>
      <c r="G26" s="4112"/>
      <c r="H26" s="4112"/>
      <c r="I26" s="440"/>
      <c r="J26" s="440"/>
      <c r="K26" s="440"/>
      <c r="L26" s="440"/>
      <c r="M26" s="440"/>
    </row>
    <row r="27" spans="1:13" s="435" customFormat="1" ht="15.75" x14ac:dyDescent="0.25">
      <c r="A27" s="4139" t="str">
        <f>'Вхідні дані'!B14</f>
        <v>Заступник начальника з технічних питань та розвитку</v>
      </c>
      <c r="B27" s="4139"/>
      <c r="C27" s="1934"/>
      <c r="D27" s="441" t="s">
        <v>368</v>
      </c>
      <c r="E27" s="1934"/>
      <c r="F27" s="4111" t="str">
        <f>'Вхідні дані'!$F$15</f>
        <v>Наталія БАРТОШИК</v>
      </c>
      <c r="G27" s="4111"/>
      <c r="H27" s="4111"/>
      <c r="I27" s="440"/>
      <c r="J27" s="440"/>
      <c r="K27" s="440"/>
      <c r="L27" s="440"/>
      <c r="M27" s="440"/>
    </row>
    <row r="28" spans="1:13" s="435" customFormat="1" ht="15.75" x14ac:dyDescent="0.25">
      <c r="B28" s="446"/>
      <c r="C28" s="443"/>
      <c r="D28" s="444" t="s">
        <v>219</v>
      </c>
      <c r="E28" s="440"/>
      <c r="F28" s="4112" t="s">
        <v>1926</v>
      </c>
      <c r="G28" s="4112"/>
      <c r="H28" s="4112"/>
      <c r="I28" s="440"/>
      <c r="J28" s="440"/>
      <c r="K28" s="440"/>
      <c r="L28" s="440"/>
      <c r="M28" s="440"/>
    </row>
    <row r="29" spans="1:13" s="435" customFormat="1" x14ac:dyDescent="0.25">
      <c r="A29" s="1933" t="s">
        <v>920</v>
      </c>
      <c r="B29" s="1933"/>
      <c r="C29" s="1933"/>
      <c r="D29" s="1933"/>
      <c r="E29" s="1933"/>
    </row>
  </sheetData>
  <mergeCells count="7">
    <mergeCell ref="F28:H28"/>
    <mergeCell ref="A25:B25"/>
    <mergeCell ref="A27:B27"/>
    <mergeCell ref="A1:I1"/>
    <mergeCell ref="F25:H25"/>
    <mergeCell ref="F26:H26"/>
    <mergeCell ref="F27:H27"/>
  </mergeCells>
  <pageMargins left="0.70866141732283472" right="0.70866141732283472" top="0.74803149606299213" bottom="0.74803149606299213" header="0.31496062992125984" footer="0.31496062992125984"/>
  <pageSetup paperSize="9" scale="90" orientation="landscape"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499984740745262"/>
  </sheetPr>
  <dimension ref="A1:S83"/>
  <sheetViews>
    <sheetView workbookViewId="0">
      <selection activeCell="C27" sqref="C27:F27"/>
    </sheetView>
  </sheetViews>
  <sheetFormatPr defaultRowHeight="15" x14ac:dyDescent="0.25"/>
  <cols>
    <col min="6" max="6" width="10.85546875" customWidth="1"/>
    <col min="10" max="10" width="11" customWidth="1"/>
    <col min="13" max="13" width="10.7109375" customWidth="1"/>
    <col min="14" max="14" width="11" customWidth="1"/>
  </cols>
  <sheetData>
    <row r="1" spans="1:19" ht="15.75" x14ac:dyDescent="0.25">
      <c r="A1" s="933"/>
      <c r="B1" s="933"/>
      <c r="C1" s="933"/>
      <c r="D1" s="933"/>
      <c r="E1" s="933"/>
      <c r="F1" s="933"/>
      <c r="G1" s="933"/>
      <c r="H1" s="933"/>
      <c r="I1" s="933"/>
      <c r="J1" s="933"/>
      <c r="K1" s="933"/>
      <c r="L1" s="933"/>
      <c r="M1" s="933"/>
      <c r="N1" s="933" t="s">
        <v>951</v>
      </c>
      <c r="O1" s="933"/>
      <c r="P1" s="933"/>
      <c r="Q1" s="933" t="s">
        <v>2648</v>
      </c>
    </row>
    <row r="2" spans="1:19" ht="15.75" x14ac:dyDescent="0.25">
      <c r="A2" s="933"/>
      <c r="B2" s="933"/>
      <c r="C2" s="933"/>
      <c r="D2" s="933"/>
      <c r="E2" s="933"/>
      <c r="F2" s="933"/>
      <c r="G2" s="933"/>
      <c r="H2" s="933"/>
      <c r="I2" s="933"/>
      <c r="J2" s="933"/>
      <c r="K2" s="933"/>
      <c r="L2" s="933"/>
      <c r="M2" s="933"/>
      <c r="N2" s="933"/>
      <c r="O2" s="933"/>
      <c r="P2" s="933"/>
      <c r="Q2" s="933"/>
      <c r="S2" s="2007">
        <f>SUM(S3:S4)</f>
        <v>78632</v>
      </c>
    </row>
    <row r="3" spans="1:19" ht="15.75" x14ac:dyDescent="0.25">
      <c r="A3" s="933"/>
      <c r="B3" s="929" t="s">
        <v>1914</v>
      </c>
      <c r="C3" s="929"/>
      <c r="D3" s="929"/>
      <c r="E3" s="929"/>
      <c r="F3" s="929"/>
      <c r="G3" s="929"/>
      <c r="H3" s="1962" t="str">
        <f>'Вхідні дані'!$F$5</f>
        <v>ЧФ ДП "АМПУ"</v>
      </c>
      <c r="I3" s="1962"/>
      <c r="J3" s="1962"/>
      <c r="K3" s="1962"/>
      <c r="L3" s="929" t="s">
        <v>460</v>
      </c>
      <c r="M3" s="1962" t="str">
        <f>'Вхідні дані'!$F$6</f>
        <v>2022-2023</v>
      </c>
      <c r="N3" s="929" t="s">
        <v>647</v>
      </c>
      <c r="O3" s="933"/>
      <c r="P3" s="933"/>
      <c r="Q3" s="933" t="s">
        <v>1822</v>
      </c>
      <c r="S3">
        <v>68726</v>
      </c>
    </row>
    <row r="4" spans="1:19" ht="15.75" x14ac:dyDescent="0.25">
      <c r="A4" s="933"/>
      <c r="B4" s="912"/>
      <c r="C4" s="912"/>
      <c r="D4" s="912"/>
      <c r="E4" s="912"/>
      <c r="F4" s="912"/>
      <c r="G4" s="912"/>
      <c r="H4" s="912"/>
      <c r="I4" s="912"/>
      <c r="J4" s="912"/>
      <c r="K4" s="912"/>
      <c r="L4" s="912"/>
      <c r="M4" s="933"/>
      <c r="N4" s="933"/>
      <c r="O4" s="933"/>
      <c r="P4" s="933"/>
      <c r="Q4" s="933" t="s">
        <v>1823</v>
      </c>
      <c r="S4">
        <v>9906</v>
      </c>
    </row>
    <row r="5" spans="1:19" ht="16.5" thickBot="1" x14ac:dyDescent="0.3">
      <c r="A5" s="933"/>
      <c r="B5" s="933"/>
      <c r="C5" s="933"/>
      <c r="D5" s="933"/>
      <c r="E5" s="933"/>
      <c r="F5" s="933"/>
      <c r="G5" s="933"/>
      <c r="H5" s="933"/>
      <c r="I5" s="1963" t="s">
        <v>880</v>
      </c>
      <c r="J5" s="1964"/>
      <c r="K5" s="933"/>
      <c r="L5" s="933"/>
      <c r="M5" s="933"/>
      <c r="N5" s="933" t="s">
        <v>1849</v>
      </c>
      <c r="O5" s="933"/>
      <c r="P5" s="933"/>
      <c r="Q5" s="933"/>
    </row>
    <row r="6" spans="1:19" ht="15.75" x14ac:dyDescent="0.25">
      <c r="A6" s="933"/>
      <c r="B6" s="4296" t="s">
        <v>993</v>
      </c>
      <c r="C6" s="4298" t="s">
        <v>1850</v>
      </c>
      <c r="D6" s="4299"/>
      <c r="E6" s="4299"/>
      <c r="F6" s="4300"/>
      <c r="G6" s="4301" t="s">
        <v>1851</v>
      </c>
      <c r="H6" s="4303" t="s">
        <v>1852</v>
      </c>
      <c r="I6" s="4303" t="s">
        <v>1853</v>
      </c>
      <c r="J6" s="4315" t="s">
        <v>1854</v>
      </c>
      <c r="K6" s="4317" t="s">
        <v>2502</v>
      </c>
      <c r="L6" s="4303" t="s">
        <v>1917</v>
      </c>
      <c r="M6" s="4308" t="s">
        <v>1855</v>
      </c>
      <c r="N6" s="4310" t="s">
        <v>1918</v>
      </c>
      <c r="O6" s="933"/>
      <c r="P6" s="933"/>
      <c r="Q6" s="933"/>
    </row>
    <row r="7" spans="1:19" ht="15.75" x14ac:dyDescent="0.25">
      <c r="A7" s="933"/>
      <c r="B7" s="4297"/>
      <c r="C7" s="4305" t="s">
        <v>1856</v>
      </c>
      <c r="D7" s="4306"/>
      <c r="E7" s="4306"/>
      <c r="F7" s="4307"/>
      <c r="G7" s="4302"/>
      <c r="H7" s="4304"/>
      <c r="I7" s="4304"/>
      <c r="J7" s="4316"/>
      <c r="K7" s="4318"/>
      <c r="L7" s="4304"/>
      <c r="M7" s="4309"/>
      <c r="N7" s="4311"/>
      <c r="O7" s="933"/>
      <c r="P7" s="933"/>
      <c r="Q7" s="933"/>
    </row>
    <row r="8" spans="1:19" ht="15.75" x14ac:dyDescent="0.25">
      <c r="A8" s="933"/>
      <c r="B8" s="1965">
        <v>1</v>
      </c>
      <c r="C8" s="4312" t="s">
        <v>2602</v>
      </c>
      <c r="D8" s="4313"/>
      <c r="E8" s="4313"/>
      <c r="F8" s="4314"/>
      <c r="G8" s="1966">
        <v>5</v>
      </c>
      <c r="H8" s="1967" t="s">
        <v>1857</v>
      </c>
      <c r="I8" s="1967"/>
      <c r="J8" s="1967">
        <f t="shared" ref="J8:J22" si="0">I8*G8</f>
        <v>0</v>
      </c>
      <c r="K8" s="1967"/>
      <c r="L8" s="1967"/>
      <c r="M8" s="1968">
        <f>L8*G8</f>
        <v>0</v>
      </c>
      <c r="N8" s="1969"/>
      <c r="O8" s="933"/>
      <c r="P8" s="933"/>
      <c r="Q8" s="933"/>
    </row>
    <row r="9" spans="1:19" ht="15.75" x14ac:dyDescent="0.25">
      <c r="A9" s="933"/>
      <c r="B9" s="1965">
        <f>B8+1</f>
        <v>2</v>
      </c>
      <c r="C9" s="4305" t="s">
        <v>2535</v>
      </c>
      <c r="D9" s="4306"/>
      <c r="E9" s="4306"/>
      <c r="F9" s="4307"/>
      <c r="G9" s="1966">
        <v>1</v>
      </c>
      <c r="H9" s="1967" t="s">
        <v>1858</v>
      </c>
      <c r="I9" s="1967"/>
      <c r="J9" s="1967">
        <f t="shared" si="0"/>
        <v>0</v>
      </c>
      <c r="K9" s="1967"/>
      <c r="L9" s="1967"/>
      <c r="M9" s="1968"/>
      <c r="N9" s="1969"/>
      <c r="O9" s="933"/>
      <c r="P9" s="933"/>
      <c r="Q9" s="933"/>
    </row>
    <row r="10" spans="1:19" ht="15.75" x14ac:dyDescent="0.25">
      <c r="A10" s="933"/>
      <c r="B10" s="1965">
        <f t="shared" ref="B10:B23" si="1">B9+1</f>
        <v>3</v>
      </c>
      <c r="C10" s="4305" t="s">
        <v>1859</v>
      </c>
      <c r="D10" s="4306"/>
      <c r="E10" s="4306"/>
      <c r="F10" s="4307"/>
      <c r="G10" s="1970">
        <v>17</v>
      </c>
      <c r="H10" s="1967" t="s">
        <v>1857</v>
      </c>
      <c r="I10" s="1967"/>
      <c r="J10" s="1967">
        <f t="shared" si="0"/>
        <v>0</v>
      </c>
      <c r="K10" s="1967"/>
      <c r="L10" s="1967"/>
      <c r="M10" s="1968">
        <f>L10*G10</f>
        <v>0</v>
      </c>
      <c r="N10" s="1969"/>
      <c r="O10" s="933"/>
      <c r="P10" s="933"/>
      <c r="Q10" s="933"/>
    </row>
    <row r="11" spans="1:19" ht="15.75" x14ac:dyDescent="0.25">
      <c r="A11" s="933"/>
      <c r="B11" s="1965">
        <f t="shared" si="1"/>
        <v>4</v>
      </c>
      <c r="C11" s="4305" t="s">
        <v>1860</v>
      </c>
      <c r="D11" s="4306"/>
      <c r="E11" s="4306"/>
      <c r="F11" s="4307"/>
      <c r="G11" s="1970">
        <v>6</v>
      </c>
      <c r="H11" s="1967" t="s">
        <v>1857</v>
      </c>
      <c r="I11" s="1967"/>
      <c r="J11" s="1967">
        <f t="shared" si="0"/>
        <v>0</v>
      </c>
      <c r="K11" s="1967"/>
      <c r="L11" s="1967"/>
      <c r="M11" s="1968">
        <f>L11*G11</f>
        <v>0</v>
      </c>
      <c r="N11" s="1969"/>
      <c r="O11" s="933"/>
      <c r="P11" s="933"/>
      <c r="Q11" s="933"/>
    </row>
    <row r="12" spans="1:19" ht="15.75" x14ac:dyDescent="0.25">
      <c r="A12" s="933"/>
      <c r="B12" s="1965">
        <f t="shared" si="1"/>
        <v>5</v>
      </c>
      <c r="C12" s="4312" t="s">
        <v>2603</v>
      </c>
      <c r="D12" s="4313"/>
      <c r="E12" s="4313"/>
      <c r="F12" s="4314"/>
      <c r="G12" s="1966">
        <v>6</v>
      </c>
      <c r="H12" s="1967" t="s">
        <v>1858</v>
      </c>
      <c r="I12" s="1967"/>
      <c r="J12" s="1967">
        <f t="shared" si="0"/>
        <v>0</v>
      </c>
      <c r="K12" s="1967"/>
      <c r="L12" s="1967"/>
      <c r="M12" s="1968">
        <f>L12*G12</f>
        <v>0</v>
      </c>
      <c r="N12" s="1971"/>
      <c r="O12" s="933"/>
      <c r="P12" s="933"/>
      <c r="Q12" s="933"/>
    </row>
    <row r="13" spans="1:19" ht="15.75" x14ac:dyDescent="0.25">
      <c r="A13" s="933"/>
      <c r="B13" s="1965">
        <f t="shared" si="1"/>
        <v>6</v>
      </c>
      <c r="C13" s="4312" t="s">
        <v>2604</v>
      </c>
      <c r="D13" s="4306"/>
      <c r="E13" s="4306"/>
      <c r="F13" s="4307"/>
      <c r="G13" s="1966">
        <v>2</v>
      </c>
      <c r="H13" s="1967" t="s">
        <v>1858</v>
      </c>
      <c r="I13" s="1967"/>
      <c r="J13" s="1967">
        <f t="shared" si="0"/>
        <v>0</v>
      </c>
      <c r="K13" s="1967"/>
      <c r="L13" s="1967"/>
      <c r="M13" s="1968">
        <f t="shared" ref="M13:M24" si="2">L13*G13</f>
        <v>0</v>
      </c>
      <c r="N13" s="1969"/>
      <c r="O13" s="933"/>
      <c r="P13" s="933"/>
      <c r="Q13" s="933"/>
    </row>
    <row r="14" spans="1:19" ht="15.75" x14ac:dyDescent="0.25">
      <c r="A14" s="933"/>
      <c r="B14" s="1965">
        <f t="shared" si="1"/>
        <v>7</v>
      </c>
      <c r="C14" s="4305" t="s">
        <v>1861</v>
      </c>
      <c r="D14" s="4306"/>
      <c r="E14" s="4306"/>
      <c r="F14" s="4307"/>
      <c r="G14" s="1966">
        <v>104</v>
      </c>
      <c r="H14" s="1967" t="s">
        <v>1858</v>
      </c>
      <c r="I14" s="1967"/>
      <c r="J14" s="1967">
        <f t="shared" si="0"/>
        <v>0</v>
      </c>
      <c r="K14" s="1967"/>
      <c r="L14" s="1967"/>
      <c r="M14" s="1968">
        <f t="shared" si="2"/>
        <v>0</v>
      </c>
      <c r="N14" s="1969"/>
      <c r="O14" s="933">
        <v>3328</v>
      </c>
      <c r="P14" s="933"/>
      <c r="Q14" s="933">
        <f>N14/G14*96</f>
        <v>0</v>
      </c>
      <c r="S14">
        <f>G14*31.78</f>
        <v>3305.12</v>
      </c>
    </row>
    <row r="15" spans="1:19" ht="15.75" x14ac:dyDescent="0.25">
      <c r="A15" s="933"/>
      <c r="B15" s="1965">
        <f t="shared" si="1"/>
        <v>8</v>
      </c>
      <c r="C15" s="4305" t="s">
        <v>1862</v>
      </c>
      <c r="D15" s="4306"/>
      <c r="E15" s="4306"/>
      <c r="F15" s="4307"/>
      <c r="G15" s="1966">
        <v>20</v>
      </c>
      <c r="H15" s="1967" t="s">
        <v>1858</v>
      </c>
      <c r="I15" s="1967"/>
      <c r="J15" s="1967">
        <f t="shared" si="0"/>
        <v>0</v>
      </c>
      <c r="K15" s="1967"/>
      <c r="L15" s="1967"/>
      <c r="M15" s="1968">
        <f t="shared" si="2"/>
        <v>0</v>
      </c>
      <c r="N15" s="1969"/>
      <c r="O15" s="933">
        <v>908</v>
      </c>
      <c r="P15" s="933"/>
      <c r="Q15" s="933"/>
    </row>
    <row r="16" spans="1:19" ht="15.75" x14ac:dyDescent="0.25">
      <c r="A16" s="933"/>
      <c r="B16" s="1965">
        <f t="shared" si="1"/>
        <v>9</v>
      </c>
      <c r="C16" s="4305" t="s">
        <v>1863</v>
      </c>
      <c r="D16" s="4306"/>
      <c r="E16" s="4306"/>
      <c r="F16" s="4307"/>
      <c r="G16" s="1966">
        <v>1</v>
      </c>
      <c r="H16" s="1967" t="s">
        <v>1864</v>
      </c>
      <c r="I16" s="1967"/>
      <c r="J16" s="1967">
        <f t="shared" si="0"/>
        <v>0</v>
      </c>
      <c r="K16" s="1967"/>
      <c r="L16" s="1967"/>
      <c r="M16" s="1968">
        <f t="shared" si="2"/>
        <v>0</v>
      </c>
      <c r="N16" s="1969"/>
      <c r="O16" s="933">
        <v>225</v>
      </c>
      <c r="P16" s="933"/>
      <c r="Q16" s="933"/>
    </row>
    <row r="17" spans="1:17" ht="15.75" x14ac:dyDescent="0.25">
      <c r="A17" s="933"/>
      <c r="B17" s="1965">
        <f t="shared" si="1"/>
        <v>10</v>
      </c>
      <c r="C17" s="4305" t="s">
        <v>1865</v>
      </c>
      <c r="D17" s="4306"/>
      <c r="E17" s="4306"/>
      <c r="F17" s="4307"/>
      <c r="G17" s="1966">
        <v>1</v>
      </c>
      <c r="H17" s="1967" t="s">
        <v>1858</v>
      </c>
      <c r="I17" s="1967"/>
      <c r="J17" s="1967">
        <f t="shared" si="0"/>
        <v>0</v>
      </c>
      <c r="K17" s="1967"/>
      <c r="L17" s="1967"/>
      <c r="M17" s="1968">
        <f t="shared" si="2"/>
        <v>0</v>
      </c>
      <c r="N17" s="1969"/>
      <c r="O17" s="933">
        <v>318</v>
      </c>
      <c r="P17" s="933"/>
      <c r="Q17" s="933"/>
    </row>
    <row r="18" spans="1:17" ht="15.75" x14ac:dyDescent="0.25">
      <c r="A18" s="933"/>
      <c r="B18" s="1965">
        <f t="shared" si="1"/>
        <v>11</v>
      </c>
      <c r="C18" s="4324" t="s">
        <v>1866</v>
      </c>
      <c r="D18" s="4324"/>
      <c r="E18" s="4324"/>
      <c r="F18" s="4324"/>
      <c r="G18" s="1966">
        <v>2</v>
      </c>
      <c r="H18" s="1967" t="s">
        <v>1858</v>
      </c>
      <c r="I18" s="1967"/>
      <c r="J18" s="1967">
        <f t="shared" si="0"/>
        <v>0</v>
      </c>
      <c r="K18" s="1967"/>
      <c r="L18" s="1967"/>
      <c r="M18" s="1968">
        <f t="shared" si="2"/>
        <v>0</v>
      </c>
      <c r="N18" s="1969"/>
      <c r="O18" s="933">
        <v>930</v>
      </c>
      <c r="P18" s="933"/>
      <c r="Q18" s="933"/>
    </row>
    <row r="19" spans="1:17" ht="15.75" x14ac:dyDescent="0.25">
      <c r="A19" s="933"/>
      <c r="B19" s="1965">
        <f t="shared" si="1"/>
        <v>12</v>
      </c>
      <c r="C19" s="4305" t="s">
        <v>2734</v>
      </c>
      <c r="D19" s="4306"/>
      <c r="E19" s="4306"/>
      <c r="F19" s="4307"/>
      <c r="G19" s="1966">
        <v>12</v>
      </c>
      <c r="H19" s="1967" t="s">
        <v>1858</v>
      </c>
      <c r="I19" s="1967"/>
      <c r="J19" s="1967">
        <f t="shared" si="0"/>
        <v>0</v>
      </c>
      <c r="K19" s="1967"/>
      <c r="L19" s="1967"/>
      <c r="M19" s="1968">
        <f t="shared" si="2"/>
        <v>0</v>
      </c>
      <c r="N19" s="1969"/>
      <c r="O19" s="933"/>
      <c r="P19" s="933"/>
      <c r="Q19" s="933"/>
    </row>
    <row r="20" spans="1:17" ht="15.75" x14ac:dyDescent="0.25">
      <c r="A20" s="933"/>
      <c r="B20" s="1965">
        <f t="shared" si="1"/>
        <v>13</v>
      </c>
      <c r="C20" s="4324" t="s">
        <v>1867</v>
      </c>
      <c r="D20" s="4324"/>
      <c r="E20" s="4324"/>
      <c r="F20" s="4324"/>
      <c r="G20" s="1966">
        <v>6</v>
      </c>
      <c r="H20" s="1967" t="s">
        <v>1868</v>
      </c>
      <c r="I20" s="1967"/>
      <c r="J20" s="1967">
        <f t="shared" si="0"/>
        <v>0</v>
      </c>
      <c r="K20" s="1967"/>
      <c r="L20" s="1967"/>
      <c r="M20" s="1968">
        <f t="shared" si="2"/>
        <v>0</v>
      </c>
      <c r="N20" s="1969"/>
      <c r="O20" s="933">
        <v>4698</v>
      </c>
      <c r="P20" s="933"/>
      <c r="Q20" s="933"/>
    </row>
    <row r="21" spans="1:17" ht="15.75" x14ac:dyDescent="0.25">
      <c r="A21" s="933"/>
      <c r="B21" s="1965">
        <f t="shared" si="1"/>
        <v>14</v>
      </c>
      <c r="C21" s="4324" t="s">
        <v>1869</v>
      </c>
      <c r="D21" s="4324"/>
      <c r="E21" s="4324"/>
      <c r="F21" s="4324"/>
      <c r="G21" s="1972">
        <v>4</v>
      </c>
      <c r="H21" s="1967" t="s">
        <v>1858</v>
      </c>
      <c r="I21" s="1967"/>
      <c r="J21" s="1967">
        <f t="shared" si="0"/>
        <v>0</v>
      </c>
      <c r="K21" s="1967"/>
      <c r="L21" s="1967"/>
      <c r="M21" s="1968">
        <f t="shared" si="2"/>
        <v>0</v>
      </c>
      <c r="N21" s="1969"/>
      <c r="O21" s="933">
        <v>1271</v>
      </c>
      <c r="P21" s="933"/>
      <c r="Q21" s="933"/>
    </row>
    <row r="22" spans="1:17" ht="15.75" x14ac:dyDescent="0.25">
      <c r="A22" s="933"/>
      <c r="B22" s="1965">
        <f t="shared" si="1"/>
        <v>15</v>
      </c>
      <c r="C22" s="4324" t="s">
        <v>1870</v>
      </c>
      <c r="D22" s="4324"/>
      <c r="E22" s="4324"/>
      <c r="F22" s="4324"/>
      <c r="G22" s="1966">
        <v>6</v>
      </c>
      <c r="H22" s="1967" t="s">
        <v>1858</v>
      </c>
      <c r="I22" s="1967"/>
      <c r="J22" s="1967">
        <f t="shared" si="0"/>
        <v>0</v>
      </c>
      <c r="K22" s="1967"/>
      <c r="L22" s="1967"/>
      <c r="M22" s="1968">
        <f t="shared" si="2"/>
        <v>0</v>
      </c>
      <c r="N22" s="1969"/>
      <c r="O22" s="933">
        <v>2790</v>
      </c>
      <c r="P22" s="933"/>
      <c r="Q22" s="933"/>
    </row>
    <row r="23" spans="1:17" ht="15.75" x14ac:dyDescent="0.25">
      <c r="A23" s="933"/>
      <c r="B23" s="1965">
        <f t="shared" si="1"/>
        <v>16</v>
      </c>
      <c r="C23" s="4324" t="s">
        <v>1871</v>
      </c>
      <c r="D23" s="4324"/>
      <c r="E23" s="4324"/>
      <c r="F23" s="4324"/>
      <c r="G23" s="1972">
        <v>16</v>
      </c>
      <c r="H23" s="1967" t="s">
        <v>1858</v>
      </c>
      <c r="I23" s="1967"/>
      <c r="J23" s="1967">
        <f>I23*G23</f>
        <v>0</v>
      </c>
      <c r="K23" s="1967"/>
      <c r="L23" s="1967"/>
      <c r="M23" s="1968">
        <f t="shared" si="2"/>
        <v>0</v>
      </c>
      <c r="N23" s="1969"/>
      <c r="O23" s="933">
        <v>4112</v>
      </c>
      <c r="P23" s="933"/>
      <c r="Q23" s="933"/>
    </row>
    <row r="24" spans="1:17" ht="15.75" x14ac:dyDescent="0.25">
      <c r="A24" s="933"/>
      <c r="B24" s="1965" t="s">
        <v>2013</v>
      </c>
      <c r="C24" s="4324" t="s">
        <v>2605</v>
      </c>
      <c r="D24" s="4324"/>
      <c r="E24" s="4324"/>
      <c r="F24" s="4324"/>
      <c r="G24" s="1966">
        <v>34</v>
      </c>
      <c r="H24" s="1967" t="s">
        <v>1868</v>
      </c>
      <c r="I24" s="1967"/>
      <c r="J24" s="1967">
        <f>I24*G24</f>
        <v>0</v>
      </c>
      <c r="K24" s="1967"/>
      <c r="L24" s="1967"/>
      <c r="M24" s="1968">
        <f t="shared" si="2"/>
        <v>0</v>
      </c>
      <c r="N24" s="1973"/>
      <c r="O24" s="933"/>
      <c r="P24" s="933"/>
      <c r="Q24" s="933"/>
    </row>
    <row r="25" spans="1:17" ht="16.5" thickBot="1" x14ac:dyDescent="0.3">
      <c r="A25" s="933"/>
      <c r="B25" s="1974"/>
      <c r="C25" s="4325" t="s">
        <v>1872</v>
      </c>
      <c r="D25" s="4325"/>
      <c r="E25" s="4325"/>
      <c r="F25" s="4325"/>
      <c r="G25" s="2005">
        <f>SUM(G8:G24)</f>
        <v>243</v>
      </c>
      <c r="H25" s="1975"/>
      <c r="I25" s="1975"/>
      <c r="J25" s="1975">
        <f>SUM(J8:J24)</f>
        <v>0</v>
      </c>
      <c r="K25" s="1975"/>
      <c r="L25" s="1975"/>
      <c r="M25" s="1976">
        <f>SUM(M8:M24)</f>
        <v>0</v>
      </c>
      <c r="N25" s="1977">
        <f>105636.806584362+N27+N28</f>
        <v>114248.97</v>
      </c>
      <c r="O25" s="933" t="s">
        <v>2480</v>
      </c>
      <c r="P25" s="933"/>
      <c r="Q25" s="933"/>
    </row>
    <row r="26" spans="1:17" ht="15.75" x14ac:dyDescent="0.25">
      <c r="A26" s="933"/>
      <c r="B26" s="1978" t="s">
        <v>2606</v>
      </c>
      <c r="C26" s="4326" t="s">
        <v>2607</v>
      </c>
      <c r="D26" s="4326"/>
      <c r="E26" s="4326"/>
      <c r="F26" s="4326"/>
      <c r="G26" s="1979"/>
      <c r="H26" s="1979"/>
      <c r="I26" s="1979"/>
      <c r="J26" s="1979"/>
      <c r="K26" s="1979"/>
      <c r="L26" s="1979"/>
      <c r="M26" s="1979"/>
      <c r="N26" s="1979"/>
      <c r="O26" s="933"/>
      <c r="P26" s="933"/>
      <c r="Q26" s="933"/>
    </row>
    <row r="27" spans="1:17" ht="15.75" x14ac:dyDescent="0.25">
      <c r="A27" s="933"/>
      <c r="B27" s="1966" t="s">
        <v>2608</v>
      </c>
      <c r="C27" s="4324" t="s">
        <v>2609</v>
      </c>
      <c r="D27" s="4324"/>
      <c r="E27" s="4324"/>
      <c r="F27" s="4324"/>
      <c r="G27" s="1967"/>
      <c r="H27" s="1967" t="s">
        <v>2610</v>
      </c>
      <c r="I27" s="1967"/>
      <c r="J27" s="1967"/>
      <c r="K27" s="1967"/>
      <c r="L27" s="1967"/>
      <c r="M27" s="1967"/>
      <c r="N27" s="1967">
        <v>4306.08</v>
      </c>
      <c r="O27" s="933"/>
      <c r="P27" s="933"/>
      <c r="Q27" s="933"/>
    </row>
    <row r="28" spans="1:17" ht="15.75" x14ac:dyDescent="0.25">
      <c r="A28" s="933"/>
      <c r="B28" s="1966" t="s">
        <v>2021</v>
      </c>
      <c r="C28" s="4324" t="s">
        <v>2611</v>
      </c>
      <c r="D28" s="4324"/>
      <c r="E28" s="4324"/>
      <c r="F28" s="4324"/>
      <c r="G28" s="1967"/>
      <c r="H28" s="1967" t="s">
        <v>2612</v>
      </c>
      <c r="I28" s="1967"/>
      <c r="J28" s="1967"/>
      <c r="K28" s="1967"/>
      <c r="L28" s="1967"/>
      <c r="M28" s="1967"/>
      <c r="N28" s="1967">
        <v>4306.08</v>
      </c>
      <c r="O28" s="933"/>
      <c r="P28" s="933"/>
      <c r="Q28" s="933"/>
    </row>
    <row r="29" spans="1:17" ht="15.75" x14ac:dyDescent="0.25">
      <c r="A29" s="933"/>
      <c r="B29" s="933"/>
      <c r="C29" s="933"/>
      <c r="D29" s="4319"/>
      <c r="E29" s="4319"/>
      <c r="F29" s="933"/>
      <c r="G29" s="2006">
        <f>95000/1.2/G25</f>
        <v>325.78875171467803</v>
      </c>
      <c r="H29" s="933"/>
      <c r="I29" s="933"/>
      <c r="J29" s="933"/>
      <c r="K29" s="933"/>
      <c r="L29" s="933"/>
      <c r="M29" s="933"/>
      <c r="N29" s="933"/>
      <c r="O29" s="933"/>
      <c r="P29" s="933"/>
      <c r="Q29" s="933"/>
    </row>
    <row r="30" spans="1:17" ht="15.75" x14ac:dyDescent="0.25">
      <c r="A30" s="933"/>
      <c r="B30" s="933"/>
      <c r="C30" s="933"/>
      <c r="D30" s="933"/>
      <c r="E30" s="933"/>
      <c r="F30" s="933"/>
      <c r="G30" s="933"/>
      <c r="H30" s="933"/>
      <c r="I30" s="933"/>
      <c r="J30" s="933"/>
      <c r="K30" s="933"/>
      <c r="L30" s="933"/>
      <c r="M30" s="933"/>
      <c r="N30" s="933"/>
      <c r="O30" s="933"/>
      <c r="P30" s="933"/>
      <c r="Q30" s="933"/>
    </row>
    <row r="31" spans="1:17" ht="15.75" x14ac:dyDescent="0.25">
      <c r="A31" s="933"/>
      <c r="B31" s="933"/>
      <c r="C31" s="4320" t="s">
        <v>1873</v>
      </c>
      <c r="D31" s="4320"/>
      <c r="E31" s="4320"/>
      <c r="F31" s="4320"/>
      <c r="G31" s="4320"/>
      <c r="H31" s="4320"/>
      <c r="I31" s="4320"/>
      <c r="J31" s="933"/>
      <c r="K31" s="933"/>
      <c r="L31" s="933" t="s">
        <v>1874</v>
      </c>
      <c r="M31" s="933"/>
      <c r="N31" s="933"/>
      <c r="O31" s="933"/>
      <c r="P31" s="933"/>
      <c r="Q31" s="933"/>
    </row>
    <row r="32" spans="1:17" ht="15.75" x14ac:dyDescent="0.25">
      <c r="A32" s="933"/>
      <c r="B32" s="933"/>
      <c r="C32" s="933"/>
      <c r="D32" s="933"/>
      <c r="E32" s="933"/>
      <c r="F32" s="933"/>
      <c r="G32" s="933"/>
      <c r="H32" s="933"/>
      <c r="I32" s="933"/>
      <c r="J32" s="933"/>
      <c r="K32" s="933"/>
      <c r="L32" s="933"/>
      <c r="M32" s="933"/>
      <c r="N32" s="933"/>
      <c r="O32" s="933"/>
      <c r="P32" s="933"/>
      <c r="Q32" s="933"/>
    </row>
    <row r="33" spans="1:17" ht="15.75" x14ac:dyDescent="0.25">
      <c r="A33" s="933"/>
      <c r="B33" s="933"/>
      <c r="C33" s="933"/>
      <c r="D33" s="933"/>
      <c r="E33" s="933"/>
      <c r="F33" s="933"/>
      <c r="G33" s="933"/>
      <c r="H33" s="933"/>
      <c r="I33" s="933"/>
      <c r="J33" s="933"/>
      <c r="K33" s="933"/>
      <c r="L33" s="933"/>
      <c r="M33" s="933"/>
      <c r="N33" s="933"/>
      <c r="O33" s="933"/>
      <c r="P33" s="933"/>
      <c r="Q33" s="933"/>
    </row>
    <row r="34" spans="1:17" ht="15.75" hidden="1" x14ac:dyDescent="0.25">
      <c r="A34" s="933"/>
      <c r="B34" s="933"/>
      <c r="C34" s="1980" t="s">
        <v>2613</v>
      </c>
      <c r="D34" s="1981"/>
      <c r="E34" s="1981"/>
      <c r="F34" s="1981"/>
      <c r="G34" s="1981"/>
      <c r="H34" s="1981"/>
      <c r="I34" s="1981"/>
      <c r="J34" s="1982"/>
      <c r="K34" s="1983"/>
      <c r="L34" s="933"/>
      <c r="M34" s="933"/>
      <c r="N34" s="933"/>
      <c r="O34" s="933"/>
      <c r="P34" s="933"/>
      <c r="Q34" s="933"/>
    </row>
    <row r="35" spans="1:17" ht="15.75" hidden="1" x14ac:dyDescent="0.25">
      <c r="A35" s="933"/>
      <c r="B35" s="933"/>
      <c r="C35" s="4321" t="s">
        <v>2249</v>
      </c>
      <c r="D35" s="4322"/>
      <c r="E35" s="4322"/>
      <c r="F35" s="4322"/>
      <c r="G35" s="4322"/>
      <c r="H35" s="4322"/>
      <c r="I35" s="4322"/>
      <c r="J35" s="4323"/>
      <c r="K35" s="1983"/>
      <c r="L35" s="933"/>
      <c r="M35" s="933"/>
      <c r="N35" s="933"/>
      <c r="O35" s="933"/>
      <c r="P35" s="933"/>
      <c r="Q35" s="933"/>
    </row>
    <row r="36" spans="1:17" ht="15.75" hidden="1" x14ac:dyDescent="0.25">
      <c r="A36" s="933"/>
      <c r="B36" s="933"/>
      <c r="C36" s="1984" t="s">
        <v>2614</v>
      </c>
      <c r="D36" s="1985"/>
      <c r="E36" s="1985"/>
      <c r="F36" s="1985"/>
      <c r="G36" s="1985"/>
      <c r="H36" s="1985"/>
      <c r="I36" s="1983"/>
      <c r="J36" s="1986"/>
      <c r="K36" s="1983"/>
      <c r="L36" s="1983"/>
      <c r="M36" s="933"/>
      <c r="N36" s="933"/>
      <c r="O36" s="933"/>
      <c r="P36" s="933"/>
      <c r="Q36" s="933"/>
    </row>
    <row r="37" spans="1:17" ht="15.75" hidden="1" x14ac:dyDescent="0.25">
      <c r="A37" s="933"/>
      <c r="B37" s="933"/>
      <c r="C37" s="1984" t="s">
        <v>2615</v>
      </c>
      <c r="D37" s="1985"/>
      <c r="E37" s="1985"/>
      <c r="F37" s="1985"/>
      <c r="G37" s="1985"/>
      <c r="H37" s="1985"/>
      <c r="I37" s="1983"/>
      <c r="J37" s="1986"/>
      <c r="K37" s="1983"/>
      <c r="L37" s="1983"/>
      <c r="M37" s="933"/>
      <c r="N37" s="933"/>
      <c r="O37" s="933"/>
      <c r="P37" s="933"/>
      <c r="Q37" s="933"/>
    </row>
    <row r="38" spans="1:17" ht="15.75" hidden="1" x14ac:dyDescent="0.25">
      <c r="A38" s="933"/>
      <c r="B38" s="933"/>
      <c r="C38" s="1984" t="s">
        <v>2616</v>
      </c>
      <c r="D38" s="1985"/>
      <c r="E38" s="1985"/>
      <c r="F38" s="1985"/>
      <c r="G38" s="1985"/>
      <c r="H38" s="1985"/>
      <c r="I38" s="1983"/>
      <c r="J38" s="1986"/>
      <c r="K38" s="1983"/>
      <c r="L38" s="1983"/>
      <c r="M38" s="933"/>
      <c r="N38" s="933"/>
      <c r="O38" s="933"/>
      <c r="P38" s="933"/>
      <c r="Q38" s="933"/>
    </row>
    <row r="39" spans="1:17" ht="15.75" hidden="1" x14ac:dyDescent="0.25">
      <c r="A39" s="933"/>
      <c r="B39" s="933"/>
      <c r="C39" s="1984" t="s">
        <v>2617</v>
      </c>
      <c r="D39" s="1985"/>
      <c r="E39" s="1985"/>
      <c r="F39" s="1985"/>
      <c r="G39" s="1985"/>
      <c r="H39" s="1985"/>
      <c r="I39" s="1983"/>
      <c r="J39" s="1986"/>
      <c r="K39" s="1983"/>
      <c r="L39" s="1983"/>
      <c r="M39" s="933"/>
      <c r="N39" s="933"/>
      <c r="O39" s="933"/>
      <c r="P39" s="933"/>
      <c r="Q39" s="933"/>
    </row>
    <row r="40" spans="1:17" ht="15.75" hidden="1" x14ac:dyDescent="0.25">
      <c r="A40" s="933"/>
      <c r="B40" s="933"/>
      <c r="C40" s="1984" t="s">
        <v>2618</v>
      </c>
      <c r="D40" s="1985"/>
      <c r="E40" s="1985"/>
      <c r="F40" s="1985"/>
      <c r="G40" s="1985"/>
      <c r="H40" s="1985"/>
      <c r="I40" s="1983"/>
      <c r="J40" s="1986"/>
      <c r="K40" s="1983"/>
      <c r="L40" s="1983"/>
      <c r="M40" s="933"/>
      <c r="N40" s="933"/>
      <c r="O40" s="933"/>
      <c r="P40" s="933"/>
      <c r="Q40" s="933"/>
    </row>
    <row r="41" spans="1:17" ht="15.75" hidden="1" x14ac:dyDescent="0.25">
      <c r="A41" s="933"/>
      <c r="B41" s="933"/>
      <c r="C41" s="1984" t="s">
        <v>2619</v>
      </c>
      <c r="D41" s="1985"/>
      <c r="E41" s="1985"/>
      <c r="F41" s="1985"/>
      <c r="G41" s="1985"/>
      <c r="H41" s="1985"/>
      <c r="I41" s="1983"/>
      <c r="J41" s="1986"/>
      <c r="K41" s="1983"/>
      <c r="L41" s="1983"/>
      <c r="M41" s="933"/>
      <c r="N41" s="933"/>
      <c r="O41" s="933"/>
      <c r="P41" s="933"/>
      <c r="Q41" s="933"/>
    </row>
    <row r="42" spans="1:17" ht="15.75" hidden="1" x14ac:dyDescent="0.25">
      <c r="A42" s="933"/>
      <c r="B42" s="933"/>
      <c r="C42" s="1984" t="s">
        <v>2620</v>
      </c>
      <c r="D42" s="1985"/>
      <c r="E42" s="1985"/>
      <c r="F42" s="1985"/>
      <c r="G42" s="1985"/>
      <c r="H42" s="1985"/>
      <c r="I42" s="1983"/>
      <c r="J42" s="1986"/>
      <c r="K42" s="1983"/>
      <c r="L42" s="1983"/>
      <c r="M42" s="933"/>
      <c r="N42" s="933"/>
      <c r="O42" s="933"/>
      <c r="P42" s="933"/>
      <c r="Q42" s="933"/>
    </row>
    <row r="43" spans="1:17" ht="15.75" hidden="1" x14ac:dyDescent="0.25">
      <c r="A43" s="933"/>
      <c r="B43" s="933"/>
      <c r="C43" s="1984" t="s">
        <v>2621</v>
      </c>
      <c r="D43" s="1985"/>
      <c r="E43" s="1985"/>
      <c r="F43" s="1985"/>
      <c r="G43" s="1985"/>
      <c r="H43" s="1985"/>
      <c r="I43" s="1983"/>
      <c r="J43" s="1986"/>
      <c r="K43" s="1983"/>
      <c r="L43" s="1983"/>
      <c r="M43" s="933"/>
      <c r="N43" s="933"/>
      <c r="O43" s="933"/>
      <c r="P43" s="933"/>
      <c r="Q43" s="933"/>
    </row>
    <row r="44" spans="1:17" ht="15.75" hidden="1" x14ac:dyDescent="0.25">
      <c r="A44" s="933"/>
      <c r="B44" s="933"/>
      <c r="C44" s="1984" t="s">
        <v>2622</v>
      </c>
      <c r="D44" s="1985"/>
      <c r="E44" s="1985"/>
      <c r="F44" s="1985"/>
      <c r="G44" s="1985"/>
      <c r="H44" s="1985"/>
      <c r="I44" s="1983"/>
      <c r="J44" s="1986"/>
      <c r="K44" s="1983"/>
      <c r="L44" s="1983"/>
      <c r="M44" s="933"/>
      <c r="N44" s="933"/>
      <c r="O44" s="933"/>
      <c r="P44" s="933"/>
      <c r="Q44" s="933"/>
    </row>
    <row r="45" spans="1:17" ht="15.75" hidden="1" x14ac:dyDescent="0.25">
      <c r="A45" s="933"/>
      <c r="B45" s="933"/>
      <c r="C45" s="1984" t="s">
        <v>2623</v>
      </c>
      <c r="D45" s="1985"/>
      <c r="E45" s="1985"/>
      <c r="F45" s="1985"/>
      <c r="G45" s="1985"/>
      <c r="H45" s="1985"/>
      <c r="I45" s="1983"/>
      <c r="J45" s="1986"/>
      <c r="K45" s="1983"/>
      <c r="L45" s="1983"/>
      <c r="M45" s="933"/>
      <c r="N45" s="933"/>
      <c r="O45" s="933"/>
      <c r="P45" s="933"/>
      <c r="Q45" s="933"/>
    </row>
    <row r="46" spans="1:17" ht="15.75" hidden="1" x14ac:dyDescent="0.25">
      <c r="A46" s="933"/>
      <c r="B46" s="933"/>
      <c r="C46" s="1984" t="s">
        <v>2624</v>
      </c>
      <c r="D46" s="1985"/>
      <c r="E46" s="1985"/>
      <c r="F46" s="1985"/>
      <c r="G46" s="1985"/>
      <c r="H46" s="1985"/>
      <c r="I46" s="1983"/>
      <c r="J46" s="1986"/>
      <c r="K46" s="1983"/>
      <c r="L46" s="1983"/>
      <c r="M46" s="933"/>
      <c r="N46" s="933"/>
      <c r="O46" s="933"/>
      <c r="P46" s="933"/>
      <c r="Q46" s="933"/>
    </row>
    <row r="47" spans="1:17" ht="15.75" hidden="1" x14ac:dyDescent="0.25">
      <c r="A47" s="933"/>
      <c r="B47" s="933"/>
      <c r="C47" s="1984" t="s">
        <v>2625</v>
      </c>
      <c r="D47" s="1985"/>
      <c r="E47" s="1985"/>
      <c r="F47" s="1985"/>
      <c r="G47" s="1985"/>
      <c r="H47" s="1985"/>
      <c r="I47" s="1983"/>
      <c r="J47" s="1986"/>
      <c r="K47" s="1983"/>
      <c r="L47" s="1983"/>
      <c r="M47" s="933"/>
      <c r="N47" s="933"/>
      <c r="O47" s="933"/>
      <c r="P47" s="933"/>
      <c r="Q47" s="933"/>
    </row>
    <row r="48" spans="1:17" ht="15.75" hidden="1" x14ac:dyDescent="0.25">
      <c r="A48" s="933"/>
      <c r="B48" s="933"/>
      <c r="C48" s="1984" t="s">
        <v>2626</v>
      </c>
      <c r="D48" s="1985"/>
      <c r="E48" s="1985"/>
      <c r="F48" s="1985"/>
      <c r="G48" s="1985"/>
      <c r="H48" s="1985"/>
      <c r="I48" s="1983"/>
      <c r="J48" s="1986"/>
      <c r="K48" s="1983"/>
      <c r="L48" s="1983"/>
      <c r="M48" s="933"/>
      <c r="N48" s="933"/>
      <c r="O48" s="933"/>
      <c r="P48" s="933"/>
      <c r="Q48" s="933"/>
    </row>
    <row r="49" spans="1:17" ht="15.75" hidden="1" x14ac:dyDescent="0.25">
      <c r="A49" s="933"/>
      <c r="B49" s="933"/>
      <c r="C49" s="1984" t="s">
        <v>2627</v>
      </c>
      <c r="D49" s="1985"/>
      <c r="E49" s="1985"/>
      <c r="F49" s="1985"/>
      <c r="G49" s="1985"/>
      <c r="H49" s="1985"/>
      <c r="I49" s="1983"/>
      <c r="J49" s="1986"/>
      <c r="K49" s="1983"/>
      <c r="L49" s="1983"/>
      <c r="M49" s="933"/>
      <c r="N49" s="933"/>
      <c r="O49" s="933"/>
      <c r="P49" s="933"/>
      <c r="Q49" s="933"/>
    </row>
    <row r="50" spans="1:17" ht="15.75" hidden="1" x14ac:dyDescent="0.25">
      <c r="A50" s="933"/>
      <c r="B50" s="933"/>
      <c r="C50" s="1984" t="s">
        <v>2628</v>
      </c>
      <c r="D50" s="1985"/>
      <c r="E50" s="1983"/>
      <c r="F50" s="1983"/>
      <c r="G50" s="1983"/>
      <c r="H50" s="1983"/>
      <c r="I50" s="1983"/>
      <c r="J50" s="1986"/>
      <c r="K50" s="1983"/>
      <c r="L50" s="1983"/>
      <c r="M50" s="933"/>
      <c r="N50" s="933"/>
      <c r="O50" s="933"/>
      <c r="P50" s="933"/>
      <c r="Q50" s="933"/>
    </row>
    <row r="51" spans="1:17" ht="15.75" hidden="1" x14ac:dyDescent="0.25">
      <c r="A51" s="933"/>
      <c r="B51" s="933"/>
      <c r="C51" s="1984" t="s">
        <v>2629</v>
      </c>
      <c r="D51" s="1983"/>
      <c r="E51" s="1983"/>
      <c r="F51" s="1983"/>
      <c r="G51" s="1983"/>
      <c r="H51" s="1983"/>
      <c r="I51" s="1983"/>
      <c r="J51" s="1986"/>
      <c r="K51" s="1983"/>
      <c r="L51" s="1983"/>
      <c r="M51" s="933"/>
      <c r="N51" s="933"/>
      <c r="O51" s="933"/>
      <c r="P51" s="933"/>
      <c r="Q51" s="933"/>
    </row>
    <row r="52" spans="1:17" ht="15.75" hidden="1" x14ac:dyDescent="0.25">
      <c r="A52" s="933"/>
      <c r="B52" s="933"/>
      <c r="C52" s="1984" t="s">
        <v>2630</v>
      </c>
      <c r="D52" s="1983"/>
      <c r="E52" s="1983"/>
      <c r="F52" s="1983"/>
      <c r="G52" s="1983"/>
      <c r="H52" s="1983"/>
      <c r="I52" s="1983"/>
      <c r="J52" s="1986"/>
      <c r="K52" s="1983"/>
      <c r="L52" s="1983"/>
      <c r="M52" s="933"/>
      <c r="N52" s="933"/>
      <c r="O52" s="933"/>
      <c r="P52" s="933"/>
      <c r="Q52" s="933"/>
    </row>
    <row r="53" spans="1:17" ht="15.75" hidden="1" x14ac:dyDescent="0.25">
      <c r="A53" s="933"/>
      <c r="B53" s="933"/>
      <c r="C53" s="1984" t="s">
        <v>2631</v>
      </c>
      <c r="D53" s="1983"/>
      <c r="E53" s="1983"/>
      <c r="F53" s="1983"/>
      <c r="G53" s="1983"/>
      <c r="H53" s="1983"/>
      <c r="I53" s="1983"/>
      <c r="J53" s="1986"/>
      <c r="K53" s="1983"/>
      <c r="L53" s="1983"/>
      <c r="M53" s="933"/>
      <c r="N53" s="933"/>
      <c r="O53" s="933"/>
      <c r="P53" s="933"/>
      <c r="Q53" s="933"/>
    </row>
    <row r="54" spans="1:17" ht="15.75" hidden="1" x14ac:dyDescent="0.25">
      <c r="A54" s="933"/>
      <c r="B54" s="933"/>
      <c r="C54" s="1984" t="s">
        <v>2632</v>
      </c>
      <c r="D54" s="1983"/>
      <c r="E54" s="1983"/>
      <c r="F54" s="1983"/>
      <c r="G54" s="1983"/>
      <c r="H54" s="1983"/>
      <c r="I54" s="1983"/>
      <c r="J54" s="1986"/>
      <c r="K54" s="1983"/>
      <c r="L54" s="1983"/>
      <c r="M54" s="933"/>
      <c r="N54" s="933"/>
      <c r="O54" s="933"/>
      <c r="P54" s="933"/>
      <c r="Q54" s="933"/>
    </row>
    <row r="55" spans="1:17" ht="15.75" hidden="1" x14ac:dyDescent="0.25">
      <c r="A55" s="933"/>
      <c r="B55" s="933"/>
      <c r="C55" s="1984" t="s">
        <v>2633</v>
      </c>
      <c r="D55" s="1983"/>
      <c r="E55" s="1983"/>
      <c r="F55" s="1983"/>
      <c r="G55" s="1983"/>
      <c r="H55" s="1983"/>
      <c r="I55" s="1983"/>
      <c r="J55" s="1986"/>
      <c r="K55" s="1983"/>
      <c r="L55" s="1983"/>
      <c r="M55" s="933"/>
      <c r="N55" s="933"/>
      <c r="O55" s="933"/>
      <c r="P55" s="933"/>
      <c r="Q55" s="933"/>
    </row>
    <row r="56" spans="1:17" ht="15.75" hidden="1" x14ac:dyDescent="0.25">
      <c r="A56" s="933"/>
      <c r="B56" s="933"/>
      <c r="C56" s="1984" t="s">
        <v>2634</v>
      </c>
      <c r="D56" s="1983"/>
      <c r="E56" s="1983"/>
      <c r="F56" s="1983"/>
      <c r="G56" s="1983"/>
      <c r="H56" s="1983"/>
      <c r="I56" s="1983"/>
      <c r="J56" s="1986"/>
      <c r="K56" s="1983"/>
      <c r="L56" s="1983"/>
      <c r="M56" s="933"/>
      <c r="N56" s="933"/>
      <c r="O56" s="933"/>
      <c r="P56" s="933"/>
      <c r="Q56" s="933"/>
    </row>
    <row r="57" spans="1:17" ht="15.75" hidden="1" x14ac:dyDescent="0.25">
      <c r="A57" s="933"/>
      <c r="B57" s="933"/>
      <c r="C57" s="1984" t="s">
        <v>2635</v>
      </c>
      <c r="D57" s="1983"/>
      <c r="E57" s="1983"/>
      <c r="F57" s="1983"/>
      <c r="G57" s="1983"/>
      <c r="H57" s="1983"/>
      <c r="I57" s="1983"/>
      <c r="J57" s="1986"/>
      <c r="K57" s="1983"/>
      <c r="L57" s="1983"/>
      <c r="M57" s="933"/>
      <c r="N57" s="933"/>
      <c r="O57" s="933"/>
      <c r="P57" s="933"/>
      <c r="Q57" s="933"/>
    </row>
    <row r="58" spans="1:17" ht="15.75" hidden="1" x14ac:dyDescent="0.25">
      <c r="A58" s="933"/>
      <c r="B58" s="933"/>
      <c r="C58" s="1984" t="s">
        <v>2636</v>
      </c>
      <c r="D58" s="1983"/>
      <c r="E58" s="1983"/>
      <c r="F58" s="1983"/>
      <c r="G58" s="1983"/>
      <c r="H58" s="1983"/>
      <c r="I58" s="1983"/>
      <c r="J58" s="1986"/>
      <c r="K58" s="1983"/>
      <c r="L58" s="1983"/>
      <c r="M58" s="933"/>
      <c r="N58" s="933"/>
      <c r="O58" s="933"/>
      <c r="P58" s="933"/>
      <c r="Q58" s="933"/>
    </row>
    <row r="59" spans="1:17" ht="15.75" hidden="1" x14ac:dyDescent="0.25">
      <c r="A59" s="933"/>
      <c r="B59" s="933"/>
      <c r="C59" s="1984" t="s">
        <v>2637</v>
      </c>
      <c r="D59" s="1983"/>
      <c r="E59" s="1983"/>
      <c r="F59" s="1983"/>
      <c r="G59" s="1983"/>
      <c r="H59" s="1983"/>
      <c r="I59" s="1983"/>
      <c r="J59" s="1986"/>
      <c r="K59" s="1983"/>
      <c r="L59" s="1983"/>
      <c r="M59" s="933"/>
      <c r="N59" s="933"/>
      <c r="O59" s="933"/>
      <c r="P59" s="933"/>
      <c r="Q59" s="933"/>
    </row>
    <row r="60" spans="1:17" ht="15.75" hidden="1" x14ac:dyDescent="0.25">
      <c r="A60" s="933"/>
      <c r="B60" s="933"/>
      <c r="C60" s="1984" t="s">
        <v>2638</v>
      </c>
      <c r="D60" s="1983"/>
      <c r="E60" s="1983"/>
      <c r="F60" s="1983"/>
      <c r="G60" s="1983"/>
      <c r="H60" s="1983"/>
      <c r="I60" s="1983"/>
      <c r="J60" s="1986"/>
      <c r="K60" s="1983"/>
      <c r="L60" s="1983"/>
      <c r="M60" s="933"/>
      <c r="N60" s="933"/>
      <c r="O60" s="933"/>
      <c r="P60" s="933"/>
      <c r="Q60" s="933"/>
    </row>
    <row r="61" spans="1:17" ht="15.75" hidden="1" x14ac:dyDescent="0.25">
      <c r="A61" s="933"/>
      <c r="B61" s="933"/>
      <c r="C61" s="1107" t="s">
        <v>2639</v>
      </c>
      <c r="D61" s="1983"/>
      <c r="E61" s="1983"/>
      <c r="F61" s="1983"/>
      <c r="G61" s="1983"/>
      <c r="H61" s="1983"/>
      <c r="I61" s="1983"/>
      <c r="J61" s="1986"/>
      <c r="K61" s="1983"/>
      <c r="L61" s="1983"/>
      <c r="M61" s="933"/>
      <c r="N61" s="933"/>
      <c r="O61" s="933"/>
      <c r="P61" s="933"/>
      <c r="Q61" s="933"/>
    </row>
    <row r="62" spans="1:17" ht="16.5" hidden="1" thickBot="1" x14ac:dyDescent="0.3">
      <c r="A62" s="933"/>
      <c r="B62" s="933"/>
      <c r="C62" s="1108" t="s">
        <v>2640</v>
      </c>
      <c r="D62" s="1987"/>
      <c r="E62" s="1987"/>
      <c r="F62" s="1987"/>
      <c r="G62" s="1987"/>
      <c r="H62" s="1987"/>
      <c r="I62" s="1987"/>
      <c r="J62" s="1988"/>
      <c r="K62" s="1983"/>
      <c r="L62" s="1983"/>
      <c r="M62" s="933"/>
      <c r="N62" s="933"/>
      <c r="O62" s="933"/>
      <c r="P62" s="933"/>
      <c r="Q62" s="933"/>
    </row>
    <row r="63" spans="1:17" ht="15.75" hidden="1" x14ac:dyDescent="0.25">
      <c r="A63" s="933"/>
      <c r="B63" s="933"/>
      <c r="C63" s="1989"/>
      <c r="D63" s="1990"/>
      <c r="E63" s="1990"/>
      <c r="F63" s="1990"/>
      <c r="G63" s="1990"/>
      <c r="H63" s="1990"/>
      <c r="I63" s="1990"/>
      <c r="J63" s="1991"/>
      <c r="K63" s="933"/>
      <c r="L63" s="933"/>
      <c r="M63" s="933"/>
      <c r="N63" s="933"/>
      <c r="O63" s="933"/>
      <c r="P63" s="933"/>
      <c r="Q63" s="933"/>
    </row>
    <row r="64" spans="1:17" ht="16.5" hidden="1" thickBot="1" x14ac:dyDescent="0.3">
      <c r="A64" s="933"/>
      <c r="B64" s="933"/>
      <c r="C64" s="1992"/>
      <c r="D64" s="1993" t="s">
        <v>1947</v>
      </c>
      <c r="E64" s="1993"/>
      <c r="F64" s="1993"/>
      <c r="G64" s="1993"/>
      <c r="H64" s="1993"/>
      <c r="I64" s="1993"/>
      <c r="J64" s="1994">
        <f>N25+J34</f>
        <v>114248.97</v>
      </c>
      <c r="K64" s="933"/>
      <c r="L64" s="933"/>
      <c r="M64" s="933"/>
      <c r="N64" s="933"/>
      <c r="O64" s="933"/>
      <c r="P64" s="933"/>
      <c r="Q64" s="933"/>
    </row>
    <row r="65" spans="1:17" ht="15.75" hidden="1" x14ac:dyDescent="0.25">
      <c r="A65" s="933"/>
      <c r="B65" s="933"/>
      <c r="C65" s="933"/>
      <c r="D65" s="933"/>
      <c r="E65" s="933"/>
      <c r="F65" s="933"/>
      <c r="G65" s="933"/>
      <c r="H65" s="933"/>
      <c r="I65" s="933"/>
      <c r="J65" s="933"/>
      <c r="K65" s="933"/>
      <c r="L65" s="933"/>
      <c r="M65" s="933"/>
      <c r="N65" s="933"/>
      <c r="O65" s="933"/>
      <c r="P65" s="933"/>
      <c r="Q65" s="933"/>
    </row>
    <row r="66" spans="1:17" ht="16.5" thickBot="1" x14ac:dyDescent="0.3">
      <c r="A66" s="933"/>
      <c r="B66" s="933"/>
      <c r="C66" s="933"/>
      <c r="D66" s="933"/>
      <c r="E66" s="933"/>
      <c r="F66" s="933"/>
      <c r="G66" s="933"/>
      <c r="H66" s="933"/>
      <c r="I66" s="933"/>
      <c r="J66" s="933"/>
      <c r="K66" s="933"/>
      <c r="L66" s="933"/>
      <c r="M66" s="933"/>
      <c r="N66" s="933"/>
      <c r="O66" s="933"/>
      <c r="P66" s="933"/>
      <c r="Q66" s="933"/>
    </row>
    <row r="67" spans="1:17" ht="15.75" x14ac:dyDescent="0.25">
      <c r="A67" s="933"/>
      <c r="B67" s="933"/>
      <c r="C67" s="1989"/>
      <c r="D67" s="1990"/>
      <c r="E67" s="1990"/>
      <c r="F67" s="1995" t="s">
        <v>1944</v>
      </c>
      <c r="G67" s="1996"/>
      <c r="H67" s="1996"/>
      <c r="I67" s="1996"/>
      <c r="J67" s="1997"/>
      <c r="K67" s="1983"/>
      <c r="L67" s="1983"/>
      <c r="M67" s="1983"/>
      <c r="N67" s="933"/>
      <c r="O67" s="933"/>
      <c r="P67" s="933"/>
      <c r="Q67" s="933"/>
    </row>
    <row r="68" spans="1:17" ht="15.75" x14ac:dyDescent="0.25">
      <c r="A68" s="933"/>
      <c r="B68" s="933"/>
      <c r="C68" s="1998"/>
      <c r="D68" s="1983"/>
      <c r="E68" s="1983"/>
      <c r="F68" s="1983"/>
      <c r="G68" s="1983"/>
      <c r="H68" s="1983"/>
      <c r="I68" s="1983"/>
      <c r="J68" s="1986"/>
      <c r="K68" s="1983"/>
      <c r="L68" s="1983"/>
      <c r="M68" s="1983"/>
      <c r="N68" s="933"/>
      <c r="O68" s="933"/>
      <c r="P68" s="933"/>
      <c r="Q68" s="933"/>
    </row>
    <row r="69" spans="1:17" ht="15.75" x14ac:dyDescent="0.25">
      <c r="A69" s="933"/>
      <c r="B69" s="933"/>
      <c r="C69" s="1999"/>
      <c r="D69" s="1983"/>
      <c r="E69" s="1983"/>
      <c r="F69" s="1983"/>
      <c r="G69" s="1983"/>
      <c r="H69" s="1983"/>
      <c r="I69" s="1983"/>
      <c r="J69" s="1986"/>
      <c r="K69" s="1983"/>
      <c r="L69" s="1983"/>
      <c r="M69" s="1983"/>
      <c r="N69" s="933"/>
      <c r="O69" s="933"/>
      <c r="P69" s="933"/>
      <c r="Q69" s="933"/>
    </row>
    <row r="70" spans="1:17" ht="15.75" x14ac:dyDescent="0.25">
      <c r="A70" s="933"/>
      <c r="B70" s="933"/>
      <c r="C70" s="2000" t="s">
        <v>2641</v>
      </c>
      <c r="D70" s="1983"/>
      <c r="E70" s="1983"/>
      <c r="F70" s="1983"/>
      <c r="G70" s="1983"/>
      <c r="H70" s="1983"/>
      <c r="I70" s="1983"/>
      <c r="J70" s="1986">
        <v>2033.92</v>
      </c>
      <c r="K70" s="1983" t="s">
        <v>2545</v>
      </c>
      <c r="L70" s="1983" t="s">
        <v>2658</v>
      </c>
      <c r="M70" s="1983"/>
      <c r="N70" s="933"/>
      <c r="O70" s="933"/>
      <c r="P70" s="933"/>
      <c r="Q70" s="933"/>
    </row>
    <row r="71" spans="1:17" ht="15.75" x14ac:dyDescent="0.25">
      <c r="A71" s="933"/>
      <c r="B71" s="933"/>
      <c r="C71" s="2000" t="s">
        <v>2642</v>
      </c>
      <c r="D71" s="1983"/>
      <c r="E71" s="1983"/>
      <c r="F71" s="1983"/>
      <c r="G71" s="1983"/>
      <c r="H71" s="1983"/>
      <c r="I71" s="1983"/>
      <c r="J71" s="1986"/>
      <c r="K71" s="1983"/>
      <c r="L71" s="1983"/>
      <c r="M71" s="1983"/>
      <c r="N71" s="933"/>
      <c r="O71" s="933"/>
      <c r="P71" s="933"/>
      <c r="Q71" s="933"/>
    </row>
    <row r="72" spans="1:17" ht="15.75" x14ac:dyDescent="0.25">
      <c r="A72" s="933"/>
      <c r="B72" s="933"/>
      <c r="C72" s="2000" t="s">
        <v>2643</v>
      </c>
      <c r="D72" s="1983"/>
      <c r="E72" s="1983"/>
      <c r="F72" s="1983"/>
      <c r="G72" s="1983"/>
      <c r="H72" s="1983"/>
      <c r="I72" s="1983"/>
      <c r="J72" s="1986"/>
      <c r="K72" s="1983"/>
      <c r="L72" s="1983"/>
      <c r="M72" s="1983"/>
      <c r="N72" s="933"/>
      <c r="O72" s="933"/>
      <c r="P72" s="933"/>
      <c r="Q72" s="933"/>
    </row>
    <row r="73" spans="1:17" ht="15.75" x14ac:dyDescent="0.25">
      <c r="A73" s="933"/>
      <c r="B73" s="933"/>
      <c r="C73" s="2000" t="s">
        <v>2644</v>
      </c>
      <c r="D73" s="1983"/>
      <c r="E73" s="1983"/>
      <c r="F73" s="1983"/>
      <c r="G73" s="1983"/>
      <c r="H73" s="1983"/>
      <c r="I73" s="1983"/>
      <c r="J73" s="1986"/>
      <c r="K73" s="1983"/>
      <c r="L73" s="1983"/>
      <c r="M73" s="1983"/>
      <c r="N73" s="933"/>
      <c r="O73" s="933"/>
      <c r="P73" s="933"/>
      <c r="Q73" s="933"/>
    </row>
    <row r="74" spans="1:17" ht="15.75" x14ac:dyDescent="0.25">
      <c r="A74" s="933"/>
      <c r="B74" s="933"/>
      <c r="C74" s="2000" t="s">
        <v>2645</v>
      </c>
      <c r="D74" s="1983"/>
      <c r="E74" s="1983"/>
      <c r="F74" s="1983"/>
      <c r="G74" s="1983"/>
      <c r="H74" s="1983"/>
      <c r="I74" s="1983"/>
      <c r="J74" s="1986">
        <v>286.02</v>
      </c>
      <c r="K74" s="1983"/>
      <c r="L74" s="1983"/>
      <c r="M74" s="1983"/>
      <c r="N74" s="933"/>
      <c r="O74" s="933"/>
      <c r="P74" s="933"/>
      <c r="Q74" s="933"/>
    </row>
    <row r="75" spans="1:17" ht="15.75" x14ac:dyDescent="0.25">
      <c r="A75" s="933"/>
      <c r="B75" s="933"/>
      <c r="C75" s="2000" t="s">
        <v>2646</v>
      </c>
      <c r="D75" s="1983"/>
      <c r="E75" s="1983"/>
      <c r="F75" s="1983"/>
      <c r="G75" s="1983"/>
      <c r="H75" s="1983"/>
      <c r="I75" s="1983"/>
      <c r="J75" s="1986"/>
      <c r="K75" s="1983"/>
      <c r="L75" s="1983"/>
      <c r="M75" s="1983"/>
      <c r="N75" s="933"/>
      <c r="O75" s="933"/>
      <c r="P75" s="933"/>
      <c r="Q75" s="933"/>
    </row>
    <row r="76" spans="1:17" ht="16.5" thickBot="1" x14ac:dyDescent="0.3">
      <c r="A76" s="933"/>
      <c r="B76" s="933"/>
      <c r="C76" s="2001" t="s">
        <v>2647</v>
      </c>
      <c r="D76" s="1987"/>
      <c r="E76" s="1987"/>
      <c r="F76" s="1987"/>
      <c r="G76" s="1987"/>
      <c r="H76" s="1987"/>
      <c r="I76" s="1983"/>
      <c r="J76" s="1986"/>
      <c r="K76" s="1983"/>
      <c r="L76" s="1983"/>
      <c r="M76" s="1983"/>
      <c r="N76" s="933"/>
      <c r="O76" s="933"/>
      <c r="P76" s="933"/>
      <c r="Q76" s="933"/>
    </row>
    <row r="77" spans="1:17" ht="16.5" thickBot="1" x14ac:dyDescent="0.3">
      <c r="A77" s="933"/>
      <c r="B77" s="933"/>
      <c r="C77" s="2001" t="s">
        <v>1945</v>
      </c>
      <c r="D77" s="1987"/>
      <c r="E77" s="1987"/>
      <c r="F77" s="1987"/>
      <c r="G77" s="1987"/>
      <c r="H77" s="1987"/>
      <c r="I77" s="1987"/>
      <c r="J77" s="2002">
        <f>96*31.78</f>
        <v>3050.88</v>
      </c>
      <c r="K77" s="1983"/>
      <c r="L77" s="1983"/>
      <c r="M77" s="1983"/>
      <c r="N77" s="933"/>
      <c r="O77" s="933"/>
      <c r="P77" s="933"/>
      <c r="Q77" s="933"/>
    </row>
    <row r="78" spans="1:17" ht="15.75" x14ac:dyDescent="0.25">
      <c r="A78" s="933"/>
      <c r="B78" s="933"/>
      <c r="C78" s="2003"/>
      <c r="D78" s="933"/>
      <c r="E78" s="933"/>
      <c r="F78" s="933"/>
      <c r="G78" s="933"/>
      <c r="H78" s="933"/>
      <c r="I78" s="933"/>
      <c r="J78" s="2004"/>
      <c r="K78" s="933"/>
      <c r="L78" s="1983"/>
      <c r="M78" s="933"/>
      <c r="N78" s="933"/>
      <c r="O78" s="933"/>
      <c r="P78" s="933"/>
      <c r="Q78" s="933"/>
    </row>
    <row r="79" spans="1:17" ht="16.5" thickBot="1" x14ac:dyDescent="0.3">
      <c r="A79" s="933"/>
      <c r="B79" s="933"/>
      <c r="C79" s="1992"/>
      <c r="D79" s="1993" t="s">
        <v>1946</v>
      </c>
      <c r="E79" s="1993"/>
      <c r="F79" s="1993"/>
      <c r="G79" s="1993"/>
      <c r="H79" s="1993"/>
      <c r="I79" s="1993"/>
      <c r="J79" s="1994">
        <f>SUM(J67:J77)</f>
        <v>5370.82</v>
      </c>
      <c r="K79" s="933"/>
      <c r="L79" s="1983"/>
      <c r="M79" s="933"/>
      <c r="N79" s="933"/>
      <c r="O79" s="933"/>
      <c r="P79" s="933"/>
      <c r="Q79" s="933"/>
    </row>
    <row r="80" spans="1:17" ht="15.75" x14ac:dyDescent="0.25">
      <c r="A80" s="933"/>
      <c r="B80" s="933"/>
      <c r="C80" s="933"/>
      <c r="D80" s="933"/>
      <c r="E80" s="933"/>
      <c r="F80" s="933"/>
      <c r="G80" s="933"/>
      <c r="H80" s="933"/>
      <c r="I80" s="933"/>
      <c r="J80" s="933"/>
      <c r="K80" s="933"/>
      <c r="L80" s="933"/>
      <c r="M80" s="933"/>
      <c r="N80" s="933"/>
      <c r="O80" s="933"/>
      <c r="P80" s="933"/>
      <c r="Q80" s="933"/>
    </row>
    <row r="81" spans="1:17" ht="15.75" x14ac:dyDescent="0.25">
      <c r="A81" s="933"/>
      <c r="B81" s="933"/>
      <c r="C81" s="933"/>
      <c r="D81" s="933"/>
      <c r="E81" s="933"/>
      <c r="F81" s="933"/>
      <c r="G81" s="933"/>
      <c r="H81" s="933"/>
      <c r="I81" s="933"/>
      <c r="J81" s="933"/>
      <c r="K81" s="933"/>
      <c r="L81" s="933"/>
      <c r="M81" s="933"/>
      <c r="N81" s="933"/>
      <c r="O81" s="933"/>
      <c r="P81" s="933"/>
      <c r="Q81" s="933"/>
    </row>
    <row r="82" spans="1:17" ht="15.75" x14ac:dyDescent="0.25">
      <c r="A82" s="933"/>
      <c r="B82" s="933"/>
      <c r="C82" s="933"/>
      <c r="D82" s="933"/>
      <c r="E82" s="933"/>
      <c r="F82" s="933"/>
      <c r="G82" s="933"/>
      <c r="H82" s="933"/>
      <c r="I82" s="933"/>
      <c r="J82" s="933"/>
      <c r="K82" s="933"/>
      <c r="L82" s="933"/>
      <c r="M82" s="933"/>
      <c r="N82" s="933"/>
      <c r="O82" s="933"/>
      <c r="P82" s="933"/>
      <c r="Q82" s="933"/>
    </row>
    <row r="83" spans="1:17" ht="15.75" x14ac:dyDescent="0.25">
      <c r="A83" s="933"/>
      <c r="B83" s="933"/>
      <c r="C83" s="933"/>
      <c r="D83" s="933"/>
      <c r="E83" s="933"/>
      <c r="F83" s="933"/>
      <c r="G83" s="933"/>
      <c r="H83" s="933"/>
      <c r="I83" s="933"/>
      <c r="J83" s="933"/>
      <c r="K83" s="933"/>
      <c r="L83" s="933"/>
      <c r="M83" s="933"/>
      <c r="N83" s="933"/>
      <c r="O83" s="933"/>
      <c r="P83" s="933"/>
      <c r="Q83" s="933"/>
    </row>
  </sheetData>
  <mergeCells count="35">
    <mergeCell ref="D29:E29"/>
    <mergeCell ref="C31:I31"/>
    <mergeCell ref="C35:J35"/>
    <mergeCell ref="C28:F28"/>
    <mergeCell ref="C17:F17"/>
    <mergeCell ref="C18:F18"/>
    <mergeCell ref="C19:F19"/>
    <mergeCell ref="C20:F20"/>
    <mergeCell ref="C21:F21"/>
    <mergeCell ref="C22:F22"/>
    <mergeCell ref="C23:F23"/>
    <mergeCell ref="C24:F24"/>
    <mergeCell ref="C25:F25"/>
    <mergeCell ref="C26:F26"/>
    <mergeCell ref="C27:F27"/>
    <mergeCell ref="C16:F16"/>
    <mergeCell ref="M6:M7"/>
    <mergeCell ref="N6:N7"/>
    <mergeCell ref="C7:F7"/>
    <mergeCell ref="C8:F8"/>
    <mergeCell ref="C9:F9"/>
    <mergeCell ref="C10:F10"/>
    <mergeCell ref="C11:F11"/>
    <mergeCell ref="C12:F12"/>
    <mergeCell ref="C13:F13"/>
    <mergeCell ref="C14:F14"/>
    <mergeCell ref="C15:F15"/>
    <mergeCell ref="J6:J7"/>
    <mergeCell ref="K6:K7"/>
    <mergeCell ref="L6:L7"/>
    <mergeCell ref="B6:B7"/>
    <mergeCell ref="C6:F6"/>
    <mergeCell ref="G6:G7"/>
    <mergeCell ref="H6:H7"/>
    <mergeCell ref="I6:I7"/>
  </mergeCells>
  <pageMargins left="0.70866141732283472" right="0.70866141732283472" top="0.74803149606299213" bottom="0.22" header="0.31496062992125984" footer="0.2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77"/>
  <sheetViews>
    <sheetView view="pageBreakPreview" zoomScale="120" zoomScaleNormal="125" zoomScaleSheetLayoutView="120" workbookViewId="0">
      <selection activeCell="J71" sqref="J71"/>
    </sheetView>
  </sheetViews>
  <sheetFormatPr defaultColWidth="9.140625" defaultRowHeight="15" x14ac:dyDescent="0.25"/>
  <cols>
    <col min="1" max="1" width="5.85546875" style="145" customWidth="1"/>
    <col min="2" max="2" width="50.7109375" style="136" customWidth="1"/>
    <col min="3" max="3" width="7.5703125" style="136" customWidth="1"/>
    <col min="4" max="4" width="12.28515625" style="136" customWidth="1"/>
    <col min="5" max="5" width="10.140625" style="136" customWidth="1"/>
    <col min="6" max="6" width="11.140625" style="136" customWidth="1"/>
    <col min="7" max="7" width="11.5703125" style="136" customWidth="1"/>
    <col min="8" max="9" width="7.7109375" style="136" customWidth="1"/>
    <col min="10" max="10" width="7.85546875" style="136" customWidth="1"/>
    <col min="11" max="11" width="9.140625" style="136" customWidth="1"/>
    <col min="12" max="12" width="9.28515625" style="1099" bestFit="1" customWidth="1"/>
    <col min="13" max="13" width="9.140625" style="1099"/>
    <col min="14" max="14" width="9.42578125" style="1099" bestFit="1" customWidth="1"/>
    <col min="15" max="27" width="9.140625" style="1099"/>
    <col min="28" max="16384" width="9.140625" style="136"/>
  </cols>
  <sheetData>
    <row r="1" spans="1:27" ht="31.15" customHeight="1" x14ac:dyDescent="0.25">
      <c r="A1" s="2825"/>
      <c r="B1" s="2826"/>
      <c r="C1" s="2823"/>
      <c r="D1" s="2824"/>
      <c r="E1" s="2824"/>
      <c r="F1" s="2824"/>
      <c r="G1" s="2824"/>
      <c r="H1" s="3705" t="s">
        <v>3477</v>
      </c>
      <c r="I1" s="3705"/>
      <c r="J1" s="3705"/>
      <c r="K1" s="3705"/>
    </row>
    <row r="2" spans="1:27" ht="8.4499999999999993" customHeight="1" x14ac:dyDescent="0.25">
      <c r="A2" s="2825"/>
      <c r="B2" s="2826"/>
      <c r="C2" s="2823"/>
      <c r="D2" s="2986"/>
      <c r="E2" s="2986"/>
      <c r="F2" s="2986"/>
      <c r="G2" s="2933"/>
      <c r="H2" s="2827"/>
      <c r="I2" s="2793"/>
      <c r="J2" s="2793"/>
      <c r="K2" s="2793"/>
    </row>
    <row r="3" spans="1:27" x14ac:dyDescent="0.25">
      <c r="A3" s="3678" t="s">
        <v>450</v>
      </c>
      <c r="B3" s="3678"/>
      <c r="C3" s="3678"/>
      <c r="D3" s="3678"/>
      <c r="E3" s="3678"/>
      <c r="F3" s="3678"/>
      <c r="G3" s="3678"/>
      <c r="H3" s="3678"/>
      <c r="I3" s="3678"/>
      <c r="J3" s="3678"/>
      <c r="K3" s="3678"/>
    </row>
    <row r="4" spans="1:27" x14ac:dyDescent="0.25">
      <c r="A4" s="3678" t="s">
        <v>600</v>
      </c>
      <c r="B4" s="3678"/>
      <c r="C4" s="3678"/>
      <c r="D4" s="3678"/>
      <c r="E4" s="3678"/>
      <c r="F4" s="3678"/>
      <c r="G4" s="3678"/>
      <c r="H4" s="3678"/>
      <c r="I4" s="3678"/>
      <c r="J4" s="3678"/>
      <c r="K4" s="3678"/>
    </row>
    <row r="5" spans="1:27" ht="0.6" customHeight="1" x14ac:dyDescent="0.25">
      <c r="A5" s="2825"/>
      <c r="B5" s="3723"/>
      <c r="C5" s="3723"/>
      <c r="D5" s="3723"/>
      <c r="E5" s="3723"/>
      <c r="F5" s="3723"/>
      <c r="G5" s="2823"/>
      <c r="H5" s="2793"/>
      <c r="I5" s="2793"/>
      <c r="J5" s="2793"/>
      <c r="K5" s="2793"/>
    </row>
    <row r="6" spans="1:27" x14ac:dyDescent="0.25">
      <c r="A6" s="3704" t="s">
        <v>220</v>
      </c>
      <c r="B6" s="3704"/>
      <c r="C6" s="3704"/>
      <c r="D6" s="3704"/>
      <c r="E6" s="3704"/>
      <c r="F6" s="3704"/>
      <c r="G6" s="3704"/>
      <c r="H6" s="3704"/>
      <c r="I6" s="3704"/>
      <c r="J6" s="3704"/>
      <c r="K6" s="3704"/>
    </row>
    <row r="7" spans="1:27" ht="13.15" customHeight="1" x14ac:dyDescent="0.25">
      <c r="A7" s="3706" t="s">
        <v>7</v>
      </c>
      <c r="B7" s="3709" t="s">
        <v>8</v>
      </c>
      <c r="C7" s="3712" t="s">
        <v>35</v>
      </c>
      <c r="D7" s="3715" t="s">
        <v>80</v>
      </c>
      <c r="E7" s="3716"/>
      <c r="F7" s="3716"/>
      <c r="G7" s="3717" t="s">
        <v>3109</v>
      </c>
      <c r="H7" s="3724" t="s">
        <v>3110</v>
      </c>
      <c r="I7" s="3725"/>
      <c r="J7" s="3725"/>
      <c r="K7" s="3726"/>
    </row>
    <row r="8" spans="1:27" ht="34.5" customHeight="1" x14ac:dyDescent="0.25">
      <c r="A8" s="3707"/>
      <c r="B8" s="3710"/>
      <c r="C8" s="3713"/>
      <c r="D8" s="2241" t="s">
        <v>250</v>
      </c>
      <c r="E8" s="2241" t="s">
        <v>222</v>
      </c>
      <c r="F8" s="2931" t="s">
        <v>223</v>
      </c>
      <c r="G8" s="3717"/>
      <c r="H8" s="2241" t="s">
        <v>3</v>
      </c>
      <c r="I8" s="2241" t="s">
        <v>173</v>
      </c>
      <c r="J8" s="2241" t="s">
        <v>98</v>
      </c>
      <c r="K8" s="2241" t="s">
        <v>99</v>
      </c>
      <c r="N8" s="125" t="s">
        <v>3</v>
      </c>
      <c r="O8" s="125" t="s">
        <v>173</v>
      </c>
      <c r="P8" s="125" t="s">
        <v>98</v>
      </c>
      <c r="Q8" s="125" t="s">
        <v>99</v>
      </c>
    </row>
    <row r="9" spans="1:27" ht="30.6" customHeight="1" x14ac:dyDescent="0.25">
      <c r="A9" s="3708"/>
      <c r="B9" s="3711"/>
      <c r="C9" s="3714"/>
      <c r="D9" s="2241">
        <f>'Вхідні дані'!$F$8</f>
        <v>2020</v>
      </c>
      <c r="E9" s="2241">
        <f>'Вхідні дані'!$F$7</f>
        <v>2021</v>
      </c>
      <c r="F9" s="3573" t="str">
        <f>'Вхідні дані'!$F$9</f>
        <v xml:space="preserve">Рішення виконавчого комітету Чорноморської міської ради Одеського району Одеської області № 381 від 27.12.2018 </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row>
    <row r="10" spans="1:27" ht="12" customHeight="1" x14ac:dyDescent="0.25">
      <c r="A10" s="2830">
        <v>1</v>
      </c>
      <c r="B10" s="2934">
        <v>2</v>
      </c>
      <c r="C10" s="2241">
        <v>3</v>
      </c>
      <c r="D10" s="2241">
        <v>4</v>
      </c>
      <c r="E10" s="2241">
        <v>5</v>
      </c>
      <c r="F10" s="2241">
        <v>6</v>
      </c>
      <c r="G10" s="2241">
        <v>7</v>
      </c>
      <c r="H10" s="2241">
        <v>8</v>
      </c>
      <c r="I10" s="2241">
        <v>9</v>
      </c>
      <c r="J10" s="2241">
        <v>10</v>
      </c>
      <c r="K10" s="2241">
        <v>11</v>
      </c>
    </row>
    <row r="11" spans="1:27" s="138" customFormat="1" ht="12" customHeight="1" x14ac:dyDescent="0.25">
      <c r="A11" s="2831">
        <v>1</v>
      </c>
      <c r="B11" s="2609" t="s">
        <v>224</v>
      </c>
      <c r="C11" s="2833" t="s">
        <v>40</v>
      </c>
      <c r="D11" s="2816">
        <f>D12+D18+D19+D23</f>
        <v>9617.0300000000007</v>
      </c>
      <c r="E11" s="2816">
        <f>E12+E18+E19+E23</f>
        <v>10289.790000000001</v>
      </c>
      <c r="F11" s="2816">
        <f>F12+F18+F19+F23</f>
        <v>6445.3</v>
      </c>
      <c r="G11" s="2816">
        <f>G12+G18+G19+G23</f>
        <v>2994.5</v>
      </c>
      <c r="H11" s="2816">
        <f t="shared" ref="H11:K11" si="0">H12+H18+H19+H23</f>
        <v>0</v>
      </c>
      <c r="I11" s="2816">
        <f t="shared" si="0"/>
        <v>0</v>
      </c>
      <c r="J11" s="2816">
        <f t="shared" si="0"/>
        <v>0</v>
      </c>
      <c r="K11" s="2816">
        <f t="shared" si="0"/>
        <v>2994.5</v>
      </c>
      <c r="L11" s="1100"/>
      <c r="M11" s="1100"/>
      <c r="N11" s="1103">
        <v>0</v>
      </c>
      <c r="O11" s="1103">
        <v>0</v>
      </c>
      <c r="P11" s="1103">
        <v>0</v>
      </c>
      <c r="Q11" s="1103">
        <f t="shared" ref="Q11:Q26" si="1">K11/K$56*1000</f>
        <v>2498.06</v>
      </c>
      <c r="R11" s="1103">
        <f>K11/$R$46</f>
        <v>2498.06</v>
      </c>
      <c r="S11" s="1100"/>
      <c r="T11" s="1100"/>
      <c r="U11" s="1100"/>
      <c r="V11" s="1100"/>
      <c r="W11" s="1100"/>
      <c r="X11" s="1100"/>
      <c r="Y11" s="1100"/>
      <c r="Z11" s="1100"/>
      <c r="AA11" s="1100"/>
    </row>
    <row r="12" spans="1:27" ht="12" customHeight="1" x14ac:dyDescent="0.25">
      <c r="A12" s="2835" t="s">
        <v>23</v>
      </c>
      <c r="B12" s="2609" t="s">
        <v>225</v>
      </c>
      <c r="C12" s="2850" t="s">
        <v>40</v>
      </c>
      <c r="D12" s="2817">
        <f>D13+D14+D15+D16</f>
        <v>1739.05</v>
      </c>
      <c r="E12" s="2817">
        <f>E13+E14+E15+E16</f>
        <v>1926.47</v>
      </c>
      <c r="F12" s="2817">
        <f>F13+F14+F15+F16</f>
        <v>1953.5</v>
      </c>
      <c r="G12" s="2817">
        <f>G13+G14+G15+G16</f>
        <v>1778.03</v>
      </c>
      <c r="H12" s="2817">
        <f t="shared" ref="H12:K12" si="2">H13+H14+H15+H16</f>
        <v>0</v>
      </c>
      <c r="I12" s="2817">
        <f t="shared" si="2"/>
        <v>0</v>
      </c>
      <c r="J12" s="2817">
        <f t="shared" si="2"/>
        <v>0</v>
      </c>
      <c r="K12" s="2817">
        <f t="shared" si="2"/>
        <v>1778.03</v>
      </c>
      <c r="N12" s="1103">
        <v>0</v>
      </c>
      <c r="O12" s="1103">
        <v>0</v>
      </c>
      <c r="P12" s="1103">
        <v>0</v>
      </c>
      <c r="Q12" s="1103">
        <f>K12/K$56*1000</f>
        <v>1483.26</v>
      </c>
      <c r="R12" s="1103">
        <f t="shared" ref="R12:R45" si="3">K12/$R$46</f>
        <v>1483.26</v>
      </c>
    </row>
    <row r="13" spans="1:27" ht="12" customHeight="1" x14ac:dyDescent="0.25">
      <c r="A13" s="2835" t="s">
        <v>41</v>
      </c>
      <c r="B13" s="2609" t="s">
        <v>43</v>
      </c>
      <c r="C13" s="2850" t="s">
        <v>40</v>
      </c>
      <c r="D13" s="2817">
        <f>Виробництво_Транспортування_1ст!C105</f>
        <v>1426.04</v>
      </c>
      <c r="E13" s="2817">
        <f>Виробництво_Транспортування_1ст!D105</f>
        <v>1582.48</v>
      </c>
      <c r="F13" s="2817">
        <v>1638.2</v>
      </c>
      <c r="G13" s="2817">
        <f>Виробництво_Транспортування_1ст!K105</f>
        <v>290.05</v>
      </c>
      <c r="H13" s="2816">
        <f t="shared" ref="H13:K26" si="4">$G13/$G$56*H$56</f>
        <v>0</v>
      </c>
      <c r="I13" s="2816">
        <f t="shared" si="4"/>
        <v>0</v>
      </c>
      <c r="J13" s="2816">
        <f t="shared" si="4"/>
        <v>0</v>
      </c>
      <c r="K13" s="2816">
        <f t="shared" si="4"/>
        <v>290.05</v>
      </c>
      <c r="N13" s="1103">
        <v>0</v>
      </c>
      <c r="O13" s="1103">
        <v>0</v>
      </c>
      <c r="P13" s="1103">
        <v>0</v>
      </c>
      <c r="Q13" s="1103">
        <f t="shared" si="1"/>
        <v>241.96</v>
      </c>
      <c r="R13" s="1103">
        <f t="shared" si="3"/>
        <v>241.96</v>
      </c>
    </row>
    <row r="14" spans="1:27" ht="23.45" customHeight="1" x14ac:dyDescent="0.25">
      <c r="A14" s="2835" t="s">
        <v>42</v>
      </c>
      <c r="B14" s="2609" t="s">
        <v>3475</v>
      </c>
      <c r="C14" s="2850" t="s">
        <v>40</v>
      </c>
      <c r="D14" s="2817">
        <v>0</v>
      </c>
      <c r="E14" s="2817">
        <v>0</v>
      </c>
      <c r="F14" s="2818">
        <v>0</v>
      </c>
      <c r="G14" s="2817">
        <v>0</v>
      </c>
      <c r="H14" s="2816">
        <f t="shared" si="4"/>
        <v>0</v>
      </c>
      <c r="I14" s="2816">
        <f t="shared" si="4"/>
        <v>0</v>
      </c>
      <c r="J14" s="2816">
        <f t="shared" si="4"/>
        <v>0</v>
      </c>
      <c r="K14" s="2816">
        <f t="shared" si="4"/>
        <v>0</v>
      </c>
      <c r="L14" s="1101"/>
      <c r="M14" s="1101"/>
      <c r="N14" s="1103">
        <v>0</v>
      </c>
      <c r="O14" s="1103">
        <v>0</v>
      </c>
      <c r="P14" s="1103">
        <v>0</v>
      </c>
      <c r="Q14" s="1103">
        <f t="shared" si="1"/>
        <v>0</v>
      </c>
      <c r="R14" s="1103">
        <f t="shared" si="3"/>
        <v>0</v>
      </c>
    </row>
    <row r="15" spans="1:27" ht="12" customHeight="1" x14ac:dyDescent="0.25">
      <c r="A15" s="2835" t="s">
        <v>44</v>
      </c>
      <c r="B15" s="2609" t="s">
        <v>597</v>
      </c>
      <c r="C15" s="2850" t="s">
        <v>40</v>
      </c>
      <c r="D15" s="2817">
        <f>Виробництво_Транспортування_1ст!C106</f>
        <v>177.76</v>
      </c>
      <c r="E15" s="2817">
        <f>Виробництво_Транспортування_1ст!D106</f>
        <v>210.97</v>
      </c>
      <c r="F15" s="2817">
        <v>118</v>
      </c>
      <c r="G15" s="2817">
        <f>Виробництво_Транспортування_1ст!K106</f>
        <v>60.05</v>
      </c>
      <c r="H15" s="2816">
        <f t="shared" si="4"/>
        <v>0</v>
      </c>
      <c r="I15" s="2816">
        <f t="shared" si="4"/>
        <v>0</v>
      </c>
      <c r="J15" s="2816">
        <f t="shared" si="4"/>
        <v>0</v>
      </c>
      <c r="K15" s="2816">
        <f t="shared" si="4"/>
        <v>60.05</v>
      </c>
      <c r="L15" s="1101"/>
      <c r="N15" s="1103">
        <v>0</v>
      </c>
      <c r="O15" s="1103">
        <v>0</v>
      </c>
      <c r="P15" s="1103">
        <v>0</v>
      </c>
      <c r="Q15" s="1103">
        <f t="shared" si="1"/>
        <v>50.09</v>
      </c>
      <c r="R15" s="1103">
        <f t="shared" si="3"/>
        <v>50.09</v>
      </c>
    </row>
    <row r="16" spans="1:27" ht="12" customHeight="1" x14ac:dyDescent="0.25">
      <c r="A16" s="2835" t="s">
        <v>45</v>
      </c>
      <c r="B16" s="2609" t="s">
        <v>598</v>
      </c>
      <c r="C16" s="2850" t="s">
        <v>40</v>
      </c>
      <c r="D16" s="2817">
        <f>Виробництво_Транспортування_1ст!C104-Виробництво_Транспортування_1ст!C105-Виробництво_Транспортування_1ст!C106</f>
        <v>135.25</v>
      </c>
      <c r="E16" s="2817">
        <f>Виробництво_Транспортування_1ст!D104-Виробництво_Транспортування_1ст!D105-Виробництво_Транспортування_1ст!D106</f>
        <v>133.02000000000001</v>
      </c>
      <c r="F16" s="2817">
        <v>197.3</v>
      </c>
      <c r="G16" s="2817">
        <f>Виробництво_Транспортування_1ст!K104-Виробництво_Транспортування_1ст!K105-Виробництво_Транспортування_1ст!K106</f>
        <v>1427.93</v>
      </c>
      <c r="H16" s="2816">
        <f>($G16-$G17)/$G$56*H$56+H17</f>
        <v>0</v>
      </c>
      <c r="I16" s="2816">
        <f t="shared" ref="I16:K16" si="5">($G16-$G17)/$G$56*I$56+I17</f>
        <v>0</v>
      </c>
      <c r="J16" s="2816">
        <f t="shared" si="5"/>
        <v>0</v>
      </c>
      <c r="K16" s="2816">
        <f t="shared" si="5"/>
        <v>1427.93</v>
      </c>
      <c r="L16" s="1101"/>
      <c r="N16" s="1103">
        <v>0</v>
      </c>
      <c r="O16" s="1103">
        <v>0</v>
      </c>
      <c r="P16" s="1103">
        <v>0</v>
      </c>
      <c r="Q16" s="1103">
        <f t="shared" si="1"/>
        <v>1191.2</v>
      </c>
      <c r="R16" s="1103">
        <f t="shared" si="3"/>
        <v>1191.2</v>
      </c>
    </row>
    <row r="17" spans="1:27" ht="23.45" customHeight="1" x14ac:dyDescent="0.25">
      <c r="A17" s="2835" t="s">
        <v>1938</v>
      </c>
      <c r="B17" s="2705" t="s">
        <v>2764</v>
      </c>
      <c r="C17" s="2850" t="s">
        <v>40</v>
      </c>
      <c r="D17" s="2817">
        <v>0</v>
      </c>
      <c r="E17" s="2817">
        <v>0</v>
      </c>
      <c r="F17" s="2818">
        <v>0</v>
      </c>
      <c r="G17" s="2817">
        <f>Виробництво_Транспортування_1ст!K117</f>
        <v>1406.22</v>
      </c>
      <c r="H17" s="2816">
        <f>'Покриття втрат в мережах'!D12</f>
        <v>0</v>
      </c>
      <c r="I17" s="2816">
        <f>'Покриття втрат в мережах'!E12</f>
        <v>0</v>
      </c>
      <c r="J17" s="2816">
        <f>'Покриття втрат в мережах'!F12</f>
        <v>0</v>
      </c>
      <c r="K17" s="2816">
        <f>'Покриття втрат в мережах'!G12</f>
        <v>1406.22</v>
      </c>
      <c r="L17" s="1101"/>
      <c r="N17" s="1103">
        <v>0</v>
      </c>
      <c r="O17" s="1103">
        <v>0</v>
      </c>
      <c r="P17" s="1103">
        <v>0</v>
      </c>
      <c r="Q17" s="1103">
        <f t="shared" si="1"/>
        <v>1173.0899999999999</v>
      </c>
      <c r="R17" s="1103">
        <f t="shared" si="3"/>
        <v>1173.0899999999999</v>
      </c>
    </row>
    <row r="18" spans="1:27" ht="12" customHeight="1" x14ac:dyDescent="0.25">
      <c r="A18" s="2836" t="s">
        <v>24</v>
      </c>
      <c r="B18" s="2987" t="s">
        <v>47</v>
      </c>
      <c r="C18" s="2935" t="s">
        <v>40</v>
      </c>
      <c r="D18" s="2838">
        <f>Виробництво_Транспортування_1ст!C118</f>
        <v>2897.51</v>
      </c>
      <c r="E18" s="2838">
        <f>Виробництво_Транспортування_1ст!D118</f>
        <v>2957.1</v>
      </c>
      <c r="F18" s="2838">
        <v>2376.1999999999998</v>
      </c>
      <c r="G18" s="2838">
        <f>Виробництво_Транспортування_1ст!K118</f>
        <v>593.91999999999996</v>
      </c>
      <c r="H18" s="2816">
        <f t="shared" si="4"/>
        <v>0</v>
      </c>
      <c r="I18" s="2816">
        <f t="shared" si="4"/>
        <v>0</v>
      </c>
      <c r="J18" s="2816">
        <f t="shared" si="4"/>
        <v>0</v>
      </c>
      <c r="K18" s="2816">
        <f t="shared" si="4"/>
        <v>593.91999999999996</v>
      </c>
      <c r="N18" s="1103">
        <v>0</v>
      </c>
      <c r="O18" s="1103">
        <v>0</v>
      </c>
      <c r="P18" s="1103">
        <v>0</v>
      </c>
      <c r="Q18" s="1103">
        <f t="shared" si="1"/>
        <v>495.46</v>
      </c>
      <c r="R18" s="1103">
        <f t="shared" si="3"/>
        <v>495.46</v>
      </c>
    </row>
    <row r="19" spans="1:27" ht="12" customHeight="1" x14ac:dyDescent="0.25">
      <c r="A19" s="2835" t="s">
        <v>48</v>
      </c>
      <c r="B19" s="2609" t="s">
        <v>226</v>
      </c>
      <c r="C19" s="2850" t="s">
        <v>40</v>
      </c>
      <c r="D19" s="2817">
        <f>D20+D21+D22</f>
        <v>2845.15</v>
      </c>
      <c r="E19" s="2817">
        <f>E20+E21+E22</f>
        <v>3396.39</v>
      </c>
      <c r="F19" s="2817">
        <f>F20+F21+F22</f>
        <v>928.4</v>
      </c>
      <c r="G19" s="2817">
        <f>G20+G21+G22</f>
        <v>545.85</v>
      </c>
      <c r="H19" s="2816">
        <f t="shared" si="4"/>
        <v>0</v>
      </c>
      <c r="I19" s="2816">
        <f t="shared" si="4"/>
        <v>0</v>
      </c>
      <c r="J19" s="2816">
        <f t="shared" si="4"/>
        <v>0</v>
      </c>
      <c r="K19" s="2816">
        <f t="shared" si="4"/>
        <v>545.85</v>
      </c>
      <c r="N19" s="1103">
        <v>0</v>
      </c>
      <c r="O19" s="1103">
        <v>0</v>
      </c>
      <c r="P19" s="1103">
        <v>0</v>
      </c>
      <c r="Q19" s="1103">
        <f t="shared" si="1"/>
        <v>455.36</v>
      </c>
      <c r="R19" s="1103">
        <f t="shared" si="3"/>
        <v>455.36</v>
      </c>
    </row>
    <row r="20" spans="1:27" ht="24" customHeight="1" x14ac:dyDescent="0.25">
      <c r="A20" s="2835" t="s">
        <v>49</v>
      </c>
      <c r="B20" s="2609" t="s">
        <v>451</v>
      </c>
      <c r="C20" s="2850" t="s">
        <v>40</v>
      </c>
      <c r="D20" s="2838">
        <f>Виробництво_Транспортування_1ст!C121</f>
        <v>610.1</v>
      </c>
      <c r="E20" s="2838">
        <f>Виробництво_Транспортування_1ст!D121</f>
        <v>641.79</v>
      </c>
      <c r="F20" s="2838">
        <v>522.70000000000005</v>
      </c>
      <c r="G20" s="2838">
        <f>Виробництво_Транспортування_1ст!K121</f>
        <v>130.66</v>
      </c>
      <c r="H20" s="2816">
        <f t="shared" si="4"/>
        <v>0</v>
      </c>
      <c r="I20" s="2816">
        <f t="shared" si="4"/>
        <v>0</v>
      </c>
      <c r="J20" s="2816">
        <f t="shared" si="4"/>
        <v>0</v>
      </c>
      <c r="K20" s="2816">
        <f t="shared" si="4"/>
        <v>130.66</v>
      </c>
      <c r="L20" s="1102"/>
      <c r="N20" s="1103">
        <v>0</v>
      </c>
      <c r="O20" s="1103">
        <v>0</v>
      </c>
      <c r="P20" s="1103">
        <v>0</v>
      </c>
      <c r="Q20" s="1103">
        <f t="shared" si="1"/>
        <v>109</v>
      </c>
      <c r="R20" s="1103">
        <f t="shared" si="3"/>
        <v>109</v>
      </c>
    </row>
    <row r="21" spans="1:27" ht="12" customHeight="1" x14ac:dyDescent="0.25">
      <c r="A21" s="2835" t="s">
        <v>50</v>
      </c>
      <c r="B21" s="2609" t="s">
        <v>459</v>
      </c>
      <c r="C21" s="2850" t="s">
        <v>40</v>
      </c>
      <c r="D21" s="2838">
        <f>Виробництво_Транспортування_1ст!C122+Виробництво_Транспортування_1ст!C123</f>
        <v>286.93</v>
      </c>
      <c r="E21" s="2838">
        <f>Виробництво_Транспортування_1ст!D122+Виробництво_Транспортування_1ст!D123</f>
        <v>286.93</v>
      </c>
      <c r="F21" s="2838">
        <v>405.7</v>
      </c>
      <c r="G21" s="2838">
        <f>Виробництво_Транспортування_1ст!K122+Виробництво_Транспортування_1ст!K123</f>
        <v>32.56</v>
      </c>
      <c r="H21" s="2816">
        <f t="shared" si="4"/>
        <v>0</v>
      </c>
      <c r="I21" s="2816">
        <f t="shared" si="4"/>
        <v>0</v>
      </c>
      <c r="J21" s="2816">
        <f t="shared" si="4"/>
        <v>0</v>
      </c>
      <c r="K21" s="2816">
        <f t="shared" si="4"/>
        <v>32.56</v>
      </c>
      <c r="L21" s="1102"/>
      <c r="N21" s="1103">
        <v>0</v>
      </c>
      <c r="O21" s="1103">
        <v>0</v>
      </c>
      <c r="P21" s="1103">
        <v>0</v>
      </c>
      <c r="Q21" s="1103">
        <f t="shared" si="1"/>
        <v>27.16</v>
      </c>
      <c r="R21" s="1103">
        <f t="shared" si="3"/>
        <v>27.16</v>
      </c>
    </row>
    <row r="22" spans="1:27" ht="12" customHeight="1" x14ac:dyDescent="0.25">
      <c r="A22" s="2835" t="s">
        <v>51</v>
      </c>
      <c r="B22" s="2988" t="s">
        <v>82</v>
      </c>
      <c r="C22" s="2850" t="s">
        <v>40</v>
      </c>
      <c r="D22" s="2817">
        <f>Виробництво_Транспортування_1ст!C120-Виробництво_Транспортування_1ст!C121-Виробництво_Транспортування_1ст!C122-Виробництво_Транспортування_1ст!C123</f>
        <v>1948.12</v>
      </c>
      <c r="E22" s="2817">
        <f>Виробництво_Транспортування_1ст!D120-Виробництво_Транспортування_1ст!D121-Виробництво_Транспортування_1ст!D122-Виробництво_Транспортування_1ст!D123</f>
        <v>2467.67</v>
      </c>
      <c r="F22" s="2817">
        <v>0</v>
      </c>
      <c r="G22" s="2817">
        <f>Виробництво_Транспортування_1ст!K120-Виробництво_Транспортування_1ст!K121-Виробництво_Транспортування_1ст!K122-Виробництво_Транспортування_1ст!K123</f>
        <v>382.63</v>
      </c>
      <c r="H22" s="2816">
        <f t="shared" si="4"/>
        <v>0</v>
      </c>
      <c r="I22" s="2816">
        <f t="shared" si="4"/>
        <v>0</v>
      </c>
      <c r="J22" s="2816">
        <f t="shared" si="4"/>
        <v>0</v>
      </c>
      <c r="K22" s="2816">
        <f t="shared" si="4"/>
        <v>382.63</v>
      </c>
      <c r="L22" s="1102"/>
      <c r="M22" s="1102"/>
      <c r="N22" s="1103">
        <v>0</v>
      </c>
      <c r="O22" s="1103">
        <v>0</v>
      </c>
      <c r="P22" s="1103">
        <v>0</v>
      </c>
      <c r="Q22" s="1103">
        <f t="shared" si="1"/>
        <v>319.2</v>
      </c>
      <c r="R22" s="1103">
        <f t="shared" si="3"/>
        <v>319.2</v>
      </c>
    </row>
    <row r="23" spans="1:27" ht="12" customHeight="1" x14ac:dyDescent="0.25">
      <c r="A23" s="2835" t="s">
        <v>53</v>
      </c>
      <c r="B23" s="2865" t="s">
        <v>227</v>
      </c>
      <c r="C23" s="2833" t="s">
        <v>40</v>
      </c>
      <c r="D23" s="2816">
        <f>D24+D25+D26</f>
        <v>2135.3200000000002</v>
      </c>
      <c r="E23" s="2816">
        <f t="shared" ref="E23:F23" si="6">E24+E25+E26</f>
        <v>2009.83</v>
      </c>
      <c r="F23" s="2816">
        <f t="shared" si="6"/>
        <v>1187.2</v>
      </c>
      <c r="G23" s="2816">
        <f>ЗВВ_1ст!I8</f>
        <v>76.7</v>
      </c>
      <c r="H23" s="2816">
        <f t="shared" si="4"/>
        <v>0</v>
      </c>
      <c r="I23" s="2816">
        <f t="shared" si="4"/>
        <v>0</v>
      </c>
      <c r="J23" s="2816">
        <f t="shared" si="4"/>
        <v>0</v>
      </c>
      <c r="K23" s="2816">
        <f t="shared" si="4"/>
        <v>76.7</v>
      </c>
      <c r="N23" s="1103">
        <v>0</v>
      </c>
      <c r="O23" s="1103">
        <v>0</v>
      </c>
      <c r="P23" s="1103">
        <v>0</v>
      </c>
      <c r="Q23" s="1103">
        <f t="shared" si="1"/>
        <v>63.98</v>
      </c>
      <c r="R23" s="1103">
        <f t="shared" si="3"/>
        <v>63.98</v>
      </c>
    </row>
    <row r="24" spans="1:27" ht="12" customHeight="1" x14ac:dyDescent="0.25">
      <c r="A24" s="2835" t="s">
        <v>54</v>
      </c>
      <c r="B24" s="2609" t="s">
        <v>55</v>
      </c>
      <c r="C24" s="2850" t="s">
        <v>40</v>
      </c>
      <c r="D24" s="2817">
        <v>1535.43</v>
      </c>
      <c r="E24" s="2817">
        <v>1367.86</v>
      </c>
      <c r="F24" s="2818">
        <v>723.4</v>
      </c>
      <c r="G24" s="2817">
        <f>ЗВВ_1ст!I21</f>
        <v>51.09</v>
      </c>
      <c r="H24" s="2816">
        <f t="shared" si="4"/>
        <v>0</v>
      </c>
      <c r="I24" s="2816">
        <f t="shared" si="4"/>
        <v>0</v>
      </c>
      <c r="J24" s="2816">
        <f t="shared" si="4"/>
        <v>0</v>
      </c>
      <c r="K24" s="2816">
        <f t="shared" si="4"/>
        <v>51.09</v>
      </c>
      <c r="N24" s="1103">
        <v>0</v>
      </c>
      <c r="O24" s="1103">
        <v>0</v>
      </c>
      <c r="P24" s="1103">
        <v>0</v>
      </c>
      <c r="Q24" s="1103">
        <f t="shared" si="1"/>
        <v>42.62</v>
      </c>
      <c r="R24" s="1103">
        <f t="shared" si="3"/>
        <v>42.62</v>
      </c>
    </row>
    <row r="25" spans="1:27" ht="24" customHeight="1" x14ac:dyDescent="0.25">
      <c r="A25" s="2835" t="s">
        <v>56</v>
      </c>
      <c r="B25" s="2609" t="s">
        <v>451</v>
      </c>
      <c r="C25" s="2850" t="s">
        <v>40</v>
      </c>
      <c r="D25" s="2817">
        <v>319.23</v>
      </c>
      <c r="E25" s="2817">
        <v>292.10000000000002</v>
      </c>
      <c r="F25" s="2818">
        <v>144</v>
      </c>
      <c r="G25" s="2817">
        <f>ЗВВ_1ст!I23</f>
        <v>11.24</v>
      </c>
      <c r="H25" s="2816">
        <f t="shared" si="4"/>
        <v>0</v>
      </c>
      <c r="I25" s="2816">
        <f t="shared" si="4"/>
        <v>0</v>
      </c>
      <c r="J25" s="2816">
        <f t="shared" si="4"/>
        <v>0</v>
      </c>
      <c r="K25" s="2816">
        <f t="shared" si="4"/>
        <v>11.24</v>
      </c>
      <c r="L25" s="1102"/>
      <c r="N25" s="1103">
        <v>0</v>
      </c>
      <c r="O25" s="1103">
        <v>0</v>
      </c>
      <c r="P25" s="1103">
        <v>0</v>
      </c>
      <c r="Q25" s="1103">
        <f t="shared" si="1"/>
        <v>9.3800000000000008</v>
      </c>
      <c r="R25" s="1103">
        <f t="shared" si="3"/>
        <v>9.3800000000000008</v>
      </c>
    </row>
    <row r="26" spans="1:27" ht="12" customHeight="1" x14ac:dyDescent="0.25">
      <c r="A26" s="2835" t="s">
        <v>57</v>
      </c>
      <c r="B26" s="2609" t="s">
        <v>58</v>
      </c>
      <c r="C26" s="2850" t="s">
        <v>40</v>
      </c>
      <c r="D26" s="2817">
        <v>280.66000000000003</v>
      </c>
      <c r="E26" s="2817">
        <v>349.87</v>
      </c>
      <c r="F26" s="2818">
        <v>319.8</v>
      </c>
      <c r="G26" s="2817">
        <f>G23-G24-G25</f>
        <v>14.37</v>
      </c>
      <c r="H26" s="2816">
        <f t="shared" si="4"/>
        <v>0</v>
      </c>
      <c r="I26" s="2816">
        <f t="shared" si="4"/>
        <v>0</v>
      </c>
      <c r="J26" s="2816">
        <f t="shared" si="4"/>
        <v>0</v>
      </c>
      <c r="K26" s="2816">
        <f t="shared" si="4"/>
        <v>14.37</v>
      </c>
      <c r="N26" s="1103">
        <v>0</v>
      </c>
      <c r="O26" s="1103">
        <v>0</v>
      </c>
      <c r="P26" s="1103">
        <v>0</v>
      </c>
      <c r="Q26" s="1103">
        <f t="shared" si="1"/>
        <v>11.99</v>
      </c>
      <c r="R26" s="1103">
        <f t="shared" si="3"/>
        <v>11.99</v>
      </c>
    </row>
    <row r="27" spans="1:27" s="138" customFormat="1" ht="12" customHeight="1" x14ac:dyDescent="0.25">
      <c r="A27" s="2840">
        <v>2</v>
      </c>
      <c r="B27" s="2989" t="s">
        <v>228</v>
      </c>
      <c r="C27" s="2842" t="s">
        <v>40</v>
      </c>
      <c r="D27" s="2816">
        <f>D28+D29+D30</f>
        <v>486.78</v>
      </c>
      <c r="E27" s="2816">
        <f>E28+E29+E30</f>
        <v>499.75</v>
      </c>
      <c r="F27" s="2816">
        <f>F28+F29+F30</f>
        <v>320.8</v>
      </c>
      <c r="G27" s="2816">
        <f>Адміністративні_1ст!I8</f>
        <v>30.58</v>
      </c>
      <c r="H27" s="2816">
        <f>$G27/$G$56*H$56</f>
        <v>0</v>
      </c>
      <c r="I27" s="2816">
        <f t="shared" ref="I27:K27" si="7">$G27/$G$56*I$56</f>
        <v>0</v>
      </c>
      <c r="J27" s="2816">
        <f t="shared" si="7"/>
        <v>0</v>
      </c>
      <c r="K27" s="2816">
        <f t="shared" si="7"/>
        <v>30.58</v>
      </c>
      <c r="L27" s="1100"/>
      <c r="M27" s="1100"/>
      <c r="N27" s="1103">
        <v>0</v>
      </c>
      <c r="O27" s="1103">
        <v>0</v>
      </c>
      <c r="P27" s="1103">
        <v>0</v>
      </c>
      <c r="Q27" s="1103">
        <f t="shared" ref="Q27:Q44" si="8">K27/K$56*1000</f>
        <v>25.51</v>
      </c>
      <c r="R27" s="1103">
        <f t="shared" si="3"/>
        <v>25.51</v>
      </c>
      <c r="S27" s="1100"/>
      <c r="T27" s="1100"/>
      <c r="U27" s="1100"/>
      <c r="V27" s="1100"/>
      <c r="W27" s="1100"/>
      <c r="X27" s="1100"/>
      <c r="Y27" s="1100"/>
      <c r="Z27" s="1100"/>
      <c r="AA27" s="1100"/>
    </row>
    <row r="28" spans="1:27" ht="12" customHeight="1" x14ac:dyDescent="0.25">
      <c r="A28" s="2843" t="s">
        <v>25</v>
      </c>
      <c r="B28" s="2990" t="s">
        <v>55</v>
      </c>
      <c r="C28" s="2241" t="s">
        <v>40</v>
      </c>
      <c r="D28" s="2817">
        <v>313.79000000000002</v>
      </c>
      <c r="E28" s="2817">
        <v>301.79000000000002</v>
      </c>
      <c r="F28" s="2818">
        <v>239</v>
      </c>
      <c r="G28" s="2817">
        <f>Адміністративні_1ст!I21</f>
        <v>19.03</v>
      </c>
      <c r="H28" s="2816">
        <f t="shared" ref="H28:K36" si="9">$G28/$G$56*H$56</f>
        <v>0</v>
      </c>
      <c r="I28" s="2816">
        <f t="shared" si="9"/>
        <v>0</v>
      </c>
      <c r="J28" s="2816">
        <f t="shared" si="9"/>
        <v>0</v>
      </c>
      <c r="K28" s="2816">
        <f t="shared" si="9"/>
        <v>19.03</v>
      </c>
      <c r="L28" s="1100"/>
      <c r="M28" s="1100"/>
      <c r="N28" s="1103">
        <v>0</v>
      </c>
      <c r="O28" s="1103">
        <v>0</v>
      </c>
      <c r="P28" s="1103">
        <v>0</v>
      </c>
      <c r="Q28" s="1103">
        <f t="shared" si="8"/>
        <v>15.88</v>
      </c>
      <c r="R28" s="1103">
        <f t="shared" si="3"/>
        <v>15.88</v>
      </c>
    </row>
    <row r="29" spans="1:27" ht="24" customHeight="1" x14ac:dyDescent="0.25">
      <c r="A29" s="2843" t="s">
        <v>26</v>
      </c>
      <c r="B29" s="2990" t="s">
        <v>451</v>
      </c>
      <c r="C29" s="2241" t="s">
        <v>40</v>
      </c>
      <c r="D29" s="2817">
        <v>67.849999999999994</v>
      </c>
      <c r="E29" s="2817">
        <v>67.489999999999995</v>
      </c>
      <c r="F29" s="2818">
        <v>57.4</v>
      </c>
      <c r="G29" s="2817">
        <f>Адміністративні_1ст!I23</f>
        <v>4.1900000000000004</v>
      </c>
      <c r="H29" s="2816">
        <f t="shared" si="9"/>
        <v>0</v>
      </c>
      <c r="I29" s="2816">
        <f t="shared" si="9"/>
        <v>0</v>
      </c>
      <c r="J29" s="2816">
        <f t="shared" si="9"/>
        <v>0</v>
      </c>
      <c r="K29" s="2816">
        <f t="shared" si="9"/>
        <v>4.1900000000000004</v>
      </c>
      <c r="L29" s="1102"/>
      <c r="M29" s="1100"/>
      <c r="N29" s="1103">
        <v>0</v>
      </c>
      <c r="O29" s="1103">
        <v>0</v>
      </c>
      <c r="P29" s="1103">
        <v>0</v>
      </c>
      <c r="Q29" s="1103">
        <f t="shared" si="8"/>
        <v>3.5</v>
      </c>
      <c r="R29" s="1103">
        <f t="shared" si="3"/>
        <v>3.5</v>
      </c>
    </row>
    <row r="30" spans="1:27" ht="12" customHeight="1" x14ac:dyDescent="0.25">
      <c r="A30" s="2843" t="s">
        <v>59</v>
      </c>
      <c r="B30" s="2991" t="s">
        <v>58</v>
      </c>
      <c r="C30" s="2241" t="s">
        <v>40</v>
      </c>
      <c r="D30" s="2817">
        <v>105.14</v>
      </c>
      <c r="E30" s="2817">
        <v>130.47</v>
      </c>
      <c r="F30" s="2818">
        <v>24.4</v>
      </c>
      <c r="G30" s="2817">
        <f>G27-G28-G29</f>
        <v>7.36</v>
      </c>
      <c r="H30" s="2816">
        <f t="shared" si="9"/>
        <v>0</v>
      </c>
      <c r="I30" s="2816">
        <f t="shared" si="9"/>
        <v>0</v>
      </c>
      <c r="J30" s="2816">
        <f t="shared" si="9"/>
        <v>0</v>
      </c>
      <c r="K30" s="2816">
        <f t="shared" si="9"/>
        <v>7.36</v>
      </c>
      <c r="L30" s="1100"/>
      <c r="M30" s="1100"/>
      <c r="N30" s="1103">
        <v>0</v>
      </c>
      <c r="O30" s="1103">
        <v>0</v>
      </c>
      <c r="P30" s="1103">
        <v>0</v>
      </c>
      <c r="Q30" s="1103">
        <f t="shared" si="8"/>
        <v>6.14</v>
      </c>
      <c r="R30" s="1103">
        <f t="shared" si="3"/>
        <v>6.14</v>
      </c>
    </row>
    <row r="31" spans="1:27" s="138" customFormat="1" ht="12" customHeight="1" x14ac:dyDescent="0.25">
      <c r="A31" s="2831" t="s">
        <v>180</v>
      </c>
      <c r="B31" s="2865" t="s">
        <v>229</v>
      </c>
      <c r="C31" s="2842" t="s">
        <v>40</v>
      </c>
      <c r="D31" s="2816">
        <f>D32+D33+D34</f>
        <v>0</v>
      </c>
      <c r="E31" s="2816">
        <f>E32+E33+E34</f>
        <v>0</v>
      </c>
      <c r="F31" s="2816">
        <f>F32+F33+F34</f>
        <v>0</v>
      </c>
      <c r="G31" s="2816">
        <f>G32+G33+G34</f>
        <v>0</v>
      </c>
      <c r="H31" s="2816">
        <f t="shared" si="9"/>
        <v>0</v>
      </c>
      <c r="I31" s="2816">
        <f t="shared" si="9"/>
        <v>0</v>
      </c>
      <c r="J31" s="2816">
        <f t="shared" si="9"/>
        <v>0</v>
      </c>
      <c r="K31" s="2816">
        <f t="shared" si="9"/>
        <v>0</v>
      </c>
      <c r="L31" s="1104"/>
      <c r="M31" s="1100"/>
      <c r="N31" s="1103">
        <v>0</v>
      </c>
      <c r="O31" s="1103">
        <v>0</v>
      </c>
      <c r="P31" s="1103">
        <v>0</v>
      </c>
      <c r="Q31" s="1103">
        <f t="shared" si="8"/>
        <v>0</v>
      </c>
      <c r="R31" s="1103">
        <f t="shared" si="3"/>
        <v>0</v>
      </c>
      <c r="S31" s="1100"/>
      <c r="T31" s="1100"/>
      <c r="U31" s="1100"/>
      <c r="V31" s="1100"/>
      <c r="W31" s="1100"/>
      <c r="X31" s="1100"/>
      <c r="Y31" s="1100"/>
      <c r="Z31" s="1100"/>
      <c r="AA31" s="1100"/>
    </row>
    <row r="32" spans="1:27" ht="12" customHeight="1" x14ac:dyDescent="0.25">
      <c r="A32" s="2835" t="s">
        <v>60</v>
      </c>
      <c r="B32" s="2609" t="s">
        <v>55</v>
      </c>
      <c r="C32" s="2241" t="s">
        <v>40</v>
      </c>
      <c r="D32" s="2817">
        <v>0</v>
      </c>
      <c r="E32" s="2817">
        <v>0</v>
      </c>
      <c r="F32" s="2817">
        <v>0</v>
      </c>
      <c r="G32" s="2817">
        <v>0</v>
      </c>
      <c r="H32" s="2816">
        <f t="shared" si="9"/>
        <v>0</v>
      </c>
      <c r="I32" s="2816">
        <f t="shared" si="9"/>
        <v>0</v>
      </c>
      <c r="J32" s="2816">
        <f t="shared" si="9"/>
        <v>0</v>
      </c>
      <c r="K32" s="2816">
        <f t="shared" si="9"/>
        <v>0</v>
      </c>
      <c r="L32" s="1100"/>
      <c r="M32" s="1100"/>
      <c r="N32" s="1103">
        <v>0</v>
      </c>
      <c r="O32" s="1103">
        <v>0</v>
      </c>
      <c r="P32" s="1103">
        <v>0</v>
      </c>
      <c r="Q32" s="1103">
        <f t="shared" si="8"/>
        <v>0</v>
      </c>
      <c r="R32" s="1103">
        <f t="shared" si="3"/>
        <v>0</v>
      </c>
    </row>
    <row r="33" spans="1:27" ht="25.15" customHeight="1" x14ac:dyDescent="0.25">
      <c r="A33" s="2835" t="s">
        <v>61</v>
      </c>
      <c r="B33" s="2990" t="s">
        <v>451</v>
      </c>
      <c r="C33" s="2241" t="s">
        <v>40</v>
      </c>
      <c r="D33" s="2817">
        <v>0</v>
      </c>
      <c r="E33" s="2817">
        <v>0</v>
      </c>
      <c r="F33" s="2817">
        <v>0</v>
      </c>
      <c r="G33" s="2817">
        <v>0</v>
      </c>
      <c r="H33" s="2816">
        <f t="shared" si="9"/>
        <v>0</v>
      </c>
      <c r="I33" s="2816">
        <f t="shared" si="9"/>
        <v>0</v>
      </c>
      <c r="J33" s="2816">
        <f t="shared" si="9"/>
        <v>0</v>
      </c>
      <c r="K33" s="2816">
        <f t="shared" si="9"/>
        <v>0</v>
      </c>
      <c r="L33" s="1102"/>
      <c r="M33" s="1100"/>
      <c r="N33" s="1103">
        <v>0</v>
      </c>
      <c r="O33" s="1103">
        <v>0</v>
      </c>
      <c r="P33" s="1103">
        <v>0</v>
      </c>
      <c r="Q33" s="1103">
        <f t="shared" si="8"/>
        <v>0</v>
      </c>
      <c r="R33" s="1103">
        <f t="shared" si="3"/>
        <v>0</v>
      </c>
    </row>
    <row r="34" spans="1:27" ht="12" customHeight="1" x14ac:dyDescent="0.25">
      <c r="A34" s="2843" t="s">
        <v>62</v>
      </c>
      <c r="B34" s="2997" t="s">
        <v>242</v>
      </c>
      <c r="C34" s="2241" t="s">
        <v>40</v>
      </c>
      <c r="D34" s="2817">
        <v>0</v>
      </c>
      <c r="E34" s="2817">
        <v>0</v>
      </c>
      <c r="F34" s="2817">
        <v>0</v>
      </c>
      <c r="G34" s="2817">
        <v>0</v>
      </c>
      <c r="H34" s="2816">
        <f t="shared" si="9"/>
        <v>0</v>
      </c>
      <c r="I34" s="2816">
        <f t="shared" si="9"/>
        <v>0</v>
      </c>
      <c r="J34" s="2816">
        <f t="shared" si="9"/>
        <v>0</v>
      </c>
      <c r="K34" s="2816">
        <f t="shared" si="9"/>
        <v>0</v>
      </c>
      <c r="L34" s="1100"/>
      <c r="M34" s="1100"/>
      <c r="N34" s="1103">
        <v>0</v>
      </c>
      <c r="O34" s="1103">
        <v>0</v>
      </c>
      <c r="P34" s="1103">
        <v>0</v>
      </c>
      <c r="Q34" s="1103">
        <f t="shared" si="8"/>
        <v>0</v>
      </c>
      <c r="R34" s="1103">
        <f t="shared" si="3"/>
        <v>0</v>
      </c>
    </row>
    <row r="35" spans="1:27" s="138" customFormat="1" ht="12" customHeight="1" x14ac:dyDescent="0.25">
      <c r="A35" s="2840" t="s">
        <v>181</v>
      </c>
      <c r="B35" s="2992" t="s">
        <v>83</v>
      </c>
      <c r="C35" s="2842" t="s">
        <v>40</v>
      </c>
      <c r="D35" s="2817">
        <v>0</v>
      </c>
      <c r="E35" s="2817">
        <v>0</v>
      </c>
      <c r="F35" s="2817">
        <v>0</v>
      </c>
      <c r="G35" s="2817">
        <v>0</v>
      </c>
      <c r="H35" s="2816">
        <f t="shared" si="9"/>
        <v>0</v>
      </c>
      <c r="I35" s="2816">
        <f t="shared" si="9"/>
        <v>0</v>
      </c>
      <c r="J35" s="2816">
        <f t="shared" si="9"/>
        <v>0</v>
      </c>
      <c r="K35" s="2816">
        <f t="shared" si="9"/>
        <v>0</v>
      </c>
      <c r="L35" s="1100"/>
      <c r="M35" s="1100"/>
      <c r="N35" s="1103">
        <v>0</v>
      </c>
      <c r="O35" s="1103">
        <v>0</v>
      </c>
      <c r="P35" s="1103">
        <v>0</v>
      </c>
      <c r="Q35" s="1103">
        <f t="shared" si="8"/>
        <v>0</v>
      </c>
      <c r="R35" s="1103">
        <f t="shared" si="3"/>
        <v>0</v>
      </c>
      <c r="S35" s="1100"/>
      <c r="T35" s="1100"/>
      <c r="U35" s="1100"/>
      <c r="V35" s="1100"/>
      <c r="W35" s="1100"/>
      <c r="X35" s="1100"/>
      <c r="Y35" s="1100"/>
      <c r="Z35" s="1100"/>
      <c r="AA35" s="1100"/>
    </row>
    <row r="36" spans="1:27" s="138" customFormat="1" ht="12" customHeight="1" x14ac:dyDescent="0.25">
      <c r="A36" s="2840" t="s">
        <v>176</v>
      </c>
      <c r="B36" s="2992" t="s">
        <v>5</v>
      </c>
      <c r="C36" s="2842" t="s">
        <v>40</v>
      </c>
      <c r="D36" s="2819">
        <v>0</v>
      </c>
      <c r="E36" s="2819">
        <v>0</v>
      </c>
      <c r="F36" s="2819">
        <v>0</v>
      </c>
      <c r="G36" s="2816">
        <v>0</v>
      </c>
      <c r="H36" s="2816">
        <f t="shared" si="9"/>
        <v>0</v>
      </c>
      <c r="I36" s="2816">
        <f t="shared" si="9"/>
        <v>0</v>
      </c>
      <c r="J36" s="2816">
        <f t="shared" si="9"/>
        <v>0</v>
      </c>
      <c r="K36" s="2816">
        <f t="shared" si="9"/>
        <v>0</v>
      </c>
      <c r="L36" s="1100"/>
      <c r="M36" s="1100"/>
      <c r="N36" s="1103">
        <v>0</v>
      </c>
      <c r="O36" s="1103">
        <v>0</v>
      </c>
      <c r="P36" s="1103">
        <v>0</v>
      </c>
      <c r="Q36" s="1103">
        <f t="shared" si="8"/>
        <v>0</v>
      </c>
      <c r="R36" s="1103">
        <f t="shared" si="3"/>
        <v>0</v>
      </c>
      <c r="S36" s="1100"/>
      <c r="T36" s="1100"/>
      <c r="U36" s="1100"/>
      <c r="V36" s="1100"/>
      <c r="W36" s="1100"/>
      <c r="X36" s="1100"/>
      <c r="Y36" s="1100"/>
      <c r="Z36" s="1100"/>
      <c r="AA36" s="1100"/>
    </row>
    <row r="37" spans="1:27" s="138" customFormat="1" ht="12" customHeight="1" x14ac:dyDescent="0.25">
      <c r="A37" s="2840" t="s">
        <v>177</v>
      </c>
      <c r="B37" s="2992" t="s">
        <v>63</v>
      </c>
      <c r="C37" s="2842" t="s">
        <v>40</v>
      </c>
      <c r="D37" s="2816">
        <f>D36+D35+D31+D27+D11</f>
        <v>10103.81</v>
      </c>
      <c r="E37" s="2816">
        <f>E36+E35+E31+E27+E11</f>
        <v>10789.54</v>
      </c>
      <c r="F37" s="2816">
        <f>F36+F35+F31+F27+F11</f>
        <v>6766.1</v>
      </c>
      <c r="G37" s="2816">
        <f>G36+G35+G31+G27+G11</f>
        <v>3025.08</v>
      </c>
      <c r="H37" s="2816">
        <f t="shared" ref="H37:K37" si="10">H36+H35+H31+H27+H11</f>
        <v>0</v>
      </c>
      <c r="I37" s="2816">
        <f t="shared" si="10"/>
        <v>0</v>
      </c>
      <c r="J37" s="2816">
        <f t="shared" si="10"/>
        <v>0</v>
      </c>
      <c r="K37" s="2816">
        <f t="shared" si="10"/>
        <v>3025.08</v>
      </c>
      <c r="L37" s="2157"/>
      <c r="M37" s="1104"/>
      <c r="N37" s="1103">
        <v>0</v>
      </c>
      <c r="O37" s="1103">
        <v>0</v>
      </c>
      <c r="P37" s="1103">
        <v>0</v>
      </c>
      <c r="Q37" s="1103">
        <f t="shared" si="8"/>
        <v>2523.5700000000002</v>
      </c>
      <c r="R37" s="1103">
        <f t="shared" si="3"/>
        <v>2523.5700000000002</v>
      </c>
      <c r="S37" s="1100"/>
      <c r="T37" s="1100"/>
      <c r="U37" s="1100"/>
      <c r="V37" s="1100"/>
      <c r="W37" s="1100"/>
      <c r="X37" s="1100"/>
      <c r="Y37" s="1100"/>
      <c r="Z37" s="1100"/>
      <c r="AA37" s="1100"/>
    </row>
    <row r="38" spans="1:27" s="138" customFormat="1" ht="12" customHeight="1" x14ac:dyDescent="0.25">
      <c r="A38" s="2840" t="s">
        <v>178</v>
      </c>
      <c r="B38" s="2992" t="s">
        <v>243</v>
      </c>
      <c r="C38" s="2842" t="s">
        <v>40</v>
      </c>
      <c r="D38" s="2816">
        <v>0</v>
      </c>
      <c r="E38" s="2816">
        <v>0</v>
      </c>
      <c r="F38" s="2816">
        <v>0</v>
      </c>
      <c r="G38" s="2816">
        <v>0</v>
      </c>
      <c r="H38" s="2816">
        <v>0</v>
      </c>
      <c r="I38" s="2816">
        <v>0</v>
      </c>
      <c r="J38" s="2816">
        <v>0</v>
      </c>
      <c r="K38" s="2816">
        <v>0</v>
      </c>
      <c r="L38" s="1100"/>
      <c r="M38" s="1100"/>
      <c r="N38" s="1103">
        <v>0</v>
      </c>
      <c r="O38" s="1103">
        <v>0</v>
      </c>
      <c r="P38" s="1103">
        <v>0</v>
      </c>
      <c r="Q38" s="1103">
        <f t="shared" si="8"/>
        <v>0</v>
      </c>
      <c r="R38" s="1103">
        <f t="shared" si="3"/>
        <v>0</v>
      </c>
      <c r="S38" s="1100"/>
      <c r="T38" s="1100"/>
      <c r="U38" s="1100"/>
      <c r="V38" s="1100"/>
      <c r="W38" s="1100"/>
      <c r="X38" s="1100"/>
      <c r="Y38" s="1100"/>
      <c r="Z38" s="1100"/>
      <c r="AA38" s="1100"/>
    </row>
    <row r="39" spans="1:27" s="138" customFormat="1" ht="12" customHeight="1" x14ac:dyDescent="0.25">
      <c r="A39" s="2840" t="s">
        <v>179</v>
      </c>
      <c r="B39" s="2992" t="s">
        <v>244</v>
      </c>
      <c r="C39" s="2842" t="s">
        <v>40</v>
      </c>
      <c r="D39" s="2819">
        <f>D40+D41+D42+D43+D44</f>
        <v>0</v>
      </c>
      <c r="E39" s="2819">
        <f>E40+E41+E42+E43+E44</f>
        <v>0</v>
      </c>
      <c r="F39" s="2819">
        <f>F40+F41+F42+F43+F44</f>
        <v>255.65</v>
      </c>
      <c r="G39" s="2819">
        <f>G40+G41+G42+G43+G44</f>
        <v>172.55</v>
      </c>
      <c r="H39" s="2819">
        <f t="shared" ref="H39:K39" si="11">H40+H41+H42+H43+H44</f>
        <v>0</v>
      </c>
      <c r="I39" s="2819">
        <f t="shared" si="11"/>
        <v>0</v>
      </c>
      <c r="J39" s="2819">
        <f t="shared" si="11"/>
        <v>0</v>
      </c>
      <c r="K39" s="2819">
        <f t="shared" si="11"/>
        <v>172.55</v>
      </c>
      <c r="L39" s="1100"/>
      <c r="M39" s="1100"/>
      <c r="N39" s="1103">
        <v>0</v>
      </c>
      <c r="O39" s="1103">
        <v>0</v>
      </c>
      <c r="P39" s="1103">
        <v>0</v>
      </c>
      <c r="Q39" s="1103">
        <f t="shared" si="8"/>
        <v>143.94</v>
      </c>
      <c r="R39" s="1103">
        <f t="shared" si="3"/>
        <v>143.94</v>
      </c>
      <c r="S39" s="1100"/>
      <c r="T39" s="1100"/>
      <c r="U39" s="1100"/>
      <c r="V39" s="1100"/>
      <c r="W39" s="1100"/>
      <c r="X39" s="1100"/>
      <c r="Y39" s="1100"/>
      <c r="Z39" s="1100"/>
      <c r="AA39" s="1100"/>
    </row>
    <row r="40" spans="1:27" ht="12" customHeight="1" x14ac:dyDescent="0.25">
      <c r="A40" s="2843" t="s">
        <v>116</v>
      </c>
      <c r="B40" s="2990" t="s">
        <v>65</v>
      </c>
      <c r="C40" s="2241" t="s">
        <v>84</v>
      </c>
      <c r="D40" s="2817">
        <v>0</v>
      </c>
      <c r="E40" s="2817">
        <v>0</v>
      </c>
      <c r="F40" s="2818">
        <v>46.02</v>
      </c>
      <c r="G40" s="2820">
        <f>G44*'Вхідні дані'!D47</f>
        <v>21.78</v>
      </c>
      <c r="H40" s="2820">
        <f>(H41+H42+H43+H44)/(100%-'Вхідні дані'!$D$47)-(H41+H42+H43+H44)</f>
        <v>0</v>
      </c>
      <c r="I40" s="2820">
        <f>(I41+I42+I43+I44)/(100%-'Вхідні дані'!$D$47)-(I41+I42+I43+I44)</f>
        <v>0</v>
      </c>
      <c r="J40" s="2820">
        <f>(J41+J42+J43+J44)/(100%-'Вхідні дані'!$D$47)-(J41+J42+J43+J44)</f>
        <v>0</v>
      </c>
      <c r="K40" s="2820">
        <f>K44*'Вхідні дані'!D47</f>
        <v>21.78</v>
      </c>
      <c r="N40" s="1103">
        <v>0</v>
      </c>
      <c r="O40" s="1103">
        <v>0</v>
      </c>
      <c r="P40" s="1103">
        <v>0</v>
      </c>
      <c r="Q40" s="1103">
        <f t="shared" si="8"/>
        <v>18.170000000000002</v>
      </c>
      <c r="R40" s="1103">
        <f t="shared" si="3"/>
        <v>18.170000000000002</v>
      </c>
    </row>
    <row r="41" spans="1:27" ht="12" customHeight="1" x14ac:dyDescent="0.25">
      <c r="A41" s="2843" t="s">
        <v>118</v>
      </c>
      <c r="B41" s="2990" t="s">
        <v>85</v>
      </c>
      <c r="C41" s="2241" t="s">
        <v>40</v>
      </c>
      <c r="D41" s="2817">
        <v>0</v>
      </c>
      <c r="E41" s="2817">
        <v>0</v>
      </c>
      <c r="F41" s="2818">
        <v>31.44</v>
      </c>
      <c r="G41" s="2820">
        <f>(G44-G40)*'Вхідні дані'!D48</f>
        <v>29.77</v>
      </c>
      <c r="H41" s="2820">
        <f>(H43+H44)/(100%-'Вхідні дані'!$D$48)*'Вхідні дані'!$D$48</f>
        <v>0</v>
      </c>
      <c r="I41" s="2820">
        <f>(I43+I44)/(100%-'Вхідні дані'!$D$48)*'Вхідні дані'!$D$48</f>
        <v>0</v>
      </c>
      <c r="J41" s="2820">
        <f>(J43+J44)/(100%-'Вхідні дані'!$D$48)*'Вхідні дані'!$D$48</f>
        <v>0</v>
      </c>
      <c r="K41" s="2820">
        <f>(K44-K40)*'Вхідні дані'!D48</f>
        <v>29.77</v>
      </c>
      <c r="N41" s="1103">
        <v>0</v>
      </c>
      <c r="O41" s="1103">
        <v>0</v>
      </c>
      <c r="P41" s="1103">
        <v>0</v>
      </c>
      <c r="Q41" s="1103">
        <f t="shared" si="8"/>
        <v>24.83</v>
      </c>
      <c r="R41" s="1103">
        <f t="shared" si="3"/>
        <v>24.83</v>
      </c>
    </row>
    <row r="42" spans="1:27" ht="12" customHeight="1" x14ac:dyDescent="0.25">
      <c r="A42" s="2843" t="s">
        <v>120</v>
      </c>
      <c r="B42" s="2990" t="s">
        <v>86</v>
      </c>
      <c r="C42" s="2241" t="s">
        <v>40</v>
      </c>
      <c r="D42" s="2817">
        <v>0</v>
      </c>
      <c r="E42" s="2817">
        <v>0</v>
      </c>
      <c r="F42" s="2818">
        <v>0</v>
      </c>
      <c r="G42" s="2817">
        <v>0</v>
      </c>
      <c r="H42" s="2817">
        <v>0</v>
      </c>
      <c r="I42" s="2817">
        <v>0</v>
      </c>
      <c r="J42" s="2817">
        <v>0</v>
      </c>
      <c r="K42" s="2817">
        <v>0</v>
      </c>
      <c r="N42" s="1103">
        <v>0</v>
      </c>
      <c r="O42" s="1103">
        <v>0</v>
      </c>
      <c r="P42" s="1103">
        <v>0</v>
      </c>
      <c r="Q42" s="1103">
        <f t="shared" si="8"/>
        <v>0</v>
      </c>
      <c r="R42" s="1103">
        <f t="shared" si="3"/>
        <v>0</v>
      </c>
    </row>
    <row r="43" spans="1:27" ht="12" customHeight="1" x14ac:dyDescent="0.25">
      <c r="A43" s="2843" t="s">
        <v>122</v>
      </c>
      <c r="B43" s="2990" t="s">
        <v>71</v>
      </c>
      <c r="C43" s="2241" t="s">
        <v>40</v>
      </c>
      <c r="D43" s="2817">
        <v>0</v>
      </c>
      <c r="E43" s="2817">
        <v>0</v>
      </c>
      <c r="F43" s="2818">
        <v>0</v>
      </c>
      <c r="G43" s="2817">
        <v>0</v>
      </c>
      <c r="H43" s="2817">
        <v>0</v>
      </c>
      <c r="I43" s="2817">
        <v>0</v>
      </c>
      <c r="J43" s="2817">
        <v>0</v>
      </c>
      <c r="K43" s="2817">
        <v>0</v>
      </c>
      <c r="N43" s="1103">
        <v>0</v>
      </c>
      <c r="O43" s="1103">
        <v>0</v>
      </c>
      <c r="P43" s="1103">
        <v>0</v>
      </c>
      <c r="Q43" s="1103">
        <f t="shared" si="8"/>
        <v>0</v>
      </c>
      <c r="R43" s="1103">
        <f t="shared" si="3"/>
        <v>0</v>
      </c>
    </row>
    <row r="44" spans="1:27" ht="12" customHeight="1" x14ac:dyDescent="0.25">
      <c r="A44" s="2843" t="s">
        <v>232</v>
      </c>
      <c r="B44" s="2990" t="s">
        <v>87</v>
      </c>
      <c r="C44" s="2241" t="s">
        <v>40</v>
      </c>
      <c r="D44" s="2817">
        <v>0</v>
      </c>
      <c r="E44" s="2817">
        <v>0</v>
      </c>
      <c r="F44" s="2818">
        <v>178.19</v>
      </c>
      <c r="G44" s="2817">
        <f>G37*'Вхідні дані'!$D$46</f>
        <v>121</v>
      </c>
      <c r="H44" s="2817">
        <f>H37*'Вхідні дані'!$D$46</f>
        <v>0</v>
      </c>
      <c r="I44" s="2817">
        <f>I37*'Вхідні дані'!$D$46</f>
        <v>0</v>
      </c>
      <c r="J44" s="2817">
        <f>J37*'Вхідні дані'!$D$46</f>
        <v>0</v>
      </c>
      <c r="K44" s="2817">
        <f>K37*'Вхідні дані'!$D$46</f>
        <v>121</v>
      </c>
      <c r="N44" s="1103">
        <v>0</v>
      </c>
      <c r="O44" s="1103">
        <v>0</v>
      </c>
      <c r="P44" s="1103">
        <v>0</v>
      </c>
      <c r="Q44" s="1103">
        <f t="shared" si="8"/>
        <v>100.94</v>
      </c>
      <c r="R44" s="1103">
        <f t="shared" si="3"/>
        <v>100.94</v>
      </c>
    </row>
    <row r="45" spans="1:27" s="138" customFormat="1" ht="24.6" customHeight="1" x14ac:dyDescent="0.25">
      <c r="A45" s="2840" t="s">
        <v>194</v>
      </c>
      <c r="B45" s="2992" t="s">
        <v>564</v>
      </c>
      <c r="C45" s="2842" t="s">
        <v>40</v>
      </c>
      <c r="D45" s="2816">
        <f>D39+D38+D37</f>
        <v>10103.81</v>
      </c>
      <c r="E45" s="2816">
        <f>E39+E38+E37</f>
        <v>10789.54</v>
      </c>
      <c r="F45" s="2816">
        <f>F39+F38+F37</f>
        <v>7021.75</v>
      </c>
      <c r="G45" s="2816">
        <f>G39+G38+G37</f>
        <v>3197.63</v>
      </c>
      <c r="H45" s="2816">
        <f t="shared" ref="H45:K45" si="12">H39+H38+H37</f>
        <v>0</v>
      </c>
      <c r="I45" s="2816">
        <f t="shared" si="12"/>
        <v>0</v>
      </c>
      <c r="J45" s="2816">
        <f t="shared" si="12"/>
        <v>0</v>
      </c>
      <c r="K45" s="2816">
        <f t="shared" si="12"/>
        <v>3197.63</v>
      </c>
      <c r="L45" s="1120"/>
      <c r="M45" s="1210"/>
      <c r="N45" s="1103">
        <v>0</v>
      </c>
      <c r="O45" s="1103">
        <v>0</v>
      </c>
      <c r="P45" s="1103">
        <v>0</v>
      </c>
      <c r="Q45" s="1103">
        <f t="shared" ref="Q45" si="13">K45/K$56*1000</f>
        <v>2667.51</v>
      </c>
      <c r="R45" s="1103">
        <f t="shared" si="3"/>
        <v>2667.51</v>
      </c>
      <c r="S45" s="1100"/>
      <c r="T45" s="1100"/>
      <c r="U45" s="1100"/>
      <c r="V45" s="1100"/>
      <c r="W45" s="1100"/>
      <c r="X45" s="1100"/>
      <c r="Y45" s="1100"/>
      <c r="Z45" s="1100"/>
      <c r="AA45" s="1100"/>
    </row>
    <row r="46" spans="1:27" s="138" customFormat="1" ht="28.5" customHeight="1" x14ac:dyDescent="0.25">
      <c r="A46" s="2831" t="s">
        <v>195</v>
      </c>
      <c r="B46" s="2992" t="s">
        <v>88</v>
      </c>
      <c r="C46" s="2833" t="s">
        <v>74</v>
      </c>
      <c r="D46" s="2816">
        <f>D45/D56*1000</f>
        <v>1054.05</v>
      </c>
      <c r="E46" s="2816">
        <f>E45/E56*1000</f>
        <v>1218.7</v>
      </c>
      <c r="F46" s="2816">
        <f>F45/F56*1000</f>
        <v>377.04</v>
      </c>
      <c r="G46" s="2816">
        <f>G45/G56*1000</f>
        <v>2667.51</v>
      </c>
      <c r="H46" s="2816">
        <v>0</v>
      </c>
      <c r="I46" s="2816">
        <v>0</v>
      </c>
      <c r="J46" s="2816">
        <v>0</v>
      </c>
      <c r="K46" s="2816">
        <f t="shared" ref="K46" si="14">K45/K56*1000</f>
        <v>2667.51</v>
      </c>
      <c r="L46" s="2156"/>
      <c r="M46" s="1099"/>
      <c r="N46" s="1103"/>
      <c r="O46" s="1099"/>
      <c r="P46" s="1099"/>
      <c r="Q46" s="1100"/>
      <c r="R46" s="1100">
        <f>K56/1000</f>
        <v>1.1987300000000001</v>
      </c>
      <c r="S46" s="1100"/>
      <c r="T46" s="1100"/>
      <c r="U46" s="1100"/>
      <c r="V46" s="1100"/>
      <c r="W46" s="1100"/>
      <c r="X46" s="1100"/>
      <c r="Y46" s="1100"/>
      <c r="Z46" s="1100"/>
      <c r="AA46" s="1100"/>
    </row>
    <row r="47" spans="1:27" ht="24" x14ac:dyDescent="0.25">
      <c r="A47" s="2849">
        <v>11</v>
      </c>
      <c r="B47" s="2609" t="s">
        <v>565</v>
      </c>
      <c r="C47" s="2850" t="s">
        <v>22</v>
      </c>
      <c r="D47" s="2820">
        <f>D48+D49</f>
        <v>12876.33</v>
      </c>
      <c r="E47" s="2820">
        <f>E48+E49</f>
        <v>12915.64</v>
      </c>
      <c r="F47" s="2820">
        <f>F48+F49</f>
        <v>20800.28</v>
      </c>
      <c r="G47" s="2820">
        <f>G48+G49</f>
        <v>1395.04</v>
      </c>
      <c r="H47" s="2820">
        <f t="shared" ref="H47:K47" si="15">H48+H49</f>
        <v>0</v>
      </c>
      <c r="I47" s="2820">
        <f t="shared" si="15"/>
        <v>0</v>
      </c>
      <c r="J47" s="2820">
        <f t="shared" si="15"/>
        <v>0</v>
      </c>
      <c r="K47" s="2820">
        <f t="shared" si="15"/>
        <v>1395.04</v>
      </c>
      <c r="L47" s="1361"/>
    </row>
    <row r="48" spans="1:27" ht="12" customHeight="1" x14ac:dyDescent="0.25">
      <c r="A48" s="2835" t="s">
        <v>92</v>
      </c>
      <c r="B48" s="2990" t="s">
        <v>90</v>
      </c>
      <c r="C48" s="2850" t="s">
        <v>22</v>
      </c>
      <c r="D48" s="2820">
        <f>'Д 7_РП'!E26</f>
        <v>12876.33</v>
      </c>
      <c r="E48" s="2820">
        <f>'Д 7_РП'!F26</f>
        <v>12915.64</v>
      </c>
      <c r="F48" s="2820">
        <v>20800.28</v>
      </c>
      <c r="G48" s="2820">
        <f>'Д 7_РП'!G28+'Д 7_РП'!G31+'Д 7_РП'!G34+'Д 7_РП'!G37+'Д 7_РП'!G40</f>
        <v>1395.04</v>
      </c>
      <c r="H48" s="2821">
        <f>'Д 7_РП'!G28</f>
        <v>0</v>
      </c>
      <c r="I48" s="2821">
        <f>'Д 7_РП'!G31</f>
        <v>0</v>
      </c>
      <c r="J48" s="2821">
        <f>'Д 7_РП'!G34</f>
        <v>0</v>
      </c>
      <c r="K48" s="2821">
        <f>'Д 7_РП'!G37</f>
        <v>1395.04</v>
      </c>
      <c r="L48" s="1102"/>
    </row>
    <row r="49" spans="1:12" ht="24" x14ac:dyDescent="0.25">
      <c r="A49" s="2835" t="s">
        <v>93</v>
      </c>
      <c r="B49" s="2990" t="s">
        <v>599</v>
      </c>
      <c r="C49" s="2850" t="s">
        <v>22</v>
      </c>
      <c r="D49" s="2820">
        <v>0</v>
      </c>
      <c r="E49" s="2820">
        <v>0</v>
      </c>
      <c r="F49" s="2821">
        <v>0</v>
      </c>
      <c r="G49" s="2821">
        <v>0</v>
      </c>
      <c r="H49" s="2821">
        <v>0</v>
      </c>
      <c r="I49" s="2821">
        <v>0</v>
      </c>
      <c r="J49" s="2821">
        <v>0</v>
      </c>
      <c r="K49" s="2821">
        <v>0</v>
      </c>
      <c r="L49" s="1362"/>
    </row>
    <row r="50" spans="1:12" ht="24" x14ac:dyDescent="0.25">
      <c r="A50" s="2835" t="s">
        <v>197</v>
      </c>
      <c r="B50" s="2990" t="s">
        <v>566</v>
      </c>
      <c r="C50" s="2850" t="s">
        <v>22</v>
      </c>
      <c r="D50" s="2820">
        <f>D51+D52</f>
        <v>1784.77</v>
      </c>
      <c r="E50" s="2820">
        <f>E51+E52</f>
        <v>1945.76</v>
      </c>
      <c r="F50" s="2820">
        <f>F51+F52</f>
        <v>1998.25</v>
      </c>
      <c r="G50" s="2820">
        <f>G51+G52</f>
        <v>196.31</v>
      </c>
      <c r="H50" s="2820">
        <f t="shared" ref="H50:K50" si="16">H51+H52</f>
        <v>0</v>
      </c>
      <c r="I50" s="2820">
        <f t="shared" si="16"/>
        <v>0</v>
      </c>
      <c r="J50" s="2820">
        <f t="shared" si="16"/>
        <v>0</v>
      </c>
      <c r="K50" s="2820">
        <f t="shared" si="16"/>
        <v>196.31</v>
      </c>
      <c r="L50" s="1102"/>
    </row>
    <row r="51" spans="1:12" ht="12" customHeight="1" x14ac:dyDescent="0.25">
      <c r="A51" s="2835" t="s">
        <v>94</v>
      </c>
      <c r="B51" s="2609" t="s">
        <v>90</v>
      </c>
      <c r="C51" s="2850" t="s">
        <v>22</v>
      </c>
      <c r="D51" s="2820">
        <f>'Д 7_РП'!E48</f>
        <v>1784.77</v>
      </c>
      <c r="E51" s="2820">
        <f>'Д 7_РП'!F48</f>
        <v>1945.76</v>
      </c>
      <c r="F51" s="2820">
        <v>1998.25</v>
      </c>
      <c r="G51" s="2820">
        <f>'Д 7_РП'!G50-'Д 7_РП'!G55</f>
        <v>196.31</v>
      </c>
      <c r="H51" s="2821">
        <f>H48-H56</f>
        <v>0</v>
      </c>
      <c r="I51" s="2821">
        <f t="shared" ref="I51:K51" si="17">I48-I56</f>
        <v>0</v>
      </c>
      <c r="J51" s="2821">
        <f t="shared" si="17"/>
        <v>0</v>
      </c>
      <c r="K51" s="2821">
        <f t="shared" si="17"/>
        <v>196.31</v>
      </c>
      <c r="L51" s="1102"/>
    </row>
    <row r="52" spans="1:12" ht="24" x14ac:dyDescent="0.25">
      <c r="A52" s="2835" t="s">
        <v>95</v>
      </c>
      <c r="B52" s="2988" t="s">
        <v>567</v>
      </c>
      <c r="C52" s="2850" t="s">
        <v>22</v>
      </c>
      <c r="D52" s="2820">
        <v>0</v>
      </c>
      <c r="E52" s="2820">
        <v>0</v>
      </c>
      <c r="F52" s="2821">
        <v>0</v>
      </c>
      <c r="G52" s="2821">
        <v>0</v>
      </c>
      <c r="H52" s="2821">
        <v>0</v>
      </c>
      <c r="I52" s="2821">
        <v>0</v>
      </c>
      <c r="J52" s="2821">
        <v>0</v>
      </c>
      <c r="K52" s="2821">
        <v>0</v>
      </c>
      <c r="L52" s="1102"/>
    </row>
    <row r="53" spans="1:12" ht="24" x14ac:dyDescent="0.25">
      <c r="A53" s="2835" t="s">
        <v>198</v>
      </c>
      <c r="B53" s="2609" t="s">
        <v>568</v>
      </c>
      <c r="C53" s="2850" t="s">
        <v>22</v>
      </c>
      <c r="D53" s="2820">
        <f>D54+D55+D56</f>
        <v>9585.7199999999993</v>
      </c>
      <c r="E53" s="2820">
        <f>E54+E55+E56</f>
        <v>8853.31</v>
      </c>
      <c r="F53" s="2820">
        <f>F54+F55+F56</f>
        <v>18802.03</v>
      </c>
      <c r="G53" s="2820">
        <f>G54+G55+G56</f>
        <v>1198.73</v>
      </c>
      <c r="H53" s="2820">
        <f t="shared" ref="H53:K53" si="18">H54+H55+H56</f>
        <v>0</v>
      </c>
      <c r="I53" s="2820">
        <f t="shared" si="18"/>
        <v>0</v>
      </c>
      <c r="J53" s="2820">
        <f t="shared" si="18"/>
        <v>0</v>
      </c>
      <c r="K53" s="2820">
        <f t="shared" si="18"/>
        <v>1198.73</v>
      </c>
      <c r="L53" s="1102"/>
    </row>
    <row r="54" spans="1:12" x14ac:dyDescent="0.25">
      <c r="A54" s="2835" t="s">
        <v>245</v>
      </c>
      <c r="B54" s="2609" t="s">
        <v>247</v>
      </c>
      <c r="C54" s="2850" t="s">
        <v>22</v>
      </c>
      <c r="D54" s="2820">
        <f>'Д 7_РП'!E72</f>
        <v>0</v>
      </c>
      <c r="E54" s="2820">
        <f>'Д 7_РП'!F72</f>
        <v>0</v>
      </c>
      <c r="F54" s="2820">
        <v>178.49</v>
      </c>
      <c r="G54" s="2820">
        <f>'Д 7_РП'!G72</f>
        <v>0</v>
      </c>
      <c r="H54" s="2851">
        <v>0</v>
      </c>
      <c r="I54" s="2851">
        <v>0</v>
      </c>
      <c r="J54" s="2851">
        <v>0</v>
      </c>
      <c r="K54" s="2821">
        <f>G54</f>
        <v>0</v>
      </c>
    </row>
    <row r="55" spans="1:12" x14ac:dyDescent="0.25">
      <c r="A55" s="2835" t="s">
        <v>246</v>
      </c>
      <c r="B55" s="2609" t="s">
        <v>96</v>
      </c>
      <c r="C55" s="2850" t="s">
        <v>22</v>
      </c>
      <c r="D55" s="2820">
        <v>0</v>
      </c>
      <c r="E55" s="2820">
        <v>0</v>
      </c>
      <c r="F55" s="2821">
        <v>0</v>
      </c>
      <c r="G55" s="2821">
        <v>0</v>
      </c>
      <c r="H55" s="2821">
        <v>0</v>
      </c>
      <c r="I55" s="2821">
        <v>0</v>
      </c>
      <c r="J55" s="2821">
        <v>0</v>
      </c>
      <c r="K55" s="2821">
        <v>0</v>
      </c>
    </row>
    <row r="56" spans="1:12" ht="24" customHeight="1" x14ac:dyDescent="0.25">
      <c r="A56" s="2835" t="s">
        <v>569</v>
      </c>
      <c r="B56" s="2609" t="s">
        <v>248</v>
      </c>
      <c r="C56" s="2850" t="s">
        <v>22</v>
      </c>
      <c r="D56" s="2820">
        <f>D57+D58+D59+D60</f>
        <v>9585.7199999999993</v>
      </c>
      <c r="E56" s="2820">
        <f>E57+E58+E59+E60</f>
        <v>8853.31</v>
      </c>
      <c r="F56" s="2820">
        <f>F57+F58+F59+F60</f>
        <v>18623.54</v>
      </c>
      <c r="G56" s="2820">
        <f>G57+G58+G59+G60</f>
        <v>1198.73</v>
      </c>
      <c r="H56" s="2821">
        <f>G57</f>
        <v>0</v>
      </c>
      <c r="I56" s="2821">
        <f>G58</f>
        <v>0</v>
      </c>
      <c r="J56" s="2821">
        <f>G59</f>
        <v>0</v>
      </c>
      <c r="K56" s="2821">
        <f>G60</f>
        <v>1198.73</v>
      </c>
    </row>
    <row r="57" spans="1:12" ht="12" hidden="1" customHeight="1" x14ac:dyDescent="0.25">
      <c r="A57" s="2835" t="s">
        <v>570</v>
      </c>
      <c r="B57" s="2609" t="s">
        <v>3</v>
      </c>
      <c r="C57" s="2850" t="s">
        <v>22</v>
      </c>
      <c r="D57" s="2820">
        <f>'Д 7_РП'!$E$75</f>
        <v>0</v>
      </c>
      <c r="E57" s="2820">
        <f>'Д 7_РП'!$F$75</f>
        <v>0</v>
      </c>
      <c r="F57" s="2820">
        <v>15403.75</v>
      </c>
      <c r="G57" s="2820">
        <f>'Д 7_РП'!G77</f>
        <v>0</v>
      </c>
      <c r="H57" s="2241" t="s">
        <v>3111</v>
      </c>
      <c r="I57" s="2241" t="s">
        <v>3111</v>
      </c>
      <c r="J57" s="2241" t="s">
        <v>3111</v>
      </c>
      <c r="K57" s="2241" t="s">
        <v>3111</v>
      </c>
    </row>
    <row r="58" spans="1:12" ht="12" hidden="1" customHeight="1" x14ac:dyDescent="0.25">
      <c r="A58" s="2835" t="s">
        <v>571</v>
      </c>
      <c r="B58" s="2609" t="s">
        <v>173</v>
      </c>
      <c r="C58" s="2850" t="s">
        <v>22</v>
      </c>
      <c r="D58" s="2820">
        <f>'Д 7_РП'!$E$83</f>
        <v>0</v>
      </c>
      <c r="E58" s="2820">
        <f>'Д 7_РП'!$F$83</f>
        <v>0</v>
      </c>
      <c r="F58" s="2820">
        <v>0</v>
      </c>
      <c r="G58" s="2820">
        <f>'Д 7_РП'!G85</f>
        <v>0</v>
      </c>
      <c r="H58" s="2241" t="s">
        <v>3111</v>
      </c>
      <c r="I58" s="2241" t="s">
        <v>3111</v>
      </c>
      <c r="J58" s="2241" t="s">
        <v>3111</v>
      </c>
      <c r="K58" s="2241" t="s">
        <v>3111</v>
      </c>
    </row>
    <row r="59" spans="1:12" hidden="1" x14ac:dyDescent="0.25">
      <c r="A59" s="2835" t="s">
        <v>572</v>
      </c>
      <c r="B59" s="2609" t="s">
        <v>98</v>
      </c>
      <c r="C59" s="2850" t="s">
        <v>22</v>
      </c>
      <c r="D59" s="2820">
        <f>'Д 7_РП'!$E$87</f>
        <v>0</v>
      </c>
      <c r="E59" s="2820">
        <f>'Д 7_РП'!$F$87</f>
        <v>198.47</v>
      </c>
      <c r="F59" s="2820">
        <v>2122.2199999999998</v>
      </c>
      <c r="G59" s="2820">
        <f>'Д 7_РП'!G89</f>
        <v>0</v>
      </c>
      <c r="H59" s="2241" t="s">
        <v>3111</v>
      </c>
      <c r="I59" s="2241" t="s">
        <v>3111</v>
      </c>
      <c r="J59" s="2241" t="s">
        <v>3111</v>
      </c>
      <c r="K59" s="2241" t="s">
        <v>3111</v>
      </c>
    </row>
    <row r="60" spans="1:12" ht="12" hidden="1" customHeight="1" x14ac:dyDescent="0.25">
      <c r="A60" s="2835" t="s">
        <v>573</v>
      </c>
      <c r="B60" s="2609" t="s">
        <v>110</v>
      </c>
      <c r="C60" s="2850" t="s">
        <v>22</v>
      </c>
      <c r="D60" s="2820">
        <f>'Д 7_РП'!$E$91</f>
        <v>9585.7199999999993</v>
      </c>
      <c r="E60" s="2820">
        <f>'Д 7_РП'!$F$91</f>
        <v>8654.84</v>
      </c>
      <c r="F60" s="2820">
        <v>1097.57</v>
      </c>
      <c r="G60" s="2820">
        <f>'Д 7_РП'!G93</f>
        <v>1198.73</v>
      </c>
      <c r="H60" s="2241" t="s">
        <v>3111</v>
      </c>
      <c r="I60" s="2241" t="s">
        <v>3111</v>
      </c>
      <c r="J60" s="2241" t="s">
        <v>3111</v>
      </c>
      <c r="K60" s="2241" t="s">
        <v>3111</v>
      </c>
    </row>
    <row r="61" spans="1:12" ht="25.9" customHeight="1" x14ac:dyDescent="0.25">
      <c r="A61" s="2843" t="s">
        <v>199</v>
      </c>
      <c r="B61" s="2993" t="s">
        <v>574</v>
      </c>
      <c r="C61" s="2241" t="s">
        <v>22</v>
      </c>
      <c r="D61" s="2820">
        <v>0</v>
      </c>
      <c r="E61" s="2820">
        <v>0</v>
      </c>
      <c r="F61" s="2820">
        <v>0</v>
      </c>
      <c r="G61" s="2820">
        <v>0</v>
      </c>
      <c r="H61" s="2820">
        <v>0</v>
      </c>
      <c r="I61" s="2820">
        <v>0</v>
      </c>
      <c r="J61" s="2820">
        <v>0</v>
      </c>
      <c r="K61" s="2820">
        <v>0</v>
      </c>
      <c r="L61" s="1102"/>
    </row>
    <row r="62" spans="1:12" ht="24" x14ac:dyDescent="0.25">
      <c r="A62" s="2843" t="s">
        <v>200</v>
      </c>
      <c r="B62" s="2990" t="s">
        <v>575</v>
      </c>
      <c r="C62" s="2241" t="s">
        <v>74</v>
      </c>
      <c r="D62" s="2820">
        <v>0</v>
      </c>
      <c r="E62" s="2820">
        <v>0</v>
      </c>
      <c r="F62" s="2820">
        <v>0</v>
      </c>
      <c r="G62" s="2820">
        <v>0</v>
      </c>
      <c r="H62" s="2820">
        <v>0</v>
      </c>
      <c r="I62" s="2820">
        <v>0</v>
      </c>
      <c r="J62" s="2820">
        <v>0</v>
      </c>
      <c r="K62" s="2820">
        <v>0</v>
      </c>
      <c r="L62" s="1102"/>
    </row>
    <row r="63" spans="1:12" hidden="1" x14ac:dyDescent="0.25">
      <c r="A63" s="2853"/>
      <c r="B63" s="2854"/>
      <c r="C63" s="2855"/>
      <c r="D63" s="2856"/>
      <c r="E63" s="2856"/>
      <c r="F63" s="2856"/>
      <c r="G63" s="2856"/>
      <c r="H63" s="2856"/>
      <c r="I63" s="2856"/>
      <c r="J63" s="2856"/>
      <c r="K63" s="2856"/>
    </row>
    <row r="64" spans="1:12" s="2463" customFormat="1" ht="11.25" x14ac:dyDescent="0.2">
      <c r="A64" s="2994" t="s">
        <v>79</v>
      </c>
      <c r="B64" s="2995"/>
      <c r="C64" s="2995"/>
      <c r="D64" s="2995"/>
      <c r="E64" s="2995"/>
      <c r="F64" s="2995"/>
      <c r="G64" s="2995"/>
      <c r="H64" s="2995"/>
      <c r="I64" s="2995"/>
      <c r="J64" s="2995"/>
      <c r="K64" s="2995"/>
    </row>
    <row r="65" spans="1:27" s="2463" customFormat="1" ht="11.25" x14ac:dyDescent="0.2">
      <c r="A65" s="2994"/>
      <c r="B65" s="2995"/>
      <c r="C65" s="2995"/>
      <c r="D65" s="2995"/>
      <c r="E65" s="2995"/>
      <c r="F65" s="2995"/>
      <c r="G65" s="2995"/>
      <c r="H65" s="2995"/>
      <c r="I65" s="2995"/>
      <c r="J65" s="2995"/>
      <c r="K65" s="2995"/>
    </row>
    <row r="66" spans="1:27" s="144" customFormat="1" ht="12" customHeight="1" x14ac:dyDescent="0.25">
      <c r="A66" s="2858"/>
      <c r="B66" s="2859"/>
      <c r="C66" s="2859"/>
      <c r="D66" s="2859"/>
      <c r="E66" s="2859"/>
      <c r="F66" s="2859"/>
      <c r="G66" s="2859"/>
      <c r="H66" s="2859"/>
      <c r="I66" s="2859"/>
      <c r="J66" s="2859"/>
      <c r="K66" s="2859"/>
      <c r="L66" s="1099"/>
      <c r="M66" s="1099"/>
      <c r="N66" s="1099"/>
      <c r="O66" s="1099"/>
      <c r="P66" s="1099"/>
      <c r="Q66" s="1099"/>
      <c r="R66" s="1099"/>
      <c r="S66" s="1099"/>
      <c r="T66" s="1099"/>
      <c r="U66" s="1099"/>
      <c r="V66" s="1099"/>
      <c r="W66" s="1099"/>
      <c r="X66" s="1099"/>
      <c r="Y66" s="1099"/>
      <c r="Z66" s="1099"/>
      <c r="AA66" s="1099"/>
    </row>
    <row r="67" spans="1:27" s="144" customFormat="1" ht="13.15" customHeight="1" x14ac:dyDescent="0.25">
      <c r="A67" s="2858"/>
      <c r="B67" s="2822" t="str">
        <f>'Вхідні дані'!B13</f>
        <v>Начальник Адміністрації морського порту Чорноморськ</v>
      </c>
      <c r="C67" s="3720" t="s">
        <v>249</v>
      </c>
      <c r="D67" s="3721"/>
      <c r="E67" s="2859"/>
      <c r="F67" s="2859"/>
      <c r="G67" s="2859"/>
      <c r="H67" s="3722" t="str">
        <f>'Вхідні дані'!F13</f>
        <v>Максим ШИРОКОВ</v>
      </c>
      <c r="I67" s="3722"/>
      <c r="J67" s="3722"/>
      <c r="K67" s="2859"/>
      <c r="L67" s="1099"/>
      <c r="M67" s="1099"/>
      <c r="N67" s="1099"/>
      <c r="O67" s="1099"/>
      <c r="P67" s="1099"/>
      <c r="Q67" s="1099"/>
      <c r="R67" s="1099"/>
      <c r="S67" s="1099"/>
      <c r="T67" s="1099"/>
      <c r="U67" s="1099"/>
      <c r="V67" s="1099"/>
      <c r="W67" s="1099"/>
      <c r="X67" s="1099"/>
      <c r="Y67" s="1099"/>
      <c r="Z67" s="1099"/>
      <c r="AA67" s="1099"/>
    </row>
    <row r="68" spans="1:27" s="144" customFormat="1" ht="25.5" customHeight="1" x14ac:dyDescent="0.25">
      <c r="A68" s="2858"/>
      <c r="B68" s="2930" t="s">
        <v>241</v>
      </c>
      <c r="C68" s="3718" t="s">
        <v>219</v>
      </c>
      <c r="D68" s="3719"/>
      <c r="E68" s="2930"/>
      <c r="F68" s="2859"/>
      <c r="G68" s="2859"/>
      <c r="H68" s="3718" t="s">
        <v>239</v>
      </c>
      <c r="I68" s="3718"/>
      <c r="J68" s="3718"/>
      <c r="K68" s="2859"/>
      <c r="L68" s="1099"/>
      <c r="M68" s="1099"/>
      <c r="N68" s="1099"/>
      <c r="O68" s="1099"/>
      <c r="P68" s="1099"/>
      <c r="Q68" s="1099"/>
      <c r="R68" s="1099"/>
      <c r="S68" s="1099"/>
      <c r="T68" s="1099"/>
      <c r="U68" s="1099"/>
      <c r="V68" s="1099"/>
      <c r="W68" s="1099"/>
      <c r="X68" s="1099"/>
      <c r="Y68" s="1099"/>
      <c r="Z68" s="1099"/>
      <c r="AA68" s="1099"/>
    </row>
    <row r="69" spans="1:27" s="144" customFormat="1" x14ac:dyDescent="0.25">
      <c r="A69" s="2858"/>
      <c r="B69" s="3003" t="s">
        <v>2197</v>
      </c>
      <c r="C69" s="3003"/>
      <c r="D69" s="3003"/>
      <c r="E69" s="3003"/>
      <c r="F69" s="3003"/>
      <c r="G69" s="3003"/>
      <c r="H69" s="3003"/>
      <c r="I69" s="3003"/>
      <c r="J69" s="2859"/>
      <c r="K69" s="2859"/>
      <c r="L69" s="1099"/>
      <c r="M69" s="1099"/>
      <c r="N69" s="1099"/>
      <c r="O69" s="1099"/>
      <c r="P69" s="1099"/>
      <c r="Q69" s="1099"/>
      <c r="R69" s="1099"/>
      <c r="S69" s="1099"/>
      <c r="T69" s="1099"/>
      <c r="U69" s="1099"/>
      <c r="V69" s="1099"/>
      <c r="W69" s="1099"/>
      <c r="X69" s="1099"/>
      <c r="Y69" s="1099"/>
      <c r="Z69" s="1099"/>
      <c r="AA69" s="1099"/>
    </row>
    <row r="73" spans="1:27" x14ac:dyDescent="0.25">
      <c r="D73" s="1105"/>
      <c r="E73" s="1105"/>
      <c r="F73" s="1105"/>
      <c r="G73" s="1105"/>
    </row>
    <row r="75" spans="1:27" x14ac:dyDescent="0.25">
      <c r="D75" s="1106"/>
      <c r="E75" s="1106"/>
      <c r="F75" s="1106"/>
      <c r="G75" s="1106"/>
    </row>
    <row r="76" spans="1:27" x14ac:dyDescent="0.25">
      <c r="D76" s="1105"/>
      <c r="E76" s="1105"/>
      <c r="F76" s="1105"/>
      <c r="G76" s="1105"/>
      <c r="H76" s="1105"/>
      <c r="I76" s="1105"/>
      <c r="J76" s="1105"/>
      <c r="K76" s="1105"/>
    </row>
    <row r="77" spans="1:27" x14ac:dyDescent="0.25">
      <c r="D77" s="1106"/>
      <c r="E77" s="1106"/>
      <c r="F77" s="1106"/>
    </row>
  </sheetData>
  <mergeCells count="15">
    <mergeCell ref="C68:D68"/>
    <mergeCell ref="C67:D67"/>
    <mergeCell ref="H67:J67"/>
    <mergeCell ref="B5:F5"/>
    <mergeCell ref="H68:J68"/>
    <mergeCell ref="H7:K7"/>
    <mergeCell ref="A4:K4"/>
    <mergeCell ref="A6:K6"/>
    <mergeCell ref="H1:K1"/>
    <mergeCell ref="A3:K3"/>
    <mergeCell ref="A7:A9"/>
    <mergeCell ref="B7:B9"/>
    <mergeCell ref="C7:C9"/>
    <mergeCell ref="D7:F7"/>
    <mergeCell ref="G7:G8"/>
  </mergeCells>
  <conditionalFormatting sqref="B1:B2">
    <cfRule type="containsText" dxfId="45" priority="1" operator="containsText" text="Для корек">
      <formula>NOT(ISERROR(SEARCH("Для корек",B1)))</formula>
    </cfRule>
  </conditionalFormatting>
  <pageMargins left="0.43307086614173229" right="0.27559055118110237" top="0.59055118110236227" bottom="0.23622047244094491" header="0.62992125984251968" footer="0.31496062992125984"/>
  <pageSetup paperSize="9" scale="98" fitToHeight="0" orientation="landscape" r:id="rId1"/>
  <headerFooter differentFirst="1">
    <oddHeader>&amp;Rпродовження додатку 3</oddHeader>
  </headerFooter>
  <rowBreaks count="1" manualBreakCount="1">
    <brk id="33"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249977111117893"/>
  </sheetPr>
  <dimension ref="A1:P41"/>
  <sheetViews>
    <sheetView topLeftCell="A16" workbookViewId="0">
      <selection activeCell="J24" sqref="J24"/>
    </sheetView>
  </sheetViews>
  <sheetFormatPr defaultColWidth="8.85546875" defaultRowHeight="15" x14ac:dyDescent="0.25"/>
  <cols>
    <col min="1" max="1" width="6.7109375" customWidth="1"/>
    <col min="2" max="2" width="33.7109375" customWidth="1"/>
    <col min="4" max="10" width="11.7109375" customWidth="1"/>
    <col min="11" max="11" width="13.7109375" customWidth="1"/>
    <col min="13" max="13" width="10" customWidth="1"/>
    <col min="14" max="14" width="10.42578125" customWidth="1"/>
  </cols>
  <sheetData>
    <row r="1" spans="1:16" ht="15.75" x14ac:dyDescent="0.25">
      <c r="A1" s="4330" t="s">
        <v>2672</v>
      </c>
      <c r="B1" s="4330"/>
      <c r="C1" s="4330"/>
      <c r="D1" s="4330"/>
      <c r="E1" s="4330"/>
      <c r="F1" s="4330"/>
      <c r="G1" s="4330"/>
      <c r="H1" s="4330"/>
      <c r="I1" s="4330"/>
      <c r="J1" s="4330"/>
      <c r="K1" s="4330"/>
    </row>
    <row r="2" spans="1:16" ht="16.5" thickBot="1" x14ac:dyDescent="0.3">
      <c r="J2" s="1868"/>
      <c r="K2" s="2047" t="s">
        <v>992</v>
      </c>
    </row>
    <row r="3" spans="1:16" s="1892" customFormat="1" ht="15.6" customHeight="1" x14ac:dyDescent="0.25">
      <c r="A3" s="4331" t="s">
        <v>2141</v>
      </c>
      <c r="B3" s="4334" t="s">
        <v>8</v>
      </c>
      <c r="C3" s="4337" t="s">
        <v>2142</v>
      </c>
      <c r="D3" s="4340" t="s">
        <v>2673</v>
      </c>
      <c r="E3" s="4334" t="s">
        <v>2250</v>
      </c>
      <c r="F3" s="4334">
        <v>2315</v>
      </c>
      <c r="G3" s="4334">
        <v>2316</v>
      </c>
      <c r="H3" s="4334" t="s">
        <v>3056</v>
      </c>
      <c r="I3" s="4343" t="s">
        <v>2674</v>
      </c>
      <c r="J3" s="4346" t="s">
        <v>2675</v>
      </c>
      <c r="K3" s="4346" t="s">
        <v>2368</v>
      </c>
    </row>
    <row r="4" spans="1:16" s="1892" customFormat="1" x14ac:dyDescent="0.25">
      <c r="A4" s="4332"/>
      <c r="B4" s="4335"/>
      <c r="C4" s="4338"/>
      <c r="D4" s="4341"/>
      <c r="E4" s="4335"/>
      <c r="F4" s="4335"/>
      <c r="G4" s="4335"/>
      <c r="H4" s="4335"/>
      <c r="I4" s="4344"/>
      <c r="J4" s="4347"/>
      <c r="K4" s="4347"/>
    </row>
    <row r="5" spans="1:16" s="1892" customFormat="1" x14ac:dyDescent="0.25">
      <c r="A5" s="4332"/>
      <c r="B5" s="4335"/>
      <c r="C5" s="4338"/>
      <c r="D5" s="4341"/>
      <c r="E5" s="4335"/>
      <c r="F5" s="4335"/>
      <c r="G5" s="4335"/>
      <c r="H5" s="4335"/>
      <c r="I5" s="4344"/>
      <c r="J5" s="4347"/>
      <c r="K5" s="4347"/>
    </row>
    <row r="6" spans="1:16" s="1892" customFormat="1" ht="15.75" thickBot="1" x14ac:dyDescent="0.3">
      <c r="A6" s="4333"/>
      <c r="B6" s="4336"/>
      <c r="C6" s="4339"/>
      <c r="D6" s="4342"/>
      <c r="E6" s="4336"/>
      <c r="F6" s="4336"/>
      <c r="G6" s="4336"/>
      <c r="H6" s="4336"/>
      <c r="I6" s="4345"/>
      <c r="J6" s="4348"/>
      <c r="K6" s="4348"/>
    </row>
    <row r="7" spans="1:16" s="1892" customFormat="1" ht="15.75" thickBot="1" x14ac:dyDescent="0.3">
      <c r="A7" s="2068">
        <v>1</v>
      </c>
      <c r="B7" s="2069">
        <f>A7+1</f>
        <v>2</v>
      </c>
      <c r="C7" s="2070">
        <f t="shared" ref="C7:K7" si="0">B7+1</f>
        <v>3</v>
      </c>
      <c r="D7" s="2070">
        <f t="shared" si="0"/>
        <v>4</v>
      </c>
      <c r="E7" s="2070">
        <f t="shared" si="0"/>
        <v>5</v>
      </c>
      <c r="F7" s="2070"/>
      <c r="G7" s="2070"/>
      <c r="H7" s="2070"/>
      <c r="I7" s="2070">
        <f>E7+1</f>
        <v>6</v>
      </c>
      <c r="J7" s="2070">
        <f t="shared" si="0"/>
        <v>7</v>
      </c>
      <c r="K7" s="2071">
        <f t="shared" si="0"/>
        <v>8</v>
      </c>
    </row>
    <row r="8" spans="1:16" ht="31.5" x14ac:dyDescent="0.25">
      <c r="A8" s="2073">
        <v>1</v>
      </c>
      <c r="B8" s="2074" t="s">
        <v>2147</v>
      </c>
      <c r="C8" s="2075" t="s">
        <v>2148</v>
      </c>
      <c r="D8" s="2076">
        <f t="shared" ref="D8:I8" si="1">D9+D10+D11+D15</f>
        <v>1387.22</v>
      </c>
      <c r="E8" s="2076">
        <f t="shared" si="1"/>
        <v>3153.84</v>
      </c>
      <c r="F8" s="2076"/>
      <c r="G8" s="2076"/>
      <c r="H8" s="2076"/>
      <c r="I8" s="2076">
        <f t="shared" si="1"/>
        <v>5259.61</v>
      </c>
      <c r="J8" s="2076">
        <f>J9+J10+J11+J15</f>
        <v>869.59</v>
      </c>
      <c r="K8" s="2077">
        <f>K9+K10+K11+K15</f>
        <v>3.85</v>
      </c>
    </row>
    <row r="9" spans="1:16" ht="31.5" x14ac:dyDescent="0.25">
      <c r="A9" s="2048" t="s">
        <v>23</v>
      </c>
      <c r="B9" s="1785" t="s">
        <v>103</v>
      </c>
      <c r="C9" s="2049" t="s">
        <v>40</v>
      </c>
      <c r="D9" s="1866">
        <f>[53]ВКО!D6+[53]АО!D6</f>
        <v>114.3</v>
      </c>
      <c r="E9" s="1866">
        <f>[53]ВКО!E6+[53]АО!E6</f>
        <v>163.71</v>
      </c>
      <c r="F9" s="1866"/>
      <c r="G9" s="1866"/>
      <c r="H9" s="1866"/>
      <c r="I9" s="1866">
        <f>[53]ВКО!F6+[53]АО!F6</f>
        <v>129.63</v>
      </c>
      <c r="J9" s="1866">
        <f>[53]ВКО!G6+[53]АО!G6</f>
        <v>153.09</v>
      </c>
      <c r="K9" s="2078">
        <f>J9/$J$33/12*1000</f>
        <v>0.68</v>
      </c>
    </row>
    <row r="10" spans="1:16" ht="31.5" x14ac:dyDescent="0.25">
      <c r="A10" s="2048" t="s">
        <v>24</v>
      </c>
      <c r="B10" s="1785" t="s">
        <v>47</v>
      </c>
      <c r="C10" s="2049" t="s">
        <v>40</v>
      </c>
      <c r="D10" s="2051">
        <f>[53]ВКО!D14+[53]АО!D17</f>
        <v>861.74</v>
      </c>
      <c r="E10" s="2051">
        <f>[53]ВКО!E14+[53]АО!E17</f>
        <v>2000.33</v>
      </c>
      <c r="F10" s="2051"/>
      <c r="G10" s="2051"/>
      <c r="H10" s="2051"/>
      <c r="I10" s="2051">
        <f>[53]ВКО!F14+[53]АО!F17</f>
        <v>3079.59</v>
      </c>
      <c r="J10" s="2051">
        <f>ФОП!H29/1000+ФОП!H39/1000</f>
        <v>0</v>
      </c>
      <c r="K10" s="2078">
        <f>J10/$J$33/12*1000</f>
        <v>0</v>
      </c>
    </row>
    <row r="11" spans="1:16" ht="31.5" x14ac:dyDescent="0.25">
      <c r="A11" s="2048" t="s">
        <v>48</v>
      </c>
      <c r="B11" s="1785" t="s">
        <v>2152</v>
      </c>
      <c r="C11" s="2049" t="s">
        <v>40</v>
      </c>
      <c r="D11" s="2050">
        <f t="shared" ref="D11:I11" si="2">SUM(D12:D14)</f>
        <v>411.18</v>
      </c>
      <c r="E11" s="2050">
        <f t="shared" si="2"/>
        <v>989.8</v>
      </c>
      <c r="F11" s="2050"/>
      <c r="G11" s="2050"/>
      <c r="H11" s="2050"/>
      <c r="I11" s="2050">
        <f t="shared" si="2"/>
        <v>2050.39</v>
      </c>
      <c r="J11" s="2050">
        <f>SUM(J12:J14)</f>
        <v>716.5</v>
      </c>
      <c r="K11" s="2079">
        <f>SUM(K12:K14)</f>
        <v>3.17</v>
      </c>
    </row>
    <row r="12" spans="1:16" ht="15.75" x14ac:dyDescent="0.25">
      <c r="A12" s="2052" t="s">
        <v>49</v>
      </c>
      <c r="B12" s="1786" t="s">
        <v>2153</v>
      </c>
      <c r="C12" s="2053" t="s">
        <v>40</v>
      </c>
      <c r="D12" s="2051">
        <f>[53]ВКО!D17+[53]АО!D20</f>
        <v>171.25</v>
      </c>
      <c r="E12" s="2051">
        <f>[53]ВКО!E17+[53]АО!E20</f>
        <v>405.33</v>
      </c>
      <c r="F12" s="2051"/>
      <c r="G12" s="2051"/>
      <c r="H12" s="2051"/>
      <c r="I12" s="2051">
        <f>[53]ВКО!F17+[53]АО!F20</f>
        <v>632.26</v>
      </c>
      <c r="J12" s="2051">
        <f>ФОП!H31/1000+ФОП!H41/1000</f>
        <v>0</v>
      </c>
      <c r="K12" s="2078">
        <f>J12/$J$33/12*1000</f>
        <v>0</v>
      </c>
    </row>
    <row r="13" spans="1:16" ht="15.75" x14ac:dyDescent="0.25">
      <c r="A13" s="2052" t="s">
        <v>50</v>
      </c>
      <c r="B13" s="1786" t="s">
        <v>2154</v>
      </c>
      <c r="C13" s="2053" t="s">
        <v>40</v>
      </c>
      <c r="D13" s="1866">
        <f>[53]ВКО!D18+[53]АО!D21</f>
        <v>5.24</v>
      </c>
      <c r="E13" s="1866">
        <f>[53]ВКО!E18+[53]АО!E21</f>
        <v>21.48</v>
      </c>
      <c r="F13" s="1866"/>
      <c r="G13" s="1866"/>
      <c r="H13" s="1866"/>
      <c r="I13" s="1866">
        <f>[53]ВКО!F18+[53]АО!F21</f>
        <v>16.66</v>
      </c>
      <c r="J13" s="1866">
        <f>[53]ВКО!G18+[53]АО!G21</f>
        <v>39.6</v>
      </c>
      <c r="K13" s="2078">
        <f>J13/$J$33/12*1000</f>
        <v>0.18</v>
      </c>
      <c r="N13" t="s">
        <v>2687</v>
      </c>
      <c r="O13" t="s">
        <v>2688</v>
      </c>
    </row>
    <row r="14" spans="1:16" ht="15.75" x14ac:dyDescent="0.25">
      <c r="A14" s="2052" t="s">
        <v>51</v>
      </c>
      <c r="B14" s="1786" t="s">
        <v>82</v>
      </c>
      <c r="C14" s="2053" t="s">
        <v>40</v>
      </c>
      <c r="D14" s="2051">
        <f>[53]ВКО!D5+[53]АО!D5-'[53]структура ВКО+АО'!D9-'[53]структура ВКО+АО'!D10-'[53]структура ВКО+АО'!D12-'[53]структура ВКО+АО'!D13</f>
        <v>234.69</v>
      </c>
      <c r="E14" s="2051">
        <f>[53]ВКО!E5+[53]АО!E5-'[53]структура ВКО+АО'!E9-'[53]структура ВКО+АО'!E10-'[53]структура ВКО+АО'!E12-'[53]структура ВКО+АО'!E13</f>
        <v>562.99</v>
      </c>
      <c r="F14" s="2051"/>
      <c r="G14" s="2051"/>
      <c r="H14" s="2051"/>
      <c r="I14" s="2051">
        <f>[53]ВКО!F5+[53]АО!F5-'[53]структура ВКО+АО'!F9-'[53]структура ВКО+АО'!F10-'[53]структура ВКО+АО'!F12-'[53]структура ВКО+АО'!F13</f>
        <v>1401.47</v>
      </c>
      <c r="J14" s="2051">
        <f>[53]ВКО!G5+[53]АО!G5-'[53]структура ВКО+АО'!G9-'[53]структура ВКО+АО'!G10-'[53]структура ВКО+АО'!G12-'[53]структура ВКО+АО'!G13</f>
        <v>676.9</v>
      </c>
      <c r="K14" s="2078">
        <f>J14/$J$33/12*1000</f>
        <v>2.99</v>
      </c>
      <c r="M14">
        <v>704.6</v>
      </c>
      <c r="N14">
        <f>[53]банкам!$E$52</f>
        <v>429.256233333333</v>
      </c>
      <c r="O14" s="2061">
        <f>J12-N14</f>
        <v>-429.26</v>
      </c>
      <c r="P14" s="87">
        <f>O14-O15-O16-O17-O18-O19-O20</f>
        <v>-706.88</v>
      </c>
    </row>
    <row r="15" spans="1:16" ht="31.5" x14ac:dyDescent="0.25">
      <c r="A15" s="2048" t="s">
        <v>53</v>
      </c>
      <c r="B15" s="1785" t="s">
        <v>2676</v>
      </c>
      <c r="C15" s="2049" t="s">
        <v>40</v>
      </c>
      <c r="D15" s="2050">
        <f t="shared" ref="D15:I15" si="3">SUM(D16:D18)</f>
        <v>0</v>
      </c>
      <c r="E15" s="2050">
        <f t="shared" si="3"/>
        <v>0</v>
      </c>
      <c r="F15" s="2050"/>
      <c r="G15" s="2050"/>
      <c r="H15" s="2050"/>
      <c r="I15" s="2050">
        <f t="shared" si="3"/>
        <v>0</v>
      </c>
      <c r="J15" s="2050">
        <f>SUM(J16:J18)</f>
        <v>0</v>
      </c>
      <c r="K15" s="2079">
        <f>SUM(K16:K18)</f>
        <v>0</v>
      </c>
      <c r="M15">
        <v>880.88</v>
      </c>
      <c r="O15">
        <f>[53]повірка!$G$426/1000</f>
        <v>111.4991325</v>
      </c>
      <c r="P15" t="s">
        <v>2689</v>
      </c>
    </row>
    <row r="16" spans="1:16" ht="15.75" x14ac:dyDescent="0.25">
      <c r="A16" s="2052" t="s">
        <v>54</v>
      </c>
      <c r="B16" s="1786" t="s">
        <v>55</v>
      </c>
      <c r="C16" s="2053" t="s">
        <v>40</v>
      </c>
      <c r="D16" s="2053"/>
      <c r="E16" s="2053"/>
      <c r="F16" s="2053"/>
      <c r="G16" s="2053"/>
      <c r="H16" s="2053"/>
      <c r="I16" s="2053"/>
      <c r="J16" s="1866">
        <f>ЗВВ_1ст!L21+ЗВВ_1ст!M21</f>
        <v>0</v>
      </c>
      <c r="K16" s="2078">
        <f>J16/$J$33/12*1000</f>
        <v>0</v>
      </c>
      <c r="O16" s="87">
        <f>[53]ВКО!$G$29</f>
        <v>40.83</v>
      </c>
      <c r="P16" t="s">
        <v>941</v>
      </c>
    </row>
    <row r="17" spans="1:16" ht="15.75" x14ac:dyDescent="0.25">
      <c r="A17" s="2052" t="s">
        <v>56</v>
      </c>
      <c r="B17" s="1786" t="s">
        <v>2153</v>
      </c>
      <c r="C17" s="2053" t="s">
        <v>40</v>
      </c>
      <c r="D17" s="2053"/>
      <c r="E17" s="2053"/>
      <c r="F17" s="2053"/>
      <c r="G17" s="2053"/>
      <c r="H17" s="2053"/>
      <c r="I17" s="2053"/>
      <c r="J17" s="1866">
        <f>ЗВВ_1ст!M23+ЗВВ_1ст!L23</f>
        <v>0</v>
      </c>
      <c r="K17" s="2078">
        <f>J17/$J$33/12*1000</f>
        <v>0</v>
      </c>
      <c r="O17" s="87">
        <f>[53]АО!$G$40</f>
        <v>51</v>
      </c>
      <c r="P17" t="s">
        <v>2690</v>
      </c>
    </row>
    <row r="18" spans="1:16" ht="15.75" x14ac:dyDescent="0.25">
      <c r="A18" s="2052" t="s">
        <v>57</v>
      </c>
      <c r="B18" s="1786" t="s">
        <v>58</v>
      </c>
      <c r="C18" s="2053" t="s">
        <v>40</v>
      </c>
      <c r="D18" s="2053"/>
      <c r="E18" s="2053"/>
      <c r="F18" s="2053"/>
      <c r="G18" s="2053"/>
      <c r="H18" s="2053"/>
      <c r="I18" s="2053"/>
      <c r="J18" s="1866">
        <f>ЗВВ_1ст!L8+ЗВВ_1ст!M8-ЗВВ_1ст!L20-ЗВВ_1ст!M20</f>
        <v>0</v>
      </c>
      <c r="K18" s="2078">
        <f>J18/$J$33/12*1000</f>
        <v>0</v>
      </c>
      <c r="O18" s="87">
        <f>[53]АО!$G$21+[53]ВКО!$G$18</f>
        <v>39.6</v>
      </c>
      <c r="P18" t="s">
        <v>2691</v>
      </c>
    </row>
    <row r="19" spans="1:16" ht="17.45" customHeight="1" x14ac:dyDescent="0.25">
      <c r="A19" s="2048">
        <v>2</v>
      </c>
      <c r="B19" s="1785" t="s">
        <v>2156</v>
      </c>
      <c r="C19" s="2049" t="s">
        <v>40</v>
      </c>
      <c r="D19" s="2050">
        <f t="shared" ref="D19:I19" si="4">D20+D21+D22</f>
        <v>0</v>
      </c>
      <c r="E19" s="2050">
        <f t="shared" si="4"/>
        <v>0</v>
      </c>
      <c r="F19" s="2050"/>
      <c r="G19" s="2050"/>
      <c r="H19" s="2050"/>
      <c r="I19" s="2050">
        <f t="shared" si="4"/>
        <v>0</v>
      </c>
      <c r="J19" s="2050">
        <f>J20+J21+J22</f>
        <v>0</v>
      </c>
      <c r="K19" s="2079">
        <f>K20+K21+K22</f>
        <v>0</v>
      </c>
      <c r="L19" s="2061">
        <f>K19/K8</f>
        <v>0</v>
      </c>
      <c r="M19">
        <v>1042.57</v>
      </c>
      <c r="O19" s="2063">
        <f>'Зв''язок'!J60/1000+'Зв''язок'!K60/1000</f>
        <v>23.11</v>
      </c>
      <c r="P19" s="2064" t="s">
        <v>1332</v>
      </c>
    </row>
    <row r="20" spans="1:16" ht="15.75" x14ac:dyDescent="0.25">
      <c r="A20" s="2052" t="s">
        <v>25</v>
      </c>
      <c r="B20" s="1786" t="s">
        <v>55</v>
      </c>
      <c r="C20" s="2053" t="s">
        <v>40</v>
      </c>
      <c r="D20" s="2053"/>
      <c r="E20" s="2053"/>
      <c r="F20" s="2053"/>
      <c r="G20" s="2053"/>
      <c r="H20" s="2053"/>
      <c r="I20" s="2053"/>
      <c r="J20" s="1866">
        <f>Адміністративні_1ст!L21+Адміністративні_1ст!M21</f>
        <v>0</v>
      </c>
      <c r="K20" s="2078">
        <f>J20/$J$33/12*1000</f>
        <v>0</v>
      </c>
      <c r="O20" s="2062">
        <v>11.58</v>
      </c>
      <c r="P20" s="2064" t="s">
        <v>776</v>
      </c>
    </row>
    <row r="21" spans="1:16" ht="15.75" x14ac:dyDescent="0.25">
      <c r="A21" s="2052" t="s">
        <v>26</v>
      </c>
      <c r="B21" s="1786" t="s">
        <v>2153</v>
      </c>
      <c r="C21" s="2053" t="s">
        <v>40</v>
      </c>
      <c r="D21" s="2053"/>
      <c r="E21" s="2053"/>
      <c r="F21" s="2053"/>
      <c r="G21" s="2053"/>
      <c r="H21" s="2053"/>
      <c r="I21" s="2053"/>
      <c r="J21" s="1866">
        <f>Адміністративні_1ст!L23+Адміністративні_1ст!M23</f>
        <v>0</v>
      </c>
      <c r="K21" s="2078">
        <f>J21/$J$33/12*1000</f>
        <v>0</v>
      </c>
    </row>
    <row r="22" spans="1:16" ht="15.75" x14ac:dyDescent="0.25">
      <c r="A22" s="2052" t="s">
        <v>59</v>
      </c>
      <c r="B22" s="1786" t="s">
        <v>58</v>
      </c>
      <c r="C22" s="2053" t="s">
        <v>40</v>
      </c>
      <c r="D22" s="2053"/>
      <c r="E22" s="2053"/>
      <c r="F22" s="2053"/>
      <c r="G22" s="2053"/>
      <c r="H22" s="2053"/>
      <c r="I22" s="2053"/>
      <c r="J22" s="1866">
        <f>Адміністративні_1ст!L8+Адміністративні_1ст!M8-Адміністративні_1ст!L20-Адміністративні_1ст!M20</f>
        <v>0</v>
      </c>
      <c r="K22" s="2078">
        <f>J22/$J$33/12*1000</f>
        <v>0</v>
      </c>
    </row>
    <row r="23" spans="1:16" ht="31.5" x14ac:dyDescent="0.25">
      <c r="A23" s="2048" t="s">
        <v>180</v>
      </c>
      <c r="B23" s="1785" t="s">
        <v>2370</v>
      </c>
      <c r="C23" s="2049" t="s">
        <v>40</v>
      </c>
      <c r="D23" s="2049"/>
      <c r="E23" s="2049"/>
      <c r="F23" s="2049"/>
      <c r="G23" s="2049"/>
      <c r="H23" s="2049"/>
      <c r="I23" s="2049"/>
      <c r="J23" s="2050">
        <v>0</v>
      </c>
      <c r="K23" s="2079">
        <f>J23/$J$33/12*1000</f>
        <v>0</v>
      </c>
      <c r="M23">
        <v>3.52</v>
      </c>
      <c r="N23" s="2061">
        <f>M23-M37</f>
        <v>37.380000000000003</v>
      </c>
      <c r="O23">
        <f>N23/1.2*J33/1000</f>
        <v>587.20865000000003</v>
      </c>
    </row>
    <row r="24" spans="1:16" ht="15.75" x14ac:dyDescent="0.25">
      <c r="A24" s="2052" t="s">
        <v>181</v>
      </c>
      <c r="B24" s="1786" t="s">
        <v>2692</v>
      </c>
      <c r="C24" s="2053" t="s">
        <v>40</v>
      </c>
      <c r="D24" s="2053"/>
      <c r="E24" s="2053"/>
      <c r="F24" s="2053"/>
      <c r="G24" s="2053"/>
      <c r="H24" s="2053"/>
      <c r="I24" s="2053"/>
      <c r="J24" s="2065">
        <v>-619</v>
      </c>
      <c r="K24" s="2078">
        <f t="shared" ref="K24" si="5">J24/$J$33/12*1000</f>
        <v>-2.74</v>
      </c>
    </row>
    <row r="25" spans="1:16" ht="31.5" x14ac:dyDescent="0.25">
      <c r="A25" s="2048" t="s">
        <v>176</v>
      </c>
      <c r="B25" s="1785" t="s">
        <v>2371</v>
      </c>
      <c r="C25" s="2049" t="s">
        <v>40</v>
      </c>
      <c r="D25" s="2049"/>
      <c r="E25" s="2049"/>
      <c r="F25" s="2049"/>
      <c r="G25" s="2049"/>
      <c r="H25" s="2049"/>
      <c r="I25" s="2049"/>
      <c r="J25" s="2050">
        <f>J8+J19+J23+J24</f>
        <v>250.59</v>
      </c>
      <c r="K25" s="2079">
        <f>K8+K19+K23+K24</f>
        <v>1.1100000000000001</v>
      </c>
    </row>
    <row r="26" spans="1:16" ht="31.5" x14ac:dyDescent="0.25">
      <c r="A26" s="2048" t="s">
        <v>177</v>
      </c>
      <c r="B26" s="1785" t="s">
        <v>2372</v>
      </c>
      <c r="C26" s="2049" t="s">
        <v>40</v>
      </c>
      <c r="D26" s="2049"/>
      <c r="E26" s="2049"/>
      <c r="F26" s="2049"/>
      <c r="G26" s="2049"/>
      <c r="H26" s="2049"/>
      <c r="I26" s="2049"/>
      <c r="J26" s="2050">
        <f>J27+J28+J29+J30+J31</f>
        <v>0</v>
      </c>
      <c r="K26" s="2079">
        <f>K27+K28+K29+K30+K31</f>
        <v>0</v>
      </c>
    </row>
    <row r="27" spans="1:16" ht="15.75" x14ac:dyDescent="0.25">
      <c r="A27" s="2052" t="s">
        <v>32</v>
      </c>
      <c r="B27" s="1786" t="s">
        <v>65</v>
      </c>
      <c r="C27" s="2053" t="s">
        <v>40</v>
      </c>
      <c r="D27" s="2053"/>
      <c r="E27" s="2053"/>
      <c r="F27" s="2053"/>
      <c r="G27" s="2053"/>
      <c r="H27" s="2053"/>
      <c r="I27" s="2053"/>
      <c r="J27" s="1866"/>
      <c r="K27" s="2078">
        <f>J27/$J$33/12*1000</f>
        <v>0</v>
      </c>
    </row>
    <row r="28" spans="1:16" ht="15.75" x14ac:dyDescent="0.25">
      <c r="A28" s="2052" t="s">
        <v>33</v>
      </c>
      <c r="B28" s="1786" t="s">
        <v>85</v>
      </c>
      <c r="C28" s="2053" t="s">
        <v>40</v>
      </c>
      <c r="D28" s="2053"/>
      <c r="E28" s="2053"/>
      <c r="F28" s="2053"/>
      <c r="G28" s="2053"/>
      <c r="H28" s="2053"/>
      <c r="I28" s="2053"/>
      <c r="J28" s="1866"/>
      <c r="K28" s="2078">
        <f t="shared" ref="K28:K31" si="6">J28/$J$33/12*1000</f>
        <v>0</v>
      </c>
    </row>
    <row r="29" spans="1:16" ht="15.75" x14ac:dyDescent="0.25">
      <c r="A29" s="2052" t="s">
        <v>34</v>
      </c>
      <c r="B29" s="1786" t="s">
        <v>86</v>
      </c>
      <c r="C29" s="2053" t="s">
        <v>40</v>
      </c>
      <c r="D29" s="2053"/>
      <c r="E29" s="2053"/>
      <c r="F29" s="2053"/>
      <c r="G29" s="2053"/>
      <c r="H29" s="2053"/>
      <c r="I29" s="2053"/>
      <c r="J29" s="1866"/>
      <c r="K29" s="2078">
        <f t="shared" si="6"/>
        <v>0</v>
      </c>
    </row>
    <row r="30" spans="1:16" ht="31.5" x14ac:dyDescent="0.25">
      <c r="A30" s="2052" t="s">
        <v>2373</v>
      </c>
      <c r="B30" s="1786" t="s">
        <v>71</v>
      </c>
      <c r="C30" s="2053" t="s">
        <v>40</v>
      </c>
      <c r="D30" s="2053"/>
      <c r="E30" s="2053"/>
      <c r="F30" s="2053"/>
      <c r="G30" s="2053"/>
      <c r="H30" s="2053"/>
      <c r="I30" s="2053"/>
      <c r="J30" s="1866"/>
      <c r="K30" s="2078">
        <f t="shared" si="6"/>
        <v>0</v>
      </c>
    </row>
    <row r="31" spans="1:16" ht="15.75" x14ac:dyDescent="0.25">
      <c r="A31" s="2052" t="s">
        <v>2374</v>
      </c>
      <c r="B31" s="1786" t="s">
        <v>2375</v>
      </c>
      <c r="C31" s="2053" t="s">
        <v>40</v>
      </c>
      <c r="D31" s="2053"/>
      <c r="E31" s="2053"/>
      <c r="F31" s="2053"/>
      <c r="G31" s="2053"/>
      <c r="H31" s="2053"/>
      <c r="I31" s="2053"/>
      <c r="J31" s="1866"/>
      <c r="K31" s="2078">
        <f t="shared" si="6"/>
        <v>0</v>
      </c>
    </row>
    <row r="32" spans="1:16" ht="31.5" x14ac:dyDescent="0.25">
      <c r="A32" s="2048" t="s">
        <v>178</v>
      </c>
      <c r="B32" s="1785" t="s">
        <v>2161</v>
      </c>
      <c r="C32" s="1785" t="s">
        <v>40</v>
      </c>
      <c r="D32" s="1785"/>
      <c r="E32" s="1785"/>
      <c r="F32" s="1785"/>
      <c r="G32" s="1785"/>
      <c r="H32" s="1785"/>
      <c r="I32" s="1785"/>
      <c r="J32" s="2050">
        <f>J25+J26</f>
        <v>250.59</v>
      </c>
      <c r="K32" s="2079">
        <f>K25+K26</f>
        <v>1.1100000000000001</v>
      </c>
    </row>
    <row r="33" spans="1:14" ht="15.75" x14ac:dyDescent="0.25">
      <c r="A33" s="2052" t="s">
        <v>179</v>
      </c>
      <c r="B33" s="1786" t="s">
        <v>2376</v>
      </c>
      <c r="C33" s="1786" t="s">
        <v>890</v>
      </c>
      <c r="D33" s="1786"/>
      <c r="E33" s="1786"/>
      <c r="F33" s="1786"/>
      <c r="G33" s="1786"/>
      <c r="H33" s="1786"/>
      <c r="I33" s="1786"/>
      <c r="J33" s="2054">
        <f>18614+237</f>
        <v>18851</v>
      </c>
      <c r="K33" s="2080">
        <v>1</v>
      </c>
    </row>
    <row r="34" spans="1:14" ht="31.5" x14ac:dyDescent="0.25">
      <c r="A34" s="2048" t="s">
        <v>194</v>
      </c>
      <c r="B34" s="1785" t="s">
        <v>2377</v>
      </c>
      <c r="C34" s="2055" t="s">
        <v>2378</v>
      </c>
      <c r="D34" s="2055"/>
      <c r="E34" s="2055"/>
      <c r="F34" s="2055"/>
      <c r="G34" s="2055"/>
      <c r="H34" s="2055"/>
      <c r="I34" s="2055"/>
      <c r="J34" s="1866">
        <f>ROUND(J32/J33*1000/12,2)</f>
        <v>1.1100000000000001</v>
      </c>
      <c r="K34" s="2080"/>
    </row>
    <row r="35" spans="1:14" ht="31.5" x14ac:dyDescent="0.25">
      <c r="A35" s="2048" t="s">
        <v>195</v>
      </c>
      <c r="B35" s="1785" t="s">
        <v>2379</v>
      </c>
      <c r="C35" s="1785" t="s">
        <v>2378</v>
      </c>
      <c r="D35" s="1785"/>
      <c r="E35" s="1785"/>
      <c r="F35" s="1785"/>
      <c r="G35" s="1785"/>
      <c r="H35" s="1785"/>
      <c r="I35" s="1785"/>
      <c r="J35" s="2056">
        <f>J34*1.2</f>
        <v>1.33</v>
      </c>
      <c r="K35" s="2080"/>
    </row>
    <row r="36" spans="1:14" ht="15.75" x14ac:dyDescent="0.25">
      <c r="A36" s="2048"/>
      <c r="B36" s="1787" t="s">
        <v>2380</v>
      </c>
      <c r="C36" s="1785"/>
      <c r="D36" s="1785"/>
      <c r="E36" s="1785"/>
      <c r="F36" s="1785"/>
      <c r="G36" s="1785"/>
      <c r="H36" s="1785"/>
      <c r="I36" s="1785"/>
      <c r="J36" s="2056"/>
      <c r="K36" s="2080"/>
    </row>
    <row r="37" spans="1:14" ht="48" thickBot="1" x14ac:dyDescent="0.3">
      <c r="A37" s="2081" t="s">
        <v>196</v>
      </c>
      <c r="B37" s="2082" t="s">
        <v>2381</v>
      </c>
      <c r="C37" s="2083" t="s">
        <v>2382</v>
      </c>
      <c r="D37" s="2083"/>
      <c r="E37" s="2083"/>
      <c r="F37" s="2083"/>
      <c r="G37" s="2083"/>
      <c r="H37" s="2083"/>
      <c r="I37" s="2083"/>
      <c r="J37" s="2084">
        <f>'гран розмір'!B4</f>
        <v>35.19</v>
      </c>
      <c r="K37" s="2085"/>
      <c r="M37" s="2061">
        <f>J35-J37</f>
        <v>-33.86</v>
      </c>
      <c r="N37">
        <f>(J35*J33)/1.2/1000*12-(J37*J33)/1.2/1000*12</f>
        <v>-6382.9485999999997</v>
      </c>
    </row>
    <row r="38" spans="1:14" ht="15.75" x14ac:dyDescent="0.25">
      <c r="A38" s="2072"/>
      <c r="B38" s="4327"/>
      <c r="C38" s="4328"/>
      <c r="D38" s="4328"/>
      <c r="E38" s="4328"/>
      <c r="F38" s="4328"/>
      <c r="G38" s="4328"/>
      <c r="H38" s="4328"/>
      <c r="I38" s="4328"/>
      <c r="J38" s="4328"/>
      <c r="K38" s="4328"/>
    </row>
    <row r="39" spans="1:14" ht="15.75" x14ac:dyDescent="0.25">
      <c r="B39" s="1784" t="s">
        <v>602</v>
      </c>
      <c r="C39" s="2057"/>
      <c r="J39" s="4329" t="s">
        <v>2384</v>
      </c>
      <c r="K39" s="4329"/>
    </row>
    <row r="40" spans="1:14" ht="15.75" x14ac:dyDescent="0.25">
      <c r="J40" s="1868"/>
      <c r="K40" s="1868"/>
    </row>
    <row r="41" spans="1:14" ht="31.5" x14ac:dyDescent="0.25">
      <c r="A41" s="1784"/>
      <c r="B41" s="1784" t="s">
        <v>928</v>
      </c>
      <c r="C41" s="2057"/>
      <c r="J41" s="4329" t="s">
        <v>2385</v>
      </c>
      <c r="K41" s="4329"/>
    </row>
  </sheetData>
  <mergeCells count="15">
    <mergeCell ref="B38:K38"/>
    <mergeCell ref="J39:K39"/>
    <mergeCell ref="J41:K41"/>
    <mergeCell ref="A1:K1"/>
    <mergeCell ref="A3:A6"/>
    <mergeCell ref="B3:B6"/>
    <mergeCell ref="C3:C6"/>
    <mergeCell ref="D3:D6"/>
    <mergeCell ref="E3:E6"/>
    <mergeCell ref="I3:I6"/>
    <mergeCell ref="J3:J6"/>
    <mergeCell ref="K3:K6"/>
    <mergeCell ref="H3:H6"/>
    <mergeCell ref="F3:F6"/>
    <mergeCell ref="G3:G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249977111117893"/>
  </sheetPr>
  <dimension ref="A1:G14"/>
  <sheetViews>
    <sheetView workbookViewId="0">
      <selection activeCell="B8" sqref="B8"/>
    </sheetView>
  </sheetViews>
  <sheetFormatPr defaultRowHeight="15" x14ac:dyDescent="0.25"/>
  <cols>
    <col min="1" max="1" width="89.7109375" customWidth="1"/>
    <col min="2" max="2" width="19.85546875" customWidth="1"/>
    <col min="3" max="3" width="6.5703125" customWidth="1"/>
    <col min="4" max="4" width="14.5703125" customWidth="1"/>
    <col min="7" max="7" width="13.28515625" customWidth="1"/>
    <col min="8" max="11" width="22.28515625" customWidth="1"/>
  </cols>
  <sheetData>
    <row r="1" spans="1:7" ht="18.600000000000001" customHeight="1" x14ac:dyDescent="0.25">
      <c r="A1" s="4353" t="s">
        <v>2677</v>
      </c>
      <c r="B1" s="4353"/>
      <c r="C1" s="58"/>
      <c r="D1" s="58"/>
      <c r="E1" s="58"/>
    </row>
    <row r="2" spans="1:7" ht="34.9" customHeight="1" x14ac:dyDescent="0.25">
      <c r="A2" s="4349" t="s">
        <v>2678</v>
      </c>
      <c r="B2" s="4349"/>
      <c r="C2" s="2067"/>
      <c r="D2" s="2067"/>
      <c r="E2" s="2067"/>
    </row>
    <row r="3" spans="1:7" ht="15.75" x14ac:dyDescent="0.25">
      <c r="A3" s="2058"/>
      <c r="B3" s="2058"/>
      <c r="C3" s="2058"/>
      <c r="D3" s="2058"/>
      <c r="E3" s="53"/>
    </row>
    <row r="4" spans="1:7" ht="18.75" x14ac:dyDescent="0.35">
      <c r="A4" s="2059" t="s">
        <v>2679</v>
      </c>
      <c r="B4" s="2060">
        <f>B7*B8*B9*B10*B11</f>
        <v>35.191457999999997</v>
      </c>
      <c r="D4" s="4350"/>
      <c r="E4" s="35" t="s">
        <v>2693</v>
      </c>
      <c r="F4" s="35"/>
      <c r="G4" s="35"/>
    </row>
    <row r="5" spans="1:7" ht="15.75" x14ac:dyDescent="0.25">
      <c r="A5" s="2058"/>
      <c r="B5" s="53"/>
      <c r="D5" s="4351"/>
      <c r="E5" s="3670" t="s">
        <v>2695</v>
      </c>
      <c r="F5" s="3670"/>
      <c r="G5" s="3670"/>
    </row>
    <row r="6" spans="1:7" ht="33.6" customHeight="1" x14ac:dyDescent="0.25">
      <c r="A6" s="2066" t="s">
        <v>2680</v>
      </c>
      <c r="B6" s="53"/>
      <c r="D6" s="4352"/>
      <c r="E6" s="1345" t="s">
        <v>2696</v>
      </c>
      <c r="F6" s="1345" t="s">
        <v>2697</v>
      </c>
      <c r="G6" s="1345" t="s">
        <v>2698</v>
      </c>
    </row>
    <row r="7" spans="1:7" ht="35.450000000000003" customHeight="1" x14ac:dyDescent="0.25">
      <c r="A7" s="2066" t="s">
        <v>2681</v>
      </c>
      <c r="B7" s="53">
        <f>G7</f>
        <v>2393</v>
      </c>
      <c r="D7" s="1769" t="s">
        <v>2694</v>
      </c>
      <c r="E7" s="1769">
        <v>2189</v>
      </c>
      <c r="F7" s="1769">
        <v>2294</v>
      </c>
      <c r="G7" s="1769">
        <v>2393</v>
      </c>
    </row>
    <row r="8" spans="1:7" ht="19.149999999999999" customHeight="1" x14ac:dyDescent="0.25">
      <c r="A8" s="2066" t="s">
        <v>2682</v>
      </c>
      <c r="B8" s="53">
        <v>2.58</v>
      </c>
    </row>
    <row r="9" spans="1:7" ht="51" customHeight="1" x14ac:dyDescent="0.25">
      <c r="A9" s="2066" t="s">
        <v>2683</v>
      </c>
      <c r="B9" s="53">
        <v>2</v>
      </c>
    </row>
    <row r="10" spans="1:7" ht="36.6" customHeight="1" x14ac:dyDescent="0.25">
      <c r="A10" s="2066" t="s">
        <v>2684</v>
      </c>
      <c r="B10" s="53">
        <v>0.15</v>
      </c>
    </row>
    <row r="11" spans="1:7" ht="49.15" customHeight="1" x14ac:dyDescent="0.25">
      <c r="A11" s="2066" t="s">
        <v>2685</v>
      </c>
      <c r="B11" s="53">
        <v>1.9E-2</v>
      </c>
    </row>
    <row r="12" spans="1:7" ht="33" customHeight="1" x14ac:dyDescent="0.25">
      <c r="A12" s="2066" t="s">
        <v>2686</v>
      </c>
      <c r="B12" s="53"/>
    </row>
    <row r="13" spans="1:7" ht="15.75" x14ac:dyDescent="0.25">
      <c r="C13" s="53"/>
      <c r="D13" s="53"/>
      <c r="E13" s="53"/>
    </row>
    <row r="14" spans="1:7" ht="15.75" x14ac:dyDescent="0.25">
      <c r="A14" s="58" t="s">
        <v>928</v>
      </c>
      <c r="B14" s="53" t="s">
        <v>2385</v>
      </c>
      <c r="C14" s="53"/>
      <c r="D14" s="53"/>
      <c r="E14" s="53"/>
    </row>
  </sheetData>
  <mergeCells count="4">
    <mergeCell ref="A2:B2"/>
    <mergeCell ref="E5:G5"/>
    <mergeCell ref="D4:D6"/>
    <mergeCell ref="A1:B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O31"/>
  <sheetViews>
    <sheetView topLeftCell="A2" workbookViewId="0">
      <pane xSplit="2" ySplit="4" topLeftCell="D6" activePane="bottomRight" state="frozen"/>
      <selection activeCell="A2" sqref="A2"/>
      <selection pane="topRight" activeCell="C2" sqref="C2"/>
      <selection pane="bottomLeft" activeCell="A6" sqref="A6"/>
      <selection pane="bottomRight" activeCell="D15" sqref="D15:L15"/>
    </sheetView>
  </sheetViews>
  <sheetFormatPr defaultColWidth="8.85546875" defaultRowHeight="15.75" x14ac:dyDescent="0.25"/>
  <cols>
    <col min="1" max="1" width="8.85546875" style="58"/>
    <col min="2" max="2" width="57.5703125" style="58" customWidth="1"/>
    <col min="3" max="3" width="11.85546875" style="58" customWidth="1"/>
    <col min="4" max="4" width="12.28515625" style="58" customWidth="1"/>
    <col min="5" max="12" width="10.42578125" style="58" customWidth="1"/>
    <col min="13" max="13" width="26.28515625" style="1841" customWidth="1"/>
    <col min="14" max="16384" width="8.85546875" style="58"/>
  </cols>
  <sheetData>
    <row r="2" spans="1:15" s="1838" customFormat="1" ht="16.899999999999999" customHeight="1" x14ac:dyDescent="0.25">
      <c r="B2" s="4354" t="s">
        <v>2321</v>
      </c>
      <c r="C2" s="4354" t="s">
        <v>766</v>
      </c>
      <c r="D2" s="4354" t="s">
        <v>880</v>
      </c>
      <c r="E2" s="4356" t="s">
        <v>954</v>
      </c>
      <c r="F2" s="4357"/>
      <c r="G2" s="4356" t="s">
        <v>921</v>
      </c>
      <c r="H2" s="4357"/>
      <c r="I2" s="1844" t="s">
        <v>1365</v>
      </c>
      <c r="J2" s="1844" t="s">
        <v>883</v>
      </c>
      <c r="K2" s="1844" t="s">
        <v>996</v>
      </c>
      <c r="L2" s="842" t="s">
        <v>2324</v>
      </c>
      <c r="M2" s="1845"/>
    </row>
    <row r="3" spans="1:15" s="66" customFormat="1" ht="31.5" x14ac:dyDescent="0.25">
      <c r="B3" s="4358"/>
      <c r="C3" s="4358"/>
      <c r="D3" s="4355"/>
      <c r="E3" s="1846" t="s">
        <v>2434</v>
      </c>
      <c r="F3" s="1846" t="s">
        <v>2435</v>
      </c>
      <c r="G3" s="1846" t="s">
        <v>2434</v>
      </c>
      <c r="H3" s="1846" t="s">
        <v>2436</v>
      </c>
      <c r="I3" s="1846"/>
      <c r="J3" s="1846"/>
      <c r="K3" s="1846"/>
      <c r="L3" s="15"/>
      <c r="M3" s="1847"/>
    </row>
    <row r="4" spans="1:15" s="55" customFormat="1" ht="33.6" customHeight="1" x14ac:dyDescent="0.25">
      <c r="B4" s="4355"/>
      <c r="C4" s="1849" t="s">
        <v>2322</v>
      </c>
      <c r="D4" s="1849" t="s">
        <v>2322</v>
      </c>
      <c r="E4" s="1849" t="s">
        <v>2322</v>
      </c>
      <c r="F4" s="1849" t="s">
        <v>2322</v>
      </c>
      <c r="G4" s="1849" t="s">
        <v>2322</v>
      </c>
      <c r="H4" s="1849" t="s">
        <v>2322</v>
      </c>
      <c r="I4" s="1849" t="s">
        <v>2322</v>
      </c>
      <c r="J4" s="1849" t="s">
        <v>2322</v>
      </c>
      <c r="K4" s="1849" t="s">
        <v>2322</v>
      </c>
      <c r="L4" s="1849" t="s">
        <v>2322</v>
      </c>
      <c r="M4" s="1848"/>
    </row>
    <row r="5" spans="1:15" x14ac:dyDescent="0.25">
      <c r="B5" s="1840" t="s">
        <v>1872</v>
      </c>
      <c r="C5" s="1525">
        <f t="shared" ref="C5:L5" si="0">SUM(C6:C28)</f>
        <v>53033.33</v>
      </c>
      <c r="D5" s="1525">
        <f t="shared" si="0"/>
        <v>1811.59</v>
      </c>
      <c r="E5" s="1525">
        <f t="shared" si="0"/>
        <v>2717.39</v>
      </c>
      <c r="F5" s="1525">
        <f t="shared" si="0"/>
        <v>452.9</v>
      </c>
      <c r="G5" s="1525">
        <f t="shared" si="0"/>
        <v>905.8</v>
      </c>
      <c r="H5" s="1525">
        <f t="shared" si="0"/>
        <v>0</v>
      </c>
      <c r="I5" s="1525">
        <f t="shared" si="0"/>
        <v>1811.59</v>
      </c>
      <c r="J5" s="1525">
        <f t="shared" si="0"/>
        <v>30905.8</v>
      </c>
      <c r="K5" s="1525">
        <f t="shared" si="0"/>
        <v>5887.68</v>
      </c>
      <c r="L5" s="1525">
        <f t="shared" si="0"/>
        <v>8540.58</v>
      </c>
    </row>
    <row r="6" spans="1:15" s="1898" customFormat="1" x14ac:dyDescent="0.25">
      <c r="B6" s="1895"/>
      <c r="C6" s="1896"/>
      <c r="D6" s="1896"/>
      <c r="E6" s="1896"/>
      <c r="F6" s="1896"/>
      <c r="G6" s="1896"/>
      <c r="H6" s="1896"/>
      <c r="I6" s="1896"/>
      <c r="J6" s="1896"/>
      <c r="K6" s="1896"/>
      <c r="L6" s="1896"/>
      <c r="M6" s="1897"/>
    </row>
    <row r="7" spans="1:15" s="1898" customFormat="1" x14ac:dyDescent="0.25">
      <c r="B7" s="1895"/>
      <c r="C7" s="1896"/>
      <c r="D7" s="1896"/>
      <c r="E7" s="1896"/>
      <c r="F7" s="1896"/>
      <c r="G7" s="1896"/>
      <c r="H7" s="1896"/>
      <c r="I7" s="1896"/>
      <c r="J7" s="1896"/>
      <c r="K7" s="1896"/>
      <c r="L7" s="1896"/>
      <c r="M7" s="1897"/>
    </row>
    <row r="8" spans="1:15" s="1898" customFormat="1" x14ac:dyDescent="0.25">
      <c r="B8" s="1895"/>
      <c r="C8" s="1896"/>
      <c r="D8" s="1896"/>
      <c r="E8" s="1896"/>
      <c r="F8" s="1896"/>
      <c r="G8" s="1896"/>
      <c r="H8" s="1896"/>
      <c r="I8" s="1896"/>
      <c r="J8" s="1896"/>
      <c r="K8" s="1896"/>
      <c r="L8" s="1896"/>
      <c r="M8" s="1897"/>
    </row>
    <row r="9" spans="1:15" x14ac:dyDescent="0.25">
      <c r="A9" s="53"/>
      <c r="B9" s="1840"/>
      <c r="C9" s="1525"/>
      <c r="D9" s="1525"/>
      <c r="E9" s="1525"/>
      <c r="F9" s="1525"/>
      <c r="G9" s="1525"/>
      <c r="H9" s="1525"/>
      <c r="I9" s="1525"/>
      <c r="J9" s="1525"/>
      <c r="K9" s="1525"/>
      <c r="L9" s="1525"/>
    </row>
    <row r="10" spans="1:15" x14ac:dyDescent="0.25">
      <c r="B10" s="1840"/>
      <c r="C10" s="1525"/>
      <c r="D10" s="1525"/>
      <c r="E10" s="1525"/>
      <c r="F10" s="1525"/>
      <c r="G10" s="1525"/>
      <c r="H10" s="1525"/>
      <c r="I10" s="1525"/>
      <c r="J10" s="1525"/>
      <c r="K10" s="1525"/>
      <c r="L10" s="1525"/>
    </row>
    <row r="11" spans="1:15" x14ac:dyDescent="0.25">
      <c r="B11" s="1840"/>
      <c r="C11" s="1525"/>
      <c r="D11" s="1525"/>
      <c r="E11" s="1525"/>
      <c r="F11" s="1525"/>
      <c r="G11" s="1525"/>
      <c r="H11" s="1525"/>
      <c r="I11" s="1525"/>
      <c r="J11" s="1525"/>
      <c r="K11" s="1525"/>
      <c r="L11" s="1525"/>
    </row>
    <row r="12" spans="1:15" ht="31.5" x14ac:dyDescent="0.25">
      <c r="B12" s="2044" t="s">
        <v>2430</v>
      </c>
      <c r="C12" s="1865">
        <f t="shared" ref="C12:C28" si="1">SUM(D12:L12)</f>
        <v>2200</v>
      </c>
      <c r="D12" s="1525"/>
      <c r="E12" s="1525"/>
      <c r="F12" s="1525"/>
      <c r="G12" s="1525"/>
      <c r="H12" s="1525"/>
      <c r="I12" s="1525"/>
      <c r="J12" s="1525"/>
      <c r="K12" s="1525"/>
      <c r="L12" s="2043">
        <v>2200</v>
      </c>
      <c r="M12" s="1841" t="s">
        <v>2431</v>
      </c>
      <c r="N12" s="58">
        <f>2200</f>
        <v>2200</v>
      </c>
      <c r="O12" s="58" t="s">
        <v>2138</v>
      </c>
    </row>
    <row r="13" spans="1:15" x14ac:dyDescent="0.25">
      <c r="B13" s="1840"/>
      <c r="C13" s="1525"/>
      <c r="D13" s="1525"/>
      <c r="E13" s="1525"/>
      <c r="F13" s="1525"/>
      <c r="G13" s="1525"/>
      <c r="H13" s="1525"/>
      <c r="I13" s="1525"/>
      <c r="J13" s="1525"/>
      <c r="K13" s="1525"/>
      <c r="L13" s="1525"/>
    </row>
    <row r="14" spans="1:15" s="1868" customFormat="1" ht="47.25" x14ac:dyDescent="0.25">
      <c r="B14" s="16" t="s">
        <v>2437</v>
      </c>
      <c r="C14" s="1866">
        <f t="shared" si="1"/>
        <v>30000</v>
      </c>
      <c r="D14" s="1866"/>
      <c r="E14" s="1866"/>
      <c r="F14" s="1866"/>
      <c r="G14" s="1866"/>
      <c r="H14" s="1866"/>
      <c r="I14" s="1866"/>
      <c r="J14" s="1866">
        <v>30000</v>
      </c>
      <c r="K14" s="1866"/>
      <c r="L14" s="1866"/>
      <c r="M14" s="1867" t="s">
        <v>2443</v>
      </c>
    </row>
    <row r="15" spans="1:15" x14ac:dyDescent="0.25">
      <c r="B15" s="569" t="s">
        <v>2441</v>
      </c>
      <c r="C15" s="1525">
        <f t="shared" si="1"/>
        <v>20833.330000000002</v>
      </c>
      <c r="D15" s="1525">
        <f>25000/1.2/46*4</f>
        <v>1811.59</v>
      </c>
      <c r="E15" s="1525">
        <f>25000/1.2/46*6</f>
        <v>2717.39</v>
      </c>
      <c r="F15" s="1525">
        <f>25000/1.2/46*1</f>
        <v>452.9</v>
      </c>
      <c r="G15" s="1525">
        <f>25000/1.2/46*2</f>
        <v>905.8</v>
      </c>
      <c r="H15" s="1525">
        <f>25000/1.2/46*0</f>
        <v>0</v>
      </c>
      <c r="I15" s="1525">
        <f>25000/1.2/46*4</f>
        <v>1811.59</v>
      </c>
      <c r="J15" s="1525">
        <f>25000/1.2/46*2</f>
        <v>905.8</v>
      </c>
      <c r="K15" s="1525">
        <f>25000/1.2/46*13</f>
        <v>5887.68</v>
      </c>
      <c r="L15" s="1525">
        <f>25000/1.2/46*14</f>
        <v>6340.58</v>
      </c>
      <c r="M15" s="1841" t="s">
        <v>2442</v>
      </c>
      <c r="N15" s="58">
        <v>25000</v>
      </c>
      <c r="O15" s="58">
        <f>N15/1.2-C15</f>
        <v>3.3333333340124201E-3</v>
      </c>
    </row>
    <row r="16" spans="1:15" x14ac:dyDescent="0.25">
      <c r="B16" s="1840"/>
      <c r="C16" s="1525"/>
      <c r="D16" s="1525"/>
      <c r="E16" s="1525"/>
      <c r="F16" s="1525"/>
      <c r="G16" s="1525"/>
      <c r="H16" s="1525"/>
      <c r="I16" s="1525"/>
      <c r="J16" s="1525"/>
      <c r="K16" s="1525"/>
      <c r="L16" s="1525"/>
    </row>
    <row r="17" spans="2:12" x14ac:dyDescent="0.25">
      <c r="B17" s="1840"/>
      <c r="C17" s="1525">
        <f t="shared" si="1"/>
        <v>0</v>
      </c>
      <c r="D17" s="1525"/>
      <c r="E17" s="1525"/>
      <c r="F17" s="1525"/>
      <c r="G17" s="1525"/>
      <c r="H17" s="1525"/>
      <c r="I17" s="1525"/>
      <c r="J17" s="1525"/>
      <c r="K17" s="1525"/>
      <c r="L17" s="1525"/>
    </row>
    <row r="18" spans="2:12" x14ac:dyDescent="0.25">
      <c r="B18" s="1840"/>
      <c r="C18" s="1525">
        <f t="shared" si="1"/>
        <v>0</v>
      </c>
      <c r="D18" s="1525"/>
      <c r="E18" s="1525"/>
      <c r="F18" s="1525"/>
      <c r="G18" s="1525"/>
      <c r="H18" s="1525"/>
      <c r="I18" s="1525"/>
      <c r="J18" s="1525"/>
      <c r="K18" s="1525"/>
      <c r="L18" s="1525"/>
    </row>
    <row r="19" spans="2:12" x14ac:dyDescent="0.25">
      <c r="B19" s="1840"/>
      <c r="C19" s="1525">
        <f t="shared" si="1"/>
        <v>0</v>
      </c>
      <c r="D19" s="1525"/>
      <c r="E19" s="1525"/>
      <c r="F19" s="1525"/>
      <c r="G19" s="1525"/>
      <c r="H19" s="1525"/>
      <c r="I19" s="1525"/>
      <c r="J19" s="1525"/>
      <c r="K19" s="1525"/>
      <c r="L19" s="1525"/>
    </row>
    <row r="20" spans="2:12" x14ac:dyDescent="0.25">
      <c r="B20" s="1840"/>
      <c r="C20" s="1525">
        <f t="shared" si="1"/>
        <v>0</v>
      </c>
      <c r="D20" s="1525"/>
      <c r="E20" s="1525"/>
      <c r="F20" s="1525"/>
      <c r="G20" s="1525"/>
      <c r="H20" s="1525"/>
      <c r="I20" s="1525"/>
      <c r="J20" s="1525"/>
      <c r="K20" s="1525"/>
      <c r="L20" s="1525"/>
    </row>
    <row r="21" spans="2:12" x14ac:dyDescent="0.25">
      <c r="B21" s="1840"/>
      <c r="C21" s="1525">
        <f t="shared" si="1"/>
        <v>0</v>
      </c>
      <c r="D21" s="1525"/>
      <c r="E21" s="1525"/>
      <c r="F21" s="1525"/>
      <c r="G21" s="1525"/>
      <c r="H21" s="1525"/>
      <c r="I21" s="1525"/>
      <c r="J21" s="1525"/>
      <c r="K21" s="1525"/>
      <c r="L21" s="1525"/>
    </row>
    <row r="22" spans="2:12" x14ac:dyDescent="0.25">
      <c r="B22" s="1840"/>
      <c r="C22" s="1525">
        <f t="shared" si="1"/>
        <v>0</v>
      </c>
      <c r="D22" s="1525"/>
      <c r="E22" s="1525"/>
      <c r="F22" s="1525"/>
      <c r="G22" s="1525"/>
      <c r="H22" s="1525"/>
      <c r="I22" s="1525"/>
      <c r="J22" s="1525"/>
      <c r="K22" s="1525"/>
      <c r="L22" s="1525"/>
    </row>
    <row r="23" spans="2:12" x14ac:dyDescent="0.25">
      <c r="B23" s="1840"/>
      <c r="C23" s="1525">
        <f t="shared" si="1"/>
        <v>0</v>
      </c>
      <c r="D23" s="1525"/>
      <c r="E23" s="1525"/>
      <c r="F23" s="1525"/>
      <c r="G23" s="1525"/>
      <c r="H23" s="1525"/>
      <c r="I23" s="1525"/>
      <c r="J23" s="1525"/>
      <c r="K23" s="1525"/>
      <c r="L23" s="1525"/>
    </row>
    <row r="24" spans="2:12" x14ac:dyDescent="0.25">
      <c r="B24" s="1840"/>
      <c r="C24" s="1525">
        <f t="shared" si="1"/>
        <v>0</v>
      </c>
      <c r="D24" s="1525"/>
      <c r="E24" s="1525"/>
      <c r="F24" s="1525"/>
      <c r="G24" s="1525"/>
      <c r="H24" s="1525"/>
      <c r="I24" s="1525"/>
      <c r="J24" s="1525"/>
      <c r="K24" s="1525"/>
      <c r="L24" s="1525"/>
    </row>
    <row r="25" spans="2:12" x14ac:dyDescent="0.25">
      <c r="B25" s="1840"/>
      <c r="C25" s="1525">
        <f t="shared" si="1"/>
        <v>0</v>
      </c>
      <c r="D25" s="1525"/>
      <c r="E25" s="1525"/>
      <c r="F25" s="1525"/>
      <c r="G25" s="1525"/>
      <c r="H25" s="1525"/>
      <c r="I25" s="1525"/>
      <c r="J25" s="1525"/>
      <c r="K25" s="1525"/>
      <c r="L25" s="1525"/>
    </row>
    <row r="26" spans="2:12" x14ac:dyDescent="0.25">
      <c r="B26" s="1840"/>
      <c r="C26" s="1525">
        <f t="shared" si="1"/>
        <v>0</v>
      </c>
      <c r="D26" s="1525"/>
      <c r="E26" s="1525"/>
      <c r="F26" s="1525"/>
      <c r="G26" s="1525"/>
      <c r="H26" s="1525"/>
      <c r="I26" s="1525"/>
      <c r="J26" s="1525"/>
      <c r="K26" s="1525"/>
      <c r="L26" s="1525"/>
    </row>
    <row r="27" spans="2:12" x14ac:dyDescent="0.25">
      <c r="B27" s="1840"/>
      <c r="C27" s="1525">
        <f t="shared" si="1"/>
        <v>0</v>
      </c>
      <c r="D27" s="1525"/>
      <c r="E27" s="1525"/>
      <c r="F27" s="1525"/>
      <c r="G27" s="1525"/>
      <c r="H27" s="1525"/>
      <c r="I27" s="1525"/>
      <c r="J27" s="1525"/>
      <c r="K27" s="1525"/>
      <c r="L27" s="1525"/>
    </row>
    <row r="28" spans="2:12" x14ac:dyDescent="0.25">
      <c r="B28" s="1840"/>
      <c r="C28" s="1525">
        <f t="shared" si="1"/>
        <v>0</v>
      </c>
      <c r="D28" s="1525"/>
      <c r="E28" s="1525"/>
      <c r="F28" s="1525"/>
      <c r="G28" s="1525"/>
      <c r="H28" s="1525"/>
      <c r="I28" s="1525"/>
      <c r="J28" s="1525"/>
      <c r="K28" s="1525"/>
      <c r="L28" s="1525"/>
    </row>
    <row r="31" spans="2:12" x14ac:dyDescent="0.25">
      <c r="B31" s="58" t="s">
        <v>2444</v>
      </c>
    </row>
  </sheetData>
  <mergeCells count="5">
    <mergeCell ref="D2:D3"/>
    <mergeCell ref="E2:F2"/>
    <mergeCell ref="G2:H2"/>
    <mergeCell ref="B2:B4"/>
    <mergeCell ref="C2:C3"/>
  </mergeCell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M28"/>
  <sheetViews>
    <sheetView workbookViewId="0">
      <selection activeCell="B8" sqref="B8"/>
    </sheetView>
  </sheetViews>
  <sheetFormatPr defaultColWidth="8.85546875" defaultRowHeight="15.75" x14ac:dyDescent="0.25"/>
  <cols>
    <col min="1" max="1" width="8.85546875" style="58"/>
    <col min="2" max="2" width="35" style="58" customWidth="1"/>
    <col min="3" max="3" width="11.5703125" style="58" customWidth="1"/>
    <col min="4" max="4" width="11.28515625" style="58" customWidth="1"/>
    <col min="5" max="12" width="10.42578125" style="58" customWidth="1"/>
    <col min="13" max="13" width="35.140625" style="1841" customWidth="1"/>
    <col min="14" max="16384" width="8.85546875" style="58"/>
  </cols>
  <sheetData>
    <row r="2" spans="2:13" s="53" customFormat="1" x14ac:dyDescent="0.25">
      <c r="B2" s="4354" t="s">
        <v>2417</v>
      </c>
      <c r="C2" s="4354" t="s">
        <v>766</v>
      </c>
      <c r="D2" s="4354" t="s">
        <v>880</v>
      </c>
      <c r="E2" s="4359" t="s">
        <v>954</v>
      </c>
      <c r="F2" s="4360"/>
      <c r="G2" s="4359" t="s">
        <v>921</v>
      </c>
      <c r="H2" s="4360"/>
      <c r="I2" s="4354" t="s">
        <v>1365</v>
      </c>
      <c r="J2" s="4354" t="s">
        <v>883</v>
      </c>
      <c r="K2" s="4354" t="s">
        <v>996</v>
      </c>
      <c r="L2" s="4354" t="s">
        <v>2324</v>
      </c>
      <c r="M2" s="1848"/>
    </row>
    <row r="3" spans="2:13" s="53" customFormat="1" ht="31.5" x14ac:dyDescent="0.25">
      <c r="B3" s="4358"/>
      <c r="C3" s="4358"/>
      <c r="D3" s="4355"/>
      <c r="E3" s="1846" t="s">
        <v>2434</v>
      </c>
      <c r="F3" s="1846" t="s">
        <v>2435</v>
      </c>
      <c r="G3" s="1846" t="s">
        <v>2434</v>
      </c>
      <c r="H3" s="1846" t="s">
        <v>2436</v>
      </c>
      <c r="I3" s="4355"/>
      <c r="J3" s="4355"/>
      <c r="K3" s="4355"/>
      <c r="L3" s="4355"/>
      <c r="M3" s="1848"/>
    </row>
    <row r="4" spans="2:13" s="53" customFormat="1" ht="25.5" x14ac:dyDescent="0.25">
      <c r="B4" s="4355"/>
      <c r="C4" s="1849" t="s">
        <v>2322</v>
      </c>
      <c r="D4" s="1849" t="s">
        <v>2322</v>
      </c>
      <c r="E4" s="1849" t="s">
        <v>2322</v>
      </c>
      <c r="F4" s="1849" t="s">
        <v>2322</v>
      </c>
      <c r="G4" s="1849" t="s">
        <v>2322</v>
      </c>
      <c r="H4" s="1849" t="s">
        <v>2322</v>
      </c>
      <c r="I4" s="1849" t="s">
        <v>2322</v>
      </c>
      <c r="J4" s="1849" t="s">
        <v>2322</v>
      </c>
      <c r="K4" s="1849" t="s">
        <v>2322</v>
      </c>
      <c r="L4" s="1849" t="s">
        <v>2322</v>
      </c>
      <c r="M4" s="1848"/>
    </row>
    <row r="5" spans="2:13" x14ac:dyDescent="0.25">
      <c r="B5" s="1840" t="s">
        <v>1872</v>
      </c>
      <c r="C5" s="1525">
        <f t="shared" ref="C5:L5" si="0">SUM(C6:C28)</f>
        <v>169294.31</v>
      </c>
      <c r="D5" s="1525">
        <f t="shared" si="0"/>
        <v>50635</v>
      </c>
      <c r="E5" s="1525">
        <f t="shared" si="0"/>
        <v>30930.98</v>
      </c>
      <c r="F5" s="1525"/>
      <c r="G5" s="1525">
        <f t="shared" si="0"/>
        <v>0</v>
      </c>
      <c r="H5" s="1525"/>
      <c r="I5" s="1525">
        <f t="shared" si="0"/>
        <v>0</v>
      </c>
      <c r="J5" s="1525">
        <f t="shared" si="0"/>
        <v>40000</v>
      </c>
      <c r="K5" s="1525">
        <f t="shared" si="0"/>
        <v>45645</v>
      </c>
      <c r="L5" s="1525">
        <f t="shared" si="0"/>
        <v>0</v>
      </c>
    </row>
    <row r="6" spans="2:13" x14ac:dyDescent="0.25">
      <c r="B6" s="1840" t="s">
        <v>2419</v>
      </c>
      <c r="C6" s="1525">
        <f>SUM(D6:L6)</f>
        <v>4618.13</v>
      </c>
      <c r="D6" s="921"/>
      <c r="E6" s="921">
        <f>5541.76/1.2</f>
        <v>4618.1333333333296</v>
      </c>
      <c r="F6" s="921"/>
      <c r="G6" s="921"/>
      <c r="H6" s="921"/>
      <c r="I6" s="921"/>
      <c r="J6" s="921"/>
      <c r="K6" s="921"/>
      <c r="L6" s="921"/>
      <c r="M6" s="1841" t="s">
        <v>2418</v>
      </c>
    </row>
    <row r="7" spans="2:13" x14ac:dyDescent="0.25">
      <c r="B7" s="1840" t="s">
        <v>2478</v>
      </c>
      <c r="C7" s="1525">
        <f>SUM(D7:L7)</f>
        <v>3974.52</v>
      </c>
      <c r="D7" s="921"/>
      <c r="E7" s="921">
        <f>4769.42/1.2</f>
        <v>3974.5166666666701</v>
      </c>
      <c r="F7" s="921"/>
      <c r="G7" s="921"/>
      <c r="H7" s="921"/>
      <c r="I7" s="921"/>
      <c r="J7" s="921"/>
      <c r="K7" s="921"/>
      <c r="L7" s="921"/>
      <c r="M7" s="1841" t="s">
        <v>2422</v>
      </c>
    </row>
    <row r="8" spans="2:13" ht="31.5" x14ac:dyDescent="0.25">
      <c r="B8" s="1840" t="s">
        <v>2458</v>
      </c>
      <c r="C8" s="1525">
        <f t="shared" ref="C8:C28" si="1">SUM(D8:L8)</f>
        <v>10000</v>
      </c>
      <c r="D8" s="921"/>
      <c r="E8" s="921">
        <v>10000</v>
      </c>
      <c r="F8" s="921"/>
      <c r="G8" s="921"/>
      <c r="H8" s="921"/>
      <c r="I8" s="921"/>
      <c r="J8" s="921"/>
      <c r="K8" s="921"/>
      <c r="L8" s="921"/>
      <c r="M8" s="1841" t="s">
        <v>2423</v>
      </c>
    </row>
    <row r="9" spans="2:13" ht="31.5" x14ac:dyDescent="0.25">
      <c r="B9" s="1840" t="s">
        <v>2432</v>
      </c>
      <c r="C9" s="1525">
        <f t="shared" si="1"/>
        <v>2083.33</v>
      </c>
      <c r="D9" s="921"/>
      <c r="E9" s="921"/>
      <c r="F9" s="921">
        <f>2500/1.2</f>
        <v>2083.3333333333298</v>
      </c>
      <c r="G9" s="921"/>
      <c r="H9" s="921"/>
      <c r="I9" s="921"/>
      <c r="J9" s="921"/>
      <c r="K9" s="921"/>
      <c r="L9" s="921"/>
      <c r="M9" s="1841" t="s">
        <v>2433</v>
      </c>
    </row>
    <row r="10" spans="2:13" x14ac:dyDescent="0.25">
      <c r="B10" s="1840" t="s">
        <v>2438</v>
      </c>
      <c r="C10" s="1525">
        <f t="shared" si="1"/>
        <v>645</v>
      </c>
      <c r="D10" s="921"/>
      <c r="E10" s="921"/>
      <c r="F10" s="921"/>
      <c r="G10" s="921"/>
      <c r="H10" s="921"/>
      <c r="I10" s="921"/>
      <c r="J10" s="921"/>
      <c r="K10" s="1843">
        <f>774/1.2</f>
        <v>645</v>
      </c>
      <c r="L10" s="1843"/>
      <c r="M10" s="1841" t="s">
        <v>2439</v>
      </c>
    </row>
    <row r="11" spans="2:13" ht="31.5" x14ac:dyDescent="0.25">
      <c r="B11" s="1840" t="s">
        <v>2440</v>
      </c>
      <c r="C11" s="1525">
        <f t="shared" si="1"/>
        <v>45000</v>
      </c>
      <c r="D11" s="921"/>
      <c r="E11" s="921"/>
      <c r="F11" s="921"/>
      <c r="G11" s="921"/>
      <c r="H11" s="921"/>
      <c r="I11" s="921"/>
      <c r="J11" s="921"/>
      <c r="K11" s="921">
        <f>20000+15000+10000</f>
        <v>45000</v>
      </c>
      <c r="L11" s="921"/>
      <c r="M11" s="1841" t="s">
        <v>2471</v>
      </c>
    </row>
    <row r="12" spans="2:13" x14ac:dyDescent="0.25">
      <c r="B12" s="1840" t="s">
        <v>2469</v>
      </c>
      <c r="C12" s="1525">
        <f t="shared" si="1"/>
        <v>10000</v>
      </c>
      <c r="D12" s="921"/>
      <c r="E12" s="921">
        <f>12000/1.2</f>
        <v>10000</v>
      </c>
      <c r="F12" s="921"/>
      <c r="G12" s="921"/>
      <c r="H12" s="921"/>
      <c r="I12" s="921"/>
      <c r="J12" s="921"/>
      <c r="K12" s="921"/>
      <c r="L12" s="921"/>
      <c r="M12" s="1841" t="s">
        <v>2470</v>
      </c>
    </row>
    <row r="13" spans="2:13" x14ac:dyDescent="0.25">
      <c r="B13" s="1840" t="s">
        <v>2473</v>
      </c>
      <c r="C13" s="1525">
        <f t="shared" si="1"/>
        <v>40000</v>
      </c>
      <c r="D13" s="921"/>
      <c r="E13" s="921"/>
      <c r="F13" s="921"/>
      <c r="G13" s="921"/>
      <c r="H13" s="921"/>
      <c r="I13" s="921"/>
      <c r="J13" s="921">
        <f>48000/1.2</f>
        <v>40000</v>
      </c>
      <c r="K13" s="921"/>
      <c r="L13" s="921"/>
      <c r="M13" s="1841" t="s">
        <v>2474</v>
      </c>
    </row>
    <row r="14" spans="2:13" x14ac:dyDescent="0.25">
      <c r="B14" s="1840" t="s">
        <v>2476</v>
      </c>
      <c r="C14" s="1525">
        <f t="shared" si="1"/>
        <v>50635</v>
      </c>
      <c r="D14" s="921">
        <f>60762/1.2</f>
        <v>50635</v>
      </c>
      <c r="E14" s="921"/>
      <c r="F14" s="921"/>
      <c r="G14" s="921"/>
      <c r="H14" s="921"/>
      <c r="I14" s="921"/>
      <c r="J14" s="921"/>
      <c r="K14" s="921"/>
      <c r="L14" s="921"/>
      <c r="M14" s="1841" t="s">
        <v>2477</v>
      </c>
    </row>
    <row r="15" spans="2:13" x14ac:dyDescent="0.25">
      <c r="B15" s="1840" t="s">
        <v>2478</v>
      </c>
      <c r="C15" s="1525">
        <f t="shared" si="1"/>
        <v>2338.33</v>
      </c>
      <c r="D15" s="921"/>
      <c r="E15" s="921">
        <f>2805.99/1.2</f>
        <v>2338.3249999999998</v>
      </c>
      <c r="F15" s="921"/>
      <c r="G15" s="921"/>
      <c r="H15" s="921"/>
      <c r="I15" s="921"/>
      <c r="J15" s="921"/>
      <c r="K15" s="921"/>
      <c r="L15" s="921"/>
      <c r="M15" s="1841" t="s">
        <v>2479</v>
      </c>
    </row>
    <row r="16" spans="2:13" x14ac:dyDescent="0.25">
      <c r="B16" s="1840"/>
      <c r="C16" s="1525">
        <f t="shared" si="1"/>
        <v>0</v>
      </c>
      <c r="D16" s="921"/>
      <c r="E16" s="921"/>
      <c r="F16" s="921"/>
      <c r="G16" s="921"/>
      <c r="H16" s="921"/>
      <c r="I16" s="921"/>
      <c r="J16" s="921"/>
      <c r="K16" s="921"/>
      <c r="L16" s="921"/>
    </row>
    <row r="17" spans="2:12" x14ac:dyDescent="0.25">
      <c r="B17" s="1840"/>
      <c r="C17" s="1525">
        <f t="shared" si="1"/>
        <v>0</v>
      </c>
      <c r="D17" s="921"/>
      <c r="E17" s="921"/>
      <c r="F17" s="921"/>
      <c r="G17" s="921"/>
      <c r="H17" s="921"/>
      <c r="I17" s="921"/>
      <c r="J17" s="921"/>
      <c r="K17" s="921"/>
      <c r="L17" s="921"/>
    </row>
    <row r="18" spans="2:12" x14ac:dyDescent="0.25">
      <c r="B18" s="1840"/>
      <c r="C18" s="1525">
        <f t="shared" si="1"/>
        <v>0</v>
      </c>
      <c r="D18" s="921"/>
      <c r="E18" s="921"/>
      <c r="F18" s="921"/>
      <c r="G18" s="921"/>
      <c r="H18" s="921"/>
      <c r="I18" s="921"/>
      <c r="J18" s="921"/>
      <c r="K18" s="921"/>
      <c r="L18" s="921"/>
    </row>
    <row r="19" spans="2:12" x14ac:dyDescent="0.25">
      <c r="B19" s="1840"/>
      <c r="C19" s="1525">
        <f t="shared" si="1"/>
        <v>0</v>
      </c>
      <c r="D19" s="921"/>
      <c r="E19" s="921"/>
      <c r="F19" s="921"/>
      <c r="G19" s="921"/>
      <c r="H19" s="921"/>
      <c r="I19" s="921"/>
      <c r="J19" s="921"/>
      <c r="K19" s="921"/>
      <c r="L19" s="921"/>
    </row>
    <row r="20" spans="2:12" x14ac:dyDescent="0.25">
      <c r="B20" s="1840"/>
      <c r="C20" s="1525">
        <f t="shared" si="1"/>
        <v>0</v>
      </c>
      <c r="D20" s="921"/>
      <c r="E20" s="921"/>
      <c r="F20" s="921"/>
      <c r="G20" s="921"/>
      <c r="H20" s="921"/>
      <c r="I20" s="921"/>
      <c r="J20" s="921"/>
      <c r="K20" s="921"/>
      <c r="L20" s="921"/>
    </row>
    <row r="21" spans="2:12" x14ac:dyDescent="0.25">
      <c r="B21" s="1840"/>
      <c r="C21" s="1525">
        <f t="shared" si="1"/>
        <v>0</v>
      </c>
      <c r="D21" s="921"/>
      <c r="E21" s="921"/>
      <c r="F21" s="921"/>
      <c r="G21" s="921"/>
      <c r="H21" s="921"/>
      <c r="I21" s="921"/>
      <c r="J21" s="921"/>
      <c r="K21" s="921"/>
      <c r="L21" s="921"/>
    </row>
    <row r="22" spans="2:12" x14ac:dyDescent="0.25">
      <c r="B22" s="1840"/>
      <c r="C22" s="1525">
        <f t="shared" si="1"/>
        <v>0</v>
      </c>
      <c r="D22" s="921"/>
      <c r="E22" s="921"/>
      <c r="F22" s="921"/>
      <c r="G22" s="921"/>
      <c r="H22" s="921"/>
      <c r="I22" s="921"/>
      <c r="J22" s="921"/>
      <c r="K22" s="921"/>
      <c r="L22" s="921"/>
    </row>
    <row r="23" spans="2:12" x14ac:dyDescent="0.25">
      <c r="B23" s="1840"/>
      <c r="C23" s="1525">
        <f t="shared" si="1"/>
        <v>0</v>
      </c>
      <c r="D23" s="921"/>
      <c r="E23" s="921"/>
      <c r="F23" s="921"/>
      <c r="G23" s="921"/>
      <c r="H23" s="921"/>
      <c r="I23" s="921"/>
      <c r="J23" s="921"/>
      <c r="K23" s="921"/>
      <c r="L23" s="921"/>
    </row>
    <row r="24" spans="2:12" x14ac:dyDescent="0.25">
      <c r="B24" s="1840"/>
      <c r="C24" s="1525">
        <f t="shared" si="1"/>
        <v>0</v>
      </c>
      <c r="D24" s="921"/>
      <c r="E24" s="921"/>
      <c r="F24" s="921"/>
      <c r="G24" s="921"/>
      <c r="H24" s="921"/>
      <c r="I24" s="921"/>
      <c r="J24" s="921"/>
      <c r="K24" s="921"/>
      <c r="L24" s="921"/>
    </row>
    <row r="25" spans="2:12" x14ac:dyDescent="0.25">
      <c r="B25" s="1840"/>
      <c r="C25" s="1525">
        <f t="shared" si="1"/>
        <v>0</v>
      </c>
      <c r="D25" s="921"/>
      <c r="E25" s="921"/>
      <c r="F25" s="921"/>
      <c r="G25" s="921"/>
      <c r="H25" s="921"/>
      <c r="I25" s="921"/>
      <c r="J25" s="921"/>
      <c r="K25" s="921"/>
      <c r="L25" s="921"/>
    </row>
    <row r="26" spans="2:12" x14ac:dyDescent="0.25">
      <c r="B26" s="1840"/>
      <c r="C26" s="1525">
        <f t="shared" si="1"/>
        <v>0</v>
      </c>
      <c r="D26" s="921"/>
      <c r="E26" s="921"/>
      <c r="F26" s="921"/>
      <c r="G26" s="921"/>
      <c r="H26" s="921"/>
      <c r="I26" s="921"/>
      <c r="J26" s="921"/>
      <c r="K26" s="921"/>
      <c r="L26" s="921"/>
    </row>
    <row r="27" spans="2:12" x14ac:dyDescent="0.25">
      <c r="B27" s="1840"/>
      <c r="C27" s="1525">
        <f t="shared" si="1"/>
        <v>0</v>
      </c>
      <c r="D27" s="921"/>
      <c r="E27" s="921"/>
      <c r="F27" s="921"/>
      <c r="G27" s="921"/>
      <c r="H27" s="921"/>
      <c r="I27" s="921"/>
      <c r="J27" s="921"/>
      <c r="K27" s="921"/>
      <c r="L27" s="921"/>
    </row>
    <row r="28" spans="2:12" x14ac:dyDescent="0.25">
      <c r="B28" s="1840"/>
      <c r="C28" s="1525">
        <f t="shared" si="1"/>
        <v>0</v>
      </c>
      <c r="D28" s="921"/>
      <c r="E28" s="921"/>
      <c r="F28" s="921"/>
      <c r="G28" s="921"/>
      <c r="H28" s="921"/>
      <c r="I28" s="921"/>
      <c r="J28" s="921"/>
      <c r="K28" s="921"/>
      <c r="L28" s="921"/>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26"/>
  <sheetViews>
    <sheetView topLeftCell="A13" workbookViewId="0">
      <selection activeCell="C21" sqref="C21"/>
    </sheetView>
  </sheetViews>
  <sheetFormatPr defaultColWidth="8.85546875" defaultRowHeight="15" x14ac:dyDescent="0.25"/>
  <cols>
    <col min="1" max="1" width="33.42578125" style="18" customWidth="1"/>
    <col min="2" max="2" width="16.7109375" style="18" customWidth="1"/>
    <col min="3" max="3" width="17" style="18" customWidth="1"/>
    <col min="4" max="5" width="11.7109375" style="18" customWidth="1"/>
    <col min="6" max="7" width="11.85546875" style="18" customWidth="1"/>
    <col min="8" max="8" width="11.42578125" style="18" customWidth="1"/>
    <col min="9" max="9" width="10.28515625" style="18" customWidth="1"/>
    <col min="10" max="16384" width="8.85546875" style="18"/>
  </cols>
  <sheetData>
    <row r="1" spans="1:11" ht="55.15" customHeight="1" x14ac:dyDescent="0.25">
      <c r="A1" s="4376" t="s">
        <v>3050</v>
      </c>
      <c r="B1" s="4376"/>
      <c r="C1" s="4376"/>
      <c r="D1" s="4376"/>
      <c r="E1" s="4376"/>
      <c r="F1" s="4376"/>
      <c r="G1" s="2345"/>
      <c r="H1" s="2345"/>
      <c r="I1" s="2345"/>
      <c r="J1" s="2345"/>
      <c r="K1" s="2345"/>
    </row>
    <row r="3" spans="1:11" ht="47.25" x14ac:dyDescent="0.25">
      <c r="A3" s="1524" t="s">
        <v>3037</v>
      </c>
      <c r="B3" s="15" t="s">
        <v>3041</v>
      </c>
      <c r="C3" s="15" t="s">
        <v>3042</v>
      </c>
      <c r="D3" s="4359" t="s">
        <v>3043</v>
      </c>
      <c r="E3" s="4360"/>
      <c r="F3" s="4377" t="s">
        <v>3044</v>
      </c>
      <c r="G3" s="4377"/>
      <c r="H3" s="4361" t="s">
        <v>3053</v>
      </c>
      <c r="I3" s="4362"/>
    </row>
    <row r="5" spans="1:11" s="2352" customFormat="1" ht="29.45" customHeight="1" x14ac:dyDescent="0.25">
      <c r="A5" s="2350" t="s">
        <v>2695</v>
      </c>
      <c r="B5" s="2351" t="s">
        <v>3045</v>
      </c>
      <c r="C5" s="2351" t="s">
        <v>3045</v>
      </c>
      <c r="D5" s="4372" t="s">
        <v>3045</v>
      </c>
      <c r="E5" s="4373"/>
      <c r="F5" s="4371" t="s">
        <v>3046</v>
      </c>
      <c r="G5" s="4371"/>
    </row>
    <row r="6" spans="1:11" s="2355" customFormat="1" ht="31.9" customHeight="1" x14ac:dyDescent="0.25">
      <c r="A6" s="2353" t="s">
        <v>3051</v>
      </c>
      <c r="B6" s="2354">
        <v>6235.51</v>
      </c>
      <c r="C6" s="2354">
        <v>6235.51</v>
      </c>
      <c r="D6" s="4365">
        <v>6235.51</v>
      </c>
      <c r="E6" s="4366"/>
      <c r="F6" s="4368">
        <v>6235.51</v>
      </c>
      <c r="G6" s="4368"/>
    </row>
    <row r="7" spans="1:11" ht="15.75" x14ac:dyDescent="0.25">
      <c r="A7" s="921" t="s">
        <v>3038</v>
      </c>
      <c r="B7" s="1524">
        <v>1394.9</v>
      </c>
      <c r="C7" s="1524">
        <v>1273.4000000000001</v>
      </c>
      <c r="D7" s="4361">
        <v>1341.02</v>
      </c>
      <c r="E7" s="4362"/>
      <c r="F7" s="4369">
        <v>1390.28</v>
      </c>
      <c r="G7" s="4369"/>
      <c r="H7" s="58"/>
      <c r="I7" s="58"/>
      <c r="J7" s="58"/>
      <c r="K7" s="58"/>
    </row>
    <row r="8" spans="1:11" ht="15.75" x14ac:dyDescent="0.25">
      <c r="A8" s="921" t="s">
        <v>3039</v>
      </c>
      <c r="B8" s="1524">
        <v>55670.12</v>
      </c>
      <c r="C8" s="1524">
        <v>73289.89</v>
      </c>
      <c r="D8" s="4361">
        <v>88163</v>
      </c>
      <c r="E8" s="4362"/>
      <c r="F8" s="4369">
        <v>48205.98</v>
      </c>
      <c r="G8" s="4369"/>
      <c r="H8" s="58"/>
      <c r="I8" s="58"/>
      <c r="J8" s="58"/>
      <c r="K8" s="58"/>
    </row>
    <row r="9" spans="1:11" ht="58.5" x14ac:dyDescent="0.35">
      <c r="A9" s="2342" t="s">
        <v>3040</v>
      </c>
      <c r="B9" s="2343">
        <v>1923.08</v>
      </c>
      <c r="C9" s="2343">
        <v>1794.28</v>
      </c>
      <c r="D9" s="4378">
        <v>2013.34</v>
      </c>
      <c r="E9" s="4379"/>
      <c r="F9" s="4370">
        <v>1759.01</v>
      </c>
      <c r="G9" s="4370"/>
      <c r="H9" s="2344"/>
      <c r="I9" s="2344"/>
      <c r="J9" s="2344"/>
      <c r="K9" s="2344"/>
    </row>
    <row r="10" spans="1:11" s="2356" customFormat="1" ht="33.6" customHeight="1" x14ac:dyDescent="0.25">
      <c r="A10" s="2350" t="s">
        <v>2695</v>
      </c>
      <c r="B10" s="2351" t="s">
        <v>3045</v>
      </c>
      <c r="C10" s="2351" t="s">
        <v>3045</v>
      </c>
      <c r="D10" s="4372" t="s">
        <v>3045</v>
      </c>
      <c r="E10" s="4373"/>
      <c r="F10" s="4371" t="s">
        <v>3047</v>
      </c>
      <c r="G10" s="4371"/>
    </row>
    <row r="11" spans="1:11" s="2355" customFormat="1" ht="32.450000000000003" customHeight="1" x14ac:dyDescent="0.25">
      <c r="A11" s="2353" t="s">
        <v>3051</v>
      </c>
      <c r="B11" s="2354">
        <v>6235.51</v>
      </c>
      <c r="C11" s="2354">
        <v>6235.51</v>
      </c>
      <c r="D11" s="4365">
        <v>6235.51</v>
      </c>
      <c r="E11" s="4366"/>
      <c r="F11" s="4368">
        <v>4011.12</v>
      </c>
      <c r="G11" s="4368"/>
    </row>
    <row r="12" spans="1:11" s="1240" customFormat="1" ht="25.5" x14ac:dyDescent="0.2">
      <c r="A12" s="2348" t="s">
        <v>3048</v>
      </c>
      <c r="B12" s="1849"/>
      <c r="C12" s="1849"/>
      <c r="D12" s="4374"/>
      <c r="E12" s="4375"/>
      <c r="F12" s="2349" t="s">
        <v>631</v>
      </c>
      <c r="G12" s="2349" t="s">
        <v>630</v>
      </c>
    </row>
    <row r="13" spans="1:11" ht="15.75" x14ac:dyDescent="0.25">
      <c r="A13" s="921" t="s">
        <v>3038</v>
      </c>
      <c r="B13" s="1524">
        <v>1394.9</v>
      </c>
      <c r="C13" s="1524">
        <v>1273.4000000000001</v>
      </c>
      <c r="D13" s="4361">
        <v>1341.02</v>
      </c>
      <c r="E13" s="4362"/>
      <c r="F13" s="2346">
        <v>806.59</v>
      </c>
      <c r="G13" s="921">
        <v>806.59</v>
      </c>
      <c r="H13" s="58"/>
      <c r="I13" s="58"/>
      <c r="J13" s="58"/>
      <c r="K13" s="58"/>
    </row>
    <row r="14" spans="1:11" ht="15.75" x14ac:dyDescent="0.25">
      <c r="A14" s="921" t="s">
        <v>3039</v>
      </c>
      <c r="B14" s="1524">
        <v>55670.12</v>
      </c>
      <c r="C14" s="1524">
        <v>73289.89</v>
      </c>
      <c r="D14" s="4361">
        <v>91163</v>
      </c>
      <c r="E14" s="4362"/>
      <c r="F14" s="2346">
        <v>110460.1</v>
      </c>
      <c r="G14" s="921">
        <v>85317.31</v>
      </c>
      <c r="H14" s="58"/>
      <c r="I14" s="58"/>
      <c r="J14" s="58"/>
      <c r="K14" s="58"/>
    </row>
    <row r="15" spans="1:11" ht="58.5" x14ac:dyDescent="0.35">
      <c r="A15" s="2342" t="s">
        <v>3040</v>
      </c>
      <c r="B15" s="2343">
        <v>1923.08</v>
      </c>
      <c r="C15" s="2343">
        <v>1794.28</v>
      </c>
      <c r="D15" s="4378">
        <v>2013.34</v>
      </c>
      <c r="E15" s="4379"/>
      <c r="F15" s="2343">
        <v>1626.66</v>
      </c>
      <c r="G15" s="2347">
        <v>1377.58</v>
      </c>
      <c r="H15" s="2344"/>
      <c r="I15" s="2344"/>
      <c r="J15" s="2344"/>
      <c r="K15" s="2344"/>
    </row>
    <row r="16" spans="1:11" s="2352" customFormat="1" ht="33.6" customHeight="1" x14ac:dyDescent="0.25">
      <c r="A16" s="2357" t="s">
        <v>3049</v>
      </c>
      <c r="B16" s="2351" t="s">
        <v>579</v>
      </c>
      <c r="C16" s="2351" t="s">
        <v>579</v>
      </c>
      <c r="D16" s="4363" t="s">
        <v>3093</v>
      </c>
      <c r="E16" s="4364"/>
      <c r="F16" s="4371" t="s">
        <v>3052</v>
      </c>
      <c r="G16" s="4371"/>
      <c r="H16" s="4363" t="s">
        <v>3094</v>
      </c>
      <c r="I16" s="4364"/>
    </row>
    <row r="17" spans="1:11" s="2355" customFormat="1" ht="32.450000000000003" customHeight="1" x14ac:dyDescent="0.25">
      <c r="A17" s="2353" t="s">
        <v>3051</v>
      </c>
      <c r="B17" s="2354"/>
      <c r="C17" s="2354"/>
      <c r="D17" s="4365">
        <v>6408</v>
      </c>
      <c r="E17" s="4366"/>
      <c r="F17" s="4368">
        <v>6183.33</v>
      </c>
      <c r="G17" s="4368"/>
      <c r="H17" s="4365"/>
      <c r="I17" s="4366"/>
    </row>
    <row r="18" spans="1:11" s="1240" customFormat="1" ht="25.5" x14ac:dyDescent="0.2">
      <c r="A18" s="2348" t="s">
        <v>3048</v>
      </c>
      <c r="B18" s="1849"/>
      <c r="C18" s="1849"/>
      <c r="D18" s="2349" t="s">
        <v>631</v>
      </c>
      <c r="E18" s="2349" t="s">
        <v>630</v>
      </c>
      <c r="F18" s="2349" t="s">
        <v>631</v>
      </c>
      <c r="G18" s="2349" t="s">
        <v>630</v>
      </c>
      <c r="H18" s="2349" t="s">
        <v>631</v>
      </c>
      <c r="I18" s="2349" t="s">
        <v>630</v>
      </c>
    </row>
    <row r="19" spans="1:11" ht="15.75" x14ac:dyDescent="0.25">
      <c r="A19" s="921" t="s">
        <v>3038</v>
      </c>
      <c r="B19" s="1524"/>
      <c r="C19" s="1524"/>
      <c r="D19" s="1524"/>
      <c r="E19" s="1524"/>
      <c r="F19" s="2346">
        <v>1173.58</v>
      </c>
      <c r="G19" s="1812">
        <v>1111</v>
      </c>
      <c r="H19" s="1524"/>
      <c r="I19" s="1524"/>
      <c r="J19" s="58"/>
      <c r="K19" s="58"/>
    </row>
    <row r="20" spans="1:11" ht="15.75" x14ac:dyDescent="0.25">
      <c r="A20" s="921" t="s">
        <v>3039</v>
      </c>
      <c r="B20" s="1524"/>
      <c r="C20" s="1524"/>
      <c r="D20" s="1524"/>
      <c r="E20" s="1524"/>
      <c r="F20" s="2346">
        <v>152112.18</v>
      </c>
      <c r="G20" s="1525">
        <v>119319.37</v>
      </c>
      <c r="H20" s="1524"/>
      <c r="I20" s="1524"/>
      <c r="J20" s="58"/>
      <c r="K20" s="58"/>
    </row>
    <row r="21" spans="1:11" ht="58.5" x14ac:dyDescent="0.35">
      <c r="A21" s="2342" t="s">
        <v>3040</v>
      </c>
      <c r="B21" s="2343"/>
      <c r="C21" s="2343"/>
      <c r="D21" s="2358">
        <v>2453.5</v>
      </c>
      <c r="E21" s="2343">
        <v>2446.64</v>
      </c>
      <c r="F21" s="2343">
        <v>2419.3200000000002</v>
      </c>
      <c r="G21" s="2347">
        <v>2078.83</v>
      </c>
      <c r="H21" s="2358">
        <v>2256.23</v>
      </c>
      <c r="I21" s="2343">
        <v>2217.7199999999998</v>
      </c>
      <c r="J21" s="2344"/>
      <c r="K21" s="2344"/>
    </row>
    <row r="23" spans="1:11" ht="47.25" x14ac:dyDescent="0.25">
      <c r="A23" s="1838" t="s">
        <v>3030</v>
      </c>
    </row>
    <row r="24" spans="1:11" ht="15.75" x14ac:dyDescent="0.25">
      <c r="A24" s="4367"/>
      <c r="B24" s="4367"/>
      <c r="C24" s="4367"/>
      <c r="D24" s="4367"/>
      <c r="E24" s="4367"/>
      <c r="F24" s="4367"/>
      <c r="G24" s="4367"/>
      <c r="H24" s="4367"/>
      <c r="I24" s="4367"/>
    </row>
    <row r="25" spans="1:11" s="58" customFormat="1" ht="15.75" x14ac:dyDescent="0.25">
      <c r="A25" s="58" t="s">
        <v>1095</v>
      </c>
      <c r="H25" s="58">
        <v>3925.91</v>
      </c>
      <c r="I25" s="58">
        <v>3914.51</v>
      </c>
    </row>
    <row r="26" spans="1:11" s="58" customFormat="1" ht="15.75" x14ac:dyDescent="0.25">
      <c r="A26" s="58" t="s">
        <v>1096</v>
      </c>
      <c r="H26" s="58">
        <v>3962.16</v>
      </c>
      <c r="I26" s="58">
        <v>3905.48</v>
      </c>
    </row>
  </sheetData>
  <mergeCells count="29">
    <mergeCell ref="D15:E15"/>
    <mergeCell ref="D16:E16"/>
    <mergeCell ref="D9:E9"/>
    <mergeCell ref="D8:E8"/>
    <mergeCell ref="D7:E7"/>
    <mergeCell ref="A1:F1"/>
    <mergeCell ref="F3:G3"/>
    <mergeCell ref="F5:G5"/>
    <mergeCell ref="F6:G6"/>
    <mergeCell ref="F7:G7"/>
    <mergeCell ref="D3:E3"/>
    <mergeCell ref="D6:E6"/>
    <mergeCell ref="D5:E5"/>
    <mergeCell ref="H3:I3"/>
    <mergeCell ref="H16:I16"/>
    <mergeCell ref="H17:I17"/>
    <mergeCell ref="A24:I24"/>
    <mergeCell ref="F17:G17"/>
    <mergeCell ref="F8:G8"/>
    <mergeCell ref="F9:G9"/>
    <mergeCell ref="F10:G10"/>
    <mergeCell ref="F11:G11"/>
    <mergeCell ref="F16:G16"/>
    <mergeCell ref="D17:E17"/>
    <mergeCell ref="D10:E10"/>
    <mergeCell ref="D11:E11"/>
    <mergeCell ref="D12:E12"/>
    <mergeCell ref="D13:E13"/>
    <mergeCell ref="D14:E14"/>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3"/>
  <sheetViews>
    <sheetView workbookViewId="0">
      <selection activeCell="B49" sqref="B49"/>
    </sheetView>
  </sheetViews>
  <sheetFormatPr defaultColWidth="8.85546875" defaultRowHeight="15.75" x14ac:dyDescent="0.25"/>
  <cols>
    <col min="1" max="1" width="19.5703125" style="58" customWidth="1"/>
    <col min="2" max="2" width="11.42578125" style="58" customWidth="1"/>
    <col min="3" max="3" width="11" style="58" customWidth="1"/>
    <col min="4" max="4" width="11.85546875" style="58" customWidth="1"/>
    <col min="5" max="5" width="11.28515625" style="58" customWidth="1"/>
    <col min="6" max="6" width="10.7109375" style="58" customWidth="1"/>
    <col min="7" max="7" width="11.5703125" style="58" customWidth="1"/>
    <col min="8" max="8" width="12.7109375" style="58" customWidth="1"/>
    <col min="9" max="16384" width="8.85546875" style="58"/>
  </cols>
  <sheetData>
    <row r="1" spans="1:10" x14ac:dyDescent="0.25">
      <c r="A1" s="4075"/>
      <c r="B1" s="4075"/>
      <c r="C1" s="4075"/>
      <c r="D1" s="4075"/>
      <c r="E1" s="4075"/>
      <c r="F1" s="4075"/>
      <c r="G1" s="4075"/>
      <c r="H1" s="4075"/>
    </row>
    <row r="3" spans="1:10" x14ac:dyDescent="0.25">
      <c r="H3" s="58" t="s">
        <v>1956</v>
      </c>
    </row>
    <row r="4" spans="1:10" ht="13.9" customHeight="1" x14ac:dyDescent="0.25">
      <c r="A4" s="4354" t="s">
        <v>3244</v>
      </c>
      <c r="B4" s="4384" t="s">
        <v>3238</v>
      </c>
      <c r="C4" s="4384"/>
      <c r="D4" s="4384"/>
      <c r="E4" s="4384" t="s">
        <v>2876</v>
      </c>
      <c r="F4" s="4384"/>
      <c r="G4" s="4384"/>
      <c r="H4" s="4385" t="s">
        <v>3031</v>
      </c>
    </row>
    <row r="5" spans="1:10" ht="15.75" customHeight="1" x14ac:dyDescent="0.25">
      <c r="A5" s="4358"/>
      <c r="B5" s="4388" t="s">
        <v>3243</v>
      </c>
      <c r="C5" s="4389"/>
      <c r="D5" s="4390"/>
      <c r="E5" s="4388" t="s">
        <v>3243</v>
      </c>
      <c r="F5" s="4389"/>
      <c r="G5" s="4390"/>
      <c r="H5" s="4385"/>
    </row>
    <row r="6" spans="1:10" x14ac:dyDescent="0.25">
      <c r="A6" s="4358"/>
      <c r="B6" s="4391"/>
      <c r="C6" s="3655"/>
      <c r="D6" s="4392"/>
      <c r="E6" s="4391"/>
      <c r="F6" s="3655"/>
      <c r="G6" s="4392"/>
      <c r="H6" s="4385"/>
    </row>
    <row r="7" spans="1:10" x14ac:dyDescent="0.25">
      <c r="A7" s="4355"/>
      <c r="B7" s="4393" t="s">
        <v>74</v>
      </c>
      <c r="C7" s="4394"/>
      <c r="D7" s="4395"/>
      <c r="E7" s="4393" t="s">
        <v>74</v>
      </c>
      <c r="F7" s="4394"/>
      <c r="G7" s="4395"/>
      <c r="H7" s="1524" t="s">
        <v>4</v>
      </c>
    </row>
    <row r="8" spans="1:10" ht="18.75" hidden="1" x14ac:dyDescent="0.25">
      <c r="A8" s="4403" t="s">
        <v>3033</v>
      </c>
      <c r="B8" s="4404"/>
      <c r="C8" s="4404"/>
      <c r="D8" s="4404"/>
      <c r="E8" s="4404"/>
      <c r="F8" s="4404"/>
      <c r="G8" s="4404"/>
      <c r="H8" s="4405"/>
    </row>
    <row r="9" spans="1:10" s="2341" customFormat="1" ht="47.25" hidden="1" x14ac:dyDescent="0.25">
      <c r="A9" s="2749" t="s">
        <v>3032</v>
      </c>
      <c r="B9" s="4386">
        <v>0</v>
      </c>
      <c r="C9" s="4386"/>
      <c r="D9" s="4386"/>
      <c r="E9" s="4387">
        <v>0</v>
      </c>
      <c r="F9" s="4387"/>
      <c r="G9" s="4387"/>
      <c r="H9" s="2750">
        <v>0</v>
      </c>
    </row>
    <row r="10" spans="1:10" s="1254" customFormat="1" ht="17.45" hidden="1" customHeight="1" x14ac:dyDescent="0.25">
      <c r="A10" s="4400" t="s">
        <v>3034</v>
      </c>
      <c r="B10" s="4401"/>
      <c r="C10" s="4401"/>
      <c r="D10" s="4401"/>
      <c r="E10" s="4401"/>
      <c r="F10" s="4401"/>
      <c r="G10" s="4401"/>
      <c r="H10" s="4402"/>
    </row>
    <row r="11" spans="1:10" hidden="1" x14ac:dyDescent="0.25">
      <c r="A11" s="2751" t="s">
        <v>2729</v>
      </c>
      <c r="B11" s="4396">
        <f>сведено!B176</f>
        <v>0</v>
      </c>
      <c r="C11" s="4397"/>
      <c r="D11" s="4398"/>
      <c r="E11" s="4396">
        <f>сведено!E176</f>
        <v>0</v>
      </c>
      <c r="F11" s="4397"/>
      <c r="G11" s="4398"/>
      <c r="H11" s="2754">
        <f>сведено!H176</f>
        <v>0</v>
      </c>
    </row>
    <row r="12" spans="1:10" s="1254" customFormat="1" ht="17.45" hidden="1" customHeight="1" x14ac:dyDescent="0.25">
      <c r="A12" s="4400" t="s">
        <v>3035</v>
      </c>
      <c r="B12" s="4401"/>
      <c r="C12" s="4401"/>
      <c r="D12" s="4401"/>
      <c r="E12" s="4401"/>
      <c r="F12" s="4401"/>
      <c r="G12" s="4401"/>
      <c r="H12" s="4402"/>
    </row>
    <row r="13" spans="1:10" hidden="1" x14ac:dyDescent="0.25">
      <c r="A13" s="2751" t="s">
        <v>2729</v>
      </c>
      <c r="B13" s="4396">
        <f>сведено!B182</f>
        <v>0</v>
      </c>
      <c r="C13" s="4397"/>
      <c r="D13" s="4398"/>
      <c r="E13" s="4396">
        <f>сведено!E182</f>
        <v>0</v>
      </c>
      <c r="F13" s="4397"/>
      <c r="G13" s="4398"/>
      <c r="H13" s="2754">
        <f>сведено!H182</f>
        <v>0</v>
      </c>
    </row>
    <row r="14" spans="1:10" hidden="1" x14ac:dyDescent="0.25">
      <c r="A14" s="1838"/>
      <c r="C14" s="1898"/>
    </row>
    <row r="15" spans="1:10" ht="18.75" hidden="1" x14ac:dyDescent="0.25">
      <c r="A15" s="4403" t="s">
        <v>2770</v>
      </c>
      <c r="B15" s="4404"/>
      <c r="C15" s="4404"/>
      <c r="D15" s="4404"/>
      <c r="E15" s="4404"/>
      <c r="F15" s="4404"/>
      <c r="G15" s="4404"/>
      <c r="H15" s="4405"/>
    </row>
    <row r="16" spans="1:10" s="2341" customFormat="1" ht="47.25" hidden="1" x14ac:dyDescent="0.25">
      <c r="A16" s="2749" t="s">
        <v>3032</v>
      </c>
      <c r="B16" s="4386">
        <v>0</v>
      </c>
      <c r="C16" s="4386"/>
      <c r="D16" s="4386"/>
      <c r="E16" s="4387">
        <v>0</v>
      </c>
      <c r="F16" s="4387"/>
      <c r="G16" s="4387"/>
      <c r="H16" s="2750">
        <v>0</v>
      </c>
      <c r="J16" s="2341">
        <v>0</v>
      </c>
    </row>
    <row r="17" spans="1:10" s="2341" customFormat="1" hidden="1" x14ac:dyDescent="0.25">
      <c r="A17" s="4400" t="s">
        <v>3034</v>
      </c>
      <c r="B17" s="4401"/>
      <c r="C17" s="4401"/>
      <c r="D17" s="4401"/>
      <c r="E17" s="4401"/>
      <c r="F17" s="4401"/>
      <c r="G17" s="4401"/>
      <c r="H17" s="4402"/>
    </row>
    <row r="18" spans="1:10" hidden="1" x14ac:dyDescent="0.25">
      <c r="A18" s="2751" t="s">
        <v>2729</v>
      </c>
      <c r="B18" s="4396">
        <f>сведено!B189</f>
        <v>0</v>
      </c>
      <c r="C18" s="4397"/>
      <c r="D18" s="4398"/>
      <c r="E18" s="4396">
        <f>сведено!E189</f>
        <v>0</v>
      </c>
      <c r="F18" s="4397"/>
      <c r="G18" s="4398"/>
      <c r="H18" s="2754"/>
    </row>
    <row r="19" spans="1:10" ht="15.6" hidden="1" customHeight="1" x14ac:dyDescent="0.25">
      <c r="A19" s="4400" t="s">
        <v>3239</v>
      </c>
      <c r="B19" s="4401"/>
      <c r="C19" s="4401"/>
      <c r="D19" s="4401"/>
      <c r="E19" s="4401"/>
      <c r="F19" s="4401"/>
      <c r="G19" s="4401"/>
      <c r="H19" s="4402"/>
    </row>
    <row r="20" spans="1:10" hidden="1" x14ac:dyDescent="0.25">
      <c r="A20" s="2751" t="s">
        <v>2729</v>
      </c>
      <c r="B20" s="4396">
        <f>сведено!B195</f>
        <v>0</v>
      </c>
      <c r="C20" s="4397"/>
      <c r="D20" s="4398"/>
      <c r="E20" s="4396">
        <f>сведено!E195</f>
        <v>0</v>
      </c>
      <c r="F20" s="4397"/>
      <c r="G20" s="4398"/>
      <c r="H20" s="2754"/>
    </row>
    <row r="21" spans="1:10" hidden="1" x14ac:dyDescent="0.25">
      <c r="A21" s="1838"/>
      <c r="C21" s="1898"/>
    </row>
    <row r="22" spans="1:10" x14ac:dyDescent="0.25">
      <c r="A22" s="4381" t="s">
        <v>2886</v>
      </c>
      <c r="B22" s="4382"/>
      <c r="C22" s="4382"/>
      <c r="D22" s="4382"/>
      <c r="E22" s="4382"/>
      <c r="F22" s="4382"/>
      <c r="G22" s="4382"/>
      <c r="H22" s="4383"/>
    </row>
    <row r="23" spans="1:10" s="2341" customFormat="1" ht="47.25" x14ac:dyDescent="0.25">
      <c r="A23" s="2749" t="s">
        <v>3032</v>
      </c>
      <c r="B23" s="4399">
        <f>'Вхідні дані'!D24*1.2</f>
        <v>36695.980000000003</v>
      </c>
      <c r="C23" s="4399"/>
      <c r="D23" s="4399"/>
      <c r="E23" s="4399">
        <f>9892.3*1.2</f>
        <v>11870.76</v>
      </c>
      <c r="F23" s="4399"/>
      <c r="G23" s="4399"/>
      <c r="H23" s="2750">
        <f>B23/E23-1</f>
        <v>2.09</v>
      </c>
      <c r="J23" s="2341">
        <f>B23/E23</f>
        <v>3.0912915432541799</v>
      </c>
    </row>
    <row r="24" spans="1:10" x14ac:dyDescent="0.25">
      <c r="A24" s="2751" t="s">
        <v>2729</v>
      </c>
      <c r="B24" s="4396">
        <f>сведено!B202</f>
        <v>11928.22</v>
      </c>
      <c r="C24" s="4397"/>
      <c r="D24" s="4398"/>
      <c r="E24" s="4396">
        <f>сведено!C202</f>
        <v>3644.83</v>
      </c>
      <c r="F24" s="4397"/>
      <c r="G24" s="4398"/>
      <c r="H24" s="3551">
        <f>B24/E24-1</f>
        <v>2.27</v>
      </c>
    </row>
    <row r="25" spans="1:10" x14ac:dyDescent="0.25">
      <c r="A25" s="4381" t="s">
        <v>2887</v>
      </c>
      <c r="B25" s="4382"/>
      <c r="C25" s="4382"/>
      <c r="D25" s="4382"/>
      <c r="E25" s="4382"/>
      <c r="F25" s="4382"/>
      <c r="G25" s="4382"/>
      <c r="H25" s="4383"/>
    </row>
    <row r="26" spans="1:10" x14ac:dyDescent="0.25">
      <c r="A26" s="2751" t="s">
        <v>2729</v>
      </c>
      <c r="B26" s="4396">
        <f>сведено!B208</f>
        <v>11111.89</v>
      </c>
      <c r="C26" s="4397"/>
      <c r="D26" s="4398"/>
      <c r="E26" s="4396">
        <f>сведено!C208</f>
        <v>3644.83</v>
      </c>
      <c r="F26" s="4397"/>
      <c r="G26" s="4398"/>
      <c r="H26" s="3551">
        <f t="shared" ref="H26" si="0">B26/E26-1</f>
        <v>2.0499999999999998</v>
      </c>
    </row>
    <row r="27" spans="1:10" x14ac:dyDescent="0.25">
      <c r="A27" s="1838"/>
      <c r="C27" s="1898"/>
    </row>
    <row r="28" spans="1:10" hidden="1" x14ac:dyDescent="0.25">
      <c r="A28" s="4381" t="s">
        <v>3036</v>
      </c>
      <c r="B28" s="4382"/>
      <c r="C28" s="4382"/>
      <c r="D28" s="4382"/>
      <c r="E28" s="4382"/>
      <c r="F28" s="4382"/>
      <c r="G28" s="4382"/>
      <c r="H28" s="4383"/>
    </row>
    <row r="29" spans="1:10" s="2341" customFormat="1" ht="47.25" hidden="1" x14ac:dyDescent="0.25">
      <c r="A29" s="2749" t="s">
        <v>3032</v>
      </c>
      <c r="B29" s="4386">
        <v>0</v>
      </c>
      <c r="C29" s="4386"/>
      <c r="D29" s="4386"/>
      <c r="E29" s="4387">
        <v>0</v>
      </c>
      <c r="F29" s="4387"/>
      <c r="G29" s="4387"/>
      <c r="H29" s="2750"/>
    </row>
    <row r="30" spans="1:10" hidden="1" x14ac:dyDescent="0.25">
      <c r="A30" s="2751" t="s">
        <v>2729</v>
      </c>
      <c r="B30" s="2752">
        <f>сведено!B215</f>
        <v>0</v>
      </c>
      <c r="C30" s="2753">
        <f>сведено!C215</f>
        <v>0</v>
      </c>
      <c r="D30" s="2753">
        <f>сведено!D215</f>
        <v>0</v>
      </c>
      <c r="E30" s="2752">
        <f>сведено!E215</f>
        <v>0</v>
      </c>
      <c r="F30" s="2753">
        <f>сведено!F215</f>
        <v>0</v>
      </c>
      <c r="G30" s="2753">
        <f>сведено!G215</f>
        <v>0</v>
      </c>
      <c r="H30" s="2754">
        <v>0</v>
      </c>
    </row>
    <row r="31" spans="1:10" x14ac:dyDescent="0.25">
      <c r="A31" s="1838"/>
      <c r="C31" s="1898"/>
    </row>
    <row r="32" spans="1:10" ht="23.25" customHeight="1" x14ac:dyDescent="0.25">
      <c r="A32" s="4380" t="s">
        <v>3449</v>
      </c>
      <c r="B32" s="4380"/>
      <c r="C32" s="4380"/>
      <c r="D32" s="4380"/>
    </row>
    <row r="33" spans="1:1" x14ac:dyDescent="0.25">
      <c r="A33" s="58" t="s">
        <v>3448</v>
      </c>
    </row>
  </sheetData>
  <mergeCells count="39">
    <mergeCell ref="E24:G24"/>
    <mergeCell ref="E26:G26"/>
    <mergeCell ref="A1:H1"/>
    <mergeCell ref="A10:H10"/>
    <mergeCell ref="A17:H17"/>
    <mergeCell ref="A8:H8"/>
    <mergeCell ref="E7:G7"/>
    <mergeCell ref="A28:H28"/>
    <mergeCell ref="B9:D9"/>
    <mergeCell ref="E9:G9"/>
    <mergeCell ref="B16:D16"/>
    <mergeCell ref="E16:G16"/>
    <mergeCell ref="B23:D23"/>
    <mergeCell ref="E23:G23"/>
    <mergeCell ref="A12:H12"/>
    <mergeCell ref="A15:H15"/>
    <mergeCell ref="A19:H19"/>
    <mergeCell ref="B11:D11"/>
    <mergeCell ref="E18:G18"/>
    <mergeCell ref="B20:D20"/>
    <mergeCell ref="E20:G20"/>
    <mergeCell ref="B24:D24"/>
    <mergeCell ref="B26:D26"/>
    <mergeCell ref="A32:D32"/>
    <mergeCell ref="A22:H22"/>
    <mergeCell ref="A25:H25"/>
    <mergeCell ref="A4:A7"/>
    <mergeCell ref="B4:D4"/>
    <mergeCell ref="E4:G4"/>
    <mergeCell ref="H4:H6"/>
    <mergeCell ref="B29:D29"/>
    <mergeCell ref="E29:G29"/>
    <mergeCell ref="B5:D6"/>
    <mergeCell ref="B7:D7"/>
    <mergeCell ref="E5:G6"/>
    <mergeCell ref="E11:G11"/>
    <mergeCell ref="B13:D13"/>
    <mergeCell ref="E13:G13"/>
    <mergeCell ref="B18:D18"/>
  </mergeCells>
  <pageMargins left="0.70866141732283472" right="0.18" top="0.74803149606299213" bottom="0.74803149606299213" header="0.31496062992125984" footer="0.31496062992125984"/>
  <pageSetup paperSize="9" scale="93"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18"/>
  <sheetViews>
    <sheetView topLeftCell="A18" zoomScaleNormal="100" workbookViewId="0">
      <selection activeCell="B86" sqref="B86"/>
    </sheetView>
  </sheetViews>
  <sheetFormatPr defaultColWidth="8.85546875" defaultRowHeight="15" x14ac:dyDescent="0.25"/>
  <cols>
    <col min="1" max="1" width="20" style="108" customWidth="1"/>
    <col min="2" max="2" width="20.7109375" style="18" customWidth="1"/>
    <col min="3" max="3" width="11" style="1251" customWidth="1"/>
    <col min="4" max="4" width="11.28515625" style="18" customWidth="1"/>
    <col min="5" max="5" width="11" style="18" customWidth="1"/>
    <col min="6" max="6" width="11.140625" style="18" customWidth="1"/>
    <col min="7" max="7" width="11" style="18" customWidth="1"/>
    <col min="8" max="8" width="12" style="18" bestFit="1" customWidth="1"/>
    <col min="9" max="9" width="10.5703125" style="18" customWidth="1"/>
    <col min="10" max="10" width="10.140625" style="18" customWidth="1"/>
    <col min="11" max="12" width="9" style="18" bestFit="1" customWidth="1"/>
    <col min="13" max="13" width="8.85546875" style="18"/>
    <col min="14" max="14" width="8.85546875" style="18" customWidth="1"/>
    <col min="15" max="16384" width="8.85546875" style="18"/>
  </cols>
  <sheetData>
    <row r="1" spans="1:12" x14ac:dyDescent="0.25">
      <c r="J1" s="2426">
        <f>G8</f>
        <v>91834.06</v>
      </c>
      <c r="K1" s="2427">
        <f>J1/J$6</f>
        <v>0.94599999999999995</v>
      </c>
    </row>
    <row r="2" spans="1:12" x14ac:dyDescent="0.25">
      <c r="D2" s="1251"/>
      <c r="E2" s="1251"/>
      <c r="F2" s="1251"/>
      <c r="G2" s="1251"/>
      <c r="J2" s="2428">
        <f>G12</f>
        <v>3673.35</v>
      </c>
      <c r="K2" s="2429">
        <f t="shared" ref="K2:K6" si="0">J2/J$6</f>
        <v>3.7999999999999999E-2</v>
      </c>
    </row>
    <row r="3" spans="1:12" x14ac:dyDescent="0.25">
      <c r="J3" s="2428">
        <f>G10+G11</f>
        <v>1564.85</v>
      </c>
      <c r="K3" s="2429">
        <f t="shared" si="0"/>
        <v>1.6E-2</v>
      </c>
    </row>
    <row r="4" spans="1:12" s="821" customFormat="1" x14ac:dyDescent="0.25">
      <c r="A4" s="2430"/>
      <c r="B4" s="2431"/>
      <c r="C4" s="2432" t="s">
        <v>1371</v>
      </c>
      <c r="D4" s="2431" t="s">
        <v>2126</v>
      </c>
      <c r="E4" s="2431" t="s">
        <v>2127</v>
      </c>
      <c r="F4" s="2431" t="s">
        <v>1373</v>
      </c>
      <c r="G4" s="2431" t="s">
        <v>2128</v>
      </c>
      <c r="J4" s="2433">
        <f>G9</f>
        <v>5238.2</v>
      </c>
      <c r="K4" s="2429">
        <f t="shared" si="0"/>
        <v>5.3999999999999999E-2</v>
      </c>
    </row>
    <row r="5" spans="1:12" x14ac:dyDescent="0.25">
      <c r="A5" s="34" t="s">
        <v>2248</v>
      </c>
      <c r="B5" s="20" t="s">
        <v>40</v>
      </c>
      <c r="C5" s="2434">
        <f>Виробництво_Транспортування_1ст!F9+'Д 2_Т на В'!H42</f>
        <v>67516.94</v>
      </c>
      <c r="D5" s="926">
        <f>Виробництво_Транспортування_1ст!K103</f>
        <v>2917.8</v>
      </c>
      <c r="E5" s="926">
        <f>Виробництво_Транспортування_1ст!L103</f>
        <v>14982.64</v>
      </c>
      <c r="F5" s="926">
        <f>Постачання_1ст!F9</f>
        <v>914.12</v>
      </c>
      <c r="G5" s="926">
        <f t="shared" ref="G5:G14" si="1">SUM(C5:F5)</f>
        <v>86331.5</v>
      </c>
      <c r="I5" s="863">
        <f>Виробництво_Транспортування_1ст!F9+'Д 2_Т на В'!H42</f>
        <v>67516.94</v>
      </c>
      <c r="J5" s="2428">
        <f>G13</f>
        <v>0</v>
      </c>
      <c r="K5" s="2429">
        <f t="shared" si="0"/>
        <v>0</v>
      </c>
    </row>
    <row r="6" spans="1:12" ht="15.75" thickBot="1" x14ac:dyDescent="0.3">
      <c r="A6" s="34" t="s">
        <v>1076</v>
      </c>
      <c r="B6" s="20" t="s">
        <v>40</v>
      </c>
      <c r="C6" s="2434">
        <f>'БАЗИ РОЗПОДІЛУ'!F13</f>
        <v>3419.53</v>
      </c>
      <c r="D6" s="926">
        <f>'БАЗИ РОЗПОДІЛУ'!H13</f>
        <v>76.709999999999994</v>
      </c>
      <c r="E6" s="926">
        <f>'БАЗИ РОЗПОДІЛУ'!I13</f>
        <v>391.4</v>
      </c>
      <c r="F6" s="926">
        <f>'БАЗИ РОЗПОДІЛУ'!J13</f>
        <v>46.42</v>
      </c>
      <c r="G6" s="926">
        <f t="shared" si="1"/>
        <v>3934.06</v>
      </c>
      <c r="I6" s="863">
        <f>'БАЗИ РОЗПОДІЛУ'!F14</f>
        <v>3419.53</v>
      </c>
      <c r="J6" s="2435">
        <f>G14</f>
        <v>97072.26</v>
      </c>
      <c r="K6" s="2436">
        <f t="shared" si="0"/>
        <v>1</v>
      </c>
    </row>
    <row r="7" spans="1:12" ht="30" x14ac:dyDescent="0.25">
      <c r="A7" s="34" t="s">
        <v>2730</v>
      </c>
      <c r="B7" s="20" t="s">
        <v>40</v>
      </c>
      <c r="C7" s="2434">
        <f>'БАЗИ РОЗПОДІЛУ'!F20</f>
        <v>1363.38</v>
      </c>
      <c r="D7" s="926">
        <f>'БАЗИ РОЗПОДІЛУ'!H20</f>
        <v>30.58</v>
      </c>
      <c r="E7" s="926">
        <f>'БАЗИ РОЗПОДІЛУ'!I20</f>
        <v>156.05000000000001</v>
      </c>
      <c r="F7" s="926">
        <f>'БАЗИ РОЗПОДІЛУ'!J20</f>
        <v>18.510000000000002</v>
      </c>
      <c r="G7" s="926">
        <f t="shared" si="1"/>
        <v>1568.52</v>
      </c>
      <c r="I7" s="863">
        <f>'БАЗИ РОЗПОДІЛУ'!F21</f>
        <v>1363.38</v>
      </c>
    </row>
    <row r="8" spans="1:12" s="23" customFormat="1" ht="28.5" x14ac:dyDescent="0.2">
      <c r="A8" s="2437" t="s">
        <v>2371</v>
      </c>
      <c r="B8" s="1363" t="s">
        <v>40</v>
      </c>
      <c r="C8" s="2438">
        <f>I8</f>
        <v>72299.83</v>
      </c>
      <c r="D8" s="1514">
        <f>SUM(D5:D7)</f>
        <v>3025.09</v>
      </c>
      <c r="E8" s="1514">
        <f>SUM(E5:E7)</f>
        <v>15530.09</v>
      </c>
      <c r="F8" s="1514">
        <f>SUM(F5:F7)</f>
        <v>979.05</v>
      </c>
      <c r="G8" s="1514">
        <f>SUM(C8:F8)</f>
        <v>91834.06</v>
      </c>
      <c r="I8" s="2145">
        <f>'Д 2_Т на В'!H43</f>
        <v>72299.83</v>
      </c>
      <c r="J8" s="2439">
        <f>C8-I8</f>
        <v>0</v>
      </c>
      <c r="K8" s="23" t="s">
        <v>2140</v>
      </c>
    </row>
    <row r="9" spans="1:12" x14ac:dyDescent="0.25">
      <c r="A9" s="34" t="s">
        <v>2731</v>
      </c>
      <c r="B9" s="20" t="s">
        <v>40</v>
      </c>
      <c r="C9" s="926">
        <f>SUM(C10:C12)</f>
        <v>4123.9799999999996</v>
      </c>
      <c r="D9" s="926">
        <f>SUM(D10:D12)</f>
        <v>172.55</v>
      </c>
      <c r="E9" s="926">
        <f>SUM(E10:E12)</f>
        <v>885.83</v>
      </c>
      <c r="F9" s="926">
        <f>SUM(F10:F12)</f>
        <v>55.84</v>
      </c>
      <c r="G9" s="926">
        <f t="shared" si="1"/>
        <v>5238.2</v>
      </c>
      <c r="I9" s="863">
        <f>'Д 2_Т на В'!H45</f>
        <v>4123.9799999999996</v>
      </c>
      <c r="J9" s="862">
        <f>C9-I9</f>
        <v>0</v>
      </c>
    </row>
    <row r="10" spans="1:12" x14ac:dyDescent="0.25">
      <c r="A10" s="2440" t="s">
        <v>2732</v>
      </c>
      <c r="B10" s="20" t="s">
        <v>40</v>
      </c>
      <c r="C10" s="2434">
        <f>'Д 2_Т на В'!H46</f>
        <v>520.55999999999995</v>
      </c>
      <c r="D10" s="926">
        <f>'Д 3_Т на Т з ЦТП'!G40</f>
        <v>21.78</v>
      </c>
      <c r="E10" s="926">
        <f>'Д 3.1_Т на Т без ЦТП'!G40</f>
        <v>111.82</v>
      </c>
      <c r="F10" s="926">
        <f>'Д 4_Т на П'!G37</f>
        <v>7.05</v>
      </c>
      <c r="G10" s="926">
        <f>F10+E10+D10+C10</f>
        <v>661.21</v>
      </c>
      <c r="I10" s="863"/>
      <c r="J10" s="862"/>
    </row>
    <row r="11" spans="1:12" x14ac:dyDescent="0.25">
      <c r="A11" s="2440" t="s">
        <v>3237</v>
      </c>
      <c r="B11" s="20" t="s">
        <v>40</v>
      </c>
      <c r="C11" s="2434">
        <f>'Д 2_Т на В'!H47</f>
        <v>711.43</v>
      </c>
      <c r="D11" s="926">
        <f>'Д 3_Т на Т з ЦТП'!G41</f>
        <v>29.77</v>
      </c>
      <c r="E11" s="926">
        <f>'Д 3.1_Т на Т без ЦТП'!G41</f>
        <v>152.81</v>
      </c>
      <c r="F11" s="926">
        <f>'Д 4_Т на П'!G38</f>
        <v>9.6300000000000008</v>
      </c>
      <c r="G11" s="926">
        <f t="shared" ref="G11:G13" si="2">F11+E11+D11+C11</f>
        <v>903.64</v>
      </c>
      <c r="I11" s="863"/>
      <c r="J11" s="862"/>
    </row>
    <row r="12" spans="1:12" x14ac:dyDescent="0.25">
      <c r="A12" s="2440" t="s">
        <v>2188</v>
      </c>
      <c r="B12" s="20" t="s">
        <v>40</v>
      </c>
      <c r="C12" s="2434">
        <f>'Д 2_Т на В'!H49+'Д 2_Т на В'!H50</f>
        <v>2891.99</v>
      </c>
      <c r="D12" s="926">
        <f>'Д 3_Т на Т з ЦТП'!G44</f>
        <v>121</v>
      </c>
      <c r="E12" s="926">
        <f>'Д 3.1_Т на Т без ЦТП'!G44</f>
        <v>621.20000000000005</v>
      </c>
      <c r="F12" s="926">
        <f>'Д 4_Т на П'!G40+'Д 4_Т на П'!G41</f>
        <v>39.159999999999997</v>
      </c>
      <c r="G12" s="926">
        <f t="shared" si="2"/>
        <v>3673.35</v>
      </c>
      <c r="H12" s="862"/>
      <c r="I12" s="863"/>
      <c r="J12" s="862"/>
    </row>
    <row r="13" spans="1:12" ht="24" customHeight="1" x14ac:dyDescent="0.25">
      <c r="A13" s="2441" t="s">
        <v>3250</v>
      </c>
      <c r="B13" s="20" t="s">
        <v>40</v>
      </c>
      <c r="C13" s="2434">
        <v>0</v>
      </c>
      <c r="D13" s="926">
        <v>0</v>
      </c>
      <c r="E13" s="926"/>
      <c r="F13" s="926"/>
      <c r="G13" s="926">
        <f t="shared" si="2"/>
        <v>0</v>
      </c>
      <c r="H13" s="862"/>
      <c r="I13" s="863"/>
      <c r="J13" s="862"/>
    </row>
    <row r="14" spans="1:12" s="23" customFormat="1" ht="28.5" x14ac:dyDescent="0.2">
      <c r="A14" s="2437" t="s">
        <v>2733</v>
      </c>
      <c r="B14" s="1363"/>
      <c r="C14" s="2438">
        <f>C8+C9+C13</f>
        <v>76423.81</v>
      </c>
      <c r="D14" s="1514">
        <f>D8+D9</f>
        <v>3197.64</v>
      </c>
      <c r="E14" s="1514">
        <f>E8+E9</f>
        <v>16415.919999999998</v>
      </c>
      <c r="F14" s="1514">
        <f>F8+F9</f>
        <v>1034.8900000000001</v>
      </c>
      <c r="G14" s="1514">
        <f t="shared" si="1"/>
        <v>97072.26</v>
      </c>
      <c r="H14" s="2442">
        <f>G8+G9+G13</f>
        <v>97072.26</v>
      </c>
      <c r="I14" s="2145">
        <f>'Д 2_Т на В'!H51</f>
        <v>76423.81</v>
      </c>
      <c r="J14" s="2439">
        <f t="shared" ref="J14" si="3">C14-I14</f>
        <v>0</v>
      </c>
      <c r="L14" s="23">
        <v>170</v>
      </c>
    </row>
    <row r="15" spans="1:12" hidden="1" x14ac:dyDescent="0.25">
      <c r="A15" s="1252" t="s">
        <v>1942</v>
      </c>
      <c r="B15" s="1251"/>
    </row>
    <row r="16" spans="1:12" hidden="1" x14ac:dyDescent="0.25">
      <c r="A16" s="34" t="s">
        <v>2125</v>
      </c>
      <c r="C16" s="2443" t="e">
        <f>C9-#REF!</f>
        <v>#REF!</v>
      </c>
    </row>
    <row r="17" spans="1:9" hidden="1" x14ac:dyDescent="0.25">
      <c r="A17" s="34" t="s">
        <v>1371</v>
      </c>
      <c r="C17" s="2443" t="e">
        <f>C14-#REF!</f>
        <v>#REF!</v>
      </c>
    </row>
    <row r="18" spans="1:9" ht="39" x14ac:dyDescent="0.25">
      <c r="A18" s="4406" t="s">
        <v>2729</v>
      </c>
      <c r="B18" s="4406"/>
      <c r="C18" s="4406"/>
      <c r="D18" s="4406"/>
      <c r="E18" s="4406"/>
      <c r="F18" s="18" t="s">
        <v>2138</v>
      </c>
      <c r="G18" s="2444" t="str">
        <f>'Вхідні дані'!F1</f>
        <v>станом на 01.06.2022 року</v>
      </c>
    </row>
    <row r="19" spans="1:9" s="31" customFormat="1" ht="14.45" customHeight="1" x14ac:dyDescent="0.25">
      <c r="A19" s="3756" t="s">
        <v>968</v>
      </c>
      <c r="B19" s="3756" t="s">
        <v>2133</v>
      </c>
      <c r="C19" s="4407" t="s">
        <v>2132</v>
      </c>
      <c r="D19" s="4409" t="s">
        <v>2086</v>
      </c>
      <c r="E19" s="4410"/>
      <c r="F19" s="4410"/>
      <c r="G19" s="4411"/>
    </row>
    <row r="20" spans="1:9" s="1239" customFormat="1" ht="25.5" x14ac:dyDescent="0.25">
      <c r="A20" s="3756"/>
      <c r="B20" s="3756"/>
      <c r="C20" s="4408"/>
      <c r="D20" s="2445" t="s">
        <v>3</v>
      </c>
      <c r="E20" s="2445" t="s">
        <v>173</v>
      </c>
      <c r="F20" s="2445" t="s">
        <v>2134</v>
      </c>
      <c r="G20" s="2445" t="s">
        <v>99</v>
      </c>
    </row>
    <row r="21" spans="1:9" s="11" customFormat="1" ht="12" x14ac:dyDescent="0.2">
      <c r="A21" s="1345" t="s">
        <v>1822</v>
      </c>
      <c r="B21" s="2446" t="s">
        <v>2096</v>
      </c>
      <c r="C21" s="2447">
        <f>'Д 5 Т на ТЕ з ЦТП'!D9</f>
        <v>7163.27</v>
      </c>
      <c r="D21" s="2447">
        <f>'Д 5 Т на ТЕ з ЦТП'!E9</f>
        <v>0</v>
      </c>
      <c r="E21" s="2447">
        <f>'Д 5.1 Т на ТЕ без ЦТП'!F12</f>
        <v>0</v>
      </c>
      <c r="F21" s="2447">
        <f>'Д 5.1 Т на ТЕ без ЦТП'!G12</f>
        <v>0</v>
      </c>
      <c r="G21" s="2447">
        <f>'Д 5 Т на ТЕ з ЦТП'!H9</f>
        <v>7163.27</v>
      </c>
    </row>
    <row r="22" spans="1:9" hidden="1" x14ac:dyDescent="0.25">
      <c r="A22" s="17" t="s">
        <v>2129</v>
      </c>
      <c r="B22" s="2448" t="s">
        <v>2096</v>
      </c>
      <c r="C22" s="2449"/>
      <c r="D22" s="2449"/>
      <c r="E22" s="2449"/>
      <c r="F22" s="2449"/>
      <c r="G22" s="2449"/>
    </row>
    <row r="23" spans="1:9" hidden="1" x14ac:dyDescent="0.25">
      <c r="A23" s="17" t="s">
        <v>2130</v>
      </c>
      <c r="B23" s="2448" t="s">
        <v>2097</v>
      </c>
      <c r="C23" s="2449"/>
      <c r="D23" s="2449"/>
      <c r="E23" s="2449"/>
      <c r="F23" s="2450"/>
      <c r="G23" s="2449"/>
      <c r="I23" s="2451"/>
    </row>
    <row r="24" spans="1:9" ht="5.45" customHeight="1" x14ac:dyDescent="0.25">
      <c r="A24" s="31"/>
      <c r="B24" s="1791"/>
      <c r="C24" s="2452"/>
      <c r="D24" s="2452"/>
      <c r="E24" s="2452"/>
      <c r="F24" s="2452"/>
      <c r="G24" s="2452"/>
    </row>
    <row r="25" spans="1:9" s="11" customFormat="1" ht="12" x14ac:dyDescent="0.2">
      <c r="A25" s="1345" t="s">
        <v>2706</v>
      </c>
      <c r="B25" s="2446" t="s">
        <v>2096</v>
      </c>
      <c r="C25" s="2453">
        <f>'Д 5 Т на ТЕ з ЦТП'!D13</f>
        <v>2667.51</v>
      </c>
      <c r="D25" s="2453">
        <f>'Д 5 Т на ТЕ з ЦТП'!E13</f>
        <v>0</v>
      </c>
      <c r="E25" s="2453">
        <v>0</v>
      </c>
      <c r="F25" s="2453">
        <f>'Д 5 Т на ТЕ з ЦТП'!G13</f>
        <v>0</v>
      </c>
      <c r="G25" s="2453">
        <f>'Д 5 Т на ТЕ з ЦТП'!H13</f>
        <v>2667.51</v>
      </c>
    </row>
    <row r="26" spans="1:9" hidden="1" x14ac:dyDescent="0.25">
      <c r="A26" s="17" t="s">
        <v>2129</v>
      </c>
      <c r="B26" s="2448" t="s">
        <v>2096</v>
      </c>
      <c r="C26" s="2449"/>
      <c r="D26" s="2449"/>
      <c r="E26" s="2449"/>
      <c r="F26" s="2449"/>
      <c r="G26" s="2449"/>
    </row>
    <row r="27" spans="1:9" hidden="1" x14ac:dyDescent="0.25">
      <c r="A27" s="17" t="s">
        <v>2130</v>
      </c>
      <c r="B27" s="2448" t="s">
        <v>2097</v>
      </c>
      <c r="C27" s="2449"/>
      <c r="D27" s="2449"/>
      <c r="E27" s="2449"/>
      <c r="F27" s="2449"/>
      <c r="G27" s="2449"/>
    </row>
    <row r="28" spans="1:9" ht="6" customHeight="1" x14ac:dyDescent="0.25">
      <c r="A28" s="31"/>
      <c r="B28" s="1791"/>
      <c r="C28" s="2452"/>
      <c r="D28" s="2452"/>
      <c r="E28" s="2452"/>
      <c r="F28" s="2452"/>
      <c r="G28" s="2452"/>
    </row>
    <row r="29" spans="1:9" s="11" customFormat="1" ht="12" x14ac:dyDescent="0.2">
      <c r="A29" s="1345" t="s">
        <v>2135</v>
      </c>
      <c r="B29" s="2446" t="s">
        <v>2096</v>
      </c>
      <c r="C29" s="2453">
        <f>'Д 5.1 Т на ТЕ без ЦТП'!D16</f>
        <v>1987.24</v>
      </c>
      <c r="D29" s="2453">
        <f>'Д 5.1 Т на ТЕ без ЦТП'!E16</f>
        <v>0</v>
      </c>
      <c r="E29" s="2453">
        <f>'Д 5.1 Т на ТЕ без ЦТП'!F16</f>
        <v>0</v>
      </c>
      <c r="F29" s="2453">
        <f>'Д 5.1 Т на ТЕ без ЦТП'!G16</f>
        <v>0</v>
      </c>
      <c r="G29" s="2453">
        <f>'Д 5.1 Т на ТЕ без ЦТП'!H16</f>
        <v>1987.24</v>
      </c>
    </row>
    <row r="30" spans="1:9" hidden="1" x14ac:dyDescent="0.25">
      <c r="A30" s="17" t="s">
        <v>2129</v>
      </c>
      <c r="B30" s="2448" t="s">
        <v>2096</v>
      </c>
      <c r="C30" s="2449"/>
      <c r="D30" s="2449"/>
      <c r="E30" s="2449"/>
      <c r="F30" s="2449"/>
      <c r="G30" s="2449"/>
    </row>
    <row r="31" spans="1:9" hidden="1" x14ac:dyDescent="0.25">
      <c r="A31" s="17" t="s">
        <v>2130</v>
      </c>
      <c r="B31" s="2448" t="s">
        <v>2097</v>
      </c>
      <c r="C31" s="2449"/>
      <c r="D31" s="2449"/>
      <c r="E31" s="2449"/>
      <c r="F31" s="2449"/>
      <c r="G31" s="2449"/>
    </row>
    <row r="32" spans="1:9" ht="6" customHeight="1" x14ac:dyDescent="0.25">
      <c r="A32" s="31"/>
      <c r="B32" s="1791"/>
      <c r="C32" s="2452"/>
      <c r="D32" s="2452"/>
      <c r="E32" s="2452"/>
      <c r="F32" s="2452"/>
      <c r="G32" s="2452"/>
    </row>
    <row r="33" spans="1:9" s="11" customFormat="1" ht="12" x14ac:dyDescent="0.2">
      <c r="A33" s="1345" t="s">
        <v>2117</v>
      </c>
      <c r="B33" s="2446" t="s">
        <v>2096</v>
      </c>
      <c r="C33" s="2447">
        <f>'Д 5.1 Т на ТЕ без ЦТП'!D20</f>
        <v>109.4</v>
      </c>
      <c r="D33" s="2447">
        <f>'Д 5.1 Т на ТЕ без ЦТП'!E20</f>
        <v>0</v>
      </c>
      <c r="E33" s="2447">
        <f>'Д 5.1 Т на ТЕ без ЦТП'!F20</f>
        <v>0</v>
      </c>
      <c r="F33" s="2447">
        <f>'Д 5.1 Т на ТЕ без ЦТП'!G20</f>
        <v>0</v>
      </c>
      <c r="G33" s="2447">
        <f>'Д 5.1 Т на ТЕ без ЦТП'!H20</f>
        <v>109.4</v>
      </c>
    </row>
    <row r="34" spans="1:9" hidden="1" x14ac:dyDescent="0.25">
      <c r="A34" s="17" t="s">
        <v>2129</v>
      </c>
      <c r="B34" s="2448" t="s">
        <v>2096</v>
      </c>
      <c r="C34" s="2449"/>
      <c r="D34" s="2449"/>
      <c r="E34" s="2449"/>
      <c r="F34" s="2449"/>
      <c r="G34" s="2449"/>
    </row>
    <row r="35" spans="1:9" hidden="1" x14ac:dyDescent="0.25">
      <c r="A35" s="17" t="s">
        <v>2130</v>
      </c>
      <c r="B35" s="2448" t="s">
        <v>2097</v>
      </c>
      <c r="C35" s="2449"/>
      <c r="D35" s="2449"/>
      <c r="E35" s="2449"/>
      <c r="F35" s="2449"/>
      <c r="G35" s="2449"/>
    </row>
    <row r="36" spans="1:9" ht="4.9000000000000004" customHeight="1" x14ac:dyDescent="0.25">
      <c r="C36" s="2452"/>
      <c r="D36" s="2452"/>
      <c r="E36" s="2452"/>
      <c r="F36" s="2452"/>
      <c r="G36" s="2452"/>
    </row>
    <row r="37" spans="1:9" x14ac:dyDescent="0.25">
      <c r="A37" s="2454" t="s">
        <v>2136</v>
      </c>
      <c r="B37" s="2446" t="s">
        <v>2096</v>
      </c>
      <c r="C37" s="2453">
        <f t="shared" ref="C37:D39" si="4">C21+C25+C33</f>
        <v>9940.18</v>
      </c>
      <c r="D37" s="2453">
        <f t="shared" si="4"/>
        <v>0</v>
      </c>
      <c r="E37" s="2453">
        <v>0</v>
      </c>
      <c r="F37" s="2453">
        <v>0</v>
      </c>
      <c r="G37" s="2453">
        <f t="shared" ref="F37:G39" si="5">G21+G25+G33</f>
        <v>9940.18</v>
      </c>
      <c r="H37" s="863">
        <f>'Д 5 Т на ТЕ з ЦТП'!D21</f>
        <v>9940.18</v>
      </c>
      <c r="I37" s="1346"/>
    </row>
    <row r="38" spans="1:9" hidden="1" x14ac:dyDescent="0.25">
      <c r="A38" s="17" t="s">
        <v>2129</v>
      </c>
      <c r="B38" s="2448" t="s">
        <v>2096</v>
      </c>
      <c r="C38" s="2449">
        <f t="shared" si="4"/>
        <v>0</v>
      </c>
      <c r="D38" s="2449">
        <f t="shared" si="4"/>
        <v>0</v>
      </c>
      <c r="E38" s="2449">
        <v>0</v>
      </c>
      <c r="F38" s="2449">
        <f t="shared" si="5"/>
        <v>0</v>
      </c>
      <c r="G38" s="2449">
        <f t="shared" si="5"/>
        <v>0</v>
      </c>
      <c r="I38" s="1346"/>
    </row>
    <row r="39" spans="1:9" hidden="1" x14ac:dyDescent="0.25">
      <c r="A39" s="17" t="s">
        <v>2130</v>
      </c>
      <c r="B39" s="2448" t="s">
        <v>2097</v>
      </c>
      <c r="C39" s="2449">
        <f t="shared" si="4"/>
        <v>0</v>
      </c>
      <c r="D39" s="2449">
        <f t="shared" si="4"/>
        <v>0</v>
      </c>
      <c r="E39" s="2449">
        <v>0</v>
      </c>
      <c r="F39" s="2449">
        <f t="shared" si="5"/>
        <v>0</v>
      </c>
      <c r="G39" s="2449">
        <f t="shared" si="5"/>
        <v>0</v>
      </c>
      <c r="I39" s="1346"/>
    </row>
    <row r="40" spans="1:9" ht="6" customHeight="1" x14ac:dyDescent="0.25">
      <c r="C40" s="2452"/>
      <c r="D40" s="2452"/>
      <c r="E40" s="2452"/>
      <c r="F40" s="2452"/>
      <c r="G40" s="2452"/>
      <c r="I40" s="1251"/>
    </row>
    <row r="41" spans="1:9" x14ac:dyDescent="0.25">
      <c r="A41" s="1345" t="s">
        <v>2137</v>
      </c>
      <c r="B41" s="2446" t="s">
        <v>2096</v>
      </c>
      <c r="C41" s="2453">
        <f t="shared" ref="C41:G43" si="6">C21+C29+C33</f>
        <v>9259.91</v>
      </c>
      <c r="D41" s="2453">
        <f t="shared" si="6"/>
        <v>0</v>
      </c>
      <c r="E41" s="2453">
        <f t="shared" si="6"/>
        <v>0</v>
      </c>
      <c r="F41" s="2453">
        <f t="shared" si="6"/>
        <v>0</v>
      </c>
      <c r="G41" s="2453">
        <f t="shared" si="6"/>
        <v>9259.91</v>
      </c>
      <c r="I41" s="1346"/>
    </row>
    <row r="42" spans="1:9" hidden="1" x14ac:dyDescent="0.25">
      <c r="A42" s="17" t="s">
        <v>2129</v>
      </c>
      <c r="B42" s="2448" t="s">
        <v>2096</v>
      </c>
      <c r="C42" s="2449">
        <f t="shared" si="6"/>
        <v>0</v>
      </c>
      <c r="D42" s="2449">
        <f t="shared" si="6"/>
        <v>0</v>
      </c>
      <c r="E42" s="2449">
        <f t="shared" si="6"/>
        <v>0</v>
      </c>
      <c r="F42" s="2449">
        <f t="shared" si="6"/>
        <v>0</v>
      </c>
      <c r="G42" s="2449">
        <f t="shared" si="6"/>
        <v>0</v>
      </c>
      <c r="I42" s="1346"/>
    </row>
    <row r="43" spans="1:9" hidden="1" x14ac:dyDescent="0.25">
      <c r="A43" s="17" t="s">
        <v>2130</v>
      </c>
      <c r="B43" s="2448" t="s">
        <v>2097</v>
      </c>
      <c r="C43" s="2449">
        <f t="shared" si="6"/>
        <v>0</v>
      </c>
      <c r="D43" s="2449">
        <f t="shared" si="6"/>
        <v>0</v>
      </c>
      <c r="E43" s="2449">
        <f t="shared" si="6"/>
        <v>0</v>
      </c>
      <c r="F43" s="2449">
        <f t="shared" si="6"/>
        <v>0</v>
      </c>
      <c r="G43" s="2449">
        <f t="shared" si="6"/>
        <v>0</v>
      </c>
      <c r="I43" s="1346"/>
    </row>
    <row r="44" spans="1:9" hidden="1" x14ac:dyDescent="0.25"/>
    <row r="45" spans="1:9" ht="4.9000000000000004" hidden="1" customHeight="1" x14ac:dyDescent="0.25"/>
    <row r="46" spans="1:9" hidden="1" x14ac:dyDescent="0.25"/>
    <row r="47" spans="1:9" x14ac:dyDescent="0.25">
      <c r="C47" s="2443"/>
      <c r="F47" s="2286" t="s">
        <v>2139</v>
      </c>
    </row>
    <row r="48" spans="1:9" x14ac:dyDescent="0.25">
      <c r="A48" s="3756" t="s">
        <v>2131</v>
      </c>
      <c r="B48" s="3756" t="s">
        <v>2133</v>
      </c>
      <c r="C48" s="4407" t="s">
        <v>2132</v>
      </c>
      <c r="D48" s="4409" t="s">
        <v>2086</v>
      </c>
      <c r="E48" s="4410"/>
      <c r="F48" s="4410"/>
      <c r="G48" s="4411"/>
    </row>
    <row r="49" spans="1:11" ht="25.5" x14ac:dyDescent="0.25">
      <c r="A49" s="3756"/>
      <c r="B49" s="3756"/>
      <c r="C49" s="4408"/>
      <c r="D49" s="2445" t="s">
        <v>3</v>
      </c>
      <c r="E49" s="2445" t="s">
        <v>173</v>
      </c>
      <c r="F49" s="2445" t="s">
        <v>2134</v>
      </c>
      <c r="G49" s="2445" t="s">
        <v>99</v>
      </c>
      <c r="I49" s="18" t="s">
        <v>2198</v>
      </c>
    </row>
    <row r="50" spans="1:11" ht="15.75" thickBot="1" x14ac:dyDescent="0.3">
      <c r="A50" s="1345" t="s">
        <v>1822</v>
      </c>
      <c r="B50" s="2446" t="s">
        <v>2096</v>
      </c>
      <c r="C50" s="2453">
        <f t="shared" ref="C50:G52" si="7">C21*1.2</f>
        <v>8595.92</v>
      </c>
      <c r="D50" s="2453">
        <f t="shared" si="7"/>
        <v>0</v>
      </c>
      <c r="E50" s="2453">
        <f t="shared" si="7"/>
        <v>0</v>
      </c>
      <c r="F50" s="2453">
        <f t="shared" si="7"/>
        <v>0</v>
      </c>
      <c r="G50" s="2453">
        <f t="shared" si="7"/>
        <v>8595.92</v>
      </c>
      <c r="I50" s="2455">
        <v>2565.2399999999998</v>
      </c>
      <c r="J50" s="862">
        <f>C50-I50</f>
        <v>6030.68</v>
      </c>
      <c r="K50" s="2456">
        <f>J50/I50</f>
        <v>2.3509000000000002</v>
      </c>
    </row>
    <row r="51" spans="1:11" ht="15.75" hidden="1" thickBot="1" x14ac:dyDescent="0.3">
      <c r="A51" s="17" t="s">
        <v>2129</v>
      </c>
      <c r="B51" s="2448" t="s">
        <v>2096</v>
      </c>
      <c r="C51" s="2457">
        <f t="shared" si="7"/>
        <v>0</v>
      </c>
      <c r="D51" s="2457">
        <f t="shared" si="7"/>
        <v>0</v>
      </c>
      <c r="E51" s="2457">
        <f t="shared" si="7"/>
        <v>0</v>
      </c>
      <c r="F51" s="2457">
        <f t="shared" si="7"/>
        <v>0</v>
      </c>
      <c r="G51" s="2457">
        <f t="shared" si="7"/>
        <v>0</v>
      </c>
      <c r="I51" s="2455"/>
      <c r="J51" s="862"/>
      <c r="K51" s="2456"/>
    </row>
    <row r="52" spans="1:11" ht="15.75" hidden="1" thickBot="1" x14ac:dyDescent="0.3">
      <c r="A52" s="17" t="s">
        <v>2130</v>
      </c>
      <c r="B52" s="2448" t="s">
        <v>2097</v>
      </c>
      <c r="C52" s="2457">
        <f t="shared" si="7"/>
        <v>0</v>
      </c>
      <c r="D52" s="2457">
        <f t="shared" si="7"/>
        <v>0</v>
      </c>
      <c r="E52" s="2457">
        <f t="shared" si="7"/>
        <v>0</v>
      </c>
      <c r="F52" s="2457">
        <f t="shared" si="7"/>
        <v>0</v>
      </c>
      <c r="G52" s="2457">
        <f t="shared" si="7"/>
        <v>0</v>
      </c>
      <c r="I52" s="2455"/>
      <c r="J52" s="862"/>
      <c r="K52" s="2456"/>
    </row>
    <row r="53" spans="1:11" ht="6" customHeight="1" thickBot="1" x14ac:dyDescent="0.3">
      <c r="A53" s="31"/>
      <c r="B53" s="1791"/>
      <c r="C53" s="2452"/>
      <c r="D53" s="2452"/>
      <c r="E53" s="2452"/>
      <c r="F53" s="2452"/>
      <c r="G53" s="2452"/>
      <c r="I53" s="2458"/>
      <c r="J53" s="862"/>
      <c r="K53" s="2456"/>
    </row>
    <row r="54" spans="1:11" ht="16.899999999999999" customHeight="1" thickBot="1" x14ac:dyDescent="0.3">
      <c r="A54" s="1345" t="s">
        <v>2706</v>
      </c>
      <c r="B54" s="2446" t="s">
        <v>2096</v>
      </c>
      <c r="C54" s="2453">
        <f t="shared" ref="C54:G56" si="8">C25*1.2</f>
        <v>3201.01</v>
      </c>
      <c r="D54" s="2453">
        <f t="shared" si="8"/>
        <v>0</v>
      </c>
      <c r="E54" s="2453">
        <f t="shared" si="8"/>
        <v>0</v>
      </c>
      <c r="F54" s="2453">
        <f t="shared" si="8"/>
        <v>0</v>
      </c>
      <c r="G54" s="2453">
        <f t="shared" si="8"/>
        <v>3201.01</v>
      </c>
      <c r="I54" s="2459">
        <v>443.6</v>
      </c>
      <c r="J54" s="862">
        <f t="shared" ref="J54:J70" si="9">C54-I54</f>
        <v>2757.41</v>
      </c>
      <c r="K54" s="2456">
        <f t="shared" ref="K54:K70" si="10">J54/I54</f>
        <v>6.2160000000000002</v>
      </c>
    </row>
    <row r="55" spans="1:11" ht="15.75" hidden="1" thickBot="1" x14ac:dyDescent="0.3">
      <c r="A55" s="17" t="s">
        <v>2129</v>
      </c>
      <c r="B55" s="2448" t="s">
        <v>2096</v>
      </c>
      <c r="C55" s="2457">
        <f t="shared" si="8"/>
        <v>0</v>
      </c>
      <c r="D55" s="2457">
        <f t="shared" si="8"/>
        <v>0</v>
      </c>
      <c r="E55" s="2457">
        <f t="shared" si="8"/>
        <v>0</v>
      </c>
      <c r="F55" s="2457">
        <f t="shared" si="8"/>
        <v>0</v>
      </c>
      <c r="G55" s="2457">
        <f t="shared" si="8"/>
        <v>0</v>
      </c>
      <c r="I55" s="2455"/>
      <c r="J55" s="862"/>
      <c r="K55" s="2456"/>
    </row>
    <row r="56" spans="1:11" ht="15.75" hidden="1" thickBot="1" x14ac:dyDescent="0.3">
      <c r="A56" s="17" t="s">
        <v>2130</v>
      </c>
      <c r="B56" s="2448" t="s">
        <v>2097</v>
      </c>
      <c r="C56" s="2457">
        <f t="shared" si="8"/>
        <v>0</v>
      </c>
      <c r="D56" s="2457">
        <f t="shared" si="8"/>
        <v>0</v>
      </c>
      <c r="E56" s="2457">
        <f t="shared" si="8"/>
        <v>0</v>
      </c>
      <c r="F56" s="2457">
        <f t="shared" si="8"/>
        <v>0</v>
      </c>
      <c r="G56" s="2457">
        <f t="shared" si="8"/>
        <v>0</v>
      </c>
      <c r="I56" s="2455"/>
      <c r="J56" s="862"/>
      <c r="K56" s="2456"/>
    </row>
    <row r="57" spans="1:11" ht="6" customHeight="1" thickBot="1" x14ac:dyDescent="0.3">
      <c r="A57" s="31"/>
      <c r="B57" s="1791"/>
      <c r="C57" s="2452"/>
      <c r="D57" s="2452"/>
      <c r="E57" s="2452"/>
      <c r="F57" s="2452"/>
      <c r="G57" s="2452"/>
      <c r="I57" s="2458"/>
      <c r="J57" s="862"/>
      <c r="K57" s="2456"/>
    </row>
    <row r="58" spans="1:11" ht="16.149999999999999" customHeight="1" thickBot="1" x14ac:dyDescent="0.3">
      <c r="A58" s="1345" t="s">
        <v>2135</v>
      </c>
      <c r="B58" s="2446" t="s">
        <v>2096</v>
      </c>
      <c r="C58" s="2453">
        <f t="shared" ref="C58:G60" si="11">C29*1.2</f>
        <v>2384.69</v>
      </c>
      <c r="D58" s="2453">
        <f t="shared" si="11"/>
        <v>0</v>
      </c>
      <c r="E58" s="2453">
        <f t="shared" si="11"/>
        <v>0</v>
      </c>
      <c r="F58" s="2453">
        <f t="shared" si="11"/>
        <v>0</v>
      </c>
      <c r="G58" s="2453">
        <f t="shared" si="11"/>
        <v>2384.69</v>
      </c>
      <c r="I58" s="2459">
        <v>443.6</v>
      </c>
      <c r="J58" s="862">
        <f t="shared" si="9"/>
        <v>1941.09</v>
      </c>
      <c r="K58" s="2456">
        <f t="shared" si="10"/>
        <v>4.3757999999999999</v>
      </c>
    </row>
    <row r="59" spans="1:11" ht="15.75" hidden="1" thickBot="1" x14ac:dyDescent="0.3">
      <c r="A59" s="17" t="s">
        <v>2129</v>
      </c>
      <c r="B59" s="2448" t="s">
        <v>2096</v>
      </c>
      <c r="C59" s="2457">
        <f t="shared" si="11"/>
        <v>0</v>
      </c>
      <c r="D59" s="2457">
        <f t="shared" si="11"/>
        <v>0</v>
      </c>
      <c r="E59" s="2457">
        <f t="shared" si="11"/>
        <v>0</v>
      </c>
      <c r="F59" s="2457">
        <f t="shared" si="11"/>
        <v>0</v>
      </c>
      <c r="G59" s="2457">
        <f t="shared" si="11"/>
        <v>0</v>
      </c>
      <c r="I59" s="2455"/>
      <c r="J59" s="862"/>
      <c r="K59" s="2456"/>
    </row>
    <row r="60" spans="1:11" ht="15.75" hidden="1" thickBot="1" x14ac:dyDescent="0.3">
      <c r="A60" s="17" t="s">
        <v>2130</v>
      </c>
      <c r="B60" s="2448" t="s">
        <v>2097</v>
      </c>
      <c r="C60" s="2457">
        <f t="shared" si="11"/>
        <v>0</v>
      </c>
      <c r="D60" s="2457">
        <f t="shared" si="11"/>
        <v>0</v>
      </c>
      <c r="E60" s="2457">
        <f t="shared" si="11"/>
        <v>0</v>
      </c>
      <c r="F60" s="2457">
        <f t="shared" si="11"/>
        <v>0</v>
      </c>
      <c r="G60" s="2457">
        <f t="shared" si="11"/>
        <v>0</v>
      </c>
      <c r="I60" s="2455"/>
      <c r="J60" s="862"/>
      <c r="K60" s="2456"/>
    </row>
    <row r="61" spans="1:11" ht="6" customHeight="1" thickBot="1" x14ac:dyDescent="0.3">
      <c r="A61" s="31"/>
      <c r="B61" s="1791"/>
      <c r="C61" s="2452"/>
      <c r="D61" s="2452"/>
      <c r="E61" s="2452"/>
      <c r="F61" s="2452"/>
      <c r="G61" s="2452"/>
      <c r="I61" s="2458"/>
      <c r="J61" s="862"/>
      <c r="K61" s="2456"/>
    </row>
    <row r="62" spans="1:11" ht="15.75" thickBot="1" x14ac:dyDescent="0.3">
      <c r="A62" s="1345" t="s">
        <v>2117</v>
      </c>
      <c r="B62" s="2446" t="s">
        <v>2096</v>
      </c>
      <c r="C62" s="2453">
        <f t="shared" ref="C62:G64" si="12">C33*1.2</f>
        <v>131.28</v>
      </c>
      <c r="D62" s="2453">
        <f t="shared" si="12"/>
        <v>0</v>
      </c>
      <c r="E62" s="2453">
        <f t="shared" si="12"/>
        <v>0</v>
      </c>
      <c r="F62" s="2453">
        <f t="shared" si="12"/>
        <v>0</v>
      </c>
      <c r="G62" s="2453">
        <f t="shared" si="12"/>
        <v>131.28</v>
      </c>
      <c r="I62" s="2459">
        <v>28.52</v>
      </c>
      <c r="J62" s="862">
        <f t="shared" si="9"/>
        <v>102.76</v>
      </c>
      <c r="K62" s="2456">
        <f t="shared" si="10"/>
        <v>3.6031</v>
      </c>
    </row>
    <row r="63" spans="1:11" ht="15.75" hidden="1" thickBot="1" x14ac:dyDescent="0.3">
      <c r="A63" s="17" t="s">
        <v>2129</v>
      </c>
      <c r="B63" s="2448" t="s">
        <v>2096</v>
      </c>
      <c r="C63" s="2457">
        <f t="shared" si="12"/>
        <v>0</v>
      </c>
      <c r="D63" s="2457">
        <f t="shared" si="12"/>
        <v>0</v>
      </c>
      <c r="E63" s="2457">
        <f t="shared" si="12"/>
        <v>0</v>
      </c>
      <c r="F63" s="2457">
        <f t="shared" si="12"/>
        <v>0</v>
      </c>
      <c r="G63" s="2457">
        <f t="shared" si="12"/>
        <v>0</v>
      </c>
      <c r="I63" s="2455"/>
      <c r="J63" s="862"/>
      <c r="K63" s="2456"/>
    </row>
    <row r="64" spans="1:11" ht="15.75" hidden="1" thickBot="1" x14ac:dyDescent="0.3">
      <c r="A64" s="17" t="s">
        <v>2130</v>
      </c>
      <c r="B64" s="2448" t="s">
        <v>2097</v>
      </c>
      <c r="C64" s="2457">
        <f t="shared" si="12"/>
        <v>0</v>
      </c>
      <c r="D64" s="2457">
        <f t="shared" si="12"/>
        <v>0</v>
      </c>
      <c r="E64" s="2457">
        <f t="shared" si="12"/>
        <v>0</v>
      </c>
      <c r="F64" s="2457">
        <f t="shared" si="12"/>
        <v>0</v>
      </c>
      <c r="G64" s="2457">
        <f t="shared" si="12"/>
        <v>0</v>
      </c>
      <c r="I64" s="2455"/>
      <c r="J64" s="862"/>
      <c r="K64" s="2456"/>
    </row>
    <row r="65" spans="1:11" ht="6" customHeight="1" thickBot="1" x14ac:dyDescent="0.3">
      <c r="C65" s="2452"/>
      <c r="D65" s="2452"/>
      <c r="E65" s="2452"/>
      <c r="F65" s="2452"/>
      <c r="G65" s="2452"/>
      <c r="I65" s="2458"/>
      <c r="J65" s="862"/>
      <c r="K65" s="2456"/>
    </row>
    <row r="66" spans="1:11" ht="15.75" thickBot="1" x14ac:dyDescent="0.3">
      <c r="A66" s="1345" t="s">
        <v>2136</v>
      </c>
      <c r="B66" s="2446" t="s">
        <v>2096</v>
      </c>
      <c r="C66" s="2453">
        <f t="shared" ref="C66:D68" si="13">C50+C54+C62</f>
        <v>11928.21</v>
      </c>
      <c r="D66" s="2453">
        <f t="shared" si="13"/>
        <v>0</v>
      </c>
      <c r="E66" s="2453">
        <v>0</v>
      </c>
      <c r="F66" s="2453">
        <v>0</v>
      </c>
      <c r="G66" s="2453">
        <f t="shared" ref="F66:G68" si="14">G50+G54+G62</f>
        <v>11928.21</v>
      </c>
      <c r="I66" s="2459">
        <v>3037.36</v>
      </c>
      <c r="J66" s="862">
        <f t="shared" si="9"/>
        <v>8890.85</v>
      </c>
      <c r="K66" s="2456">
        <f t="shared" si="10"/>
        <v>2.9272</v>
      </c>
    </row>
    <row r="67" spans="1:11" ht="15.75" hidden="1" thickBot="1" x14ac:dyDescent="0.3">
      <c r="A67" s="17" t="s">
        <v>2129</v>
      </c>
      <c r="B67" s="2448" t="s">
        <v>2096</v>
      </c>
      <c r="C67" s="2434">
        <f t="shared" si="13"/>
        <v>0</v>
      </c>
      <c r="D67" s="2434">
        <f t="shared" si="13"/>
        <v>0</v>
      </c>
      <c r="E67" s="2434">
        <v>0</v>
      </c>
      <c r="F67" s="2434">
        <f t="shared" si="14"/>
        <v>0</v>
      </c>
      <c r="G67" s="2434">
        <f t="shared" si="14"/>
        <v>0</v>
      </c>
      <c r="I67" s="2455"/>
      <c r="J67" s="862"/>
      <c r="K67" s="2456"/>
    </row>
    <row r="68" spans="1:11" ht="15.75" hidden="1" thickBot="1" x14ac:dyDescent="0.3">
      <c r="A68" s="17" t="s">
        <v>2130</v>
      </c>
      <c r="B68" s="2448" t="s">
        <v>2097</v>
      </c>
      <c r="C68" s="2434">
        <f t="shared" si="13"/>
        <v>0</v>
      </c>
      <c r="D68" s="2434">
        <f t="shared" si="13"/>
        <v>0</v>
      </c>
      <c r="E68" s="2434">
        <v>0</v>
      </c>
      <c r="F68" s="2434">
        <f t="shared" si="14"/>
        <v>0</v>
      </c>
      <c r="G68" s="2434">
        <f t="shared" si="14"/>
        <v>0</v>
      </c>
      <c r="I68" s="2455"/>
      <c r="J68" s="862"/>
      <c r="K68" s="2456"/>
    </row>
    <row r="69" spans="1:11" ht="4.9000000000000004" customHeight="1" thickBot="1" x14ac:dyDescent="0.3">
      <c r="C69" s="2452"/>
      <c r="D69" s="2452"/>
      <c r="E69" s="2452"/>
      <c r="F69" s="2452"/>
      <c r="G69" s="2452"/>
      <c r="I69" s="2458"/>
      <c r="J69" s="862"/>
      <c r="K69" s="2456"/>
    </row>
    <row r="70" spans="1:11" ht="16.149999999999999" customHeight="1" thickBot="1" x14ac:dyDescent="0.3">
      <c r="A70" s="1345" t="s">
        <v>2137</v>
      </c>
      <c r="B70" s="2446" t="s">
        <v>2096</v>
      </c>
      <c r="C70" s="2453">
        <f t="shared" ref="C70:G72" si="15">C50+C58+C62</f>
        <v>11111.89</v>
      </c>
      <c r="D70" s="2453">
        <f t="shared" si="15"/>
        <v>0</v>
      </c>
      <c r="E70" s="2453">
        <f t="shared" si="15"/>
        <v>0</v>
      </c>
      <c r="F70" s="2453">
        <f t="shared" si="15"/>
        <v>0</v>
      </c>
      <c r="G70" s="2453">
        <f t="shared" si="15"/>
        <v>11111.89</v>
      </c>
      <c r="I70" s="2459">
        <v>3037.36</v>
      </c>
      <c r="J70" s="862">
        <f t="shared" si="9"/>
        <v>8074.53</v>
      </c>
      <c r="K70" s="2456">
        <f t="shared" si="10"/>
        <v>2.6583999999999999</v>
      </c>
    </row>
    <row r="71" spans="1:11" ht="18" hidden="1" customHeight="1" thickBot="1" x14ac:dyDescent="0.3">
      <c r="A71" s="17" t="s">
        <v>2129</v>
      </c>
      <c r="B71" s="2448" t="s">
        <v>2096</v>
      </c>
      <c r="C71" s="2434">
        <f t="shared" si="15"/>
        <v>0</v>
      </c>
      <c r="D71" s="2434">
        <f t="shared" si="15"/>
        <v>0</v>
      </c>
      <c r="E71" s="2434">
        <f t="shared" si="15"/>
        <v>0</v>
      </c>
      <c r="F71" s="2434">
        <f t="shared" si="15"/>
        <v>0</v>
      </c>
      <c r="G71" s="2434">
        <f t="shared" si="15"/>
        <v>0</v>
      </c>
      <c r="I71" s="2455"/>
      <c r="J71" s="862"/>
      <c r="K71" s="2456"/>
    </row>
    <row r="72" spans="1:11" ht="15.75" hidden="1" thickBot="1" x14ac:dyDescent="0.3">
      <c r="A72" s="17" t="s">
        <v>2130</v>
      </c>
      <c r="B72" s="2448" t="s">
        <v>2097</v>
      </c>
      <c r="C72" s="2434">
        <f t="shared" si="15"/>
        <v>0</v>
      </c>
      <c r="D72" s="2434">
        <f t="shared" si="15"/>
        <v>0</v>
      </c>
      <c r="E72" s="2434">
        <f t="shared" si="15"/>
        <v>0</v>
      </c>
      <c r="F72" s="2434">
        <f t="shared" si="15"/>
        <v>0</v>
      </c>
      <c r="G72" s="2434">
        <f t="shared" si="15"/>
        <v>0</v>
      </c>
      <c r="I72" s="2455"/>
      <c r="J72" s="862"/>
      <c r="K72" s="2456"/>
    </row>
    <row r="75" spans="1:11" ht="15.6" customHeight="1" x14ac:dyDescent="0.25">
      <c r="A75" s="4412" t="s">
        <v>2728</v>
      </c>
      <c r="B75" s="4413"/>
      <c r="C75" s="4413"/>
      <c r="D75" s="4413"/>
      <c r="E75" s="4413"/>
      <c r="F75" s="18" t="s">
        <v>2138</v>
      </c>
    </row>
    <row r="76" spans="1:11" x14ac:dyDescent="0.25">
      <c r="A76" s="3756" t="s">
        <v>968</v>
      </c>
      <c r="B76" s="3756" t="s">
        <v>2133</v>
      </c>
      <c r="C76" s="4407" t="s">
        <v>2132</v>
      </c>
      <c r="D76" s="4409" t="s">
        <v>2086</v>
      </c>
      <c r="E76" s="4410"/>
      <c r="F76" s="4410"/>
      <c r="G76" s="4411"/>
    </row>
    <row r="77" spans="1:11" ht="25.5" x14ac:dyDescent="0.25">
      <c r="A77" s="3756"/>
      <c r="B77" s="3756"/>
      <c r="C77" s="4408"/>
      <c r="D77" s="2445" t="s">
        <v>3</v>
      </c>
      <c r="E77" s="2445" t="s">
        <v>173</v>
      </c>
      <c r="F77" s="2445" t="s">
        <v>2134</v>
      </c>
      <c r="G77" s="2445" t="s">
        <v>99</v>
      </c>
    </row>
    <row r="78" spans="1:11" x14ac:dyDescent="0.25">
      <c r="A78" s="1345" t="s">
        <v>1822</v>
      </c>
      <c r="B78" s="2446" t="s">
        <v>2096</v>
      </c>
      <c r="C78" s="2447">
        <f t="shared" ref="C78:G80" si="16">C21</f>
        <v>7163.27</v>
      </c>
      <c r="D78" s="2447">
        <f t="shared" si="16"/>
        <v>0</v>
      </c>
      <c r="E78" s="2447">
        <f t="shared" si="16"/>
        <v>0</v>
      </c>
      <c r="F78" s="2447">
        <f t="shared" si="16"/>
        <v>0</v>
      </c>
      <c r="G78" s="2447">
        <f t="shared" si="16"/>
        <v>7163.27</v>
      </c>
    </row>
    <row r="79" spans="1:11" hidden="1" x14ac:dyDescent="0.25">
      <c r="A79" s="17" t="s">
        <v>2129</v>
      </c>
      <c r="B79" s="2448" t="s">
        <v>2096</v>
      </c>
      <c r="C79" s="2449">
        <f t="shared" si="16"/>
        <v>0</v>
      </c>
      <c r="D79" s="2449">
        <f t="shared" si="16"/>
        <v>0</v>
      </c>
      <c r="E79" s="2449">
        <f t="shared" si="16"/>
        <v>0</v>
      </c>
      <c r="F79" s="2449">
        <f t="shared" si="16"/>
        <v>0</v>
      </c>
      <c r="G79" s="2449">
        <f t="shared" si="16"/>
        <v>0</v>
      </c>
    </row>
    <row r="80" spans="1:11" hidden="1" x14ac:dyDescent="0.25">
      <c r="A80" s="17" t="s">
        <v>2130</v>
      </c>
      <c r="B80" s="2448" t="s">
        <v>2097</v>
      </c>
      <c r="C80" s="2449">
        <f t="shared" si="16"/>
        <v>0</v>
      </c>
      <c r="D80" s="2449">
        <f t="shared" si="16"/>
        <v>0</v>
      </c>
      <c r="E80" s="2449">
        <f t="shared" si="16"/>
        <v>0</v>
      </c>
      <c r="F80" s="2449">
        <f t="shared" si="16"/>
        <v>0</v>
      </c>
      <c r="G80" s="2449">
        <f t="shared" si="16"/>
        <v>0</v>
      </c>
    </row>
    <row r="81" spans="1:7" x14ac:dyDescent="0.25">
      <c r="A81" s="31"/>
      <c r="B81" s="1791"/>
      <c r="C81" s="2452"/>
      <c r="D81" s="2452"/>
      <c r="E81" s="2452"/>
      <c r="F81" s="2452"/>
      <c r="G81" s="2452"/>
    </row>
    <row r="82" spans="1:7" ht="24" x14ac:dyDescent="0.25">
      <c r="A82" s="1345" t="s">
        <v>2199</v>
      </c>
      <c r="B82" s="2446" t="s">
        <v>2096</v>
      </c>
      <c r="C82" s="2453">
        <f t="shared" ref="C82:G84" si="17">C25</f>
        <v>2667.51</v>
      </c>
      <c r="D82" s="2453">
        <f t="shared" si="17"/>
        <v>0</v>
      </c>
      <c r="E82" s="2453">
        <f t="shared" si="17"/>
        <v>0</v>
      </c>
      <c r="F82" s="2453">
        <f t="shared" si="17"/>
        <v>0</v>
      </c>
      <c r="G82" s="2453">
        <f t="shared" si="17"/>
        <v>2667.51</v>
      </c>
    </row>
    <row r="83" spans="1:7" hidden="1" x14ac:dyDescent="0.25">
      <c r="A83" s="17" t="s">
        <v>2129</v>
      </c>
      <c r="B83" s="2448" t="s">
        <v>2096</v>
      </c>
      <c r="C83" s="2449">
        <f t="shared" si="17"/>
        <v>0</v>
      </c>
      <c r="D83" s="2449">
        <f t="shared" si="17"/>
        <v>0</v>
      </c>
      <c r="E83" s="2449">
        <f t="shared" si="17"/>
        <v>0</v>
      </c>
      <c r="F83" s="2449">
        <f t="shared" si="17"/>
        <v>0</v>
      </c>
      <c r="G83" s="2449">
        <f t="shared" si="17"/>
        <v>0</v>
      </c>
    </row>
    <row r="84" spans="1:7" hidden="1" x14ac:dyDescent="0.25">
      <c r="A84" s="17" t="s">
        <v>2130</v>
      </c>
      <c r="B84" s="2448" t="s">
        <v>2097</v>
      </c>
      <c r="C84" s="2449">
        <f t="shared" si="17"/>
        <v>0</v>
      </c>
      <c r="D84" s="2449">
        <f t="shared" si="17"/>
        <v>0</v>
      </c>
      <c r="E84" s="2449">
        <f t="shared" si="17"/>
        <v>0</v>
      </c>
      <c r="F84" s="2449">
        <f t="shared" si="17"/>
        <v>0</v>
      </c>
      <c r="G84" s="2449">
        <f t="shared" si="17"/>
        <v>0</v>
      </c>
    </row>
    <row r="85" spans="1:7" x14ac:dyDescent="0.25">
      <c r="A85" s="31"/>
      <c r="B85" s="1791"/>
      <c r="C85" s="2452"/>
      <c r="D85" s="2452"/>
      <c r="E85" s="2452"/>
      <c r="F85" s="2452"/>
      <c r="G85" s="2452"/>
    </row>
    <row r="86" spans="1:7" x14ac:dyDescent="0.25">
      <c r="A86" s="1345" t="s">
        <v>2135</v>
      </c>
      <c r="B86" s="2446" t="s">
        <v>2096</v>
      </c>
      <c r="C86" s="2453">
        <f t="shared" ref="C86:G88" si="18">C29</f>
        <v>1987.24</v>
      </c>
      <c r="D86" s="2453">
        <f t="shared" si="18"/>
        <v>0</v>
      </c>
      <c r="E86" s="2453">
        <f t="shared" si="18"/>
        <v>0</v>
      </c>
      <c r="F86" s="2453">
        <f t="shared" si="18"/>
        <v>0</v>
      </c>
      <c r="G86" s="2453">
        <f t="shared" si="18"/>
        <v>1987.24</v>
      </c>
    </row>
    <row r="87" spans="1:7" hidden="1" x14ac:dyDescent="0.25">
      <c r="A87" s="17" t="s">
        <v>2129</v>
      </c>
      <c r="B87" s="2448" t="s">
        <v>2096</v>
      </c>
      <c r="C87" s="2449">
        <f t="shared" si="18"/>
        <v>0</v>
      </c>
      <c r="D87" s="2449">
        <f t="shared" si="18"/>
        <v>0</v>
      </c>
      <c r="E87" s="2449">
        <f t="shared" si="18"/>
        <v>0</v>
      </c>
      <c r="F87" s="2449">
        <f t="shared" si="18"/>
        <v>0</v>
      </c>
      <c r="G87" s="2449">
        <f t="shared" si="18"/>
        <v>0</v>
      </c>
    </row>
    <row r="88" spans="1:7" hidden="1" x14ac:dyDescent="0.25">
      <c r="A88" s="17" t="s">
        <v>2130</v>
      </c>
      <c r="B88" s="2448" t="s">
        <v>2097</v>
      </c>
      <c r="C88" s="2449">
        <f t="shared" si="18"/>
        <v>0</v>
      </c>
      <c r="D88" s="2449">
        <f t="shared" si="18"/>
        <v>0</v>
      </c>
      <c r="E88" s="2449">
        <f t="shared" si="18"/>
        <v>0</v>
      </c>
      <c r="F88" s="2449">
        <f t="shared" si="18"/>
        <v>0</v>
      </c>
      <c r="G88" s="2449">
        <f t="shared" si="18"/>
        <v>0</v>
      </c>
    </row>
    <row r="89" spans="1:7" x14ac:dyDescent="0.25">
      <c r="A89" s="31"/>
      <c r="B89" s="1791"/>
      <c r="C89" s="2452"/>
      <c r="D89" s="2452"/>
      <c r="E89" s="2452"/>
      <c r="F89" s="2452"/>
      <c r="G89" s="2452"/>
    </row>
    <row r="90" spans="1:7" x14ac:dyDescent="0.25">
      <c r="A90" s="1345" t="s">
        <v>2117</v>
      </c>
      <c r="B90" s="2446" t="s">
        <v>2096</v>
      </c>
      <c r="C90" s="2447">
        <f>C33</f>
        <v>109.4</v>
      </c>
      <c r="D90" s="2447">
        <f t="shared" ref="D90:G90" si="19">D33</f>
        <v>0</v>
      </c>
      <c r="E90" s="2447">
        <f t="shared" si="19"/>
        <v>0</v>
      </c>
      <c r="F90" s="2447">
        <f t="shared" si="19"/>
        <v>0</v>
      </c>
      <c r="G90" s="2447">
        <f t="shared" si="19"/>
        <v>109.4</v>
      </c>
    </row>
    <row r="91" spans="1:7" hidden="1" x14ac:dyDescent="0.25">
      <c r="A91" s="17" t="s">
        <v>2129</v>
      </c>
      <c r="B91" s="2448" t="s">
        <v>2096</v>
      </c>
      <c r="C91" s="2449">
        <f>C34</f>
        <v>0</v>
      </c>
      <c r="D91" s="2449">
        <f t="shared" ref="D91:G91" si="20">D34</f>
        <v>0</v>
      </c>
      <c r="E91" s="2449">
        <f t="shared" si="20"/>
        <v>0</v>
      </c>
      <c r="F91" s="2449">
        <f t="shared" si="20"/>
        <v>0</v>
      </c>
      <c r="G91" s="2449">
        <f t="shared" si="20"/>
        <v>0</v>
      </c>
    </row>
    <row r="92" spans="1:7" hidden="1" x14ac:dyDescent="0.25">
      <c r="A92" s="17" t="s">
        <v>2130</v>
      </c>
      <c r="B92" s="2448" t="s">
        <v>2097</v>
      </c>
      <c r="C92" s="2449">
        <f>C35</f>
        <v>0</v>
      </c>
      <c r="D92" s="2449">
        <f t="shared" ref="D92:G92" si="21">D35</f>
        <v>0</v>
      </c>
      <c r="E92" s="2449">
        <f t="shared" si="21"/>
        <v>0</v>
      </c>
      <c r="F92" s="2449">
        <f t="shared" si="21"/>
        <v>0</v>
      </c>
      <c r="G92" s="2449">
        <f t="shared" si="21"/>
        <v>0</v>
      </c>
    </row>
    <row r="93" spans="1:7" x14ac:dyDescent="0.25">
      <c r="C93" s="2452"/>
      <c r="D93" s="2452"/>
      <c r="E93" s="2452"/>
      <c r="F93" s="2452"/>
      <c r="G93" s="2452"/>
    </row>
    <row r="94" spans="1:7" x14ac:dyDescent="0.25">
      <c r="A94" s="2441" t="s">
        <v>2136</v>
      </c>
      <c r="B94" s="2446" t="s">
        <v>2096</v>
      </c>
      <c r="C94" s="2453">
        <f>C78+C82+C90</f>
        <v>9940.18</v>
      </c>
      <c r="D94" s="2453">
        <f>D78+D82+D90</f>
        <v>0</v>
      </c>
      <c r="E94" s="2453">
        <v>0</v>
      </c>
      <c r="F94" s="2453">
        <v>0</v>
      </c>
      <c r="G94" s="2453">
        <f>G78+G82+G90</f>
        <v>9940.18</v>
      </c>
    </row>
    <row r="95" spans="1:7" hidden="1" x14ac:dyDescent="0.25">
      <c r="A95" s="17" t="s">
        <v>2129</v>
      </c>
      <c r="B95" s="2448" t="s">
        <v>2096</v>
      </c>
      <c r="C95" s="2449">
        <f t="shared" ref="C95:D95" si="22">C79+C83+C91</f>
        <v>0</v>
      </c>
      <c r="D95" s="2449">
        <f t="shared" si="22"/>
        <v>0</v>
      </c>
      <c r="E95" s="2449">
        <v>0</v>
      </c>
      <c r="F95" s="2449">
        <f t="shared" ref="F95:G95" si="23">F79+F83+F91</f>
        <v>0</v>
      </c>
      <c r="G95" s="2449">
        <f t="shared" si="23"/>
        <v>0</v>
      </c>
    </row>
    <row r="96" spans="1:7" hidden="1" x14ac:dyDescent="0.25">
      <c r="A96" s="17" t="s">
        <v>2130</v>
      </c>
      <c r="B96" s="2448" t="s">
        <v>2097</v>
      </c>
      <c r="C96" s="2449">
        <f t="shared" ref="C96:D96" si="24">C80+C84+C92</f>
        <v>0</v>
      </c>
      <c r="D96" s="2449">
        <f t="shared" si="24"/>
        <v>0</v>
      </c>
      <c r="E96" s="2449">
        <v>0</v>
      </c>
      <c r="F96" s="2449">
        <f t="shared" ref="F96:G96" si="25">F80+F84+F92</f>
        <v>0</v>
      </c>
      <c r="G96" s="2449">
        <f t="shared" si="25"/>
        <v>0</v>
      </c>
    </row>
    <row r="97" spans="1:7" x14ac:dyDescent="0.25">
      <c r="C97" s="2452"/>
      <c r="D97" s="2452"/>
      <c r="E97" s="2452"/>
      <c r="F97" s="2452"/>
      <c r="G97" s="2452"/>
    </row>
    <row r="98" spans="1:7" x14ac:dyDescent="0.25">
      <c r="A98" s="1345" t="s">
        <v>2137</v>
      </c>
      <c r="B98" s="2446" t="s">
        <v>2096</v>
      </c>
      <c r="C98" s="2453">
        <f>C78+C86+C90</f>
        <v>9259.91</v>
      </c>
      <c r="D98" s="2453">
        <f>D78+D86+D90</f>
        <v>0</v>
      </c>
      <c r="E98" s="2453">
        <f>E78+E86+E90</f>
        <v>0</v>
      </c>
      <c r="F98" s="2453">
        <f>F78+F86+F90</f>
        <v>0</v>
      </c>
      <c r="G98" s="2453">
        <f>G78+G86+G90</f>
        <v>9259.91</v>
      </c>
    </row>
    <row r="99" spans="1:7" hidden="1" x14ac:dyDescent="0.25">
      <c r="A99" s="17" t="s">
        <v>2129</v>
      </c>
      <c r="B99" s="2448" t="s">
        <v>2096</v>
      </c>
      <c r="C99" s="2449">
        <f t="shared" ref="C99:G99" si="26">C79+C87+C91</f>
        <v>0</v>
      </c>
      <c r="D99" s="2449">
        <f t="shared" si="26"/>
        <v>0</v>
      </c>
      <c r="E99" s="2449">
        <f t="shared" si="26"/>
        <v>0</v>
      </c>
      <c r="F99" s="2449">
        <f t="shared" si="26"/>
        <v>0</v>
      </c>
      <c r="G99" s="2449">
        <f t="shared" si="26"/>
        <v>0</v>
      </c>
    </row>
    <row r="100" spans="1:7" hidden="1" x14ac:dyDescent="0.25">
      <c r="A100" s="17" t="s">
        <v>2130</v>
      </c>
      <c r="B100" s="2448" t="s">
        <v>2097</v>
      </c>
      <c r="C100" s="2449">
        <f t="shared" ref="C100:G100" si="27">C80+C88+C92</f>
        <v>0</v>
      </c>
      <c r="D100" s="2449">
        <f t="shared" si="27"/>
        <v>0</v>
      </c>
      <c r="E100" s="2449">
        <f t="shared" si="27"/>
        <v>0</v>
      </c>
      <c r="F100" s="2449">
        <f t="shared" si="27"/>
        <v>0</v>
      </c>
      <c r="G100" s="2449">
        <f t="shared" si="27"/>
        <v>0</v>
      </c>
    </row>
    <row r="101" spans="1:7" hidden="1" x14ac:dyDescent="0.25"/>
    <row r="102" spans="1:7" hidden="1" x14ac:dyDescent="0.25"/>
    <row r="103" spans="1:7" hidden="1" x14ac:dyDescent="0.25"/>
    <row r="104" spans="1:7" x14ac:dyDescent="0.25">
      <c r="C104" s="2443"/>
      <c r="F104" s="2286" t="s">
        <v>2139</v>
      </c>
    </row>
    <row r="105" spans="1:7" x14ac:dyDescent="0.25">
      <c r="A105" s="3756" t="s">
        <v>2131</v>
      </c>
      <c r="B105" s="3756" t="s">
        <v>2133</v>
      </c>
      <c r="C105" s="4407" t="s">
        <v>2132</v>
      </c>
      <c r="D105" s="4409" t="s">
        <v>2086</v>
      </c>
      <c r="E105" s="4410"/>
      <c r="F105" s="4410"/>
      <c r="G105" s="4411"/>
    </row>
    <row r="106" spans="1:7" ht="25.5" x14ac:dyDescent="0.25">
      <c r="A106" s="3756"/>
      <c r="B106" s="3756"/>
      <c r="C106" s="4408"/>
      <c r="D106" s="2445" t="s">
        <v>3</v>
      </c>
      <c r="E106" s="2445" t="s">
        <v>173</v>
      </c>
      <c r="F106" s="2445" t="s">
        <v>2134</v>
      </c>
      <c r="G106" s="2445" t="s">
        <v>99</v>
      </c>
    </row>
    <row r="107" spans="1:7" x14ac:dyDescent="0.25">
      <c r="A107" s="1345" t="s">
        <v>1822</v>
      </c>
      <c r="B107" s="2446" t="s">
        <v>2096</v>
      </c>
      <c r="C107" s="2453">
        <f>C78*1.2</f>
        <v>8595.92</v>
      </c>
      <c r="D107" s="2453">
        <f>D78*1.2</f>
        <v>0</v>
      </c>
      <c r="E107" s="2453">
        <f>E78*1.2</f>
        <v>0</v>
      </c>
      <c r="F107" s="2453">
        <f>F78*1.2</f>
        <v>0</v>
      </c>
      <c r="G107" s="2453">
        <f>G78*1.2</f>
        <v>8595.92</v>
      </c>
    </row>
    <row r="108" spans="1:7" hidden="1" x14ac:dyDescent="0.25">
      <c r="A108" s="17" t="s">
        <v>2129</v>
      </c>
      <c r="B108" s="2448" t="s">
        <v>2096</v>
      </c>
      <c r="C108" s="2457">
        <f>C79*1.2</f>
        <v>0</v>
      </c>
      <c r="D108" s="2457">
        <f t="shared" ref="D108:G108" si="28">D79*1.2</f>
        <v>0</v>
      </c>
      <c r="E108" s="2457">
        <f t="shared" si="28"/>
        <v>0</v>
      </c>
      <c r="F108" s="2457">
        <f t="shared" si="28"/>
        <v>0</v>
      </c>
      <c r="G108" s="2457">
        <f t="shared" si="28"/>
        <v>0</v>
      </c>
    </row>
    <row r="109" spans="1:7" hidden="1" x14ac:dyDescent="0.25">
      <c r="A109" s="17" t="s">
        <v>2130</v>
      </c>
      <c r="B109" s="2448" t="s">
        <v>2097</v>
      </c>
      <c r="C109" s="2457">
        <f>C80*1.2</f>
        <v>0</v>
      </c>
      <c r="D109" s="2457">
        <f t="shared" ref="D109:G109" si="29">D80*1.2</f>
        <v>0</v>
      </c>
      <c r="E109" s="2457">
        <f t="shared" si="29"/>
        <v>0</v>
      </c>
      <c r="F109" s="2457">
        <f t="shared" si="29"/>
        <v>0</v>
      </c>
      <c r="G109" s="2457">
        <f t="shared" si="29"/>
        <v>0</v>
      </c>
    </row>
    <row r="110" spans="1:7" x14ac:dyDescent="0.25">
      <c r="A110" s="31"/>
      <c r="B110" s="1791"/>
      <c r="C110" s="2452"/>
      <c r="D110" s="2452"/>
      <c r="E110" s="2452"/>
      <c r="F110" s="2452"/>
      <c r="G110" s="2452"/>
    </row>
    <row r="111" spans="1:7" ht="24" x14ac:dyDescent="0.25">
      <c r="A111" s="1345" t="s">
        <v>2199</v>
      </c>
      <c r="B111" s="2446" t="s">
        <v>2096</v>
      </c>
      <c r="C111" s="2453">
        <f t="shared" ref="C111:G111" si="30">C82*1.2</f>
        <v>3201.01</v>
      </c>
      <c r="D111" s="2453">
        <f t="shared" si="30"/>
        <v>0</v>
      </c>
      <c r="E111" s="2453">
        <f t="shared" si="30"/>
        <v>0</v>
      </c>
      <c r="F111" s="2453">
        <f t="shared" si="30"/>
        <v>0</v>
      </c>
      <c r="G111" s="2453">
        <f t="shared" si="30"/>
        <v>3201.01</v>
      </c>
    </row>
    <row r="112" spans="1:7" hidden="1" x14ac:dyDescent="0.25">
      <c r="A112" s="17" t="s">
        <v>2129</v>
      </c>
      <c r="B112" s="2448" t="s">
        <v>2096</v>
      </c>
      <c r="C112" s="2457">
        <f t="shared" ref="C112:G112" si="31">C83*1.2</f>
        <v>0</v>
      </c>
      <c r="D112" s="2457">
        <f t="shared" si="31"/>
        <v>0</v>
      </c>
      <c r="E112" s="2457">
        <f t="shared" si="31"/>
        <v>0</v>
      </c>
      <c r="F112" s="2457">
        <f t="shared" si="31"/>
        <v>0</v>
      </c>
      <c r="G112" s="2457">
        <f t="shared" si="31"/>
        <v>0</v>
      </c>
    </row>
    <row r="113" spans="1:9" hidden="1" x14ac:dyDescent="0.25">
      <c r="A113" s="17" t="s">
        <v>2130</v>
      </c>
      <c r="B113" s="2448" t="s">
        <v>2097</v>
      </c>
      <c r="C113" s="2457">
        <f t="shared" ref="C113:G113" si="32">C84*1.2</f>
        <v>0</v>
      </c>
      <c r="D113" s="2457">
        <f t="shared" si="32"/>
        <v>0</v>
      </c>
      <c r="E113" s="2457">
        <f t="shared" si="32"/>
        <v>0</v>
      </c>
      <c r="F113" s="2457">
        <f t="shared" si="32"/>
        <v>0</v>
      </c>
      <c r="G113" s="2457">
        <f t="shared" si="32"/>
        <v>0</v>
      </c>
    </row>
    <row r="114" spans="1:9" x14ac:dyDescent="0.25">
      <c r="A114" s="31"/>
      <c r="B114" s="1791"/>
      <c r="C114" s="2452"/>
      <c r="D114" s="2452"/>
      <c r="E114" s="2452"/>
      <c r="F114" s="2452"/>
      <c r="G114" s="2452"/>
    </row>
    <row r="115" spans="1:9" x14ac:dyDescent="0.25">
      <c r="A115" s="1345" t="s">
        <v>2135</v>
      </c>
      <c r="B115" s="2446" t="s">
        <v>2096</v>
      </c>
      <c r="C115" s="2453">
        <f t="shared" ref="C115:G115" si="33">C86*1.2</f>
        <v>2384.69</v>
      </c>
      <c r="D115" s="2453">
        <f t="shared" si="33"/>
        <v>0</v>
      </c>
      <c r="E115" s="2453">
        <f t="shared" si="33"/>
        <v>0</v>
      </c>
      <c r="F115" s="2453">
        <f t="shared" si="33"/>
        <v>0</v>
      </c>
      <c r="G115" s="2453">
        <f t="shared" si="33"/>
        <v>2384.69</v>
      </c>
    </row>
    <row r="116" spans="1:9" hidden="1" x14ac:dyDescent="0.25">
      <c r="A116" s="17" t="s">
        <v>2129</v>
      </c>
      <c r="B116" s="2448" t="s">
        <v>2096</v>
      </c>
      <c r="C116" s="2457">
        <f t="shared" ref="C116:G116" si="34">C87*1.2</f>
        <v>0</v>
      </c>
      <c r="D116" s="2457">
        <f t="shared" si="34"/>
        <v>0</v>
      </c>
      <c r="E116" s="2457">
        <f t="shared" si="34"/>
        <v>0</v>
      </c>
      <c r="F116" s="2457">
        <f t="shared" si="34"/>
        <v>0</v>
      </c>
      <c r="G116" s="2457">
        <f t="shared" si="34"/>
        <v>0</v>
      </c>
    </row>
    <row r="117" spans="1:9" hidden="1" x14ac:dyDescent="0.25">
      <c r="A117" s="17" t="s">
        <v>2130</v>
      </c>
      <c r="B117" s="2448" t="s">
        <v>2097</v>
      </c>
      <c r="C117" s="2457">
        <f t="shared" ref="C117:G117" si="35">C88*1.2</f>
        <v>0</v>
      </c>
      <c r="D117" s="2457">
        <f t="shared" si="35"/>
        <v>0</v>
      </c>
      <c r="E117" s="2457">
        <f t="shared" si="35"/>
        <v>0</v>
      </c>
      <c r="F117" s="2457">
        <f t="shared" si="35"/>
        <v>0</v>
      </c>
      <c r="G117" s="2457">
        <f t="shared" si="35"/>
        <v>0</v>
      </c>
    </row>
    <row r="118" spans="1:9" x14ac:dyDescent="0.25">
      <c r="A118" s="31"/>
      <c r="B118" s="1791"/>
      <c r="C118" s="2452"/>
      <c r="D118" s="2452"/>
      <c r="E118" s="2452"/>
      <c r="F118" s="2452"/>
      <c r="G118" s="2452"/>
    </row>
    <row r="119" spans="1:9" x14ac:dyDescent="0.25">
      <c r="A119" s="1345" t="s">
        <v>2117</v>
      </c>
      <c r="B119" s="2446" t="s">
        <v>2096</v>
      </c>
      <c r="C119" s="2453">
        <f t="shared" ref="C119:G119" si="36">C90*1.2</f>
        <v>131.28</v>
      </c>
      <c r="D119" s="2453">
        <f t="shared" si="36"/>
        <v>0</v>
      </c>
      <c r="E119" s="2453">
        <f t="shared" si="36"/>
        <v>0</v>
      </c>
      <c r="F119" s="2453">
        <f t="shared" si="36"/>
        <v>0</v>
      </c>
      <c r="G119" s="2453">
        <f t="shared" si="36"/>
        <v>131.28</v>
      </c>
    </row>
    <row r="120" spans="1:9" hidden="1" x14ac:dyDescent="0.25">
      <c r="A120" s="17" t="s">
        <v>2129</v>
      </c>
      <c r="B120" s="2448" t="s">
        <v>2096</v>
      </c>
      <c r="C120" s="2457">
        <f t="shared" ref="C120:G120" si="37">C91*1.2</f>
        <v>0</v>
      </c>
      <c r="D120" s="2457">
        <f t="shared" si="37"/>
        <v>0</v>
      </c>
      <c r="E120" s="2457">
        <f t="shared" si="37"/>
        <v>0</v>
      </c>
      <c r="F120" s="2457">
        <f t="shared" si="37"/>
        <v>0</v>
      </c>
      <c r="G120" s="2457">
        <f t="shared" si="37"/>
        <v>0</v>
      </c>
    </row>
    <row r="121" spans="1:9" hidden="1" x14ac:dyDescent="0.25">
      <c r="A121" s="17" t="s">
        <v>2130</v>
      </c>
      <c r="B121" s="2448" t="s">
        <v>2097</v>
      </c>
      <c r="C121" s="2457">
        <f t="shared" ref="C121:G121" si="38">C92*1.2</f>
        <v>0</v>
      </c>
      <c r="D121" s="2457">
        <f t="shared" si="38"/>
        <v>0</v>
      </c>
      <c r="E121" s="2457">
        <f t="shared" si="38"/>
        <v>0</v>
      </c>
      <c r="F121" s="2457">
        <f t="shared" si="38"/>
        <v>0</v>
      </c>
      <c r="G121" s="2457">
        <f t="shared" si="38"/>
        <v>0</v>
      </c>
    </row>
    <row r="122" spans="1:9" x14ac:dyDescent="0.25">
      <c r="C122" s="2452"/>
      <c r="D122" s="2452"/>
      <c r="E122" s="2452"/>
      <c r="F122" s="2452"/>
      <c r="G122" s="2452"/>
    </row>
    <row r="123" spans="1:9" x14ac:dyDescent="0.25">
      <c r="A123" s="1345" t="s">
        <v>2136</v>
      </c>
      <c r="B123" s="2446" t="s">
        <v>2096</v>
      </c>
      <c r="C123" s="2453">
        <f>C107+C111+C119</f>
        <v>11928.21</v>
      </c>
      <c r="D123" s="2453">
        <f t="shared" ref="D123" si="39">D107+D111+D119</f>
        <v>0</v>
      </c>
      <c r="E123" s="2453">
        <v>0</v>
      </c>
      <c r="F123" s="2453">
        <v>0</v>
      </c>
      <c r="G123" s="2453">
        <f t="shared" ref="G123" si="40">G107+G111+G119</f>
        <v>11928.21</v>
      </c>
      <c r="I123" s="2460"/>
    </row>
    <row r="124" spans="1:9" hidden="1" x14ac:dyDescent="0.25">
      <c r="A124" s="17" t="s">
        <v>2129</v>
      </c>
      <c r="B124" s="2448" t="s">
        <v>2096</v>
      </c>
      <c r="C124" s="2434">
        <f t="shared" ref="C124:D124" si="41">C108+C112+C120</f>
        <v>0</v>
      </c>
      <c r="D124" s="2434">
        <f t="shared" si="41"/>
        <v>0</v>
      </c>
      <c r="E124" s="2434">
        <v>0</v>
      </c>
      <c r="F124" s="2434">
        <f t="shared" ref="F124:G124" si="42">F108+F112+F120</f>
        <v>0</v>
      </c>
      <c r="G124" s="2434">
        <f t="shared" si="42"/>
        <v>0</v>
      </c>
    </row>
    <row r="125" spans="1:9" hidden="1" x14ac:dyDescent="0.25">
      <c r="A125" s="17" t="s">
        <v>2130</v>
      </c>
      <c r="B125" s="2448" t="s">
        <v>2097</v>
      </c>
      <c r="C125" s="2434">
        <f t="shared" ref="C125:D125" si="43">C109+C113+C121</f>
        <v>0</v>
      </c>
      <c r="D125" s="2434">
        <f t="shared" si="43"/>
        <v>0</v>
      </c>
      <c r="E125" s="2434">
        <v>0</v>
      </c>
      <c r="F125" s="2434">
        <f t="shared" ref="F125:G125" si="44">F109+F113+F121</f>
        <v>0</v>
      </c>
      <c r="G125" s="2434">
        <f t="shared" si="44"/>
        <v>0</v>
      </c>
    </row>
    <row r="126" spans="1:9" x14ac:dyDescent="0.25">
      <c r="C126" s="2452"/>
      <c r="D126" s="2452"/>
      <c r="E126" s="2452"/>
      <c r="F126" s="2452"/>
      <c r="G126" s="2452"/>
    </row>
    <row r="127" spans="1:9" x14ac:dyDescent="0.25">
      <c r="A127" s="1345" t="s">
        <v>2137</v>
      </c>
      <c r="B127" s="2446" t="s">
        <v>2096</v>
      </c>
      <c r="C127" s="2453">
        <f>C107+C115+C119</f>
        <v>11111.89</v>
      </c>
      <c r="D127" s="2453">
        <f t="shared" ref="D127:G127" si="45">D107+D115+D119</f>
        <v>0</v>
      </c>
      <c r="E127" s="2453">
        <f t="shared" si="45"/>
        <v>0</v>
      </c>
      <c r="F127" s="2453">
        <f t="shared" si="45"/>
        <v>0</v>
      </c>
      <c r="G127" s="2453">
        <f t="shared" si="45"/>
        <v>11111.89</v>
      </c>
    </row>
    <row r="128" spans="1:9" hidden="1" x14ac:dyDescent="0.25">
      <c r="A128" s="17" t="s">
        <v>2129</v>
      </c>
      <c r="B128" s="2448" t="s">
        <v>2096</v>
      </c>
      <c r="C128" s="2434">
        <f t="shared" ref="C128:G128" si="46">C108+C116+C120</f>
        <v>0</v>
      </c>
      <c r="D128" s="2434">
        <f t="shared" si="46"/>
        <v>0</v>
      </c>
      <c r="E128" s="2434">
        <f t="shared" si="46"/>
        <v>0</v>
      </c>
      <c r="F128" s="2434">
        <f t="shared" si="46"/>
        <v>0</v>
      </c>
      <c r="G128" s="2434">
        <f t="shared" si="46"/>
        <v>0</v>
      </c>
    </row>
    <row r="129" spans="1:9" hidden="1" x14ac:dyDescent="0.25">
      <c r="A129" s="17" t="s">
        <v>2130</v>
      </c>
      <c r="B129" s="2448" t="s">
        <v>2097</v>
      </c>
      <c r="C129" s="2434">
        <f t="shared" ref="C129:G129" si="47">C109+C117+C121</f>
        <v>0</v>
      </c>
      <c r="D129" s="2434">
        <f t="shared" si="47"/>
        <v>0</v>
      </c>
      <c r="E129" s="2434">
        <f t="shared" si="47"/>
        <v>0</v>
      </c>
      <c r="F129" s="2434">
        <f t="shared" si="47"/>
        <v>0</v>
      </c>
      <c r="G129" s="2434">
        <f t="shared" si="47"/>
        <v>0</v>
      </c>
    </row>
    <row r="131" spans="1:9" ht="29.25" customHeight="1" x14ac:dyDescent="0.25">
      <c r="A131" s="3756" t="s">
        <v>2874</v>
      </c>
      <c r="B131" s="2430" t="s">
        <v>2872</v>
      </c>
      <c r="C131" s="4419" t="s">
        <v>2674</v>
      </c>
      <c r="D131" s="4420"/>
      <c r="E131" s="4047" t="s">
        <v>2187</v>
      </c>
      <c r="F131" s="3452"/>
      <c r="G131" s="3452"/>
      <c r="H131" s="4414" t="s">
        <v>2187</v>
      </c>
    </row>
    <row r="132" spans="1:9" ht="14.45" customHeight="1" x14ac:dyDescent="0.25">
      <c r="A132" s="3756"/>
      <c r="B132" s="4047" t="s">
        <v>3411</v>
      </c>
      <c r="C132" s="4423" t="s">
        <v>3411</v>
      </c>
      <c r="D132" s="4424"/>
      <c r="E132" s="4418"/>
      <c r="F132" s="4417" t="s">
        <v>2869</v>
      </c>
      <c r="G132" s="4417"/>
      <c r="H132" s="4414"/>
    </row>
    <row r="133" spans="1:9" ht="38.25" x14ac:dyDescent="0.25">
      <c r="A133" s="3756"/>
      <c r="B133" s="4048"/>
      <c r="C133" s="4425"/>
      <c r="D133" s="4426"/>
      <c r="E133" s="4048"/>
      <c r="F133" s="3453" t="s">
        <v>2870</v>
      </c>
      <c r="G133" s="3453" t="s">
        <v>2871</v>
      </c>
      <c r="H133" s="4414"/>
    </row>
    <row r="134" spans="1:9" s="55" customFormat="1" ht="12.75" x14ac:dyDescent="0.25">
      <c r="A134" s="1849" t="s">
        <v>2875</v>
      </c>
      <c r="B134" s="2094" t="s">
        <v>74</v>
      </c>
      <c r="C134" s="4042" t="s">
        <v>74</v>
      </c>
      <c r="D134" s="4044"/>
      <c r="E134" s="3458" t="s">
        <v>4</v>
      </c>
      <c r="F134" s="3454" t="s">
        <v>74</v>
      </c>
      <c r="G134" s="3454" t="s">
        <v>2873</v>
      </c>
      <c r="H134" s="3454" t="s">
        <v>4</v>
      </c>
    </row>
    <row r="135" spans="1:9" x14ac:dyDescent="0.25">
      <c r="A135" s="2445" t="s">
        <v>3</v>
      </c>
      <c r="B135" s="3552">
        <f>D21</f>
        <v>0</v>
      </c>
      <c r="C135" s="4421">
        <f>D22</f>
        <v>0</v>
      </c>
      <c r="D135" s="4422"/>
      <c r="E135" s="3459"/>
      <c r="F135" s="3452"/>
      <c r="G135" s="3455"/>
      <c r="H135" s="3456"/>
      <c r="I135" s="2460"/>
    </row>
    <row r="136" spans="1:9" x14ac:dyDescent="0.25">
      <c r="A136" s="2445" t="s">
        <v>173</v>
      </c>
      <c r="B136" s="3552">
        <f>E21</f>
        <v>0</v>
      </c>
      <c r="C136" s="4421">
        <f t="shared" ref="C136:C137" si="48">D23</f>
        <v>0</v>
      </c>
      <c r="D136" s="4422"/>
      <c r="E136" s="3459"/>
      <c r="F136" s="3452"/>
      <c r="G136" s="3455"/>
      <c r="H136" s="3456"/>
      <c r="I136" s="2460"/>
    </row>
    <row r="137" spans="1:9" x14ac:dyDescent="0.25">
      <c r="A137" s="2445" t="s">
        <v>2134</v>
      </c>
      <c r="B137" s="3552">
        <f>F21</f>
        <v>0</v>
      </c>
      <c r="C137" s="4421">
        <f t="shared" si="48"/>
        <v>0</v>
      </c>
      <c r="D137" s="4422"/>
      <c r="E137" s="3459"/>
      <c r="F137" s="3452"/>
      <c r="G137" s="3455"/>
      <c r="H137" s="3456"/>
      <c r="I137" s="2460"/>
    </row>
    <row r="138" spans="1:9" x14ac:dyDescent="0.25">
      <c r="A138" s="2445" t="s">
        <v>99</v>
      </c>
      <c r="B138" s="3552">
        <f>G21</f>
        <v>7163.27</v>
      </c>
      <c r="C138" s="4421">
        <f>I50</f>
        <v>2565.2399999999998</v>
      </c>
      <c r="D138" s="4422"/>
      <c r="E138" s="3546">
        <f>B138/C138-1</f>
        <v>1.79</v>
      </c>
      <c r="F138" s="3452"/>
      <c r="G138" s="3455"/>
      <c r="H138" s="3456">
        <f t="shared" ref="H138" si="49">B138/E138-1</f>
        <v>4000.83</v>
      </c>
      <c r="I138" s="2460"/>
    </row>
    <row r="139" spans="1:9" x14ac:dyDescent="0.25">
      <c r="E139" s="3457"/>
    </row>
    <row r="140" spans="1:9" ht="15" customHeight="1" x14ac:dyDescent="0.25">
      <c r="A140" s="3756" t="s">
        <v>2877</v>
      </c>
      <c r="B140" s="2430" t="s">
        <v>2872</v>
      </c>
      <c r="C140" s="4419" t="s">
        <v>2674</v>
      </c>
      <c r="D140" s="4420"/>
      <c r="E140" s="4427" t="s">
        <v>2187</v>
      </c>
      <c r="F140" s="3462"/>
      <c r="G140" s="3462"/>
      <c r="H140" s="4415" t="s">
        <v>2187</v>
      </c>
    </row>
    <row r="141" spans="1:9" ht="15" customHeight="1" x14ac:dyDescent="0.25">
      <c r="A141" s="3756"/>
      <c r="B141" s="4047" t="s">
        <v>3411</v>
      </c>
      <c r="C141" s="4423" t="s">
        <v>3411</v>
      </c>
      <c r="D141" s="4424"/>
      <c r="E141" s="4428"/>
      <c r="F141" s="4416" t="s">
        <v>2869</v>
      </c>
      <c r="G141" s="4416"/>
      <c r="H141" s="4415"/>
    </row>
    <row r="142" spans="1:9" ht="38.25" x14ac:dyDescent="0.25">
      <c r="A142" s="3756"/>
      <c r="B142" s="4048"/>
      <c r="C142" s="4425"/>
      <c r="D142" s="4426"/>
      <c r="E142" s="4429"/>
      <c r="F142" s="3463" t="s">
        <v>2870</v>
      </c>
      <c r="G142" s="3463" t="s">
        <v>2871</v>
      </c>
      <c r="H142" s="4415"/>
    </row>
    <row r="143" spans="1:9" x14ac:dyDescent="0.25">
      <c r="A143" s="1849" t="s">
        <v>2875</v>
      </c>
      <c r="B143" s="2094" t="s">
        <v>74</v>
      </c>
      <c r="C143" s="4042" t="s">
        <v>74</v>
      </c>
      <c r="D143" s="4044"/>
      <c r="E143" s="2094" t="s">
        <v>4</v>
      </c>
      <c r="F143" s="3464" t="s">
        <v>74</v>
      </c>
      <c r="G143" s="3464" t="s">
        <v>2873</v>
      </c>
      <c r="H143" s="3464" t="s">
        <v>4</v>
      </c>
    </row>
    <row r="144" spans="1:9" x14ac:dyDescent="0.25">
      <c r="A144" s="2445" t="s">
        <v>3</v>
      </c>
      <c r="B144" s="3552">
        <f>D25</f>
        <v>0</v>
      </c>
      <c r="C144" s="4421">
        <f>D26</f>
        <v>0</v>
      </c>
      <c r="D144" s="4422"/>
      <c r="E144" s="1365"/>
      <c r="F144" s="3462"/>
      <c r="G144" s="3461"/>
      <c r="H144" s="3465"/>
    </row>
    <row r="145" spans="1:8" x14ac:dyDescent="0.25">
      <c r="A145" s="2445" t="s">
        <v>173</v>
      </c>
      <c r="B145" s="3552">
        <v>0</v>
      </c>
      <c r="C145" s="4421">
        <f t="shared" ref="C145:C146" si="50">D27</f>
        <v>0</v>
      </c>
      <c r="D145" s="4422"/>
      <c r="E145" s="1365"/>
      <c r="F145" s="3462"/>
      <c r="G145" s="3461"/>
      <c r="H145" s="3465"/>
    </row>
    <row r="146" spans="1:8" x14ac:dyDescent="0.25">
      <c r="A146" s="2445" t="s">
        <v>2134</v>
      </c>
      <c r="B146" s="3552">
        <f>F25</f>
        <v>0</v>
      </c>
      <c r="C146" s="4421">
        <f t="shared" si="50"/>
        <v>0</v>
      </c>
      <c r="D146" s="4422"/>
      <c r="E146" s="1365"/>
      <c r="F146" s="3462"/>
      <c r="G146" s="3461"/>
      <c r="H146" s="3465"/>
    </row>
    <row r="147" spans="1:8" x14ac:dyDescent="0.25">
      <c r="A147" s="2445" t="s">
        <v>99</v>
      </c>
      <c r="B147" s="3552">
        <f>G25</f>
        <v>2667.51</v>
      </c>
      <c r="C147" s="4421">
        <f>I54</f>
        <v>443.6</v>
      </c>
      <c r="D147" s="4422"/>
      <c r="E147" s="3547">
        <f>B147/C147-1</f>
        <v>5.01</v>
      </c>
      <c r="F147" s="3462"/>
      <c r="G147" s="3461"/>
      <c r="H147" s="3465">
        <f t="shared" ref="H147" si="51">B147/E147-1</f>
        <v>531.44000000000005</v>
      </c>
    </row>
    <row r="149" spans="1:8" ht="15" customHeight="1" x14ac:dyDescent="0.25">
      <c r="A149" s="3756" t="s">
        <v>2878</v>
      </c>
      <c r="B149" s="2430" t="s">
        <v>2872</v>
      </c>
      <c r="C149" s="4419" t="s">
        <v>2674</v>
      </c>
      <c r="D149" s="4420"/>
      <c r="E149" s="20" t="s">
        <v>2187</v>
      </c>
      <c r="F149" s="3462"/>
      <c r="G149" s="3462"/>
      <c r="H149" s="4415" t="s">
        <v>2187</v>
      </c>
    </row>
    <row r="150" spans="1:8" ht="15" customHeight="1" x14ac:dyDescent="0.25">
      <c r="A150" s="3756"/>
      <c r="B150" s="4047" t="s">
        <v>3411</v>
      </c>
      <c r="C150" s="4423" t="s">
        <v>3411</v>
      </c>
      <c r="D150" s="4424"/>
      <c r="E150" s="4430"/>
      <c r="F150" s="4416" t="s">
        <v>2869</v>
      </c>
      <c r="G150" s="4416"/>
      <c r="H150" s="4415"/>
    </row>
    <row r="151" spans="1:8" ht="38.25" x14ac:dyDescent="0.25">
      <c r="A151" s="3756"/>
      <c r="B151" s="4048"/>
      <c r="C151" s="4425"/>
      <c r="D151" s="4426"/>
      <c r="E151" s="4430"/>
      <c r="F151" s="3463" t="s">
        <v>2870</v>
      </c>
      <c r="G151" s="3463" t="s">
        <v>2871</v>
      </c>
      <c r="H151" s="4415"/>
    </row>
    <row r="152" spans="1:8" x14ac:dyDescent="0.25">
      <c r="A152" s="1849" t="s">
        <v>2875</v>
      </c>
      <c r="B152" s="2094" t="s">
        <v>74</v>
      </c>
      <c r="C152" s="4042" t="s">
        <v>74</v>
      </c>
      <c r="D152" s="4044"/>
      <c r="E152" s="2094" t="s">
        <v>4</v>
      </c>
      <c r="F152" s="3464" t="s">
        <v>74</v>
      </c>
      <c r="G152" s="3464" t="s">
        <v>2873</v>
      </c>
      <c r="H152" s="3464" t="s">
        <v>4</v>
      </c>
    </row>
    <row r="153" spans="1:8" x14ac:dyDescent="0.25">
      <c r="A153" s="2445" t="s">
        <v>3</v>
      </c>
      <c r="B153" s="3552">
        <f>D29</f>
        <v>0</v>
      </c>
      <c r="C153" s="4421">
        <f>D30</f>
        <v>0</v>
      </c>
      <c r="D153" s="4422"/>
      <c r="E153" s="1365"/>
      <c r="F153" s="3462"/>
      <c r="G153" s="3461"/>
      <c r="H153" s="3465"/>
    </row>
    <row r="154" spans="1:8" x14ac:dyDescent="0.25">
      <c r="A154" s="2445" t="s">
        <v>173</v>
      </c>
      <c r="B154" s="3552">
        <f>E29</f>
        <v>0</v>
      </c>
      <c r="C154" s="4421">
        <f t="shared" ref="C154:C155" si="52">D31</f>
        <v>0</v>
      </c>
      <c r="D154" s="4422"/>
      <c r="E154" s="1365"/>
      <c r="F154" s="3462"/>
      <c r="G154" s="3461"/>
      <c r="H154" s="3465"/>
    </row>
    <row r="155" spans="1:8" x14ac:dyDescent="0.25">
      <c r="A155" s="2445" t="s">
        <v>2134</v>
      </c>
      <c r="B155" s="3552">
        <f>F29</f>
        <v>0</v>
      </c>
      <c r="C155" s="4421">
        <f t="shared" si="52"/>
        <v>0</v>
      </c>
      <c r="D155" s="4422"/>
      <c r="E155" s="1365"/>
      <c r="F155" s="3462"/>
      <c r="G155" s="3461"/>
      <c r="H155" s="3465"/>
    </row>
    <row r="156" spans="1:8" x14ac:dyDescent="0.25">
      <c r="A156" s="2445" t="s">
        <v>99</v>
      </c>
      <c r="B156" s="3552">
        <f>G29</f>
        <v>1987.24</v>
      </c>
      <c r="C156" s="4421">
        <f>I58</f>
        <v>443.6</v>
      </c>
      <c r="D156" s="4422"/>
      <c r="E156" s="3548">
        <f>B156/C156-1</f>
        <v>3.48</v>
      </c>
      <c r="F156" s="3462"/>
      <c r="G156" s="3461"/>
      <c r="H156" s="3465">
        <f t="shared" ref="H156" si="53">B156/E156-1</f>
        <v>570.04999999999995</v>
      </c>
    </row>
    <row r="158" spans="1:8" ht="15" customHeight="1" x14ac:dyDescent="0.25">
      <c r="A158" s="3756" t="s">
        <v>2879</v>
      </c>
      <c r="B158" s="2430" t="s">
        <v>2872</v>
      </c>
      <c r="C158" s="4419" t="s">
        <v>2674</v>
      </c>
      <c r="D158" s="4420"/>
      <c r="E158" s="4427" t="s">
        <v>2187</v>
      </c>
      <c r="F158" s="3462"/>
      <c r="G158" s="3462"/>
      <c r="H158" s="4415" t="s">
        <v>2187</v>
      </c>
    </row>
    <row r="159" spans="1:8" ht="15" customHeight="1" x14ac:dyDescent="0.25">
      <c r="A159" s="3756"/>
      <c r="B159" s="4047" t="s">
        <v>3411</v>
      </c>
      <c r="C159" s="4423" t="s">
        <v>3411</v>
      </c>
      <c r="D159" s="4424"/>
      <c r="E159" s="4428"/>
      <c r="F159" s="4416" t="s">
        <v>2869</v>
      </c>
      <c r="G159" s="4416"/>
      <c r="H159" s="4415"/>
    </row>
    <row r="160" spans="1:8" ht="38.25" x14ac:dyDescent="0.25">
      <c r="A160" s="3756"/>
      <c r="B160" s="4048"/>
      <c r="C160" s="4425"/>
      <c r="D160" s="4426"/>
      <c r="E160" s="4429"/>
      <c r="F160" s="3463" t="s">
        <v>2870</v>
      </c>
      <c r="G160" s="3463" t="s">
        <v>2871</v>
      </c>
      <c r="H160" s="4415"/>
    </row>
    <row r="161" spans="1:8" x14ac:dyDescent="0.25">
      <c r="A161" s="1849" t="s">
        <v>2875</v>
      </c>
      <c r="B161" s="2094" t="s">
        <v>74</v>
      </c>
      <c r="C161" s="4042" t="s">
        <v>74</v>
      </c>
      <c r="D161" s="4044"/>
      <c r="E161" s="2094" t="s">
        <v>4</v>
      </c>
      <c r="F161" s="3464" t="s">
        <v>74</v>
      </c>
      <c r="G161" s="3464" t="s">
        <v>2873</v>
      </c>
      <c r="H161" s="3464" t="s">
        <v>4</v>
      </c>
    </row>
    <row r="162" spans="1:8" x14ac:dyDescent="0.25">
      <c r="A162" s="2445" t="s">
        <v>3</v>
      </c>
      <c r="B162" s="3552">
        <f>D33</f>
        <v>0</v>
      </c>
      <c r="C162" s="4421">
        <f>D34</f>
        <v>0</v>
      </c>
      <c r="D162" s="4422"/>
      <c r="E162" s="1365"/>
      <c r="F162" s="3460"/>
      <c r="G162" s="3461"/>
      <c r="H162" s="3465"/>
    </row>
    <row r="163" spans="1:8" x14ac:dyDescent="0.25">
      <c r="A163" s="2445" t="s">
        <v>173</v>
      </c>
      <c r="B163" s="3552">
        <f>E33</f>
        <v>0</v>
      </c>
      <c r="C163" s="4421">
        <f t="shared" ref="C163:C164" si="54">D35</f>
        <v>0</v>
      </c>
      <c r="D163" s="4422"/>
      <c r="E163" s="1365"/>
      <c r="F163" s="3460"/>
      <c r="G163" s="3461"/>
      <c r="H163" s="3465"/>
    </row>
    <row r="164" spans="1:8" x14ac:dyDescent="0.25">
      <c r="A164" s="2445" t="s">
        <v>2134</v>
      </c>
      <c r="B164" s="3552">
        <f>F33</f>
        <v>0</v>
      </c>
      <c r="C164" s="4421">
        <f t="shared" si="54"/>
        <v>0</v>
      </c>
      <c r="D164" s="4422"/>
      <c r="E164" s="1365"/>
      <c r="F164" s="3460"/>
      <c r="G164" s="3461"/>
      <c r="H164" s="3465"/>
    </row>
    <row r="165" spans="1:8" x14ac:dyDescent="0.25">
      <c r="A165" s="2445" t="s">
        <v>99</v>
      </c>
      <c r="B165" s="3552">
        <f>G33</f>
        <v>109.4</v>
      </c>
      <c r="C165" s="4421">
        <f>I62</f>
        <v>28.52</v>
      </c>
      <c r="D165" s="4422"/>
      <c r="E165" s="3548">
        <f>B165/C165-1</f>
        <v>2.84</v>
      </c>
      <c r="F165" s="3460"/>
      <c r="G165" s="3461"/>
      <c r="H165" s="3465">
        <f t="shared" ref="H165" si="55">B165/E165-1</f>
        <v>37.520000000000003</v>
      </c>
    </row>
    <row r="167" spans="1:8" ht="13.9" customHeight="1" x14ac:dyDescent="0.25">
      <c r="A167" s="4435" t="s">
        <v>3425</v>
      </c>
      <c r="B167" s="2430" t="s">
        <v>2872</v>
      </c>
      <c r="C167" s="4419" t="s">
        <v>2674</v>
      </c>
      <c r="D167" s="4420"/>
      <c r="E167" s="4427" t="s">
        <v>2187</v>
      </c>
      <c r="F167" s="18" t="s">
        <v>2139</v>
      </c>
      <c r="G167" s="3462"/>
      <c r="H167" s="4415" t="s">
        <v>2187</v>
      </c>
    </row>
    <row r="168" spans="1:8" ht="15" customHeight="1" x14ac:dyDescent="0.25">
      <c r="A168" s="4436"/>
      <c r="B168" s="4047" t="s">
        <v>3411</v>
      </c>
      <c r="C168" s="4423" t="s">
        <v>3411</v>
      </c>
      <c r="D168" s="4424"/>
      <c r="E168" s="4428"/>
      <c r="F168" s="4416" t="s">
        <v>2869</v>
      </c>
      <c r="G168" s="4416"/>
      <c r="H168" s="4415"/>
    </row>
    <row r="169" spans="1:8" ht="38.25" x14ac:dyDescent="0.25">
      <c r="A169" s="4436"/>
      <c r="B169" s="4048"/>
      <c r="C169" s="4425"/>
      <c r="D169" s="4426"/>
      <c r="E169" s="4429"/>
      <c r="F169" s="3463" t="s">
        <v>2870</v>
      </c>
      <c r="G169" s="3463" t="s">
        <v>2871</v>
      </c>
      <c r="H169" s="4415"/>
    </row>
    <row r="170" spans="1:8" ht="24" customHeight="1" x14ac:dyDescent="0.25">
      <c r="A170" s="4437"/>
      <c r="B170" s="2094" t="s">
        <v>74</v>
      </c>
      <c r="C170" s="4042" t="s">
        <v>74</v>
      </c>
      <c r="D170" s="4044"/>
      <c r="E170" s="2094" t="s">
        <v>4</v>
      </c>
      <c r="F170" s="3464" t="s">
        <v>74</v>
      </c>
      <c r="G170" s="3464" t="s">
        <v>2873</v>
      </c>
      <c r="H170" s="3464" t="s">
        <v>4</v>
      </c>
    </row>
    <row r="171" spans="1:8" ht="16.899999999999999" customHeight="1" x14ac:dyDescent="0.25">
      <c r="A171" s="4431" t="s">
        <v>2882</v>
      </c>
      <c r="B171" s="4432"/>
      <c r="C171" s="4432"/>
      <c r="D171" s="4432"/>
      <c r="E171" s="3549"/>
      <c r="F171" s="3466"/>
      <c r="G171" s="3466"/>
      <c r="H171" s="3466"/>
    </row>
    <row r="172" spans="1:8" x14ac:dyDescent="0.25">
      <c r="A172" s="1926" t="s">
        <v>934</v>
      </c>
      <c r="B172" s="3544">
        <f>B135</f>
        <v>0</v>
      </c>
      <c r="C172" s="4433">
        <f t="shared" ref="C172:G172" si="56">C135</f>
        <v>0</v>
      </c>
      <c r="D172" s="4434"/>
      <c r="E172" s="926"/>
      <c r="F172" s="3461">
        <f t="shared" si="56"/>
        <v>0</v>
      </c>
      <c r="G172" s="3461">
        <f t="shared" si="56"/>
        <v>0</v>
      </c>
      <c r="H172" s="3461"/>
    </row>
    <row r="173" spans="1:8" x14ac:dyDescent="0.25">
      <c r="A173" s="1926" t="s">
        <v>2881</v>
      </c>
      <c r="B173" s="3544">
        <f>B144</f>
        <v>0</v>
      </c>
      <c r="C173" s="4433">
        <f t="shared" ref="C173" si="57">C136</f>
        <v>0</v>
      </c>
      <c r="D173" s="4434"/>
      <c r="E173" s="926"/>
      <c r="F173" s="3461">
        <f t="shared" ref="F173:G173" si="58">F144</f>
        <v>0</v>
      </c>
      <c r="G173" s="3461">
        <f t="shared" si="58"/>
        <v>0</v>
      </c>
      <c r="H173" s="3461"/>
    </row>
    <row r="174" spans="1:8" x14ac:dyDescent="0.25">
      <c r="A174" s="1926" t="s">
        <v>936</v>
      </c>
      <c r="B174" s="3544">
        <f>B162</f>
        <v>0</v>
      </c>
      <c r="C174" s="4433">
        <f t="shared" ref="C174" si="59">C137</f>
        <v>0</v>
      </c>
      <c r="D174" s="4434"/>
      <c r="E174" s="926"/>
      <c r="F174" s="3461">
        <f t="shared" ref="F174:G174" si="60">F162</f>
        <v>0</v>
      </c>
      <c r="G174" s="3461">
        <f t="shared" si="60"/>
        <v>0</v>
      </c>
      <c r="H174" s="3462"/>
    </row>
    <row r="175" spans="1:8" x14ac:dyDescent="0.25">
      <c r="A175" s="1926" t="s">
        <v>2743</v>
      </c>
      <c r="B175" s="3544">
        <f>B172*0.2+B173*0.2+B174*0.2</f>
        <v>0</v>
      </c>
      <c r="C175" s="4433">
        <f>C172*0.2+C173*0.2+C174*0.2</f>
        <v>0</v>
      </c>
      <c r="D175" s="4434"/>
      <c r="E175" s="926"/>
      <c r="F175" s="3461">
        <f t="shared" ref="F175:G175" si="61">F172*0.2+F173*0.2+F174*0.2</f>
        <v>0</v>
      </c>
      <c r="G175" s="3461">
        <f t="shared" si="61"/>
        <v>0</v>
      </c>
      <c r="H175" s="3462"/>
    </row>
    <row r="176" spans="1:8" s="1792" customFormat="1" ht="15" customHeight="1" x14ac:dyDescent="0.2">
      <c r="A176" s="2461" t="s">
        <v>2880</v>
      </c>
      <c r="B176" s="3545">
        <f>SUM(B172:B175)</f>
        <v>0</v>
      </c>
      <c r="C176" s="4438">
        <f t="shared" ref="C176" si="62">C139</f>
        <v>0</v>
      </c>
      <c r="D176" s="4439"/>
      <c r="E176" s="2462">
        <f t="shared" ref="E176:G176" si="63">SUM(E172:E175)</f>
        <v>0</v>
      </c>
      <c r="F176" s="3467">
        <f t="shared" si="63"/>
        <v>0</v>
      </c>
      <c r="G176" s="3467">
        <f t="shared" si="63"/>
        <v>0</v>
      </c>
      <c r="H176" s="3468">
        <v>0</v>
      </c>
    </row>
    <row r="177" spans="1:8" ht="15" customHeight="1" x14ac:dyDescent="0.25">
      <c r="A177" s="4431" t="s">
        <v>2883</v>
      </c>
      <c r="B177" s="4432"/>
      <c r="C177" s="4432"/>
      <c r="D177" s="4432"/>
      <c r="E177" s="3549"/>
      <c r="F177" s="3466"/>
      <c r="G177" s="3466"/>
      <c r="H177" s="3466"/>
    </row>
    <row r="178" spans="1:8" x14ac:dyDescent="0.25">
      <c r="A178" s="1926" t="s">
        <v>934</v>
      </c>
      <c r="B178" s="3544">
        <f>B172</f>
        <v>0</v>
      </c>
      <c r="C178" s="4433">
        <f t="shared" ref="C178:G178" si="64">C172</f>
        <v>0</v>
      </c>
      <c r="D178" s="4434"/>
      <c r="E178" s="926"/>
      <c r="F178" s="3461">
        <f t="shared" si="64"/>
        <v>0</v>
      </c>
      <c r="G178" s="3461">
        <f t="shared" si="64"/>
        <v>0</v>
      </c>
      <c r="H178" s="3461"/>
    </row>
    <row r="179" spans="1:8" x14ac:dyDescent="0.25">
      <c r="A179" s="1926" t="s">
        <v>2881</v>
      </c>
      <c r="B179" s="3544">
        <f>B153</f>
        <v>0</v>
      </c>
      <c r="C179" s="4433">
        <f t="shared" ref="C179" si="65">C173</f>
        <v>0</v>
      </c>
      <c r="D179" s="4434"/>
      <c r="E179" s="926"/>
      <c r="F179" s="3461">
        <f t="shared" ref="F179:G179" si="66">F153</f>
        <v>0</v>
      </c>
      <c r="G179" s="3461">
        <f t="shared" si="66"/>
        <v>0</v>
      </c>
      <c r="H179" s="3461"/>
    </row>
    <row r="180" spans="1:8" x14ac:dyDescent="0.25">
      <c r="A180" s="1926" t="s">
        <v>936</v>
      </c>
      <c r="B180" s="3544">
        <f>B174</f>
        <v>0</v>
      </c>
      <c r="C180" s="4433">
        <f t="shared" ref="C180" si="67">C174</f>
        <v>0</v>
      </c>
      <c r="D180" s="4434"/>
      <c r="E180" s="926"/>
      <c r="F180" s="3461">
        <f t="shared" ref="F180:G180" si="68">F174</f>
        <v>0</v>
      </c>
      <c r="G180" s="3461">
        <f t="shared" si="68"/>
        <v>0</v>
      </c>
      <c r="H180" s="3462"/>
    </row>
    <row r="181" spans="1:8" x14ac:dyDescent="0.25">
      <c r="A181" s="1926" t="s">
        <v>2743</v>
      </c>
      <c r="B181" s="3544">
        <f>B178*0.2+B179*0.2+B180*0.2</f>
        <v>0</v>
      </c>
      <c r="C181" s="4433">
        <f>C178*0.2+C179*0.2+C180*0.2</f>
        <v>0</v>
      </c>
      <c r="D181" s="4434"/>
      <c r="E181" s="926"/>
      <c r="F181" s="3461">
        <f t="shared" ref="F181" si="69">F178*0.2+F179*0.2+F180*0.2</f>
        <v>0</v>
      </c>
      <c r="G181" s="3461">
        <f t="shared" ref="G181" si="70">G178*0.2+G179*0.2+G180*0.2</f>
        <v>0</v>
      </c>
      <c r="H181" s="3462"/>
    </row>
    <row r="182" spans="1:8" ht="16.149999999999999" customHeight="1" x14ac:dyDescent="0.25">
      <c r="A182" s="2461" t="s">
        <v>2880</v>
      </c>
      <c r="B182" s="3545">
        <f>SUM(B178:B181)</f>
        <v>0</v>
      </c>
      <c r="C182" s="4438">
        <f t="shared" ref="C182" si="71">C176</f>
        <v>0</v>
      </c>
      <c r="D182" s="4439"/>
      <c r="E182" s="2462">
        <f t="shared" ref="E182" si="72">SUM(E178:E181)</f>
        <v>0</v>
      </c>
      <c r="F182" s="3467">
        <f t="shared" ref="F182" si="73">SUM(F178:F181)</f>
        <v>0</v>
      </c>
      <c r="G182" s="3467">
        <f t="shared" ref="G182" si="74">SUM(G178:G181)</f>
        <v>0</v>
      </c>
      <c r="H182" s="3468">
        <v>0</v>
      </c>
    </row>
    <row r="183" spans="1:8" x14ac:dyDescent="0.25">
      <c r="F183" s="3462"/>
      <c r="G183" s="3462"/>
      <c r="H183" s="3462"/>
    </row>
    <row r="184" spans="1:8" ht="15" customHeight="1" x14ac:dyDescent="0.25">
      <c r="A184" s="4431" t="s">
        <v>2884</v>
      </c>
      <c r="B184" s="4432"/>
      <c r="C184" s="4432"/>
      <c r="D184" s="4432"/>
      <c r="E184" s="3549"/>
      <c r="F184" s="3466"/>
      <c r="G184" s="3466"/>
      <c r="H184" s="3466"/>
    </row>
    <row r="185" spans="1:8" x14ac:dyDescent="0.25">
      <c r="A185" s="1926" t="s">
        <v>934</v>
      </c>
      <c r="B185" s="926">
        <v>0</v>
      </c>
      <c r="C185" s="4433">
        <f t="shared" ref="C185:G185" si="75">C137</f>
        <v>0</v>
      </c>
      <c r="D185" s="4434"/>
      <c r="E185" s="926"/>
      <c r="F185" s="3461">
        <f t="shared" si="75"/>
        <v>0</v>
      </c>
      <c r="G185" s="3461">
        <f t="shared" si="75"/>
        <v>0</v>
      </c>
      <c r="H185" s="3461"/>
    </row>
    <row r="186" spans="1:8" x14ac:dyDescent="0.25">
      <c r="A186" s="1926" t="s">
        <v>2881</v>
      </c>
      <c r="B186" s="926">
        <f>B146</f>
        <v>0</v>
      </c>
      <c r="C186" s="4433">
        <f>C137</f>
        <v>0</v>
      </c>
      <c r="D186" s="4434"/>
      <c r="E186" s="926"/>
      <c r="F186" s="3461">
        <f t="shared" ref="F186:G186" si="76">F146</f>
        <v>0</v>
      </c>
      <c r="G186" s="3461">
        <f t="shared" si="76"/>
        <v>0</v>
      </c>
      <c r="H186" s="3461"/>
    </row>
    <row r="187" spans="1:8" x14ac:dyDescent="0.25">
      <c r="A187" s="1926" t="s">
        <v>936</v>
      </c>
      <c r="B187" s="926">
        <v>0</v>
      </c>
      <c r="C187" s="4433">
        <f t="shared" ref="C187:G187" si="77">C164</f>
        <v>0</v>
      </c>
      <c r="D187" s="4434"/>
      <c r="E187" s="926"/>
      <c r="F187" s="3461">
        <f t="shared" si="77"/>
        <v>0</v>
      </c>
      <c r="G187" s="3461">
        <f t="shared" si="77"/>
        <v>0</v>
      </c>
      <c r="H187" s="3462"/>
    </row>
    <row r="188" spans="1:8" x14ac:dyDescent="0.25">
      <c r="A188" s="1926" t="s">
        <v>2743</v>
      </c>
      <c r="B188" s="926">
        <f>B185*0.2+B186*0.2+B187*0.2</f>
        <v>0</v>
      </c>
      <c r="C188" s="4433">
        <f t="shared" ref="C188:G188" si="78">C185*0.2+C186*0.2+C187*0.2</f>
        <v>0</v>
      </c>
      <c r="D188" s="4434"/>
      <c r="E188" s="926"/>
      <c r="F188" s="3461">
        <f t="shared" si="78"/>
        <v>0</v>
      </c>
      <c r="G188" s="3461">
        <f t="shared" si="78"/>
        <v>0</v>
      </c>
      <c r="H188" s="3462"/>
    </row>
    <row r="189" spans="1:8" ht="15.6" customHeight="1" x14ac:dyDescent="0.25">
      <c r="A189" s="2461" t="s">
        <v>2880</v>
      </c>
      <c r="B189" s="2462">
        <f>SUM(B185:B188)</f>
        <v>0</v>
      </c>
      <c r="C189" s="4438">
        <f t="shared" ref="C189" si="79">SUM(C185:C188)</f>
        <v>0</v>
      </c>
      <c r="D189" s="4439"/>
      <c r="E189" s="2462">
        <f t="shared" ref="E189" si="80">SUM(E185:E188)</f>
        <v>0</v>
      </c>
      <c r="F189" s="3467">
        <f t="shared" ref="F189" si="81">SUM(F185:F188)</f>
        <v>0</v>
      </c>
      <c r="G189" s="3467">
        <f t="shared" ref="G189" si="82">SUM(G185:G188)</f>
        <v>0</v>
      </c>
      <c r="H189" s="3468">
        <v>0</v>
      </c>
    </row>
    <row r="190" spans="1:8" ht="19.5" customHeight="1" x14ac:dyDescent="0.25">
      <c r="A190" s="4431" t="s">
        <v>2885</v>
      </c>
      <c r="B190" s="4432"/>
      <c r="C190" s="4432"/>
      <c r="D190" s="4432"/>
      <c r="E190" s="3549"/>
      <c r="F190" s="3466"/>
      <c r="G190" s="3466"/>
      <c r="H190" s="3466"/>
    </row>
    <row r="191" spans="1:8" x14ac:dyDescent="0.25">
      <c r="A191" s="1926" t="s">
        <v>934</v>
      </c>
      <c r="B191" s="3544">
        <f>B137</f>
        <v>0</v>
      </c>
      <c r="C191" s="4433">
        <f t="shared" ref="C191:G191" si="83">C137</f>
        <v>0</v>
      </c>
      <c r="D191" s="4434"/>
      <c r="E191" s="926"/>
      <c r="F191" s="3461">
        <f t="shared" si="83"/>
        <v>0</v>
      </c>
      <c r="G191" s="3461">
        <f t="shared" si="83"/>
        <v>0</v>
      </c>
      <c r="H191" s="3461"/>
    </row>
    <row r="192" spans="1:8" x14ac:dyDescent="0.25">
      <c r="A192" s="1926" t="s">
        <v>2881</v>
      </c>
      <c r="B192" s="3544">
        <f>B155</f>
        <v>0</v>
      </c>
      <c r="C192" s="4433">
        <f>C146</f>
        <v>0</v>
      </c>
      <c r="D192" s="4434"/>
      <c r="E192" s="926"/>
      <c r="F192" s="3461">
        <f t="shared" ref="F192:G192" si="84">F155</f>
        <v>0</v>
      </c>
      <c r="G192" s="3461">
        <f t="shared" si="84"/>
        <v>0</v>
      </c>
      <c r="H192" s="3461"/>
    </row>
    <row r="193" spans="1:8" x14ac:dyDescent="0.25">
      <c r="A193" s="1926" t="s">
        <v>936</v>
      </c>
      <c r="B193" s="3544">
        <f>B164</f>
        <v>0</v>
      </c>
      <c r="C193" s="4433">
        <f t="shared" ref="C193" si="85">C139</f>
        <v>0</v>
      </c>
      <c r="D193" s="4434"/>
      <c r="E193" s="926"/>
      <c r="F193" s="3461">
        <f t="shared" ref="F193:G193" si="86">F164</f>
        <v>0</v>
      </c>
      <c r="G193" s="3461">
        <f t="shared" si="86"/>
        <v>0</v>
      </c>
      <c r="H193" s="3462"/>
    </row>
    <row r="194" spans="1:8" x14ac:dyDescent="0.25">
      <c r="A194" s="1926" t="s">
        <v>2743</v>
      </c>
      <c r="B194" s="3544">
        <f>B191*0.2+B192*0.2+B193*0.2</f>
        <v>0</v>
      </c>
      <c r="C194" s="4433">
        <f t="shared" ref="C194" si="87">C191*0.2+C192*0.2+C193*0.2</f>
        <v>0</v>
      </c>
      <c r="D194" s="4434"/>
      <c r="E194" s="926"/>
      <c r="F194" s="3461">
        <f t="shared" ref="F194" si="88">F191*0.2+F192*0.2+F193*0.2</f>
        <v>0</v>
      </c>
      <c r="G194" s="3461">
        <f t="shared" ref="G194" si="89">G191*0.2+G192*0.2+G193*0.2</f>
        <v>0</v>
      </c>
      <c r="H194" s="3462"/>
    </row>
    <row r="195" spans="1:8" ht="16.899999999999999" customHeight="1" x14ac:dyDescent="0.25">
      <c r="A195" s="2461" t="s">
        <v>2880</v>
      </c>
      <c r="B195" s="3545">
        <f>SUM(B191:B194)</f>
        <v>0</v>
      </c>
      <c r="C195" s="4438">
        <f t="shared" ref="C195" si="90">SUM(C191:C194)</f>
        <v>0</v>
      </c>
      <c r="D195" s="4439"/>
      <c r="E195" s="2462">
        <f t="shared" ref="E195" si="91">SUM(E191:E194)</f>
        <v>0</v>
      </c>
      <c r="F195" s="3467">
        <f t="shared" ref="F195" si="92">SUM(F191:F194)</f>
        <v>0</v>
      </c>
      <c r="G195" s="3467">
        <f t="shared" ref="G195" si="93">SUM(G191:G194)</f>
        <v>0</v>
      </c>
      <c r="H195" s="3468"/>
    </row>
    <row r="196" spans="1:8" ht="16.5" customHeight="1" x14ac:dyDescent="0.25">
      <c r="F196" s="3462"/>
      <c r="G196" s="3462"/>
      <c r="H196" s="3462"/>
    </row>
    <row r="197" spans="1:8" ht="15" customHeight="1" x14ac:dyDescent="0.25">
      <c r="A197" s="4431" t="s">
        <v>2886</v>
      </c>
      <c r="B197" s="4432"/>
      <c r="C197" s="4432"/>
      <c r="D197" s="4432"/>
      <c r="E197" s="3549"/>
      <c r="F197" s="3466"/>
      <c r="G197" s="3466"/>
      <c r="H197" s="3466"/>
    </row>
    <row r="198" spans="1:8" x14ac:dyDescent="0.25">
      <c r="A198" s="1926" t="s">
        <v>934</v>
      </c>
      <c r="B198" s="3544">
        <f>B138</f>
        <v>7163.27</v>
      </c>
      <c r="C198" s="4433">
        <f t="shared" ref="C198:G198" si="94">C138</f>
        <v>2565.2399999999998</v>
      </c>
      <c r="D198" s="4434"/>
      <c r="E198" s="926"/>
      <c r="F198" s="3461">
        <f t="shared" si="94"/>
        <v>0</v>
      </c>
      <c r="G198" s="3461">
        <f t="shared" si="94"/>
        <v>0</v>
      </c>
      <c r="H198" s="3461"/>
    </row>
    <row r="199" spans="1:8" x14ac:dyDescent="0.25">
      <c r="A199" s="1926" t="s">
        <v>2881</v>
      </c>
      <c r="B199" s="3544">
        <f>B147</f>
        <v>2667.51</v>
      </c>
      <c r="C199" s="4433">
        <f t="shared" ref="C199:G199" si="95">C147</f>
        <v>443.6</v>
      </c>
      <c r="D199" s="4434"/>
      <c r="E199" s="926"/>
      <c r="F199" s="3461">
        <f t="shared" si="95"/>
        <v>0</v>
      </c>
      <c r="G199" s="3461">
        <f t="shared" si="95"/>
        <v>0</v>
      </c>
      <c r="H199" s="3461"/>
    </row>
    <row r="200" spans="1:8" x14ac:dyDescent="0.25">
      <c r="A200" s="1926" t="s">
        <v>936</v>
      </c>
      <c r="B200" s="3544">
        <f>B165</f>
        <v>109.4</v>
      </c>
      <c r="C200" s="4433">
        <f t="shared" ref="C200:G200" si="96">C165</f>
        <v>28.52</v>
      </c>
      <c r="D200" s="4434"/>
      <c r="E200" s="926"/>
      <c r="F200" s="3461">
        <f t="shared" si="96"/>
        <v>0</v>
      </c>
      <c r="G200" s="3461">
        <f t="shared" si="96"/>
        <v>0</v>
      </c>
      <c r="H200" s="3462"/>
    </row>
    <row r="201" spans="1:8" x14ac:dyDescent="0.25">
      <c r="A201" s="1926" t="s">
        <v>2743</v>
      </c>
      <c r="B201" s="3544">
        <f>B198*0.2+B199*0.2+B200*0.2</f>
        <v>1988.04</v>
      </c>
      <c r="C201" s="4433">
        <f t="shared" ref="C201" si="97">C198*0.2+C199*0.2+C200*0.2</f>
        <v>607.47</v>
      </c>
      <c r="D201" s="4434"/>
      <c r="E201" s="926"/>
      <c r="F201" s="3461">
        <f t="shared" ref="F201" si="98">F198*0.2+F199*0.2+F200*0.2</f>
        <v>0</v>
      </c>
      <c r="G201" s="3461">
        <f t="shared" ref="G201" si="99">G198*0.2+G199*0.2+G200*0.2</f>
        <v>0</v>
      </c>
      <c r="H201" s="3462"/>
    </row>
    <row r="202" spans="1:8" ht="15" customHeight="1" x14ac:dyDescent="0.25">
      <c r="A202" s="2461" t="s">
        <v>2880</v>
      </c>
      <c r="B202" s="3545">
        <f>SUM(B198:B201)</f>
        <v>11928.22</v>
      </c>
      <c r="C202" s="4438">
        <f t="shared" ref="C202" si="100">SUM(C198:C201)</f>
        <v>3644.83</v>
      </c>
      <c r="D202" s="4439"/>
      <c r="E202" s="3550">
        <f>B202/C202-1</f>
        <v>2.27</v>
      </c>
      <c r="F202" s="3467">
        <f t="shared" ref="F202" si="101">SUM(F198:F201)</f>
        <v>0</v>
      </c>
      <c r="G202" s="3467">
        <f t="shared" ref="G202" si="102">SUM(G198:G201)</f>
        <v>0</v>
      </c>
      <c r="H202" s="3468">
        <f t="shared" ref="H202" si="103">B202/E202-1</f>
        <v>5253.72</v>
      </c>
    </row>
    <row r="203" spans="1:8" ht="15" customHeight="1" x14ac:dyDescent="0.25">
      <c r="A203" s="4431" t="s">
        <v>2887</v>
      </c>
      <c r="B203" s="4432"/>
      <c r="C203" s="4432"/>
      <c r="D203" s="4432"/>
      <c r="E203" s="3549"/>
      <c r="F203" s="3466"/>
      <c r="G203" s="3466"/>
      <c r="H203" s="3466"/>
    </row>
    <row r="204" spans="1:8" x14ac:dyDescent="0.25">
      <c r="A204" s="1926" t="s">
        <v>934</v>
      </c>
      <c r="B204" s="3544">
        <f>B138</f>
        <v>7163.27</v>
      </c>
      <c r="C204" s="4433">
        <f t="shared" ref="C204:G204" si="104">C138</f>
        <v>2565.2399999999998</v>
      </c>
      <c r="D204" s="4434"/>
      <c r="E204" s="926"/>
      <c r="F204" s="3461">
        <f t="shared" si="104"/>
        <v>0</v>
      </c>
      <c r="G204" s="3461">
        <f t="shared" si="104"/>
        <v>0</v>
      </c>
      <c r="H204" s="3461"/>
    </row>
    <row r="205" spans="1:8" x14ac:dyDescent="0.25">
      <c r="A205" s="1926" t="s">
        <v>2881</v>
      </c>
      <c r="B205" s="3544">
        <f>B156</f>
        <v>1987.24</v>
      </c>
      <c r="C205" s="4433">
        <f t="shared" ref="C205:G205" si="105">C156</f>
        <v>443.6</v>
      </c>
      <c r="D205" s="4434"/>
      <c r="E205" s="926"/>
      <c r="F205" s="3461">
        <f t="shared" si="105"/>
        <v>0</v>
      </c>
      <c r="G205" s="3461">
        <f t="shared" si="105"/>
        <v>0</v>
      </c>
      <c r="H205" s="3461"/>
    </row>
    <row r="206" spans="1:8" x14ac:dyDescent="0.25">
      <c r="A206" s="1926" t="s">
        <v>936</v>
      </c>
      <c r="B206" s="3544">
        <f>B165</f>
        <v>109.4</v>
      </c>
      <c r="C206" s="4433">
        <f t="shared" ref="C206:G206" si="106">C165</f>
        <v>28.52</v>
      </c>
      <c r="D206" s="4434"/>
      <c r="E206" s="926"/>
      <c r="F206" s="3461">
        <f t="shared" si="106"/>
        <v>0</v>
      </c>
      <c r="G206" s="3461">
        <f t="shared" si="106"/>
        <v>0</v>
      </c>
      <c r="H206" s="3462"/>
    </row>
    <row r="207" spans="1:8" x14ac:dyDescent="0.25">
      <c r="A207" s="1926" t="s">
        <v>2743</v>
      </c>
      <c r="B207" s="3544">
        <f>B204*0.2+B205*0.2+B206*0.2</f>
        <v>1851.98</v>
      </c>
      <c r="C207" s="4433">
        <f t="shared" ref="C207:G207" si="107">C204*0.2+C205*0.2+C206*0.2</f>
        <v>607.47</v>
      </c>
      <c r="D207" s="4434"/>
      <c r="E207" s="926"/>
      <c r="F207" s="3461">
        <f t="shared" si="107"/>
        <v>0</v>
      </c>
      <c r="G207" s="3461">
        <f t="shared" si="107"/>
        <v>0</v>
      </c>
      <c r="H207" s="3462"/>
    </row>
    <row r="208" spans="1:8" ht="16.899999999999999" customHeight="1" x14ac:dyDescent="0.25">
      <c r="A208" s="2461" t="s">
        <v>2880</v>
      </c>
      <c r="B208" s="3545">
        <f>SUM(B204:B207)</f>
        <v>11111.89</v>
      </c>
      <c r="C208" s="4438">
        <f t="shared" ref="C208" si="108">SUM(C204:C207)</f>
        <v>3644.83</v>
      </c>
      <c r="D208" s="4439"/>
      <c r="E208" s="3550">
        <f>B208/C208-1</f>
        <v>2.0499999999999998</v>
      </c>
      <c r="F208" s="3467">
        <f t="shared" ref="F208" si="109">SUM(F204:F207)</f>
        <v>0</v>
      </c>
      <c r="G208" s="3467">
        <f t="shared" ref="G208" si="110">SUM(G204:G207)</f>
        <v>0</v>
      </c>
      <c r="H208" s="3468">
        <f t="shared" ref="H208" si="111">B208/E208-1</f>
        <v>5419.43</v>
      </c>
    </row>
    <row r="209" spans="1:8" x14ac:dyDescent="0.25">
      <c r="F209" s="3462"/>
      <c r="G209" s="3462"/>
      <c r="H209" s="3462"/>
    </row>
    <row r="210" spans="1:8" ht="15" customHeight="1" x14ac:dyDescent="0.25">
      <c r="A210" s="4431" t="s">
        <v>2888</v>
      </c>
      <c r="B210" s="4432"/>
      <c r="C210" s="4432"/>
      <c r="D210" s="4432"/>
      <c r="E210" s="3549"/>
      <c r="F210" s="3466"/>
      <c r="G210" s="3466"/>
      <c r="H210" s="3466"/>
    </row>
    <row r="211" spans="1:8" x14ac:dyDescent="0.25">
      <c r="A211" s="1926" t="s">
        <v>934</v>
      </c>
      <c r="B211" s="3544">
        <f>B136</f>
        <v>0</v>
      </c>
      <c r="C211" s="4433">
        <f t="shared" ref="C211:G211" si="112">C136</f>
        <v>0</v>
      </c>
      <c r="D211" s="4434"/>
      <c r="E211" s="926">
        <f t="shared" si="112"/>
        <v>0</v>
      </c>
      <c r="F211" s="3461">
        <f t="shared" si="112"/>
        <v>0</v>
      </c>
      <c r="G211" s="3461">
        <f t="shared" si="112"/>
        <v>0</v>
      </c>
      <c r="H211" s="3461"/>
    </row>
    <row r="212" spans="1:8" x14ac:dyDescent="0.25">
      <c r="A212" s="1926" t="s">
        <v>2881</v>
      </c>
      <c r="B212" s="3544">
        <f>B154</f>
        <v>0</v>
      </c>
      <c r="C212" s="4433">
        <f t="shared" ref="C212:G212" si="113">C154</f>
        <v>0</v>
      </c>
      <c r="D212" s="4434"/>
      <c r="E212" s="926">
        <f t="shared" si="113"/>
        <v>0</v>
      </c>
      <c r="F212" s="3461">
        <f t="shared" si="113"/>
        <v>0</v>
      </c>
      <c r="G212" s="3461">
        <f t="shared" si="113"/>
        <v>0</v>
      </c>
      <c r="H212" s="3461"/>
    </row>
    <row r="213" spans="1:8" x14ac:dyDescent="0.25">
      <c r="A213" s="1926" t="s">
        <v>936</v>
      </c>
      <c r="B213" s="3544">
        <f>B163</f>
        <v>0</v>
      </c>
      <c r="C213" s="4433">
        <f t="shared" ref="C213:G213" si="114">C163</f>
        <v>0</v>
      </c>
      <c r="D213" s="4434"/>
      <c r="E213" s="926">
        <f t="shared" si="114"/>
        <v>0</v>
      </c>
      <c r="F213" s="3461">
        <f t="shared" si="114"/>
        <v>0</v>
      </c>
      <c r="G213" s="3461">
        <f t="shared" si="114"/>
        <v>0</v>
      </c>
      <c r="H213" s="3462"/>
    </row>
    <row r="214" spans="1:8" x14ac:dyDescent="0.25">
      <c r="A214" s="1926" t="s">
        <v>2743</v>
      </c>
      <c r="B214" s="3544">
        <f>B211*0.2+B212*0.2+B213*0.2</f>
        <v>0</v>
      </c>
      <c r="C214" s="4433">
        <f t="shared" ref="C214" si="115">C211*0.2+C212*0.2+C213*0.2</f>
        <v>0</v>
      </c>
      <c r="D214" s="4434"/>
      <c r="E214" s="926">
        <f t="shared" ref="E214" si="116">E211*0.2+E212*0.2+E213*0.2</f>
        <v>0</v>
      </c>
      <c r="F214" s="3461">
        <f t="shared" ref="F214" si="117">F211*0.2+F212*0.2+F213*0.2</f>
        <v>0</v>
      </c>
      <c r="G214" s="3461">
        <f t="shared" ref="G214" si="118">G211*0.2+G212*0.2+G213*0.2</f>
        <v>0</v>
      </c>
      <c r="H214" s="3462"/>
    </row>
    <row r="215" spans="1:8" ht="16.149999999999999" customHeight="1" x14ac:dyDescent="0.25">
      <c r="A215" s="2461" t="s">
        <v>2880</v>
      </c>
      <c r="B215" s="3545">
        <f>SUM(B211:B214)</f>
        <v>0</v>
      </c>
      <c r="C215" s="4438">
        <f t="shared" ref="C215" si="119">SUM(C211:C214)</f>
        <v>0</v>
      </c>
      <c r="D215" s="4439"/>
      <c r="E215" s="2462">
        <f t="shared" ref="E215" si="120">SUM(E211:E214)</f>
        <v>0</v>
      </c>
      <c r="F215" s="3467">
        <f t="shared" ref="F215" si="121">SUM(F211:F214)</f>
        <v>0</v>
      </c>
      <c r="G215" s="3467">
        <f t="shared" ref="G215" si="122">SUM(G211:G214)</f>
        <v>0</v>
      </c>
      <c r="H215" s="3468"/>
    </row>
    <row r="217" spans="1:8" s="58" customFormat="1" ht="23.25" customHeight="1" x14ac:dyDescent="0.25">
      <c r="A217" s="4440" t="s">
        <v>3449</v>
      </c>
      <c r="B217" s="4440"/>
      <c r="C217" s="4440"/>
      <c r="D217" s="4440"/>
    </row>
    <row r="218" spans="1:8" s="58" customFormat="1" ht="15.75" x14ac:dyDescent="0.25">
      <c r="A218" s="1240" t="s">
        <v>3448</v>
      </c>
      <c r="B218" s="1240"/>
      <c r="C218" s="1240"/>
      <c r="D218" s="1240"/>
    </row>
  </sheetData>
  <mergeCells count="117">
    <mergeCell ref="A217:D217"/>
    <mergeCell ref="C212:D212"/>
    <mergeCell ref="C213:D213"/>
    <mergeCell ref="C214:D214"/>
    <mergeCell ref="C215:D215"/>
    <mergeCell ref="C208:D208"/>
    <mergeCell ref="A197:D197"/>
    <mergeCell ref="A203:D203"/>
    <mergeCell ref="A210:D210"/>
    <mergeCell ref="C211:D211"/>
    <mergeCell ref="C202:D202"/>
    <mergeCell ref="C204:D204"/>
    <mergeCell ref="C205:D205"/>
    <mergeCell ref="C206:D206"/>
    <mergeCell ref="C207:D207"/>
    <mergeCell ref="C195:D195"/>
    <mergeCell ref="C198:D198"/>
    <mergeCell ref="C199:D199"/>
    <mergeCell ref="C200:D200"/>
    <mergeCell ref="C201:D201"/>
    <mergeCell ref="C189:D189"/>
    <mergeCell ref="C191:D191"/>
    <mergeCell ref="C192:D192"/>
    <mergeCell ref="C193:D193"/>
    <mergeCell ref="C194:D194"/>
    <mergeCell ref="C147:D147"/>
    <mergeCell ref="C188:D188"/>
    <mergeCell ref="C180:D180"/>
    <mergeCell ref="C181:D181"/>
    <mergeCell ref="C182:D182"/>
    <mergeCell ref="C185:D185"/>
    <mergeCell ref="C186:D186"/>
    <mergeCell ref="A184:D184"/>
    <mergeCell ref="C187:D187"/>
    <mergeCell ref="C170:D170"/>
    <mergeCell ref="C158:D158"/>
    <mergeCell ref="C159:D160"/>
    <mergeCell ref="C161:D161"/>
    <mergeCell ref="C162:D162"/>
    <mergeCell ref="C163:D163"/>
    <mergeCell ref="C153:D153"/>
    <mergeCell ref="C154:D154"/>
    <mergeCell ref="C155:D155"/>
    <mergeCell ref="C156:D156"/>
    <mergeCell ref="C152:D152"/>
    <mergeCell ref="C143:D143"/>
    <mergeCell ref="C144:D144"/>
    <mergeCell ref="C145:D145"/>
    <mergeCell ref="C146:D146"/>
    <mergeCell ref="C137:D137"/>
    <mergeCell ref="C138:D138"/>
    <mergeCell ref="C141:D142"/>
    <mergeCell ref="C140:D140"/>
    <mergeCell ref="A190:D190"/>
    <mergeCell ref="C178:D178"/>
    <mergeCell ref="C179:D179"/>
    <mergeCell ref="A167:A170"/>
    <mergeCell ref="A158:A160"/>
    <mergeCell ref="C172:D172"/>
    <mergeCell ref="C173:D173"/>
    <mergeCell ref="C174:D174"/>
    <mergeCell ref="C175:D175"/>
    <mergeCell ref="C176:D176"/>
    <mergeCell ref="A171:D171"/>
    <mergeCell ref="A177:D177"/>
    <mergeCell ref="C164:D164"/>
    <mergeCell ref="C165:D165"/>
    <mergeCell ref="C168:D169"/>
    <mergeCell ref="C167:D167"/>
    <mergeCell ref="H158:H160"/>
    <mergeCell ref="B159:B160"/>
    <mergeCell ref="F159:G159"/>
    <mergeCell ref="H167:H169"/>
    <mergeCell ref="B168:B169"/>
    <mergeCell ref="F168:G168"/>
    <mergeCell ref="E158:E160"/>
    <mergeCell ref="E167:E169"/>
    <mergeCell ref="A149:A151"/>
    <mergeCell ref="H149:H151"/>
    <mergeCell ref="B150:B151"/>
    <mergeCell ref="E150:E151"/>
    <mergeCell ref="F150:G150"/>
    <mergeCell ref="C150:D151"/>
    <mergeCell ref="C149:D149"/>
    <mergeCell ref="H131:H133"/>
    <mergeCell ref="A140:A142"/>
    <mergeCell ref="H140:H142"/>
    <mergeCell ref="F141:G141"/>
    <mergeCell ref="F132:G132"/>
    <mergeCell ref="A131:A133"/>
    <mergeCell ref="B141:B142"/>
    <mergeCell ref="B132:B133"/>
    <mergeCell ref="E131:E133"/>
    <mergeCell ref="C131:D131"/>
    <mergeCell ref="C135:D135"/>
    <mergeCell ref="C136:D136"/>
    <mergeCell ref="C134:D134"/>
    <mergeCell ref="C132:D133"/>
    <mergeCell ref="E140:E142"/>
    <mergeCell ref="A18:E18"/>
    <mergeCell ref="A76:A77"/>
    <mergeCell ref="B76:B77"/>
    <mergeCell ref="C76:C77"/>
    <mergeCell ref="D76:G76"/>
    <mergeCell ref="A105:A106"/>
    <mergeCell ref="B105:B106"/>
    <mergeCell ref="C105:C106"/>
    <mergeCell ref="D105:G105"/>
    <mergeCell ref="B19:B20"/>
    <mergeCell ref="A19:A20"/>
    <mergeCell ref="C19:C20"/>
    <mergeCell ref="D19:G19"/>
    <mergeCell ref="A48:A49"/>
    <mergeCell ref="B48:B49"/>
    <mergeCell ref="C48:C49"/>
    <mergeCell ref="D48:G48"/>
    <mergeCell ref="A75:E75"/>
  </mergeCells>
  <pageMargins left="0.78740157480314965" right="0.35433070866141736" top="0.78740157480314965" bottom="0.31496062992125984"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K30"/>
  <sheetViews>
    <sheetView topLeftCell="A13" workbookViewId="0">
      <selection activeCell="B13" sqref="B13"/>
    </sheetView>
  </sheetViews>
  <sheetFormatPr defaultColWidth="8.85546875" defaultRowHeight="15" x14ac:dyDescent="0.25"/>
  <cols>
    <col min="1" max="1" width="18.85546875" style="18" customWidth="1"/>
    <col min="2" max="2" width="9.140625" style="18" bestFit="1" customWidth="1"/>
    <col min="3" max="5" width="8.85546875" style="18"/>
    <col min="6" max="7" width="11.7109375" style="18" customWidth="1"/>
    <col min="8" max="16384" width="8.85546875" style="18"/>
  </cols>
  <sheetData>
    <row r="1" spans="1:11" ht="18.75" x14ac:dyDescent="0.3">
      <c r="A1" s="4441" t="s">
        <v>2746</v>
      </c>
      <c r="B1" s="4441"/>
      <c r="C1" s="4441"/>
      <c r="D1" s="4441"/>
      <c r="E1" s="4441"/>
      <c r="F1" s="4441"/>
      <c r="G1" s="4441"/>
    </row>
    <row r="2" spans="1:11" ht="60" x14ac:dyDescent="0.25">
      <c r="A2" s="1882" t="s">
        <v>2748</v>
      </c>
      <c r="B2" s="17" t="s">
        <v>880</v>
      </c>
      <c r="C2" s="17" t="s">
        <v>2309</v>
      </c>
      <c r="D2" s="17" t="s">
        <v>2308</v>
      </c>
      <c r="E2" s="17" t="s">
        <v>921</v>
      </c>
      <c r="F2" s="17" t="s">
        <v>2745</v>
      </c>
      <c r="G2" s="17" t="s">
        <v>2747</v>
      </c>
    </row>
    <row r="3" spans="1:11" x14ac:dyDescent="0.25">
      <c r="A3" s="20" t="s">
        <v>2371</v>
      </c>
      <c r="B3" s="926">
        <v>824.92</v>
      </c>
      <c r="C3" s="926">
        <v>478.39</v>
      </c>
      <c r="D3" s="926">
        <v>276.61</v>
      </c>
      <c r="E3" s="926">
        <v>5.68</v>
      </c>
      <c r="F3" s="926">
        <f>B3+C3+E3</f>
        <v>1308.99</v>
      </c>
      <c r="G3" s="926">
        <f>B3+D3+E3</f>
        <v>1107.21</v>
      </c>
    </row>
    <row r="4" spans="1:11" x14ac:dyDescent="0.25">
      <c r="A4" s="20" t="s">
        <v>2692</v>
      </c>
      <c r="B4" s="926">
        <v>0</v>
      </c>
      <c r="C4" s="926">
        <v>0</v>
      </c>
      <c r="D4" s="926">
        <v>0</v>
      </c>
      <c r="E4" s="926">
        <v>0</v>
      </c>
      <c r="F4" s="926">
        <f t="shared" ref="F4:F7" si="0">B4+C4+E4</f>
        <v>0</v>
      </c>
      <c r="G4" s="926">
        <f t="shared" ref="G4:G7" si="1">B4+D4+E4</f>
        <v>0</v>
      </c>
    </row>
    <row r="5" spans="1:11" x14ac:dyDescent="0.25">
      <c r="A5" s="20" t="s">
        <v>2183</v>
      </c>
      <c r="B5" s="926">
        <v>32.68</v>
      </c>
      <c r="C5" s="926">
        <v>13.73</v>
      </c>
      <c r="D5" s="926">
        <v>7.94</v>
      </c>
      <c r="E5" s="926">
        <v>0.16</v>
      </c>
      <c r="F5" s="926">
        <f t="shared" si="0"/>
        <v>46.57</v>
      </c>
      <c r="G5" s="926">
        <f t="shared" si="1"/>
        <v>40.78</v>
      </c>
    </row>
    <row r="6" spans="1:11" x14ac:dyDescent="0.25">
      <c r="A6" s="20" t="s">
        <v>998</v>
      </c>
      <c r="B6" s="926">
        <v>857.6</v>
      </c>
      <c r="C6" s="926">
        <v>492.11</v>
      </c>
      <c r="D6" s="926">
        <v>284.54000000000002</v>
      </c>
      <c r="E6" s="926">
        <v>5.84</v>
      </c>
      <c r="F6" s="926">
        <f t="shared" si="0"/>
        <v>1355.55</v>
      </c>
      <c r="G6" s="926">
        <f t="shared" si="1"/>
        <v>1147.98</v>
      </c>
    </row>
    <row r="7" spans="1:11" x14ac:dyDescent="0.25">
      <c r="A7" s="20" t="s">
        <v>2743</v>
      </c>
      <c r="B7" s="926">
        <f>B6*0.2</f>
        <v>171.52</v>
      </c>
      <c r="C7" s="926">
        <f>C6*0.2</f>
        <v>98.42</v>
      </c>
      <c r="D7" s="926">
        <f>D6*0.2</f>
        <v>56.91</v>
      </c>
      <c r="E7" s="926">
        <f>E6*0.2</f>
        <v>1.17</v>
      </c>
      <c r="F7" s="926">
        <f t="shared" si="0"/>
        <v>271.11</v>
      </c>
      <c r="G7" s="926">
        <f t="shared" si="1"/>
        <v>229.6</v>
      </c>
    </row>
    <row r="8" spans="1:11" s="23" customFormat="1" ht="14.25" x14ac:dyDescent="0.2">
      <c r="A8" s="1363" t="s">
        <v>2744</v>
      </c>
      <c r="B8" s="1514">
        <f>B6+B7</f>
        <v>1029.1199999999999</v>
      </c>
      <c r="C8" s="1514">
        <f t="shared" ref="C8" si="2">C6+C7</f>
        <v>590.53</v>
      </c>
      <c r="D8" s="1514">
        <f t="shared" ref="D8" si="3">D6+D7</f>
        <v>341.45</v>
      </c>
      <c r="E8" s="1514">
        <f t="shared" ref="E8" si="4">E6+E7</f>
        <v>7.01</v>
      </c>
      <c r="F8" s="1514">
        <f t="shared" ref="F8" si="5">F6+F7</f>
        <v>1626.66</v>
      </c>
      <c r="G8" s="1514">
        <f t="shared" ref="G8" si="6">G6+G7</f>
        <v>1377.58</v>
      </c>
    </row>
    <row r="9" spans="1:11" ht="29.45" customHeight="1" x14ac:dyDescent="0.3">
      <c r="A9" s="4441" t="s">
        <v>2749</v>
      </c>
      <c r="B9" s="4441"/>
      <c r="C9" s="4441"/>
      <c r="D9" s="4441"/>
      <c r="E9" s="4441"/>
      <c r="F9" s="4441"/>
      <c r="G9" s="4441"/>
    </row>
    <row r="10" spans="1:11" ht="60" x14ac:dyDescent="0.25">
      <c r="A10" s="1882" t="s">
        <v>2748</v>
      </c>
      <c r="B10" s="17" t="s">
        <v>880</v>
      </c>
      <c r="C10" s="17" t="s">
        <v>2309</v>
      </c>
      <c r="D10" s="17" t="s">
        <v>2308</v>
      </c>
      <c r="E10" s="17" t="s">
        <v>921</v>
      </c>
      <c r="F10" s="17" t="s">
        <v>2745</v>
      </c>
      <c r="G10" s="17" t="s">
        <v>2747</v>
      </c>
      <c r="I10" s="17" t="s">
        <v>921</v>
      </c>
      <c r="J10" s="17" t="s">
        <v>2745</v>
      </c>
      <c r="K10" s="17" t="s">
        <v>2747</v>
      </c>
    </row>
    <row r="11" spans="1:11" x14ac:dyDescent="0.25">
      <c r="A11" s="20" t="s">
        <v>2371</v>
      </c>
      <c r="B11" s="926">
        <f>'Д 5 Т на ТЕ з ЦТП'!D10</f>
        <v>6776.73</v>
      </c>
      <c r="C11" s="926">
        <f>'Д 5 Т на ТЕ з ЦТП'!D14</f>
        <v>2523.5700000000002</v>
      </c>
      <c r="D11" s="926">
        <f>'Д 5.1 Т на ТЕ без ЦТП'!D17</f>
        <v>1880.01</v>
      </c>
      <c r="E11" s="926">
        <f>'Д 5.1 Т на ТЕ без ЦТП'!D21</f>
        <v>103.5</v>
      </c>
      <c r="F11" s="926">
        <f>B11+C11+E11</f>
        <v>9403.7999999999993</v>
      </c>
      <c r="G11" s="926">
        <f>B11+D11+E11</f>
        <v>8760.24</v>
      </c>
      <c r="I11" s="926">
        <f>8.34</f>
        <v>8.34</v>
      </c>
      <c r="J11" s="926">
        <f>B11+C11+I11</f>
        <v>9308.64</v>
      </c>
      <c r="K11" s="926">
        <f>B11+D11+I11</f>
        <v>8665.08</v>
      </c>
    </row>
    <row r="12" spans="1:11" x14ac:dyDescent="0.25">
      <c r="A12" s="20" t="s">
        <v>2692</v>
      </c>
      <c r="B12" s="926">
        <f>'Д 5 Т на ТЕ з ЦТП'!D11</f>
        <v>0</v>
      </c>
      <c r="C12" s="926">
        <f>'Д 5 Т на ТЕ з ЦТП'!D15</f>
        <v>0</v>
      </c>
      <c r="D12" s="926">
        <f>'Д 5.1 Т на ТЕ без ЦТП'!D18</f>
        <v>0</v>
      </c>
      <c r="E12" s="926">
        <f>'Д 5.1 Т на ТЕ без ЦТП'!D22</f>
        <v>0</v>
      </c>
      <c r="F12" s="926">
        <f t="shared" ref="F12:F13" si="7">B12+C12+E12</f>
        <v>0</v>
      </c>
      <c r="G12" s="926">
        <f t="shared" ref="G12:G13" si="8">B12+D12+E12</f>
        <v>0</v>
      </c>
      <c r="I12" s="926">
        <v>0</v>
      </c>
      <c r="J12" s="926">
        <f t="shared" ref="J12:J15" si="9">B12+C12+I12</f>
        <v>0</v>
      </c>
      <c r="K12" s="926">
        <f t="shared" ref="K12:K15" si="10">B12+D12+I12</f>
        <v>0</v>
      </c>
    </row>
    <row r="13" spans="1:11" x14ac:dyDescent="0.25">
      <c r="A13" s="20" t="s">
        <v>2183</v>
      </c>
      <c r="B13" s="926">
        <f>'Д 5 Т на ТЕ з ЦТП'!D12</f>
        <v>386.54</v>
      </c>
      <c r="C13" s="926">
        <f>'Д 5 Т на ТЕ з ЦТП'!D16</f>
        <v>143.94</v>
      </c>
      <c r="D13" s="926">
        <f>'Д 5.1 Т на ТЕ без ЦТП'!D19</f>
        <v>107.23</v>
      </c>
      <c r="E13" s="926">
        <f>'Д 5.1 Т на ТЕ без ЦТП'!D23</f>
        <v>5.9</v>
      </c>
      <c r="F13" s="926">
        <f t="shared" si="7"/>
        <v>536.38</v>
      </c>
      <c r="G13" s="926">
        <f t="shared" si="8"/>
        <v>499.67</v>
      </c>
      <c r="I13" s="926">
        <v>0.48</v>
      </c>
      <c r="J13" s="926">
        <f t="shared" si="9"/>
        <v>530.96</v>
      </c>
      <c r="K13" s="926">
        <f t="shared" si="10"/>
        <v>494.25</v>
      </c>
    </row>
    <row r="14" spans="1:11" x14ac:dyDescent="0.25">
      <c r="A14" s="20" t="s">
        <v>998</v>
      </c>
      <c r="B14" s="926">
        <f>SUM(B11:B13)</f>
        <v>7163.27</v>
      </c>
      <c r="C14" s="926">
        <f t="shared" ref="C14:G14" si="11">SUM(C11:C13)</f>
        <v>2667.51</v>
      </c>
      <c r="D14" s="926">
        <f t="shared" si="11"/>
        <v>1987.24</v>
      </c>
      <c r="E14" s="926">
        <f t="shared" si="11"/>
        <v>109.4</v>
      </c>
      <c r="F14" s="926">
        <f t="shared" si="11"/>
        <v>9940.18</v>
      </c>
      <c r="G14" s="926">
        <f t="shared" si="11"/>
        <v>9259.91</v>
      </c>
      <c r="I14" s="926">
        <v>8.82</v>
      </c>
      <c r="J14" s="926">
        <f t="shared" si="9"/>
        <v>9839.6</v>
      </c>
      <c r="K14" s="926">
        <f t="shared" si="10"/>
        <v>9159.33</v>
      </c>
    </row>
    <row r="15" spans="1:11" x14ac:dyDescent="0.25">
      <c r="A15" s="20" t="s">
        <v>2743</v>
      </c>
      <c r="B15" s="926">
        <f>B14*0.2</f>
        <v>1432.65</v>
      </c>
      <c r="C15" s="926">
        <f t="shared" ref="C15:G15" si="12">C14*0.2</f>
        <v>533.5</v>
      </c>
      <c r="D15" s="926">
        <f t="shared" si="12"/>
        <v>397.45</v>
      </c>
      <c r="E15" s="926">
        <f t="shared" si="12"/>
        <v>21.88</v>
      </c>
      <c r="F15" s="926">
        <f t="shared" si="12"/>
        <v>1988.04</v>
      </c>
      <c r="G15" s="926">
        <f t="shared" si="12"/>
        <v>1851.98</v>
      </c>
      <c r="I15" s="926">
        <f>I14*0.2</f>
        <v>1.76</v>
      </c>
      <c r="J15" s="926">
        <f t="shared" si="9"/>
        <v>1967.91</v>
      </c>
      <c r="K15" s="926">
        <f t="shared" si="10"/>
        <v>1831.86</v>
      </c>
    </row>
    <row r="16" spans="1:11" s="23" customFormat="1" ht="14.25" x14ac:dyDescent="0.2">
      <c r="A16" s="1363" t="s">
        <v>2744</v>
      </c>
      <c r="B16" s="1514">
        <f>B14+B15</f>
        <v>8595.92</v>
      </c>
      <c r="C16" s="1514">
        <f t="shared" ref="C16:G16" si="13">C14+C15</f>
        <v>3201.01</v>
      </c>
      <c r="D16" s="1514">
        <f t="shared" si="13"/>
        <v>2384.69</v>
      </c>
      <c r="E16" s="1514">
        <f t="shared" si="13"/>
        <v>131.28</v>
      </c>
      <c r="F16" s="1514">
        <f t="shared" si="13"/>
        <v>11928.22</v>
      </c>
      <c r="G16" s="1514">
        <f t="shared" si="13"/>
        <v>11111.89</v>
      </c>
      <c r="I16" s="1514">
        <f t="shared" ref="I16:K16" si="14">I14+I15</f>
        <v>10.58</v>
      </c>
      <c r="J16" s="1514">
        <f t="shared" si="14"/>
        <v>11807.51</v>
      </c>
      <c r="K16" s="1514">
        <f t="shared" si="14"/>
        <v>10991.19</v>
      </c>
    </row>
    <row r="18" spans="1:11" x14ac:dyDescent="0.25">
      <c r="A18" s="20" t="s">
        <v>2187</v>
      </c>
      <c r="B18" s="2158">
        <f>B16/B8-1</f>
        <v>7.35</v>
      </c>
      <c r="C18" s="2158">
        <f t="shared" ref="C18:G18" si="15">C16/C8-1</f>
        <v>4.42</v>
      </c>
      <c r="D18" s="2158">
        <f t="shared" si="15"/>
        <v>5.98</v>
      </c>
      <c r="E18" s="2158">
        <f t="shared" si="15"/>
        <v>17.73</v>
      </c>
      <c r="F18" s="2160">
        <f t="shared" si="15"/>
        <v>6.3330000000000002</v>
      </c>
      <c r="G18" s="2160">
        <f t="shared" si="15"/>
        <v>7.0662000000000003</v>
      </c>
      <c r="I18" s="2159">
        <f>I16/E8-1</f>
        <v>0.51</v>
      </c>
      <c r="J18" s="1344">
        <f t="shared" ref="J18:K18" si="16">J16/F8-1</f>
        <v>6.2587000000000002</v>
      </c>
      <c r="K18" s="1344">
        <f t="shared" si="16"/>
        <v>6.9786000000000001</v>
      </c>
    </row>
    <row r="19" spans="1:11" x14ac:dyDescent="0.25">
      <c r="J19" s="2116">
        <f>F18-J18</f>
        <v>7.4300000000000005E-2</v>
      </c>
      <c r="K19" s="2116">
        <f>G18-K18</f>
        <v>8.7599999999999997E-2</v>
      </c>
    </row>
    <row r="20" spans="1:11" ht="37.9" customHeight="1" x14ac:dyDescent="0.3">
      <c r="A20" s="4442" t="s">
        <v>2750</v>
      </c>
      <c r="B20" s="4442"/>
      <c r="C20" s="4442"/>
      <c r="D20" s="4442"/>
      <c r="E20" s="4442"/>
      <c r="F20" s="4442"/>
      <c r="G20" s="4442"/>
    </row>
    <row r="21" spans="1:11" ht="60" x14ac:dyDescent="0.25">
      <c r="A21" s="1882" t="s">
        <v>2748</v>
      </c>
      <c r="B21" s="17" t="s">
        <v>880</v>
      </c>
      <c r="C21" s="17" t="s">
        <v>2309</v>
      </c>
      <c r="D21" s="17" t="s">
        <v>2308</v>
      </c>
      <c r="E21" s="17" t="s">
        <v>921</v>
      </c>
      <c r="F21" s="17" t="s">
        <v>2745</v>
      </c>
      <c r="G21" s="17" t="s">
        <v>2747</v>
      </c>
      <c r="I21" s="17" t="s">
        <v>921</v>
      </c>
      <c r="J21" s="17" t="s">
        <v>2745</v>
      </c>
      <c r="K21" s="17" t="s">
        <v>2747</v>
      </c>
    </row>
    <row r="22" spans="1:11" x14ac:dyDescent="0.25">
      <c r="A22" s="20" t="s">
        <v>2371</v>
      </c>
      <c r="B22" s="926">
        <f>B11</f>
        <v>6776.73</v>
      </c>
      <c r="C22" s="926">
        <f t="shared" ref="C22:E22" si="17">C11</f>
        <v>2523.5700000000002</v>
      </c>
      <c r="D22" s="926">
        <f t="shared" si="17"/>
        <v>1880.01</v>
      </c>
      <c r="E22" s="926">
        <f t="shared" si="17"/>
        <v>103.5</v>
      </c>
      <c r="F22" s="926">
        <f>B22+C22+E22</f>
        <v>9403.7999999999993</v>
      </c>
      <c r="G22" s="926">
        <f>B22+D22+E22</f>
        <v>8760.24</v>
      </c>
      <c r="I22" s="926">
        <f>8.34</f>
        <v>8.34</v>
      </c>
      <c r="J22" s="926">
        <f>B22+C22+I22</f>
        <v>9308.64</v>
      </c>
      <c r="K22" s="926">
        <f>B22+D22+I22</f>
        <v>8665.08</v>
      </c>
    </row>
    <row r="23" spans="1:11" x14ac:dyDescent="0.25">
      <c r="A23" s="20" t="s">
        <v>2692</v>
      </c>
      <c r="B23" s="926">
        <v>0</v>
      </c>
      <c r="C23" s="926">
        <f t="shared" ref="B23:E24" si="18">C12</f>
        <v>0</v>
      </c>
      <c r="D23" s="926">
        <f t="shared" si="18"/>
        <v>0</v>
      </c>
      <c r="E23" s="926">
        <f t="shared" si="18"/>
        <v>0</v>
      </c>
      <c r="F23" s="926">
        <f t="shared" ref="F23:F24" si="19">B23+C23+E23</f>
        <v>0</v>
      </c>
      <c r="G23" s="926">
        <f t="shared" ref="G23:G24" si="20">B23+D23+E23</f>
        <v>0</v>
      </c>
      <c r="I23" s="926">
        <v>0</v>
      </c>
      <c r="J23" s="926">
        <f t="shared" ref="J23:J26" si="21">B23+C23+I23</f>
        <v>0</v>
      </c>
      <c r="K23" s="926">
        <f t="shared" ref="K23:K26" si="22">B23+D23+I23</f>
        <v>0</v>
      </c>
    </row>
    <row r="24" spans="1:11" x14ac:dyDescent="0.25">
      <c r="A24" s="20" t="s">
        <v>2183</v>
      </c>
      <c r="B24" s="926">
        <f t="shared" si="18"/>
        <v>386.54</v>
      </c>
      <c r="C24" s="926">
        <f t="shared" si="18"/>
        <v>143.94</v>
      </c>
      <c r="D24" s="926">
        <f t="shared" si="18"/>
        <v>107.23</v>
      </c>
      <c r="E24" s="926">
        <f t="shared" si="18"/>
        <v>5.9</v>
      </c>
      <c r="F24" s="926">
        <f t="shared" si="19"/>
        <v>536.38</v>
      </c>
      <c r="G24" s="926">
        <f t="shared" si="20"/>
        <v>499.67</v>
      </c>
      <c r="I24" s="926">
        <v>0.48</v>
      </c>
      <c r="J24" s="926">
        <f t="shared" si="21"/>
        <v>530.96</v>
      </c>
      <c r="K24" s="926">
        <f t="shared" si="22"/>
        <v>494.25</v>
      </c>
    </row>
    <row r="25" spans="1:11" x14ac:dyDescent="0.25">
      <c r="A25" s="20" t="s">
        <v>998</v>
      </c>
      <c r="B25" s="926">
        <f>SUM(B22:B24)</f>
        <v>7163.27</v>
      </c>
      <c r="C25" s="926">
        <f t="shared" ref="C25" si="23">SUM(C22:C24)</f>
        <v>2667.51</v>
      </c>
      <c r="D25" s="926">
        <f t="shared" ref="D25" si="24">SUM(D22:D24)</f>
        <v>1987.24</v>
      </c>
      <c r="E25" s="926">
        <f t="shared" ref="E25" si="25">SUM(E22:E24)</f>
        <v>109.4</v>
      </c>
      <c r="F25" s="926">
        <f t="shared" ref="F25" si="26">SUM(F22:F24)</f>
        <v>9940.18</v>
      </c>
      <c r="G25" s="926">
        <f t="shared" ref="G25" si="27">SUM(G22:G24)</f>
        <v>9259.91</v>
      </c>
      <c r="I25" s="926">
        <v>8.82</v>
      </c>
      <c r="J25" s="926">
        <f t="shared" si="21"/>
        <v>9839.6</v>
      </c>
      <c r="K25" s="926">
        <f t="shared" si="22"/>
        <v>9159.33</v>
      </c>
    </row>
    <row r="26" spans="1:11" x14ac:dyDescent="0.25">
      <c r="A26" s="20" t="s">
        <v>2743</v>
      </c>
      <c r="B26" s="926">
        <f>B25*0.2</f>
        <v>1432.65</v>
      </c>
      <c r="C26" s="926">
        <f t="shared" ref="C26" si="28">C25*0.2</f>
        <v>533.5</v>
      </c>
      <c r="D26" s="926">
        <f t="shared" ref="D26" si="29">D25*0.2</f>
        <v>397.45</v>
      </c>
      <c r="E26" s="926">
        <f t="shared" ref="E26" si="30">E25*0.2</f>
        <v>21.88</v>
      </c>
      <c r="F26" s="926">
        <f t="shared" ref="F26" si="31">F25*0.2</f>
        <v>1988.04</v>
      </c>
      <c r="G26" s="926">
        <f t="shared" ref="G26" si="32">G25*0.2</f>
        <v>1851.98</v>
      </c>
      <c r="I26" s="926">
        <f>I25*0.2</f>
        <v>1.76</v>
      </c>
      <c r="J26" s="926">
        <f t="shared" si="21"/>
        <v>1967.91</v>
      </c>
      <c r="K26" s="926">
        <f t="shared" si="22"/>
        <v>1831.86</v>
      </c>
    </row>
    <row r="27" spans="1:11" x14ac:dyDescent="0.25">
      <c r="A27" s="1363" t="s">
        <v>2744</v>
      </c>
      <c r="B27" s="1514">
        <f>B25+B26</f>
        <v>8595.92</v>
      </c>
      <c r="C27" s="1514">
        <f t="shared" ref="C27" si="33">C25+C26</f>
        <v>3201.01</v>
      </c>
      <c r="D27" s="1514">
        <f t="shared" ref="D27" si="34">D25+D26</f>
        <v>2384.69</v>
      </c>
      <c r="E27" s="1514">
        <f t="shared" ref="E27" si="35">E25+E26</f>
        <v>131.28</v>
      </c>
      <c r="F27" s="1514">
        <f t="shared" ref="F27" si="36">F25+F26</f>
        <v>11928.22</v>
      </c>
      <c r="G27" s="1514">
        <f t="shared" ref="G27" si="37">G25+G26</f>
        <v>11111.89</v>
      </c>
      <c r="I27" s="1514">
        <f t="shared" ref="I27:K27" si="38">I25+I26</f>
        <v>10.58</v>
      </c>
      <c r="J27" s="1514">
        <f t="shared" si="38"/>
        <v>11807.51</v>
      </c>
      <c r="K27" s="1514">
        <f t="shared" si="38"/>
        <v>10991.19</v>
      </c>
    </row>
    <row r="29" spans="1:11" x14ac:dyDescent="0.25">
      <c r="A29" s="20" t="s">
        <v>2187</v>
      </c>
      <c r="B29" s="2158">
        <f>B27/B8-1</f>
        <v>7.35</v>
      </c>
      <c r="C29" s="2158">
        <f t="shared" ref="C29:G29" si="39">C27/C8-1</f>
        <v>4.42</v>
      </c>
      <c r="D29" s="2158">
        <f t="shared" si="39"/>
        <v>5.98</v>
      </c>
      <c r="E29" s="2158">
        <f t="shared" si="39"/>
        <v>17.73</v>
      </c>
      <c r="F29" s="2158">
        <f t="shared" si="39"/>
        <v>6.33</v>
      </c>
      <c r="G29" s="2158">
        <f t="shared" si="39"/>
        <v>7.07</v>
      </c>
      <c r="I29" s="2159">
        <f>I27/E8-1</f>
        <v>0.51</v>
      </c>
      <c r="J29" s="2159">
        <f t="shared" ref="J29:K29" si="40">J27/F8-1</f>
        <v>6.26</v>
      </c>
      <c r="K29" s="2159">
        <f t="shared" si="40"/>
        <v>6.98</v>
      </c>
    </row>
    <row r="30" spans="1:11" x14ac:dyDescent="0.25">
      <c r="J30" s="2116">
        <f>F29-J29</f>
        <v>7.0000000000000007E-2</v>
      </c>
      <c r="K30" s="2116">
        <f>G29-K29</f>
        <v>0.09</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94"/>
  <sheetViews>
    <sheetView workbookViewId="0">
      <selection activeCell="F39" sqref="F39"/>
    </sheetView>
  </sheetViews>
  <sheetFormatPr defaultColWidth="8.85546875" defaultRowHeight="15.75" x14ac:dyDescent="0.25"/>
  <cols>
    <col min="1" max="1" width="27.140625" style="58" customWidth="1"/>
    <col min="2" max="2" width="13.5703125" style="58" customWidth="1"/>
    <col min="3" max="3" width="16.7109375" style="58" customWidth="1"/>
    <col min="4" max="4" width="12.85546875" style="58" customWidth="1"/>
    <col min="5" max="5" width="11.28515625" style="58" customWidth="1"/>
    <col min="6" max="6" width="27.140625" style="58" customWidth="1"/>
    <col min="7" max="7" width="13.28515625" style="58" customWidth="1"/>
    <col min="8" max="8" width="14.85546875" style="58" customWidth="1"/>
    <col min="9" max="9" width="12.85546875" style="58" customWidth="1"/>
    <col min="10" max="10" width="7.28515625" style="58" customWidth="1"/>
    <col min="11" max="16384" width="8.85546875" style="58"/>
  </cols>
  <sheetData>
    <row r="1" spans="1:10" ht="50.45" customHeight="1" x14ac:dyDescent="0.25">
      <c r="A1" s="1347" t="s">
        <v>2202</v>
      </c>
      <c r="B1" s="1350" t="s">
        <v>2200</v>
      </c>
      <c r="C1" s="15" t="s">
        <v>2739</v>
      </c>
      <c r="D1" s="1350" t="s">
        <v>2210</v>
      </c>
      <c r="F1" s="1353" t="s">
        <v>2212</v>
      </c>
      <c r="G1" s="15" t="s">
        <v>2200</v>
      </c>
      <c r="H1" s="15" t="s">
        <v>2739</v>
      </c>
      <c r="I1" s="15" t="s">
        <v>2213</v>
      </c>
    </row>
    <row r="2" spans="1:10" x14ac:dyDescent="0.25">
      <c r="A2" s="1353">
        <v>1</v>
      </c>
      <c r="B2" s="15">
        <v>2</v>
      </c>
      <c r="C2" s="15">
        <v>3</v>
      </c>
      <c r="D2" s="15">
        <v>4</v>
      </c>
      <c r="F2" s="1353">
        <v>1</v>
      </c>
      <c r="G2" s="15">
        <v>2</v>
      </c>
      <c r="H2" s="15">
        <v>3</v>
      </c>
      <c r="I2" s="15">
        <v>4</v>
      </c>
    </row>
    <row r="3" spans="1:10" x14ac:dyDescent="0.25">
      <c r="A3" s="1351" t="s">
        <v>2201</v>
      </c>
      <c r="B3" s="1357">
        <f>G3/$G$17</f>
        <v>0.5726</v>
      </c>
      <c r="C3" s="1356">
        <f>H3/$H$17</f>
        <v>0.59489999999999998</v>
      </c>
      <c r="D3" s="1349">
        <f>C3-B3</f>
        <v>2.23E-2</v>
      </c>
      <c r="F3" s="1351" t="s">
        <v>2201</v>
      </c>
      <c r="G3" s="1348">
        <v>80140.5</v>
      </c>
      <c r="H3" s="1348">
        <f>C25</f>
        <v>54631.040000000001</v>
      </c>
      <c r="I3" s="1358">
        <f>H3-G3</f>
        <v>-25509.46</v>
      </c>
      <c r="J3" s="1936">
        <f>H3/G3-1</f>
        <v>-0.32</v>
      </c>
    </row>
    <row r="4" spans="1:10" hidden="1" x14ac:dyDescent="0.25">
      <c r="A4" s="2149" t="s">
        <v>439</v>
      </c>
      <c r="B4" s="2150">
        <f t="shared" ref="B4:B17" si="0">G4/$G$17</f>
        <v>0.48549999999999999</v>
      </c>
      <c r="C4" s="2151">
        <f t="shared" ref="C4:C17" si="1">H4/$H$17</f>
        <v>0.57650000000000001</v>
      </c>
      <c r="D4" s="2152">
        <f t="shared" ref="D4:D16" si="2">C4-B4</f>
        <v>9.0999999999999998E-2</v>
      </c>
      <c r="F4" s="2149" t="s">
        <v>439</v>
      </c>
      <c r="G4" s="2154">
        <v>67950.16</v>
      </c>
      <c r="H4" s="2154">
        <f>'Д 2_Т на В'!H15</f>
        <v>52940.37</v>
      </c>
      <c r="I4" s="2155">
        <f t="shared" ref="I4:I17" si="3">H4-G4</f>
        <v>-15009.79</v>
      </c>
      <c r="J4" s="1936">
        <f t="shared" ref="J4:J17" si="4">H4/G4-1</f>
        <v>-0.22</v>
      </c>
    </row>
    <row r="5" spans="1:10" hidden="1" x14ac:dyDescent="0.25">
      <c r="A5" s="2149" t="s">
        <v>1823</v>
      </c>
      <c r="B5" s="2150">
        <f t="shared" si="0"/>
        <v>1.4999999999999999E-2</v>
      </c>
      <c r="C5" s="2151">
        <f t="shared" si="1"/>
        <v>2.5999999999999999E-3</v>
      </c>
      <c r="D5" s="2152">
        <f t="shared" si="2"/>
        <v>-1.24E-2</v>
      </c>
      <c r="F5" s="2149" t="s">
        <v>1823</v>
      </c>
      <c r="G5" s="2154">
        <v>2103.33</v>
      </c>
      <c r="H5" s="2154">
        <f>'Д 2_Т на В'!H16</f>
        <v>236.45</v>
      </c>
      <c r="I5" s="2155">
        <f t="shared" si="3"/>
        <v>-1866.88</v>
      </c>
      <c r="J5" s="1936">
        <f t="shared" si="4"/>
        <v>-0.89</v>
      </c>
    </row>
    <row r="6" spans="1:10" hidden="1" x14ac:dyDescent="0.25">
      <c r="A6" s="2153" t="s">
        <v>1931</v>
      </c>
      <c r="B6" s="2150">
        <f t="shared" si="0"/>
        <v>7.2099999999999997E-2</v>
      </c>
      <c r="C6" s="2151">
        <f t="shared" si="1"/>
        <v>1.5800000000000002E-2</v>
      </c>
      <c r="D6" s="2152">
        <f t="shared" si="2"/>
        <v>-5.6300000000000003E-2</v>
      </c>
      <c r="F6" s="2153" t="s">
        <v>1931</v>
      </c>
      <c r="G6" s="2154">
        <v>10087.01</v>
      </c>
      <c r="H6" s="2154">
        <f>'Д 2_Т на В'!H17</f>
        <v>1454.22</v>
      </c>
      <c r="I6" s="2155">
        <f t="shared" si="3"/>
        <v>-8632.7900000000009</v>
      </c>
      <c r="J6" s="1936">
        <f t="shared" si="4"/>
        <v>-0.86</v>
      </c>
    </row>
    <row r="7" spans="1:10" ht="28.15" customHeight="1" x14ac:dyDescent="0.25">
      <c r="A7" s="2229" t="s">
        <v>2203</v>
      </c>
      <c r="B7" s="1357">
        <f t="shared" si="0"/>
        <v>6.3700000000000007E-2</v>
      </c>
      <c r="C7" s="1356">
        <f t="shared" si="1"/>
        <v>2.6499999999999999E-2</v>
      </c>
      <c r="D7" s="1349">
        <f t="shared" si="2"/>
        <v>-3.7199999999999997E-2</v>
      </c>
      <c r="F7" s="1351" t="s">
        <v>2585</v>
      </c>
      <c r="G7" s="1348">
        <v>8922.4699999999993</v>
      </c>
      <c r="H7" s="1348">
        <f>C26+C42</f>
        <v>2432.2600000000002</v>
      </c>
      <c r="I7" s="1358">
        <f t="shared" si="3"/>
        <v>-6490.21</v>
      </c>
      <c r="J7" s="1936">
        <f t="shared" si="4"/>
        <v>-0.73</v>
      </c>
    </row>
    <row r="8" spans="1:10" x14ac:dyDescent="0.25">
      <c r="A8" s="1351" t="s">
        <v>2204</v>
      </c>
      <c r="B8" s="1357">
        <f t="shared" si="0"/>
        <v>5.0000000000000001E-3</v>
      </c>
      <c r="C8" s="1356">
        <f t="shared" si="1"/>
        <v>5.5999999999999999E-3</v>
      </c>
      <c r="D8" s="1349">
        <f t="shared" si="2"/>
        <v>5.9999999999999995E-4</v>
      </c>
      <c r="F8" s="1351" t="s">
        <v>2204</v>
      </c>
      <c r="G8" s="1348">
        <v>695.5</v>
      </c>
      <c r="H8" s="1348">
        <f>C27+C43</f>
        <v>512.70000000000005</v>
      </c>
      <c r="I8" s="1358">
        <f t="shared" si="3"/>
        <v>-182.8</v>
      </c>
      <c r="J8" s="1936">
        <f t="shared" si="4"/>
        <v>-0.26</v>
      </c>
    </row>
    <row r="9" spans="1:10" ht="31.5" x14ac:dyDescent="0.25">
      <c r="A9" s="1351" t="s">
        <v>2211</v>
      </c>
      <c r="B9" s="1357">
        <f t="shared" si="0"/>
        <v>6.8199999999999997E-2</v>
      </c>
      <c r="C9" s="1356">
        <f t="shared" si="1"/>
        <v>9.4299999999999995E-2</v>
      </c>
      <c r="D9" s="1349">
        <f t="shared" si="2"/>
        <v>2.6100000000000002E-2</v>
      </c>
      <c r="F9" s="1351" t="s">
        <v>2211</v>
      </c>
      <c r="G9" s="1348">
        <v>9546.41</v>
      </c>
      <c r="H9" s="1348">
        <f>C41</f>
        <v>8663.69</v>
      </c>
      <c r="I9" s="1358">
        <f t="shared" si="3"/>
        <v>-882.72</v>
      </c>
      <c r="J9" s="1936">
        <f t="shared" si="4"/>
        <v>-0.09</v>
      </c>
    </row>
    <row r="10" spans="1:10" ht="30.6" customHeight="1" x14ac:dyDescent="0.25">
      <c r="A10" s="1351" t="s">
        <v>2205</v>
      </c>
      <c r="B10" s="1357">
        <f t="shared" si="0"/>
        <v>1.8800000000000001E-2</v>
      </c>
      <c r="C10" s="1356">
        <f t="shared" si="1"/>
        <v>9.1999999999999998E-3</v>
      </c>
      <c r="D10" s="1349">
        <f t="shared" si="2"/>
        <v>-9.5999999999999992E-3</v>
      </c>
      <c r="F10" s="1351" t="s">
        <v>2205</v>
      </c>
      <c r="G10" s="1348">
        <v>2627.79</v>
      </c>
      <c r="H10" s="1348">
        <f>C30+C46+C61+C76+C91</f>
        <v>847.6</v>
      </c>
      <c r="I10" s="1358">
        <f t="shared" si="3"/>
        <v>-1780.19</v>
      </c>
      <c r="J10" s="1936">
        <f t="shared" si="4"/>
        <v>-0.68</v>
      </c>
    </row>
    <row r="11" spans="1:10" x14ac:dyDescent="0.25">
      <c r="A11" s="842" t="s">
        <v>2173</v>
      </c>
      <c r="B11" s="1357">
        <f t="shared" si="0"/>
        <v>0.17</v>
      </c>
      <c r="C11" s="1356">
        <f t="shared" si="1"/>
        <v>0.13350000000000001</v>
      </c>
      <c r="D11" s="1349">
        <f t="shared" si="2"/>
        <v>-3.6499999999999998E-2</v>
      </c>
      <c r="F11" s="842" t="s">
        <v>2173</v>
      </c>
      <c r="G11" s="1348">
        <v>23800.2</v>
      </c>
      <c r="H11" s="1348">
        <f>C23+C39+C54+C69+C84</f>
        <v>12261.32</v>
      </c>
      <c r="I11" s="1358">
        <f t="shared" si="3"/>
        <v>-11538.88</v>
      </c>
      <c r="J11" s="1936">
        <f t="shared" si="4"/>
        <v>-0.48</v>
      </c>
    </row>
    <row r="12" spans="1:10" x14ac:dyDescent="0.25">
      <c r="A12" s="1351" t="s">
        <v>2206</v>
      </c>
      <c r="B12" s="1357">
        <f t="shared" si="0"/>
        <v>3.6700000000000003E-2</v>
      </c>
      <c r="C12" s="1356">
        <f t="shared" si="1"/>
        <v>2.9399999999999999E-2</v>
      </c>
      <c r="D12" s="1349">
        <f t="shared" si="2"/>
        <v>-7.3000000000000001E-3</v>
      </c>
      <c r="F12" s="1351" t="s">
        <v>2206</v>
      </c>
      <c r="G12" s="1348">
        <v>5142.6400000000003</v>
      </c>
      <c r="H12" s="1348">
        <f>C24+C40+C55+C70+C85</f>
        <v>2697.49</v>
      </c>
      <c r="I12" s="1358">
        <f t="shared" si="3"/>
        <v>-2445.15</v>
      </c>
      <c r="J12" s="1936">
        <f t="shared" si="4"/>
        <v>-0.48</v>
      </c>
    </row>
    <row r="13" spans="1:10" x14ac:dyDescent="0.25">
      <c r="A13" s="1351" t="s">
        <v>2207</v>
      </c>
      <c r="B13" s="1357">
        <f t="shared" si="0"/>
        <v>4.1500000000000002E-2</v>
      </c>
      <c r="C13" s="1356">
        <f t="shared" si="1"/>
        <v>2.7699999999999999E-2</v>
      </c>
      <c r="D13" s="1349">
        <f t="shared" si="2"/>
        <v>-1.38E-2</v>
      </c>
      <c r="F13" s="1351" t="s">
        <v>2207</v>
      </c>
      <c r="G13" s="1354">
        <v>5803.97</v>
      </c>
      <c r="H13" s="1354">
        <f>C28+C44+C59+C74+C89</f>
        <v>2543.4</v>
      </c>
      <c r="I13" s="1358">
        <f t="shared" si="3"/>
        <v>-3260.57</v>
      </c>
      <c r="J13" s="1936">
        <f t="shared" si="4"/>
        <v>-0.56000000000000005</v>
      </c>
    </row>
    <row r="14" spans="1:10" x14ac:dyDescent="0.25">
      <c r="A14" s="1351" t="s">
        <v>2208</v>
      </c>
      <c r="B14" s="1357">
        <f t="shared" si="0"/>
        <v>2.8E-3</v>
      </c>
      <c r="C14" s="1356">
        <f t="shared" si="1"/>
        <v>3.5000000000000001E-3</v>
      </c>
      <c r="D14" s="1349">
        <f t="shared" si="2"/>
        <v>6.9999999999999999E-4</v>
      </c>
      <c r="F14" s="1351" t="s">
        <v>2208</v>
      </c>
      <c r="G14" s="1348">
        <v>392.58</v>
      </c>
      <c r="H14" s="1348">
        <f>C29+C45</f>
        <v>319.43</v>
      </c>
      <c r="I14" s="1358">
        <f t="shared" si="3"/>
        <v>-73.150000000000006</v>
      </c>
      <c r="J14" s="1936">
        <f t="shared" si="4"/>
        <v>-0.19</v>
      </c>
    </row>
    <row r="15" spans="1:10" x14ac:dyDescent="0.25">
      <c r="A15" s="842" t="s">
        <v>2209</v>
      </c>
      <c r="B15" s="1357">
        <f t="shared" si="0"/>
        <v>2.07E-2</v>
      </c>
      <c r="C15" s="1356">
        <f t="shared" si="1"/>
        <v>7.5399999999999995E-2</v>
      </c>
      <c r="D15" s="1349">
        <f t="shared" si="2"/>
        <v>5.4699999999999999E-2</v>
      </c>
      <c r="F15" s="842" t="s">
        <v>2209</v>
      </c>
      <c r="G15" s="1348">
        <v>2891.44</v>
      </c>
      <c r="H15" s="1348">
        <f>H17-H3-H7-H8-H9-H10-H11-H12-H13-H14-H16</f>
        <v>6924.6</v>
      </c>
      <c r="I15" s="1358">
        <f t="shared" si="3"/>
        <v>4033.16</v>
      </c>
      <c r="J15" s="1936">
        <f t="shared" si="4"/>
        <v>1.39</v>
      </c>
    </row>
    <row r="16" spans="1:10" x14ac:dyDescent="0.25">
      <c r="A16" s="842" t="s">
        <v>2724</v>
      </c>
      <c r="B16" s="1357">
        <f t="shared" si="0"/>
        <v>0</v>
      </c>
      <c r="C16" s="1356">
        <f t="shared" si="1"/>
        <v>0</v>
      </c>
      <c r="D16" s="1349">
        <f t="shared" si="2"/>
        <v>0</v>
      </c>
      <c r="F16" s="842" t="s">
        <v>2724</v>
      </c>
      <c r="G16" s="1348"/>
      <c r="H16" s="1348">
        <f>сведено!C13</f>
        <v>0</v>
      </c>
      <c r="I16" s="1358">
        <f t="shared" si="3"/>
        <v>0</v>
      </c>
      <c r="J16" s="1936"/>
    </row>
    <row r="17" spans="1:10" s="57" customFormat="1" x14ac:dyDescent="0.25">
      <c r="A17" s="1352" t="s">
        <v>766</v>
      </c>
      <c r="B17" s="1357">
        <f t="shared" si="0"/>
        <v>1</v>
      </c>
      <c r="C17" s="1356">
        <f t="shared" si="1"/>
        <v>1</v>
      </c>
      <c r="D17" s="1349"/>
      <c r="F17" s="1352" t="s">
        <v>766</v>
      </c>
      <c r="G17" s="1355">
        <v>139963.5</v>
      </c>
      <c r="H17" s="1355">
        <f>C33+C49+C64+C79+C94+H16</f>
        <v>91833.53</v>
      </c>
      <c r="I17" s="1358">
        <f t="shared" si="3"/>
        <v>-48129.97</v>
      </c>
      <c r="J17" s="1936">
        <f t="shared" si="4"/>
        <v>-0.34</v>
      </c>
    </row>
    <row r="21" spans="1:10" x14ac:dyDescent="0.25">
      <c r="A21" s="58" t="str">
        <f>Виробництво_Транспортування_1ст!B179</f>
        <v>Порівняльна таблиця % планованих прямих витрат на виробництво теплової енергії  в 2022-2023 роках ЧФ ДП "АМПУ" та урахованих в  діючих тарифах в 2020-2021 роках</v>
      </c>
    </row>
    <row r="22" spans="1:10" x14ac:dyDescent="0.25">
      <c r="A22" s="921" t="str">
        <f>Виробництво_Транспортування_1ст!B181</f>
        <v>Показник</v>
      </c>
      <c r="B22" s="4384" t="str">
        <f>Виробництво_Транспортування_1ст!C181</f>
        <v>Плановані тарифи</v>
      </c>
      <c r="C22" s="4384"/>
      <c r="D22" s="4384" t="str">
        <f>Виробництво_Транспортування_1ст!E181</f>
        <v>Діючі тарифи</v>
      </c>
      <c r="E22" s="4384"/>
      <c r="F22" s="921" t="str">
        <f>Виробництво_Транспортування_1ст!G181</f>
        <v>Відхилення</v>
      </c>
      <c r="G22" s="921" t="str">
        <f>Виробництво_Транспортування_1ст!H181</f>
        <v>Різниця</v>
      </c>
    </row>
    <row r="23" spans="1:10" x14ac:dyDescent="0.25">
      <c r="A23" s="842" t="str">
        <f>Виробництво_Транспортування_1ст!B182</f>
        <v>Зарплата</v>
      </c>
      <c r="B23" s="2148">
        <f>Виробництво_Транспортування_1ст!C182</f>
        <v>7.4999999999999997E-2</v>
      </c>
      <c r="C23" s="1525">
        <f>Виробництво_Транспортування_1ст!D182</f>
        <v>5029.51</v>
      </c>
      <c r="D23" s="2148">
        <f>Виробництво_Транспортування_1ст!E182</f>
        <v>0.114</v>
      </c>
      <c r="E23" s="1525">
        <f>Виробництво_Транспортування_1ст!F182</f>
        <v>3975.1</v>
      </c>
      <c r="F23" s="2148">
        <f>Виробництво_Транспортування_1ст!G182</f>
        <v>-3.9E-2</v>
      </c>
      <c r="G23" s="1525">
        <f>Виробництво_Транспортування_1ст!H182</f>
        <v>1054.4100000000001</v>
      </c>
    </row>
    <row r="24" spans="1:10" x14ac:dyDescent="0.25">
      <c r="A24" s="842" t="str">
        <f>Виробництво_Транспортування_1ст!B183</f>
        <v>Відрахування</v>
      </c>
      <c r="B24" s="2148">
        <f>Виробництво_Транспортування_1ст!C183</f>
        <v>1.6E-2</v>
      </c>
      <c r="C24" s="1525">
        <f>Виробництво_Транспортування_1ст!D183</f>
        <v>1106.49</v>
      </c>
      <c r="D24" s="2148">
        <f>Виробництво_Транспортування_1ст!E183</f>
        <v>2.5000000000000001E-2</v>
      </c>
      <c r="E24" s="1525">
        <f>Виробництво_Транспортування_1ст!F183</f>
        <v>874.5</v>
      </c>
      <c r="F24" s="2148">
        <f>Виробництво_Транспортування_1ст!G183</f>
        <v>-8.9999999999999993E-3</v>
      </c>
      <c r="G24" s="1525">
        <f>Виробництво_Транспортування_1ст!H183</f>
        <v>231.99</v>
      </c>
    </row>
    <row r="25" spans="1:10" x14ac:dyDescent="0.25">
      <c r="A25" s="842" t="str">
        <f>Виробництво_Транспортування_1ст!B184</f>
        <v>газ</v>
      </c>
      <c r="B25" s="2148">
        <f>Виробництво_Транспортування_1ст!C184</f>
        <v>0.80900000000000005</v>
      </c>
      <c r="C25" s="1525">
        <f>Виробництво_Транспортування_1ст!D184</f>
        <v>54631.040000000001</v>
      </c>
      <c r="D25" s="2148">
        <f>Виробництво_Транспортування_1ст!E184</f>
        <v>0.77300000000000002</v>
      </c>
      <c r="E25" s="1525">
        <f>Виробництво_Транспортування_1ст!F184</f>
        <v>27076.400000000001</v>
      </c>
      <c r="F25" s="2148">
        <f>Виробництво_Транспортування_1ст!G184</f>
        <v>3.5999999999999997E-2</v>
      </c>
      <c r="G25" s="1525">
        <f>Виробництво_Транспортування_1ст!H184</f>
        <v>27554.639999999999</v>
      </c>
    </row>
    <row r="26" spans="1:10" x14ac:dyDescent="0.25">
      <c r="A26" s="842" t="str">
        <f>Виробництво_Транспортування_1ст!B185</f>
        <v>електроенергія</v>
      </c>
      <c r="B26" s="2148">
        <f>Виробництво_Транспортування_1ст!C185</f>
        <v>7.0000000000000001E-3</v>
      </c>
      <c r="C26" s="1525">
        <f>Виробництво_Транспортування_1ст!D185</f>
        <v>466.11</v>
      </c>
      <c r="D26" s="2148">
        <f>Виробництво_Транспортування_1ст!E185</f>
        <v>1.0999999999999999E-2</v>
      </c>
      <c r="E26" s="1525">
        <f>Виробництво_Транспортування_1ст!F185</f>
        <v>396.4</v>
      </c>
      <c r="F26" s="2148">
        <f>Виробництво_Транспортування_1ст!G185</f>
        <v>-4.0000000000000001E-3</v>
      </c>
      <c r="G26" s="1525">
        <f>Виробництво_Транспортування_1ст!H185</f>
        <v>69.709999999999994</v>
      </c>
    </row>
    <row r="27" spans="1:10" ht="31.5" x14ac:dyDescent="0.25">
      <c r="A27" s="842" t="str">
        <f>Виробництво_Транспортування_1ст!B186</f>
        <v>водопостачання, водовідведення</v>
      </c>
      <c r="B27" s="2148">
        <f>Виробництво_Транспортування_1ст!C186</f>
        <v>1E-3</v>
      </c>
      <c r="C27" s="1525">
        <f>Виробництво_Транспортування_1ст!D186</f>
        <v>38.79</v>
      </c>
      <c r="D27" s="2148">
        <f>Виробництво_Транспортування_1ст!E186</f>
        <v>1E-3</v>
      </c>
      <c r="E27" s="1525">
        <f>Виробництво_Транспортування_1ст!F186</f>
        <v>29.5</v>
      </c>
      <c r="F27" s="2148">
        <f>Виробництво_Транспортування_1ст!G186</f>
        <v>0</v>
      </c>
      <c r="G27" s="1525">
        <f>Виробництво_Транспортування_1ст!H186</f>
        <v>9.2899999999999991</v>
      </c>
    </row>
    <row r="28" spans="1:10" x14ac:dyDescent="0.25">
      <c r="A28" s="842" t="str">
        <f>Виробництво_Транспортування_1ст!B187</f>
        <v>амортизація</v>
      </c>
      <c r="B28" s="2148">
        <f>Виробництво_Транспортування_1ст!C187</f>
        <v>3.3000000000000002E-2</v>
      </c>
      <c r="C28" s="1525">
        <f>Виробництво_Транспортування_1ст!D187</f>
        <v>2255</v>
      </c>
      <c r="D28" s="2148">
        <f>Виробництво_Транспортування_1ст!E187</f>
        <v>5.2999999999999999E-2</v>
      </c>
      <c r="E28" s="1525">
        <f>Виробництво_Транспортування_1ст!F187</f>
        <v>1870.7</v>
      </c>
      <c r="F28" s="2148">
        <f>Виробництво_Транспортування_1ст!G187</f>
        <v>-0.02</v>
      </c>
      <c r="G28" s="1525">
        <f>Виробництво_Транспортування_1ст!H187</f>
        <v>384.3</v>
      </c>
    </row>
    <row r="29" spans="1:10" x14ac:dyDescent="0.25">
      <c r="A29" s="842" t="str">
        <f>Виробництво_Транспортування_1ст!B188</f>
        <v>податки</v>
      </c>
      <c r="B29" s="2148">
        <f>Виробництво_Транспортування_1ст!C188</f>
        <v>5.0000000000000001E-3</v>
      </c>
      <c r="C29" s="1525">
        <f>Виробництво_Транспортування_1ст!D188</f>
        <v>319.43</v>
      </c>
      <c r="D29" s="2148">
        <f>Виробництво_Транспортування_1ст!E188</f>
        <v>0</v>
      </c>
      <c r="E29" s="1525">
        <f>Виробництво_Транспортування_1ст!F188</f>
        <v>0</v>
      </c>
      <c r="F29" s="2148">
        <f>Виробництво_Транспортування_1ст!G188</f>
        <v>5.0000000000000001E-3</v>
      </c>
      <c r="G29" s="1525">
        <f>Виробництво_Транспортування_1ст!H188</f>
        <v>319.43</v>
      </c>
    </row>
    <row r="30" spans="1:10" x14ac:dyDescent="0.25">
      <c r="A30" s="842" t="str">
        <f>Виробництво_Транспортування_1ст!B189</f>
        <v>Ремонти</v>
      </c>
      <c r="B30" s="2148">
        <f>Виробництво_Транспортування_1ст!C189</f>
        <v>1.0999999999999999E-2</v>
      </c>
      <c r="C30" s="1525">
        <f>Виробництво_Транспортування_1ст!D189</f>
        <v>740.1</v>
      </c>
      <c r="D30" s="2148">
        <f>Виробництво_Транспортування_1ст!E189</f>
        <v>1.7999999999999999E-2</v>
      </c>
      <c r="E30" s="1525">
        <f>Виробництво_Транспортування_1ст!F189</f>
        <v>618.29999999999995</v>
      </c>
      <c r="F30" s="2148">
        <f>Виробництво_Транспортування_1ст!G189</f>
        <v>-7.0000000000000001E-3</v>
      </c>
      <c r="G30" s="1525">
        <f>Виробництво_Транспортування_1ст!H189</f>
        <v>121.8</v>
      </c>
    </row>
    <row r="31" spans="1:10" x14ac:dyDescent="0.25">
      <c r="A31" s="842" t="str">
        <f>Виробництво_Транспортування_1ст!B190</f>
        <v>інші</v>
      </c>
      <c r="B31" s="2148">
        <f>Виробництво_Транспортування_1ст!C190</f>
        <v>4.2999999999999997E-2</v>
      </c>
      <c r="C31" s="1525">
        <f>Виробництво_Транспортування_1ст!D190</f>
        <v>2930.47</v>
      </c>
      <c r="D31" s="2148">
        <f>Виробництво_Транспортування_1ст!E190</f>
        <v>5.0000000000000001E-3</v>
      </c>
      <c r="E31" s="1525">
        <f>Виробництво_Транспортування_1ст!F190</f>
        <v>172.8</v>
      </c>
      <c r="F31" s="2148">
        <f>Виробництво_Транспортування_1ст!G190</f>
        <v>3.9E-2</v>
      </c>
      <c r="G31" s="1525">
        <f>Виробництво_Транспортування_1ст!H190</f>
        <v>2757.67</v>
      </c>
    </row>
    <row r="32" spans="1:10" x14ac:dyDescent="0.25">
      <c r="A32" s="842" t="str">
        <f>Виробництво_Транспортування_1ст!B191</f>
        <v>Прибуток</v>
      </c>
      <c r="B32" s="2148">
        <f>Виробництво_Транспортування_1ст!C191</f>
        <v>0</v>
      </c>
      <c r="C32" s="1525">
        <f>Виробництво_Транспортування_1ст!D191</f>
        <v>0</v>
      </c>
      <c r="D32" s="2148">
        <f>Виробництво_Транспортування_1ст!E191</f>
        <v>0</v>
      </c>
      <c r="E32" s="1525">
        <f>Виробництво_Транспортування_1ст!F191</f>
        <v>0</v>
      </c>
      <c r="F32" s="2148">
        <f>Виробництво_Транспортування_1ст!G191</f>
        <v>0</v>
      </c>
      <c r="G32" s="1525">
        <f>Виробництво_Транспортування_1ст!H191</f>
        <v>0</v>
      </c>
    </row>
    <row r="33" spans="1:7" x14ac:dyDescent="0.25">
      <c r="A33" s="842" t="str">
        <f>Виробництво_Транспортування_1ст!B192</f>
        <v>Разом:</v>
      </c>
      <c r="B33" s="2148">
        <f>Виробництво_Транспортування_1ст!C192</f>
        <v>1</v>
      </c>
      <c r="C33" s="1525">
        <f>Виробництво_Транспортування_1ст!D192</f>
        <v>67516.94</v>
      </c>
      <c r="D33" s="2148">
        <f>Виробництво_Транспортування_1ст!E192</f>
        <v>1</v>
      </c>
      <c r="E33" s="1525">
        <f>Виробництво_Транспортування_1ст!F192</f>
        <v>35013.699999999997</v>
      </c>
      <c r="F33" s="2148">
        <f>Виробництво_Транспортування_1ст!G192</f>
        <v>0</v>
      </c>
      <c r="G33" s="1525">
        <f>Виробництво_Транспортування_1ст!H192</f>
        <v>32503.24</v>
      </c>
    </row>
    <row r="36" spans="1:7" x14ac:dyDescent="0.25">
      <c r="A36" s="58" t="str">
        <f>Виробництво_Транспортування_1ст!B195</f>
        <v>Порівняльна таблиця % планованих прямих витрат на транспортування теплової енергії  в 2022-2023 роках КП "ЧТЕ" та урахованих в  діючих тарифах в 2020-2021 роках</v>
      </c>
    </row>
    <row r="38" spans="1:7" x14ac:dyDescent="0.25">
      <c r="A38" s="921" t="str">
        <f>Виробництво_Транспортування_1ст!B197</f>
        <v>Показник</v>
      </c>
      <c r="B38" s="4384" t="str">
        <f>Виробництво_Транспортування_1ст!C197</f>
        <v>2022-2023</v>
      </c>
      <c r="C38" s="4384"/>
      <c r="D38" s="4384" t="str">
        <f>Виробництво_Транспортування_1ст!E197</f>
        <v>2020-2021</v>
      </c>
      <c r="E38" s="4384"/>
      <c r="F38" s="921" t="str">
        <f>Виробництво_Транспортування_1ст!G197</f>
        <v>Відхилення</v>
      </c>
      <c r="G38" s="921" t="str">
        <f>Виробництво_Транспортування_1ст!H197</f>
        <v>Різниця</v>
      </c>
    </row>
    <row r="39" spans="1:7" x14ac:dyDescent="0.25">
      <c r="A39" s="842" t="str">
        <f>Виробництво_Транспортування_1ст!B198</f>
        <v>Зарплата</v>
      </c>
      <c r="B39" s="2148">
        <f>Виробництво_Транспортування_1ст!C198</f>
        <v>0.16900000000000001</v>
      </c>
      <c r="C39" s="1525">
        <f>Виробництво_Транспортування_1ст!D198</f>
        <v>3023.13</v>
      </c>
      <c r="D39" s="2148">
        <f>Виробництво_Транспортування_1ст!E198</f>
        <v>0.45200000000000001</v>
      </c>
      <c r="E39" s="1525">
        <f>Виробництво_Транспортування_1ст!F198</f>
        <v>2376.1999999999998</v>
      </c>
      <c r="F39" s="2148">
        <f>Виробництво_Транспортування_1ст!G198</f>
        <v>-0.28299999999999997</v>
      </c>
      <c r="G39" s="1525">
        <f>Виробництво_Транспортування_1ст!H198</f>
        <v>646.92999999999995</v>
      </c>
    </row>
    <row r="40" spans="1:7" x14ac:dyDescent="0.25">
      <c r="A40" s="842" t="str">
        <f>Виробництво_Транспортування_1ст!B199</f>
        <v>Відрахування</v>
      </c>
      <c r="B40" s="2148">
        <f>Виробництво_Транспортування_1ст!C199</f>
        <v>3.6999999999999998E-2</v>
      </c>
      <c r="C40" s="1525">
        <f>Виробництво_Транспортування_1ст!D199</f>
        <v>665.09</v>
      </c>
      <c r="D40" s="2148">
        <f>Виробництво_Транспортування_1ст!E199</f>
        <v>9.9000000000000005E-2</v>
      </c>
      <c r="E40" s="1525">
        <f>Виробництво_Транспортування_1ст!F199</f>
        <v>522.70000000000005</v>
      </c>
      <c r="F40" s="2148">
        <f>Виробництво_Транспортування_1ст!G199</f>
        <v>-6.2E-2</v>
      </c>
      <c r="G40" s="1525">
        <f>Виробництво_Транспортування_1ст!H199</f>
        <v>142.38999999999999</v>
      </c>
    </row>
    <row r="41" spans="1:7" ht="47.25" x14ac:dyDescent="0.25">
      <c r="A41" s="842" t="str">
        <f>Виробництво_Транспортування_1ст!B200</f>
        <v>витрати на покриття втрат теплової енергії в теплових мережах</v>
      </c>
      <c r="B41" s="2148">
        <f>Виробництво_Транспортування_1ст!C200</f>
        <v>0.48399999999999999</v>
      </c>
      <c r="C41" s="1525">
        <f>Виробництво_Транспортування_1ст!D200</f>
        <v>8663.69</v>
      </c>
      <c r="D41" s="2148">
        <f>Виробництво_Транспортування_1ст!E200</f>
        <v>0</v>
      </c>
      <c r="E41" s="1525">
        <f>Виробництво_Транспортування_1ст!F200</f>
        <v>0</v>
      </c>
      <c r="F41" s="2148">
        <f>Виробництво_Транспортування_1ст!G200</f>
        <v>0.48399999999999999</v>
      </c>
      <c r="G41" s="1525">
        <f>Виробництво_Транспортування_1ст!H200</f>
        <v>8663.69</v>
      </c>
    </row>
    <row r="42" spans="1:7" x14ac:dyDescent="0.25">
      <c r="A42" s="842" t="str">
        <f>Виробництво_Транспортування_1ст!B201</f>
        <v>електроенергія</v>
      </c>
      <c r="B42" s="2148">
        <f>Виробництво_Транспортування_1ст!C201</f>
        <v>0.11</v>
      </c>
      <c r="C42" s="1525">
        <f>Виробництво_Транспортування_1ст!D201</f>
        <v>1966.15</v>
      </c>
      <c r="D42" s="2148">
        <f>Виробництво_Транспортування_1ст!E201</f>
        <v>0.312</v>
      </c>
      <c r="E42" s="1525">
        <f>Виробництво_Транспортування_1ст!F201</f>
        <v>1638.2</v>
      </c>
      <c r="F42" s="2148">
        <f>Виробництво_Транспортування_1ст!G201</f>
        <v>-0.20200000000000001</v>
      </c>
      <c r="G42" s="1525">
        <f>Виробництво_Транспортування_1ст!H201</f>
        <v>327.95</v>
      </c>
    </row>
    <row r="43" spans="1:7" ht="31.5" x14ac:dyDescent="0.25">
      <c r="A43" s="842" t="str">
        <f>Виробництво_Транспортування_1ст!B202</f>
        <v>водопостачання, водовідведення</v>
      </c>
      <c r="B43" s="2148">
        <f>Виробництво_Транспортування_1ст!C202</f>
        <v>2.7E-2</v>
      </c>
      <c r="C43" s="1525">
        <f>Виробництво_Транспортування_1ст!D202</f>
        <v>473.91</v>
      </c>
      <c r="D43" s="2148">
        <f>Виробництво_Транспортування_1ст!E202</f>
        <v>2.1999999999999999E-2</v>
      </c>
      <c r="E43" s="1525">
        <f>Виробництво_Транспортування_1ст!F202</f>
        <v>118</v>
      </c>
      <c r="F43" s="2148">
        <f>Виробництво_Транспортування_1ст!G202</f>
        <v>4.0000000000000001E-3</v>
      </c>
      <c r="G43" s="1525">
        <f>Виробництво_Транспортування_1ст!H202</f>
        <v>355.91</v>
      </c>
    </row>
    <row r="44" spans="1:7" x14ac:dyDescent="0.25">
      <c r="A44" s="842" t="str">
        <f>Виробництво_Транспортування_1ст!B203</f>
        <v>амортизація</v>
      </c>
      <c r="B44" s="2148">
        <f>Виробництво_Транспортування_1ст!C203</f>
        <v>1.2999999999999999E-2</v>
      </c>
      <c r="C44" s="1525">
        <f>Виробництво_Транспортування_1ст!D203</f>
        <v>227.88</v>
      </c>
      <c r="D44" s="2148">
        <f>Виробництво_Транспортування_1ст!E203</f>
        <v>7.6999999999999999E-2</v>
      </c>
      <c r="E44" s="1525">
        <f>Виробництво_Транспортування_1ст!F203</f>
        <v>405.7</v>
      </c>
      <c r="F44" s="2148">
        <f>Виробництво_Транспортування_1ст!G203</f>
        <v>-6.5000000000000002E-2</v>
      </c>
      <c r="G44" s="1525">
        <f>Виробництво_Транспортування_1ст!H203</f>
        <v>-177.82</v>
      </c>
    </row>
    <row r="45" spans="1:7" x14ac:dyDescent="0.25">
      <c r="A45" s="842" t="str">
        <f>Виробництво_Транспортування_1ст!B204</f>
        <v>податки</v>
      </c>
      <c r="B45" s="2148">
        <f>Виробництво_Транспортування_1ст!C204</f>
        <v>0</v>
      </c>
      <c r="C45" s="1525">
        <f>Виробництво_Транспортування_1ст!D204</f>
        <v>0</v>
      </c>
      <c r="D45" s="2148">
        <f>Виробництво_Транспортування_1ст!E204</f>
        <v>0</v>
      </c>
      <c r="E45" s="1525">
        <f>Виробництво_Транспортування_1ст!F204</f>
        <v>0</v>
      </c>
      <c r="F45" s="2148">
        <f>Виробництво_Транспортування_1ст!G204</f>
        <v>0</v>
      </c>
      <c r="G45" s="1525">
        <f>Виробництво_Транспортування_1ст!H204</f>
        <v>0</v>
      </c>
    </row>
    <row r="46" spans="1:7" x14ac:dyDescent="0.25">
      <c r="A46" s="842" t="str">
        <f>Виробництво_Транспортування_1ст!B205</f>
        <v>Ремонти</v>
      </c>
      <c r="B46" s="2148">
        <f>Виробництво_Транспортування_1ст!C205</f>
        <v>0</v>
      </c>
      <c r="C46" s="1525">
        <f>Виробництво_Транспортування_1ст!D205</f>
        <v>0</v>
      </c>
      <c r="D46" s="2148">
        <f>Виробництво_Транспортування_1ст!E205</f>
        <v>0</v>
      </c>
      <c r="E46" s="1525">
        <f>Виробництво_Транспортування_1ст!F205</f>
        <v>0</v>
      </c>
      <c r="F46" s="2148">
        <f>Виробництво_Транспортування_1ст!G205</f>
        <v>0</v>
      </c>
      <c r="G46" s="1525">
        <f>Виробництво_Транспортування_1ст!H205</f>
        <v>0</v>
      </c>
    </row>
    <row r="47" spans="1:7" x14ac:dyDescent="0.25">
      <c r="A47" s="842" t="str">
        <f>Виробництво_Транспортування_1ст!B206</f>
        <v>інші</v>
      </c>
      <c r="B47" s="2148">
        <f>Виробництво_Транспортування_1ст!C206</f>
        <v>0.161</v>
      </c>
      <c r="C47" s="1525">
        <f>Виробництво_Транспортування_1ст!D206</f>
        <v>2880.6</v>
      </c>
      <c r="D47" s="2148">
        <f>Виробництво_Транспортування_1ст!E206</f>
        <v>3.7999999999999999E-2</v>
      </c>
      <c r="E47" s="1525">
        <f>Виробництво_Транспортування_1ст!F206</f>
        <v>197.3</v>
      </c>
      <c r="F47" s="2148">
        <f>Виробництво_Транспортування_1ст!G206</f>
        <v>0.123</v>
      </c>
      <c r="G47" s="1525">
        <f>Виробництво_Транспортування_1ст!H206</f>
        <v>2683.3</v>
      </c>
    </row>
    <row r="48" spans="1:7" x14ac:dyDescent="0.25">
      <c r="A48" s="842" t="str">
        <f>Виробництво_Транспортування_1ст!B207</f>
        <v>Прибуток</v>
      </c>
      <c r="B48" s="2148">
        <f>Виробництво_Транспортування_1ст!C207</f>
        <v>0</v>
      </c>
      <c r="C48" s="1525">
        <f>Виробництво_Транспортування_1ст!D207</f>
        <v>0</v>
      </c>
      <c r="D48" s="2148">
        <f>Виробництво_Транспортування_1ст!E207</f>
        <v>0</v>
      </c>
      <c r="E48" s="1525">
        <f>Виробництво_Транспортування_1ст!F207</f>
        <v>0</v>
      </c>
      <c r="F48" s="2148">
        <f>Виробництво_Транспортування_1ст!G207</f>
        <v>0</v>
      </c>
      <c r="G48" s="1525">
        <f>Виробництво_Транспортування_1ст!H207</f>
        <v>0</v>
      </c>
    </row>
    <row r="49" spans="1:7" x14ac:dyDescent="0.25">
      <c r="A49" s="842" t="str">
        <f>Виробництво_Транспортування_1ст!B208</f>
        <v>Разом:</v>
      </c>
      <c r="B49" s="2148">
        <f>Виробництво_Транспортування_1ст!C208</f>
        <v>1</v>
      </c>
      <c r="C49" s="1525">
        <f>Виробництво_Транспортування_1ст!D208</f>
        <v>17900.45</v>
      </c>
      <c r="D49" s="2148">
        <f>Виробництво_Транспортування_1ст!E208</f>
        <v>1</v>
      </c>
      <c r="E49" s="1525">
        <f>Виробництво_Транспортування_1ст!F208</f>
        <v>5258.1</v>
      </c>
      <c r="F49" s="2148">
        <f>Виробництво_Транспортування_1ст!G208</f>
        <v>0</v>
      </c>
      <c r="G49" s="1525">
        <f>Виробництво_Транспортування_1ст!H208</f>
        <v>12642.35</v>
      </c>
    </row>
    <row r="51" spans="1:7" x14ac:dyDescent="0.25">
      <c r="A51" s="58" t="str">
        <f>Постачання_1ст!B70</f>
        <v>Порівняльна таблиця % планованих прямих витрат на постачання теплової енергії  в 2022-2023 роках ЧФ ДП "АМПУ" та урахованих в  діючих тарифах в 2020-2021 роках</v>
      </c>
    </row>
    <row r="52" spans="1:7" x14ac:dyDescent="0.25">
      <c r="D52" s="58" t="str">
        <f>Постачання_1ст!E71</f>
        <v>тис. грн.</v>
      </c>
    </row>
    <row r="53" spans="1:7" x14ac:dyDescent="0.25">
      <c r="A53" s="921" t="str">
        <f>Постачання_1ст!B72</f>
        <v>Показник</v>
      </c>
      <c r="B53" s="4384" t="str">
        <f>Постачання_1ст!C72</f>
        <v>Плановані тарифи</v>
      </c>
      <c r="C53" s="4384">
        <f>Постачання_1ст!D72</f>
        <v>0</v>
      </c>
      <c r="D53" s="4384" t="str">
        <f>Постачання_1ст!E72</f>
        <v>Діючі тарифи</v>
      </c>
      <c r="E53" s="4384">
        <f>Постачання_1ст!F72</f>
        <v>0</v>
      </c>
      <c r="F53" s="921" t="str">
        <f>Постачання_1ст!G72</f>
        <v>Відхилення</v>
      </c>
      <c r="G53" s="921" t="str">
        <f>Постачання_1ст!H72</f>
        <v>Різниця</v>
      </c>
    </row>
    <row r="54" spans="1:7" x14ac:dyDescent="0.25">
      <c r="A54" s="842" t="str">
        <f>Постачання_1ст!B73</f>
        <v>Зарплата</v>
      </c>
      <c r="B54" s="2148">
        <f>Постачання_1ст!C73</f>
        <v>0.67</v>
      </c>
      <c r="C54" s="1525">
        <f>Постачання_1ст!D73</f>
        <v>612.30999999999995</v>
      </c>
      <c r="D54" s="2148">
        <f>Постачання_1ст!E73</f>
        <v>0.78800000000000003</v>
      </c>
      <c r="E54" s="1525">
        <f>Постачання_1ст!F73</f>
        <v>285.60000000000002</v>
      </c>
      <c r="F54" s="2148">
        <f>Постачання_1ст!G73</f>
        <v>-0.11799999999999999</v>
      </c>
      <c r="G54" s="1525">
        <f>Постачання_1ст!H73</f>
        <v>326.70999999999998</v>
      </c>
    </row>
    <row r="55" spans="1:7" x14ac:dyDescent="0.25">
      <c r="A55" s="842" t="str">
        <f>Постачання_1ст!B74</f>
        <v>Відрахування</v>
      </c>
      <c r="B55" s="2148">
        <f>Постачання_1ст!C74</f>
        <v>0.14699999999999999</v>
      </c>
      <c r="C55" s="1525">
        <f>Постачання_1ст!D74</f>
        <v>134.71</v>
      </c>
      <c r="D55" s="2148">
        <f>Постачання_1ст!E74</f>
        <v>0.17299999999999999</v>
      </c>
      <c r="E55" s="1525">
        <f>Постачання_1ст!F74</f>
        <v>62.8</v>
      </c>
      <c r="F55" s="2148">
        <f>Постачання_1ст!G74</f>
        <v>-2.5999999999999999E-2</v>
      </c>
      <c r="G55" s="1525">
        <f>Постачання_1ст!H74</f>
        <v>71.91</v>
      </c>
    </row>
    <row r="56" spans="1:7" x14ac:dyDescent="0.25">
      <c r="A56" s="842" t="str">
        <f>Постачання_1ст!B75</f>
        <v>газ</v>
      </c>
      <c r="B56" s="2148">
        <f>Постачання_1ст!C75</f>
        <v>0</v>
      </c>
      <c r="C56" s="1525">
        <f>Постачання_1ст!D75</f>
        <v>0</v>
      </c>
      <c r="D56" s="2148">
        <f>Постачання_1ст!E75</f>
        <v>0</v>
      </c>
      <c r="E56" s="1525">
        <f>Постачання_1ст!F75</f>
        <v>0</v>
      </c>
      <c r="F56" s="2148">
        <f>Постачання_1ст!G75</f>
        <v>0</v>
      </c>
      <c r="G56" s="1525">
        <f>Постачання_1ст!H75</f>
        <v>0</v>
      </c>
    </row>
    <row r="57" spans="1:7" x14ac:dyDescent="0.25">
      <c r="A57" s="842" t="str">
        <f>Постачання_1ст!B76</f>
        <v>електроенергія</v>
      </c>
      <c r="B57" s="2148">
        <f>Постачання_1ст!C76</f>
        <v>0</v>
      </c>
      <c r="C57" s="1525">
        <f>Постачання_1ст!D76</f>
        <v>0</v>
      </c>
      <c r="D57" s="2148">
        <f>Постачання_1ст!E76</f>
        <v>0</v>
      </c>
      <c r="E57" s="1525">
        <f>Постачання_1ст!F76</f>
        <v>0</v>
      </c>
      <c r="F57" s="2148">
        <f>Постачання_1ст!G76</f>
        <v>0</v>
      </c>
      <c r="G57" s="1525">
        <f>Постачання_1ст!H76</f>
        <v>0</v>
      </c>
    </row>
    <row r="58" spans="1:7" ht="31.5" x14ac:dyDescent="0.25">
      <c r="A58" s="842" t="str">
        <f>Постачання_1ст!B77</f>
        <v>водопостачання, водовідведення</v>
      </c>
      <c r="B58" s="2148">
        <f>Постачання_1ст!C77</f>
        <v>0</v>
      </c>
      <c r="C58" s="1525">
        <f>Постачання_1ст!D77</f>
        <v>0</v>
      </c>
      <c r="D58" s="2148">
        <f>Постачання_1ст!E77</f>
        <v>0</v>
      </c>
      <c r="E58" s="1525">
        <f>Постачання_1ст!F77</f>
        <v>0</v>
      </c>
      <c r="F58" s="2148">
        <f>Постачання_1ст!G77</f>
        <v>0</v>
      </c>
      <c r="G58" s="1525">
        <f>Постачання_1ст!H77</f>
        <v>0</v>
      </c>
    </row>
    <row r="59" spans="1:7" x14ac:dyDescent="0.25">
      <c r="A59" s="842" t="str">
        <f>Постачання_1ст!B78</f>
        <v>амортизація</v>
      </c>
      <c r="B59" s="2148">
        <f>Постачання_1ст!C78</f>
        <v>0</v>
      </c>
      <c r="C59" s="1525">
        <f>Постачання_1ст!D78</f>
        <v>0</v>
      </c>
      <c r="D59" s="2148">
        <f>Постачання_1ст!E78</f>
        <v>3.5000000000000003E-2</v>
      </c>
      <c r="E59" s="1525">
        <f>Постачання_1ст!F78</f>
        <v>12.8</v>
      </c>
      <c r="F59" s="2148">
        <f>Постачання_1ст!G78</f>
        <v>-3.5000000000000003E-2</v>
      </c>
      <c r="G59" s="1525">
        <f>Постачання_1ст!H78</f>
        <v>-12.8</v>
      </c>
    </row>
    <row r="60" spans="1:7" x14ac:dyDescent="0.25">
      <c r="A60" s="842" t="str">
        <f>Постачання_1ст!B79</f>
        <v>податки</v>
      </c>
      <c r="B60" s="2148">
        <f>Постачання_1ст!C79</f>
        <v>0</v>
      </c>
      <c r="C60" s="1525">
        <f>Постачання_1ст!D79</f>
        <v>0</v>
      </c>
      <c r="D60" s="2148">
        <f>Постачання_1ст!E79</f>
        <v>0</v>
      </c>
      <c r="E60" s="1525">
        <f>Постачання_1ст!F79</f>
        <v>0</v>
      </c>
      <c r="F60" s="2148">
        <f>Постачання_1ст!G79</f>
        <v>0</v>
      </c>
      <c r="G60" s="1525">
        <f>Постачання_1ст!H79</f>
        <v>0</v>
      </c>
    </row>
    <row r="61" spans="1:7" x14ac:dyDescent="0.25">
      <c r="A61" s="842" t="str">
        <f>Постачання_1ст!B80</f>
        <v>Ремонти</v>
      </c>
      <c r="B61" s="2148">
        <f>Постачання_1ст!C80</f>
        <v>0</v>
      </c>
      <c r="C61" s="1525">
        <f>Постачання_1ст!D80</f>
        <v>0</v>
      </c>
      <c r="D61" s="2148">
        <f>Постачання_1ст!E80</f>
        <v>0</v>
      </c>
      <c r="E61" s="1525">
        <f>Постачання_1ст!F80</f>
        <v>0</v>
      </c>
      <c r="F61" s="2148">
        <f>Постачання_1ст!G80</f>
        <v>0</v>
      </c>
      <c r="G61" s="1525">
        <f>Постачання_1ст!H80</f>
        <v>0</v>
      </c>
    </row>
    <row r="62" spans="1:7" x14ac:dyDescent="0.25">
      <c r="A62" s="842" t="str">
        <f>Постачання_1ст!B81</f>
        <v>інші</v>
      </c>
      <c r="B62" s="2148">
        <f>Постачання_1ст!C81</f>
        <v>0.183</v>
      </c>
      <c r="C62" s="1525">
        <f>Постачання_1ст!D81</f>
        <v>167.1</v>
      </c>
      <c r="D62" s="2148">
        <f>Постачання_1ст!E81</f>
        <v>4.0000000000000001E-3</v>
      </c>
      <c r="E62" s="1525">
        <f>Постачання_1ст!F81</f>
        <v>1.4</v>
      </c>
      <c r="F62" s="2148">
        <f>Постачання_1ст!G81</f>
        <v>0.17899999999999999</v>
      </c>
      <c r="G62" s="1525">
        <f>Постачання_1ст!H81</f>
        <v>165.7</v>
      </c>
    </row>
    <row r="63" spans="1:7" x14ac:dyDescent="0.25">
      <c r="A63" s="842" t="str">
        <f>Постачання_1ст!B82</f>
        <v>Прибуток</v>
      </c>
      <c r="B63" s="2148">
        <f>Постачання_1ст!C82</f>
        <v>0</v>
      </c>
      <c r="C63" s="1525">
        <f>Постачання_1ст!D82</f>
        <v>0</v>
      </c>
      <c r="D63" s="2148">
        <f>Постачання_1ст!E82</f>
        <v>0</v>
      </c>
      <c r="E63" s="1525">
        <f>Постачання_1ст!F82</f>
        <v>0</v>
      </c>
      <c r="F63" s="2148">
        <f>Постачання_1ст!G82</f>
        <v>0</v>
      </c>
      <c r="G63" s="1525">
        <f>Постачання_1ст!H82</f>
        <v>0</v>
      </c>
    </row>
    <row r="64" spans="1:7" x14ac:dyDescent="0.25">
      <c r="A64" s="842" t="str">
        <f>Постачання_1ст!B83</f>
        <v>Разом:</v>
      </c>
      <c r="B64" s="2148">
        <f>Постачання_1ст!C83</f>
        <v>1</v>
      </c>
      <c r="C64" s="1525">
        <f>Постачання_1ст!D83</f>
        <v>914.12</v>
      </c>
      <c r="D64" s="2148">
        <f>Постачання_1ст!E83</f>
        <v>1</v>
      </c>
      <c r="E64" s="1525">
        <f>Постачання_1ст!F83</f>
        <v>362.6</v>
      </c>
      <c r="F64" s="2148">
        <f>Постачання_1ст!G83</f>
        <v>0</v>
      </c>
      <c r="G64" s="1525">
        <f>Постачання_1ст!H83</f>
        <v>551.52</v>
      </c>
    </row>
    <row r="66" spans="1:7" x14ac:dyDescent="0.25">
      <c r="A66" s="58" t="str">
        <f>ЗВВ_1ст!B76</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25">
      <c r="D67" s="58" t="str">
        <f>ЗВВ_1ст!E77</f>
        <v>тис. грн.</v>
      </c>
    </row>
    <row r="68" spans="1:7" x14ac:dyDescent="0.25">
      <c r="A68" s="921" t="str">
        <f>ЗВВ_1ст!B78</f>
        <v>Показник</v>
      </c>
      <c r="B68" s="4384" t="str">
        <f>ЗВВ_1ст!C78</f>
        <v>Плановані тарифи</v>
      </c>
      <c r="C68" s="4384">
        <f>ЗВВ_1ст!D78</f>
        <v>0</v>
      </c>
      <c r="D68" s="4384" t="str">
        <f>ЗВВ_1ст!E78</f>
        <v>Діючі тарифи</v>
      </c>
      <c r="E68" s="4384">
        <f>ЗВВ_1ст!F78</f>
        <v>0</v>
      </c>
      <c r="F68" s="921" t="str">
        <f>ЗВВ_1ст!G78</f>
        <v>Відхилення</v>
      </c>
      <c r="G68" s="921" t="str">
        <f>ЗВВ_1ст!H78</f>
        <v>Різниця</v>
      </c>
    </row>
    <row r="69" spans="1:7" x14ac:dyDescent="0.25">
      <c r="A69" s="842" t="str">
        <f>ЗВВ_1ст!B79</f>
        <v>Зарплата</v>
      </c>
      <c r="B69" s="2148">
        <f>ЗВВ_1ст!C79</f>
        <v>0.66600000000000004</v>
      </c>
      <c r="C69" s="1525">
        <f>ЗВВ_1ст!D79</f>
        <v>2619.7600000000002</v>
      </c>
      <c r="D69" s="2148">
        <f>ЗВВ_1ст!E79</f>
        <v>0.50600000000000001</v>
      </c>
      <c r="E69" s="1525">
        <f>ЗВВ_1ст!F79</f>
        <v>2429.1999999999998</v>
      </c>
      <c r="F69" s="2148">
        <f>ЗВВ_1ст!G79</f>
        <v>0.16</v>
      </c>
      <c r="G69" s="1525">
        <f>ЗВВ_1ст!H79</f>
        <v>190.56</v>
      </c>
    </row>
    <row r="70" spans="1:7" x14ac:dyDescent="0.25">
      <c r="A70" s="842" t="str">
        <f>ЗВВ_1ст!B80</f>
        <v>Відрахування</v>
      </c>
      <c r="B70" s="2148">
        <f>ЗВВ_1ст!C80</f>
        <v>0.14699999999999999</v>
      </c>
      <c r="C70" s="1525">
        <f>ЗВВ_1ст!D80</f>
        <v>576.35</v>
      </c>
      <c r="D70" s="2148">
        <f>ЗВВ_1ст!E80</f>
        <v>0.10100000000000001</v>
      </c>
      <c r="E70" s="1525">
        <f>ЗВВ_1ст!F80</f>
        <v>484.1</v>
      </c>
      <c r="F70" s="2148">
        <f>ЗВВ_1ст!G80</f>
        <v>4.5999999999999999E-2</v>
      </c>
      <c r="G70" s="1525">
        <f>ЗВВ_1ст!H80</f>
        <v>92.25</v>
      </c>
    </row>
    <row r="71" spans="1:7" x14ac:dyDescent="0.25">
      <c r="A71" s="842" t="str">
        <f>ЗВВ_1ст!B81</f>
        <v>газ</v>
      </c>
      <c r="B71" s="2148">
        <f>ЗВВ_1ст!C81</f>
        <v>0</v>
      </c>
      <c r="C71" s="1525">
        <f>ЗВВ_1ст!D81</f>
        <v>0</v>
      </c>
      <c r="D71" s="2148">
        <f>ЗВВ_1ст!E81</f>
        <v>0</v>
      </c>
      <c r="E71" s="1525">
        <f>ЗВВ_1ст!F81</f>
        <v>0</v>
      </c>
      <c r="F71" s="2148">
        <f>ЗВВ_1ст!G81</f>
        <v>0</v>
      </c>
      <c r="G71" s="1525">
        <f>ЗВВ_1ст!H81</f>
        <v>0</v>
      </c>
    </row>
    <row r="72" spans="1:7" x14ac:dyDescent="0.25">
      <c r="A72" s="842" t="str">
        <f>ЗВВ_1ст!B82</f>
        <v>електроенергія</v>
      </c>
      <c r="B72" s="2148">
        <f>ЗВВ_1ст!C82</f>
        <v>0</v>
      </c>
      <c r="C72" s="1525">
        <f>ЗВВ_1ст!D82</f>
        <v>0</v>
      </c>
      <c r="D72" s="2148">
        <f>ЗВВ_1ст!E82</f>
        <v>0</v>
      </c>
      <c r="E72" s="1525">
        <f>ЗВВ_1ст!F82</f>
        <v>0</v>
      </c>
      <c r="F72" s="2148">
        <f>ЗВВ_1ст!G82</f>
        <v>0</v>
      </c>
      <c r="G72" s="1525">
        <f>ЗВВ_1ст!H82</f>
        <v>0</v>
      </c>
    </row>
    <row r="73" spans="1:7" ht="31.5" x14ac:dyDescent="0.25">
      <c r="A73" s="842" t="str">
        <f>ЗВВ_1ст!B83</f>
        <v>водопостачання, водовідведення</v>
      </c>
      <c r="B73" s="2148">
        <f>ЗВВ_1ст!C83</f>
        <v>0</v>
      </c>
      <c r="C73" s="1525">
        <f>ЗВВ_1ст!D83</f>
        <v>0</v>
      </c>
      <c r="D73" s="2148">
        <f>ЗВВ_1ст!E83</f>
        <v>0</v>
      </c>
      <c r="E73" s="1525">
        <f>ЗВВ_1ст!F83</f>
        <v>0</v>
      </c>
      <c r="F73" s="2148">
        <f>ЗВВ_1ст!G83</f>
        <v>0</v>
      </c>
      <c r="G73" s="1525">
        <f>ЗВВ_1ст!H83</f>
        <v>0</v>
      </c>
    </row>
    <row r="74" spans="1:7" x14ac:dyDescent="0.25">
      <c r="A74" s="842" t="str">
        <f>ЗВВ_1ст!B84</f>
        <v>амортизація</v>
      </c>
      <c r="B74" s="2148">
        <f>ЗВВ_1ст!C84</f>
        <v>8.9999999999999993E-3</v>
      </c>
      <c r="C74" s="1525">
        <f>ЗВВ_1ст!D84</f>
        <v>35.74</v>
      </c>
      <c r="D74" s="2148">
        <f>ЗВВ_1ст!E84</f>
        <v>2E-3</v>
      </c>
      <c r="E74" s="1525">
        <f>ЗВВ_1ст!F84</f>
        <v>10.6</v>
      </c>
      <c r="F74" s="2148">
        <f>ЗВВ_1ст!G84</f>
        <v>7.0000000000000001E-3</v>
      </c>
      <c r="G74" s="1525">
        <f>ЗВВ_1ст!H84</f>
        <v>25.14</v>
      </c>
    </row>
    <row r="75" spans="1:7" x14ac:dyDescent="0.25">
      <c r="A75" s="842" t="str">
        <f>ЗВВ_1ст!B85</f>
        <v>податки</v>
      </c>
      <c r="B75" s="2148">
        <f>ЗВВ_1ст!C85</f>
        <v>0</v>
      </c>
      <c r="C75" s="1525">
        <f>ЗВВ_1ст!D85</f>
        <v>0</v>
      </c>
      <c r="D75" s="2148">
        <f>ЗВВ_1ст!E85</f>
        <v>0</v>
      </c>
      <c r="E75" s="1525">
        <f>ЗВВ_1ст!F85</f>
        <v>0</v>
      </c>
      <c r="F75" s="2148">
        <f>ЗВВ_1ст!G85</f>
        <v>0</v>
      </c>
      <c r="G75" s="1525">
        <f>ЗВВ_1ст!H85</f>
        <v>0</v>
      </c>
    </row>
    <row r="76" spans="1:7" x14ac:dyDescent="0.25">
      <c r="A76" s="842" t="str">
        <f>ЗВВ_1ст!B86</f>
        <v>Ремонти</v>
      </c>
      <c r="B76" s="2148">
        <f>ЗВВ_1ст!C86</f>
        <v>5.0000000000000001E-3</v>
      </c>
      <c r="C76" s="1525">
        <f>ЗВВ_1ст!D86</f>
        <v>20.260000000000002</v>
      </c>
      <c r="D76" s="2148">
        <f>ЗВВ_1ст!E86</f>
        <v>0</v>
      </c>
      <c r="E76" s="1525">
        <f>ЗВВ_1ст!F86</f>
        <v>0</v>
      </c>
      <c r="F76" s="2148">
        <f>ЗВВ_1ст!G86</f>
        <v>5.0000000000000001E-3</v>
      </c>
      <c r="G76" s="1525">
        <f>ЗВВ_1ст!H86</f>
        <v>20.260000000000002</v>
      </c>
    </row>
    <row r="77" spans="1:7" x14ac:dyDescent="0.25">
      <c r="A77" s="842" t="str">
        <f>ЗВВ_1ст!B87</f>
        <v>інші</v>
      </c>
      <c r="B77" s="2148">
        <f>ЗВВ_1ст!C87</f>
        <v>0.17299999999999999</v>
      </c>
      <c r="C77" s="1525">
        <f>ЗВВ_1ст!D87</f>
        <v>681.55</v>
      </c>
      <c r="D77" s="2148">
        <f>ЗВВ_1ст!E87</f>
        <v>0.39100000000000001</v>
      </c>
      <c r="E77" s="1525">
        <f>ЗВВ_1ст!F87</f>
        <v>1873.9</v>
      </c>
      <c r="F77" s="2148">
        <f>ЗВВ_1ст!G87</f>
        <v>-0.217</v>
      </c>
      <c r="G77" s="1525">
        <f>ЗВВ_1ст!H87</f>
        <v>-1192.3499999999999</v>
      </c>
    </row>
    <row r="78" spans="1:7" x14ac:dyDescent="0.25">
      <c r="A78" s="842" t="str">
        <f>ЗВВ_1ст!B88</f>
        <v>Прибуток</v>
      </c>
      <c r="B78" s="2148">
        <f>ЗВВ_1ст!C88</f>
        <v>0</v>
      </c>
      <c r="C78" s="1525">
        <f>ЗВВ_1ст!D88</f>
        <v>0</v>
      </c>
      <c r="D78" s="2148">
        <f>ЗВВ_1ст!E88</f>
        <v>0</v>
      </c>
      <c r="E78" s="1525">
        <f>ЗВВ_1ст!F88</f>
        <v>0</v>
      </c>
      <c r="F78" s="2148">
        <f>ЗВВ_1ст!G88</f>
        <v>0</v>
      </c>
      <c r="G78" s="1525">
        <f>ЗВВ_1ст!H88</f>
        <v>0</v>
      </c>
    </row>
    <row r="79" spans="1:7" x14ac:dyDescent="0.25">
      <c r="A79" s="842" t="str">
        <f>ЗВВ_1ст!B89</f>
        <v>Разом:</v>
      </c>
      <c r="B79" s="2148">
        <f>ЗВВ_1ст!C89</f>
        <v>1</v>
      </c>
      <c r="C79" s="1525">
        <f>ЗВВ_1ст!D89</f>
        <v>3933.66</v>
      </c>
      <c r="D79" s="2148">
        <f>ЗВВ_1ст!E89</f>
        <v>1</v>
      </c>
      <c r="E79" s="1525">
        <f>ЗВВ_1ст!F89</f>
        <v>4797.8</v>
      </c>
      <c r="F79" s="2148">
        <f>ЗВВ_1ст!G89</f>
        <v>0</v>
      </c>
      <c r="G79" s="1525">
        <f>ЗВВ_1ст!H89</f>
        <v>-864.14</v>
      </c>
    </row>
    <row r="81" spans="1:7" x14ac:dyDescent="0.25">
      <c r="A81" s="58" t="str">
        <f>Адміністративні_1ст!B103</f>
        <v>Порівняльна таблиця % планованих адміністративних витрат на тепловe енергі.  в 2022-2023 роках ЧФ ДП "АМПУ" та урахованих в  діючих тарифах в 2020-2021 роках</v>
      </c>
    </row>
    <row r="82" spans="1:7" x14ac:dyDescent="0.25">
      <c r="D82" s="58" t="str">
        <f>Адміністративні_1ст!E104</f>
        <v>тис. грн.</v>
      </c>
    </row>
    <row r="83" spans="1:7" x14ac:dyDescent="0.25">
      <c r="A83" s="921" t="str">
        <f>Адміністративні_1ст!B105</f>
        <v>Показник</v>
      </c>
      <c r="B83" s="4384" t="str">
        <f>Адміністративні_1ст!C105</f>
        <v>Плановані тарифи</v>
      </c>
      <c r="C83" s="4384">
        <f>Адміністративні_1ст!D105</f>
        <v>0</v>
      </c>
      <c r="D83" s="4384" t="str">
        <f>Адміністративні_1ст!E105</f>
        <v>Діючі тарифи</v>
      </c>
      <c r="E83" s="4384">
        <f>Адміністративні_1ст!F105</f>
        <v>0</v>
      </c>
      <c r="F83" s="921" t="str">
        <f>Адміністративні_1ст!G105</f>
        <v>Відхилення</v>
      </c>
      <c r="G83" s="921" t="str">
        <f>Адміністративні_1ст!H105</f>
        <v>Різниця</v>
      </c>
    </row>
    <row r="84" spans="1:7" x14ac:dyDescent="0.25">
      <c r="A84" s="842" t="str">
        <f>Адміністративні_1ст!B106</f>
        <v>Зарплата</v>
      </c>
      <c r="B84" s="2148">
        <f>Адміністративні_1ст!C106</f>
        <v>0.623</v>
      </c>
      <c r="C84" s="1525">
        <f>Адміністративні_1ст!D106</f>
        <v>976.61</v>
      </c>
      <c r="D84" s="2148">
        <f>Адміністративні_1ст!E106</f>
        <v>0.67800000000000005</v>
      </c>
      <c r="E84" s="1525">
        <f>Адміністративні_1ст!F106</f>
        <v>666.6</v>
      </c>
      <c r="F84" s="2148">
        <f>Адміністративні_1ст!G106</f>
        <v>-5.5E-2</v>
      </c>
      <c r="G84" s="1525">
        <f>Адміністративні_1ст!H106</f>
        <v>310.01</v>
      </c>
    </row>
    <row r="85" spans="1:7" x14ac:dyDescent="0.25">
      <c r="A85" s="842" t="str">
        <f>Адміністративні_1ст!B107</f>
        <v>Відрахування</v>
      </c>
      <c r="B85" s="2148">
        <f>Адміністративні_1ст!C107</f>
        <v>0.13700000000000001</v>
      </c>
      <c r="C85" s="1525">
        <f>Адміністративні_1ст!D107</f>
        <v>214.85</v>
      </c>
      <c r="D85" s="2148">
        <f>Адміністративні_1ст!E107</f>
        <v>0.16300000000000001</v>
      </c>
      <c r="E85" s="1525">
        <f>Адміністративні_1ст!F107</f>
        <v>160.30000000000001</v>
      </c>
      <c r="F85" s="2148">
        <f>Адміністративні_1ст!G107</f>
        <v>-2.5999999999999999E-2</v>
      </c>
      <c r="G85" s="1525">
        <f>Адміністративні_1ст!H107</f>
        <v>54.55</v>
      </c>
    </row>
    <row r="86" spans="1:7" x14ac:dyDescent="0.25">
      <c r="A86" s="842" t="str">
        <f>Адміністративні_1ст!B108</f>
        <v>газ</v>
      </c>
      <c r="B86" s="2148">
        <f>Адміністративні_1ст!C108</f>
        <v>0</v>
      </c>
      <c r="C86" s="1525">
        <f>Адміністративні_1ст!D108</f>
        <v>0</v>
      </c>
      <c r="D86" s="2148">
        <f>Адміністративні_1ст!E108</f>
        <v>0</v>
      </c>
      <c r="E86" s="1525">
        <f>Адміністративні_1ст!F108</f>
        <v>0</v>
      </c>
      <c r="F86" s="2148">
        <f>Адміністративні_1ст!G108</f>
        <v>0</v>
      </c>
      <c r="G86" s="1525">
        <f>Адміністративні_1ст!H108</f>
        <v>0</v>
      </c>
    </row>
    <row r="87" spans="1:7" x14ac:dyDescent="0.25">
      <c r="A87" s="842" t="str">
        <f>Адміністративні_1ст!B109</f>
        <v>електроенергія</v>
      </c>
      <c r="B87" s="2148">
        <f>Адміністративні_1ст!C109</f>
        <v>0</v>
      </c>
      <c r="C87" s="1525">
        <f>Адміністративні_1ст!D109</f>
        <v>0</v>
      </c>
      <c r="D87" s="2148">
        <f>Адміністративні_1ст!E109</f>
        <v>0</v>
      </c>
      <c r="E87" s="1525">
        <f>Адміністративні_1ст!F109</f>
        <v>0</v>
      </c>
      <c r="F87" s="2148">
        <f>Адміністративні_1ст!G109</f>
        <v>0</v>
      </c>
      <c r="G87" s="1525">
        <f>Адміністративні_1ст!H109</f>
        <v>0</v>
      </c>
    </row>
    <row r="88" spans="1:7" ht="31.5" x14ac:dyDescent="0.25">
      <c r="A88" s="842" t="str">
        <f>Адміністративні_1ст!B110</f>
        <v>водопостачання, водовідведення</v>
      </c>
      <c r="B88" s="2148">
        <f>Адміністративні_1ст!C110</f>
        <v>0</v>
      </c>
      <c r="C88" s="1525">
        <f>Адміністративні_1ст!D110</f>
        <v>0</v>
      </c>
      <c r="D88" s="2148">
        <f>Адміністративні_1ст!E110</f>
        <v>0</v>
      </c>
      <c r="E88" s="1525">
        <f>Адміністративні_1ст!F110</f>
        <v>0</v>
      </c>
      <c r="F88" s="2148">
        <f>Адміністративні_1ст!G110</f>
        <v>0</v>
      </c>
      <c r="G88" s="1525">
        <f>Адміністративні_1ст!H110</f>
        <v>0</v>
      </c>
    </row>
    <row r="89" spans="1:7" x14ac:dyDescent="0.25">
      <c r="A89" s="842" t="str">
        <f>Адміністративні_1ст!B111</f>
        <v>амортизація</v>
      </c>
      <c r="B89" s="2148">
        <f>Адміністративні_1ст!C111</f>
        <v>1.6E-2</v>
      </c>
      <c r="C89" s="1525">
        <f>Адміністративні_1ст!D111</f>
        <v>24.78</v>
      </c>
      <c r="D89" s="2148">
        <f>Адміністративні_1ст!E111</f>
        <v>1.2E-2</v>
      </c>
      <c r="E89" s="1525">
        <f>Адміністративні_1ст!F111</f>
        <v>12.2</v>
      </c>
      <c r="F89" s="2148">
        <f>Адміністративні_1ст!G111</f>
        <v>3.0000000000000001E-3</v>
      </c>
      <c r="G89" s="1525">
        <f>Адміністративні_1ст!H111</f>
        <v>12.58</v>
      </c>
    </row>
    <row r="90" spans="1:7" x14ac:dyDescent="0.25">
      <c r="A90" s="842" t="str">
        <f>Адміністративні_1ст!B112</f>
        <v>податки</v>
      </c>
      <c r="B90" s="2148">
        <f>Адміністративні_1ст!C112</f>
        <v>0</v>
      </c>
      <c r="C90" s="1525">
        <f>Адміністративні_1ст!D112</f>
        <v>0</v>
      </c>
      <c r="D90" s="2148">
        <f>Адміністративні_1ст!E112</f>
        <v>0</v>
      </c>
      <c r="E90" s="1525">
        <f>Адміністративні_1ст!F112</f>
        <v>0</v>
      </c>
      <c r="F90" s="2148">
        <f>Адміністративні_1ст!G112</f>
        <v>0</v>
      </c>
      <c r="G90" s="1525">
        <f>Адміністративні_1ст!H112</f>
        <v>0</v>
      </c>
    </row>
    <row r="91" spans="1:7" x14ac:dyDescent="0.25">
      <c r="A91" s="842" t="str">
        <f>Адміністративні_1ст!B113</f>
        <v>Ремонти</v>
      </c>
      <c r="B91" s="2148">
        <f>Адміністративні_1ст!C113</f>
        <v>5.6000000000000001E-2</v>
      </c>
      <c r="C91" s="1525">
        <f>Адміністративні_1ст!D113</f>
        <v>87.24</v>
      </c>
      <c r="D91" s="2148">
        <f>Адміністративні_1ст!E113</f>
        <v>0</v>
      </c>
      <c r="E91" s="1525">
        <f>Адміністративні_1ст!F113</f>
        <v>0</v>
      </c>
      <c r="F91" s="2148">
        <f>Адміністративні_1ст!G113</f>
        <v>5.6000000000000001E-2</v>
      </c>
      <c r="G91" s="1525">
        <f>Адміністративні_1ст!H113</f>
        <v>87.24</v>
      </c>
    </row>
    <row r="92" spans="1:7" x14ac:dyDescent="0.25">
      <c r="A92" s="842" t="str">
        <f>Адміністративні_1ст!B114</f>
        <v>інші</v>
      </c>
      <c r="B92" s="2148">
        <f>Адміністративні_1ст!C114</f>
        <v>0.16900000000000001</v>
      </c>
      <c r="C92" s="1525">
        <f>Адміністративні_1ст!D114</f>
        <v>264.88</v>
      </c>
      <c r="D92" s="2148">
        <f>Адміністративні_1ст!E114</f>
        <v>0.14699999999999999</v>
      </c>
      <c r="E92" s="1525">
        <f>Адміністративні_1ст!F114</f>
        <v>144.16</v>
      </c>
      <c r="F92" s="2148">
        <f>Адміністративні_1ст!G114</f>
        <v>2.1999999999999999E-2</v>
      </c>
      <c r="G92" s="1525">
        <f>Адміністративні_1ст!H114</f>
        <v>120.72</v>
      </c>
    </row>
    <row r="93" spans="1:7" x14ac:dyDescent="0.25">
      <c r="A93" s="842" t="str">
        <f>Адміністративні_1ст!B115</f>
        <v>Прибуток</v>
      </c>
      <c r="B93" s="2148">
        <f>Адміністративні_1ст!C115</f>
        <v>0</v>
      </c>
      <c r="C93" s="1525">
        <f>Адміністративні_1ст!D115</f>
        <v>0</v>
      </c>
      <c r="D93" s="2148">
        <f>Адміністративні_1ст!E115</f>
        <v>0</v>
      </c>
      <c r="E93" s="1525">
        <f>Адміністративні_1ст!F115</f>
        <v>0</v>
      </c>
      <c r="F93" s="2148">
        <f>Адміністративні_1ст!G115</f>
        <v>0</v>
      </c>
      <c r="G93" s="1525">
        <f>Адміністративні_1ст!H115</f>
        <v>0</v>
      </c>
    </row>
    <row r="94" spans="1:7" x14ac:dyDescent="0.25">
      <c r="A94" s="842" t="str">
        <f>Адміністративні_1ст!B116</f>
        <v>Разом:</v>
      </c>
      <c r="B94" s="2148">
        <f>Адміністративні_1ст!C116</f>
        <v>1</v>
      </c>
      <c r="C94" s="1525">
        <f>Адміністративні_1ст!D116</f>
        <v>1568.36</v>
      </c>
      <c r="D94" s="2148">
        <f>Адміністративні_1ст!E116</f>
        <v>1</v>
      </c>
      <c r="E94" s="1525">
        <f>Адміністративні_1ст!F116</f>
        <v>983.26</v>
      </c>
      <c r="F94" s="2148">
        <f>Адміністративні_1ст!G116</f>
        <v>0</v>
      </c>
      <c r="G94" s="1525">
        <f>Адміністративні_1ст!H116</f>
        <v>585.1</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30"/>
  <sheetViews>
    <sheetView workbookViewId="0">
      <selection activeCell="B7" sqref="B7"/>
    </sheetView>
  </sheetViews>
  <sheetFormatPr defaultColWidth="8.85546875" defaultRowHeight="15" x14ac:dyDescent="0.25"/>
  <cols>
    <col min="1" max="1" width="21.7109375" style="18" customWidth="1"/>
    <col min="2" max="6" width="13.28515625" style="18" customWidth="1"/>
    <col min="7" max="16384" width="8.85546875" style="18"/>
  </cols>
  <sheetData>
    <row r="1" spans="1:6" s="23" customFormat="1" ht="14.25" x14ac:dyDescent="0.2">
      <c r="A1" s="1363" t="s">
        <v>2215</v>
      </c>
      <c r="B1" s="1363" t="s">
        <v>998</v>
      </c>
      <c r="C1" s="1363" t="s">
        <v>2216</v>
      </c>
      <c r="D1" s="1363" t="s">
        <v>2217</v>
      </c>
      <c r="E1" s="1363" t="s">
        <v>1950</v>
      </c>
      <c r="F1" s="1363" t="s">
        <v>2218</v>
      </c>
    </row>
    <row r="2" spans="1:6" x14ac:dyDescent="0.25">
      <c r="A2" s="20" t="s">
        <v>2219</v>
      </c>
      <c r="B2" s="1515" t="e">
        <f>#REF!</f>
        <v>#REF!</v>
      </c>
      <c r="C2" s="1515" t="e">
        <f>#REF!</f>
        <v>#REF!</v>
      </c>
      <c r="D2" s="1515" t="e">
        <f>#REF!</f>
        <v>#REF!</v>
      </c>
      <c r="E2" s="1515" t="e">
        <f>#REF!</f>
        <v>#REF!</v>
      </c>
      <c r="F2" s="1515" t="e">
        <f>#REF!</f>
        <v>#REF!</v>
      </c>
    </row>
    <row r="3" spans="1:6" x14ac:dyDescent="0.25">
      <c r="A3" s="20" t="s">
        <v>2220</v>
      </c>
      <c r="B3" s="1515" t="e">
        <f>#REF!</f>
        <v>#REF!</v>
      </c>
      <c r="C3" s="1515" t="e">
        <f>#REF!</f>
        <v>#REF!</v>
      </c>
      <c r="D3" s="1515" t="e">
        <f>#REF!</f>
        <v>#REF!</v>
      </c>
      <c r="E3" s="1515" t="e">
        <f>#REF!</f>
        <v>#REF!</v>
      </c>
      <c r="F3" s="1515" t="e">
        <f>#REF!</f>
        <v>#REF!</v>
      </c>
    </row>
    <row r="4" spans="1:6" x14ac:dyDescent="0.25">
      <c r="A4" s="1364" t="s">
        <v>2221</v>
      </c>
      <c r="B4" s="1515" t="e">
        <f>#REF!</f>
        <v>#REF!</v>
      </c>
      <c r="C4" s="1515" t="e">
        <f>#REF!</f>
        <v>#REF!</v>
      </c>
      <c r="D4" s="1515" t="e">
        <f>#REF!</f>
        <v>#REF!</v>
      </c>
      <c r="E4" s="1515" t="e">
        <f>#REF!</f>
        <v>#REF!</v>
      </c>
      <c r="F4" s="1515" t="e">
        <f>#REF!</f>
        <v>#REF!</v>
      </c>
    </row>
    <row r="5" spans="1:6" x14ac:dyDescent="0.25">
      <c r="A5" s="1364" t="s">
        <v>2222</v>
      </c>
      <c r="B5" s="1515" t="e">
        <f>#REF!</f>
        <v>#REF!</v>
      </c>
      <c r="C5" s="1515" t="e">
        <f>#REF!</f>
        <v>#REF!</v>
      </c>
      <c r="D5" s="1515" t="e">
        <f>#REF!</f>
        <v>#REF!</v>
      </c>
      <c r="E5" s="1515" t="e">
        <f>#REF!</f>
        <v>#REF!</v>
      </c>
      <c r="F5" s="1515" t="e">
        <f>#REF!</f>
        <v>#REF!</v>
      </c>
    </row>
    <row r="6" spans="1:6" x14ac:dyDescent="0.25">
      <c r="A6" s="20" t="s">
        <v>2223</v>
      </c>
      <c r="B6" s="1515" t="e">
        <f>#REF!</f>
        <v>#REF!</v>
      </c>
      <c r="C6" s="1515" t="e">
        <f>#REF!</f>
        <v>#REF!</v>
      </c>
      <c r="D6" s="1515" t="e">
        <f>#REF!</f>
        <v>#REF!</v>
      </c>
      <c r="E6" s="1515" t="e">
        <f>#REF!</f>
        <v>#REF!</v>
      </c>
      <c r="F6" s="1515" t="e">
        <f>#REF!</f>
        <v>#REF!</v>
      </c>
    </row>
    <row r="7" spans="1:6" x14ac:dyDescent="0.25">
      <c r="A7" s="20" t="s">
        <v>2207</v>
      </c>
      <c r="B7" s="926" t="e">
        <f>(-#REF!-#REF!-#REF!-#REF!-#REF!-Адміністративні_1ст!G36-Адміністративні_1ст!H36-Адміністративні_1ст!K36-Постачання_1ст!F25)*(-1)</f>
        <v>#REF!</v>
      </c>
      <c r="C7" s="926" t="e">
        <f>B7/B2*C2</f>
        <v>#REF!</v>
      </c>
      <c r="D7" s="926" t="e">
        <f>B7/B2*D2</f>
        <v>#REF!</v>
      </c>
      <c r="E7" s="926" t="e">
        <f>B7/B2*E2</f>
        <v>#REF!</v>
      </c>
      <c r="F7" s="926" t="e">
        <f>B7/B2*F2</f>
        <v>#REF!</v>
      </c>
    </row>
    <row r="8" spans="1:6" x14ac:dyDescent="0.25">
      <c r="A8" s="1364" t="s">
        <v>2224</v>
      </c>
      <c r="B8" s="1365" t="e">
        <f>B7/B3</f>
        <v>#REF!</v>
      </c>
      <c r="C8" s="1365" t="e">
        <f>C7/C3</f>
        <v>#REF!</v>
      </c>
      <c r="D8" s="1365" t="e">
        <f>D7/D3</f>
        <v>#REF!</v>
      </c>
      <c r="E8" s="1365" t="e">
        <f>E7/E3</f>
        <v>#REF!</v>
      </c>
      <c r="F8" s="1365" t="e">
        <f>F7/F3</f>
        <v>#REF!</v>
      </c>
    </row>
    <row r="9" spans="1:6" x14ac:dyDescent="0.25">
      <c r="A9" s="20" t="s">
        <v>2225</v>
      </c>
      <c r="B9" s="1365" t="e">
        <f>#REF!</f>
        <v>#REF!</v>
      </c>
      <c r="C9" s="1365" t="e">
        <f>#REF!</f>
        <v>#REF!</v>
      </c>
      <c r="D9" s="1365" t="e">
        <f>#REF!</f>
        <v>#REF!</v>
      </c>
      <c r="E9" s="1365" t="e">
        <f>#REF!</f>
        <v>#REF!</v>
      </c>
      <c r="F9" s="1365" t="e">
        <f>#REF!</f>
        <v>#REF!</v>
      </c>
    </row>
    <row r="10" spans="1:6" x14ac:dyDescent="0.25">
      <c r="A10" s="1364" t="s">
        <v>2224</v>
      </c>
      <c r="B10" s="1365" t="e">
        <f>B9/B3</f>
        <v>#REF!</v>
      </c>
      <c r="C10" s="1365" t="e">
        <f t="shared" ref="C10:F10" si="0">C9/C3</f>
        <v>#REF!</v>
      </c>
      <c r="D10" s="1365" t="e">
        <f t="shared" si="0"/>
        <v>#REF!</v>
      </c>
      <c r="E10" s="1365" t="e">
        <f t="shared" si="0"/>
        <v>#REF!</v>
      </c>
      <c r="F10" s="1365" t="e">
        <f t="shared" si="0"/>
        <v>#REF!</v>
      </c>
    </row>
    <row r="13" spans="1:6" x14ac:dyDescent="0.25">
      <c r="A13" s="3836" t="s">
        <v>2226</v>
      </c>
      <c r="B13" s="3836"/>
      <c r="C13" s="3836"/>
      <c r="D13" s="3836"/>
      <c r="E13" s="3836"/>
      <c r="F13" s="3836"/>
    </row>
    <row r="14" spans="1:6" s="23" customFormat="1" ht="14.25" x14ac:dyDescent="0.2">
      <c r="A14" s="1363" t="s">
        <v>2221</v>
      </c>
      <c r="B14" s="1363" t="s">
        <v>998</v>
      </c>
      <c r="C14" s="1363" t="s">
        <v>2216</v>
      </c>
      <c r="D14" s="1363" t="s">
        <v>2217</v>
      </c>
      <c r="E14" s="1363" t="s">
        <v>1950</v>
      </c>
      <c r="F14" s="1363" t="s">
        <v>2218</v>
      </c>
    </row>
    <row r="15" spans="1:6" x14ac:dyDescent="0.25">
      <c r="A15" s="20" t="s">
        <v>880</v>
      </c>
      <c r="B15" s="926" t="e">
        <f>#REF!</f>
        <v>#REF!</v>
      </c>
      <c r="C15" s="926" t="e">
        <f>#REF!</f>
        <v>#REF!</v>
      </c>
      <c r="D15" s="926" t="e">
        <f>IF(D4=0,0,#REF!)</f>
        <v>#REF!</v>
      </c>
      <c r="E15" s="926" t="e">
        <f>#REF!</f>
        <v>#REF!</v>
      </c>
      <c r="F15" s="926" t="e">
        <f>#REF!</f>
        <v>#REF!</v>
      </c>
    </row>
    <row r="16" spans="1:6" x14ac:dyDescent="0.25">
      <c r="A16" s="1364" t="s">
        <v>2224</v>
      </c>
      <c r="B16" s="926" t="e">
        <f>B15/B6</f>
        <v>#REF!</v>
      </c>
      <c r="C16" s="926" t="e">
        <f t="shared" ref="C16:F16" si="1">C15/C6</f>
        <v>#REF!</v>
      </c>
      <c r="D16" s="926" t="e">
        <f>IF(D4=0,0,D15/D6)</f>
        <v>#REF!</v>
      </c>
      <c r="E16" s="926" t="e">
        <f t="shared" si="1"/>
        <v>#REF!</v>
      </c>
      <c r="F16" s="926" t="e">
        <f t="shared" si="1"/>
        <v>#REF!</v>
      </c>
    </row>
    <row r="17" spans="1:6" x14ac:dyDescent="0.25">
      <c r="A17" s="20" t="s">
        <v>954</v>
      </c>
      <c r="B17" s="926" t="e">
        <f>#REF!</f>
        <v>#REF!</v>
      </c>
      <c r="C17" s="926" t="e">
        <f>#REF!</f>
        <v>#REF!</v>
      </c>
      <c r="D17" s="926" t="e">
        <f>IF(D4=0,0,#REF!)</f>
        <v>#REF!</v>
      </c>
      <c r="E17" s="926" t="e">
        <f>#REF!</f>
        <v>#REF!</v>
      </c>
      <c r="F17" s="926" t="e">
        <f>#REF!</f>
        <v>#REF!</v>
      </c>
    </row>
    <row r="18" spans="1:6" x14ac:dyDescent="0.25">
      <c r="A18" s="1364" t="s">
        <v>2224</v>
      </c>
      <c r="B18" s="926" t="e">
        <f>B17/B4</f>
        <v>#REF!</v>
      </c>
      <c r="C18" s="926" t="e">
        <f t="shared" ref="C18:F18" si="2">C17/C4</f>
        <v>#REF!</v>
      </c>
      <c r="D18" s="926" t="e">
        <f>IF(D4=0,0,D17/D4)</f>
        <v>#REF!</v>
      </c>
      <c r="E18" s="926" t="e">
        <f t="shared" si="2"/>
        <v>#REF!</v>
      </c>
      <c r="F18" s="926" t="e">
        <f t="shared" si="2"/>
        <v>#REF!</v>
      </c>
    </row>
    <row r="19" spans="1:6" x14ac:dyDescent="0.25">
      <c r="A19" s="20" t="s">
        <v>2117</v>
      </c>
      <c r="B19" s="926" t="e">
        <f>#REF!</f>
        <v>#REF!</v>
      </c>
      <c r="C19" s="926" t="e">
        <f>#REF!</f>
        <v>#REF!</v>
      </c>
      <c r="D19" s="926" t="e">
        <f>IF(D4=0,0,#REF!)</f>
        <v>#REF!</v>
      </c>
      <c r="E19" s="926" t="e">
        <f>#REF!</f>
        <v>#REF!</v>
      </c>
      <c r="F19" s="926" t="e">
        <f>#REF!</f>
        <v>#REF!</v>
      </c>
    </row>
    <row r="20" spans="1:6" x14ac:dyDescent="0.25">
      <c r="A20" s="1364" t="s">
        <v>2224</v>
      </c>
      <c r="B20" s="926" t="e">
        <f>B19/B3</f>
        <v>#REF!</v>
      </c>
      <c r="C20" s="926" t="e">
        <f t="shared" ref="C20:F20" si="3">C19/C3</f>
        <v>#REF!</v>
      </c>
      <c r="D20" s="926" t="e">
        <f>IF(D4=0,0,D19/D3)</f>
        <v>#REF!</v>
      </c>
      <c r="E20" s="926" t="e">
        <f t="shared" si="3"/>
        <v>#REF!</v>
      </c>
      <c r="F20" s="926" t="e">
        <f t="shared" si="3"/>
        <v>#REF!</v>
      </c>
    </row>
    <row r="21" spans="1:6" s="23" customFormat="1" ht="14.25" x14ac:dyDescent="0.2">
      <c r="A21" s="1366" t="s">
        <v>998</v>
      </c>
      <c r="B21" s="1367" t="e">
        <f>B16+B18+B20</f>
        <v>#REF!</v>
      </c>
      <c r="C21" s="1367" t="e">
        <f t="shared" ref="C21:F21" si="4">C16+C18+C20</f>
        <v>#REF!</v>
      </c>
      <c r="D21" s="1367" t="e">
        <f t="shared" si="4"/>
        <v>#REF!</v>
      </c>
      <c r="E21" s="1367" t="e">
        <f t="shared" si="4"/>
        <v>#REF!</v>
      </c>
      <c r="F21" s="1367" t="e">
        <f t="shared" si="4"/>
        <v>#REF!</v>
      </c>
    </row>
    <row r="23" spans="1:6" s="23" customFormat="1" ht="14.25" x14ac:dyDescent="0.2">
      <c r="A23" s="1363" t="s">
        <v>2222</v>
      </c>
      <c r="B23" s="1363" t="s">
        <v>998</v>
      </c>
      <c r="C23" s="1363" t="s">
        <v>2216</v>
      </c>
      <c r="D23" s="1363" t="s">
        <v>2217</v>
      </c>
      <c r="E23" s="1363" t="s">
        <v>1950</v>
      </c>
      <c r="F23" s="1363" t="s">
        <v>2218</v>
      </c>
    </row>
    <row r="24" spans="1:6" x14ac:dyDescent="0.25">
      <c r="A24" s="20" t="s">
        <v>880</v>
      </c>
      <c r="B24" s="926" t="e">
        <f>#REF!</f>
        <v>#REF!</v>
      </c>
      <c r="C24" s="926" t="e">
        <f>#REF!</f>
        <v>#REF!</v>
      </c>
      <c r="D24" s="926" t="e">
        <f>#REF!</f>
        <v>#REF!</v>
      </c>
      <c r="E24" s="926" t="e">
        <f>#REF!</f>
        <v>#REF!</v>
      </c>
      <c r="F24" s="926" t="e">
        <f>#REF!</f>
        <v>#REF!</v>
      </c>
    </row>
    <row r="25" spans="1:6" x14ac:dyDescent="0.25">
      <c r="A25" s="1364" t="s">
        <v>2224</v>
      </c>
      <c r="B25" s="926" t="e">
        <f>B24/B6</f>
        <v>#REF!</v>
      </c>
      <c r="C25" s="926" t="e">
        <f t="shared" ref="C25:F25" si="5">C24/C6</f>
        <v>#REF!</v>
      </c>
      <c r="D25" s="926" t="e">
        <f t="shared" si="5"/>
        <v>#REF!</v>
      </c>
      <c r="E25" s="926" t="e">
        <f t="shared" si="5"/>
        <v>#REF!</v>
      </c>
      <c r="F25" s="926" t="e">
        <f t="shared" si="5"/>
        <v>#REF!</v>
      </c>
    </row>
    <row r="26" spans="1:6" x14ac:dyDescent="0.25">
      <c r="A26" s="20" t="s">
        <v>954</v>
      </c>
      <c r="B26" s="926" t="e">
        <f>#REF!</f>
        <v>#REF!</v>
      </c>
      <c r="C26" s="926" t="e">
        <f>#REF!</f>
        <v>#REF!</v>
      </c>
      <c r="D26" s="926" t="e">
        <f>#REF!</f>
        <v>#REF!</v>
      </c>
      <c r="E26" s="926" t="e">
        <f>#REF!</f>
        <v>#REF!</v>
      </c>
      <c r="F26" s="926" t="e">
        <f>#REF!</f>
        <v>#REF!</v>
      </c>
    </row>
    <row r="27" spans="1:6" x14ac:dyDescent="0.25">
      <c r="A27" s="1364" t="s">
        <v>2224</v>
      </c>
      <c r="B27" s="926" t="e">
        <f>B26/B5</f>
        <v>#REF!</v>
      </c>
      <c r="C27" s="926" t="e">
        <f t="shared" ref="C27:F27" si="6">C26/C5</f>
        <v>#REF!</v>
      </c>
      <c r="D27" s="926" t="e">
        <f t="shared" si="6"/>
        <v>#REF!</v>
      </c>
      <c r="E27" s="926" t="e">
        <f t="shared" si="6"/>
        <v>#REF!</v>
      </c>
      <c r="F27" s="926" t="e">
        <f t="shared" si="6"/>
        <v>#REF!</v>
      </c>
    </row>
    <row r="28" spans="1:6" x14ac:dyDescent="0.25">
      <c r="A28" s="20" t="s">
        <v>2117</v>
      </c>
      <c r="B28" s="926" t="e">
        <f>#REF!</f>
        <v>#REF!</v>
      </c>
      <c r="C28" s="926" t="e">
        <f>#REF!</f>
        <v>#REF!</v>
      </c>
      <c r="D28" s="926" t="e">
        <f>#REF!</f>
        <v>#REF!</v>
      </c>
      <c r="E28" s="926" t="e">
        <f>#REF!</f>
        <v>#REF!</v>
      </c>
      <c r="F28" s="926" t="e">
        <f>#REF!</f>
        <v>#REF!</v>
      </c>
    </row>
    <row r="29" spans="1:6" x14ac:dyDescent="0.25">
      <c r="A29" s="1364" t="s">
        <v>2224</v>
      </c>
      <c r="B29" s="926" t="e">
        <f>B28/B3</f>
        <v>#REF!</v>
      </c>
      <c r="C29" s="926" t="e">
        <f t="shared" ref="C29:F29" si="7">C28/C3</f>
        <v>#REF!</v>
      </c>
      <c r="D29" s="926" t="e">
        <f t="shared" si="7"/>
        <v>#REF!</v>
      </c>
      <c r="E29" s="926" t="e">
        <f t="shared" si="7"/>
        <v>#REF!</v>
      </c>
      <c r="F29" s="926" t="e">
        <f t="shared" si="7"/>
        <v>#REF!</v>
      </c>
    </row>
    <row r="30" spans="1:6" s="23" customFormat="1" ht="14.25" x14ac:dyDescent="0.2">
      <c r="A30" s="1366" t="s">
        <v>998</v>
      </c>
      <c r="B30" s="1514" t="e">
        <f>B25+B27+B29</f>
        <v>#REF!</v>
      </c>
      <c r="C30" s="1514" t="e">
        <f t="shared" ref="C30:F30" si="8">C25+C27+C29</f>
        <v>#REF!</v>
      </c>
      <c r="D30" s="1514" t="e">
        <f t="shared" si="8"/>
        <v>#REF!</v>
      </c>
      <c r="E30" s="1514" t="e">
        <f t="shared" si="8"/>
        <v>#REF!</v>
      </c>
      <c r="F30" s="1514" t="e">
        <f t="shared" si="8"/>
        <v>#REF!</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77"/>
  <sheetViews>
    <sheetView view="pageBreakPreview" zoomScale="120" zoomScaleNormal="110" zoomScaleSheetLayoutView="120" workbookViewId="0">
      <selection activeCell="C42" sqref="C42"/>
    </sheetView>
  </sheetViews>
  <sheetFormatPr defaultColWidth="9.140625" defaultRowHeight="15" x14ac:dyDescent="0.25"/>
  <cols>
    <col min="1" max="1" width="6" style="145" customWidth="1"/>
    <col min="2" max="2" width="53.85546875" style="136" customWidth="1"/>
    <col min="3" max="3" width="7.5703125" style="136" customWidth="1"/>
    <col min="4" max="4" width="11" style="136" customWidth="1"/>
    <col min="5" max="5" width="10.140625" style="136" customWidth="1"/>
    <col min="6" max="6" width="10.85546875" style="136" customWidth="1"/>
    <col min="7" max="7" width="10" style="136" customWidth="1"/>
    <col min="8" max="9" width="7.7109375" style="136" customWidth="1"/>
    <col min="10" max="10" width="7.85546875" style="136" customWidth="1"/>
    <col min="11" max="11" width="9.140625" style="136" customWidth="1"/>
    <col min="12" max="12" width="8.7109375" style="1099" customWidth="1"/>
    <col min="13" max="13" width="9.28515625" style="1099" bestFit="1" customWidth="1"/>
    <col min="14" max="14" width="13.85546875" style="1099" bestFit="1" customWidth="1"/>
    <col min="15" max="15" width="14.5703125" style="1099" customWidth="1"/>
    <col min="16" max="18" width="9.28515625" style="1099" bestFit="1" customWidth="1"/>
    <col min="19" max="19" width="9.28515625" style="1210" bestFit="1" customWidth="1"/>
    <col min="20" max="22" width="9.28515625" style="1099" bestFit="1" customWidth="1"/>
    <col min="23" max="23" width="9.140625" style="1099"/>
    <col min="24" max="24" width="9.28515625" style="2481" bestFit="1" customWidth="1"/>
    <col min="25" max="25" width="9.42578125" style="2481" bestFit="1" customWidth="1"/>
    <col min="26" max="27" width="9.28515625" style="2481" bestFit="1" customWidth="1"/>
    <col min="28" max="16384" width="9.140625" style="136"/>
  </cols>
  <sheetData>
    <row r="1" spans="1:27" ht="43.9" customHeight="1" x14ac:dyDescent="0.25">
      <c r="A1" s="2825"/>
      <c r="B1" s="2826"/>
      <c r="C1" s="2823"/>
      <c r="D1" s="2824"/>
      <c r="E1" s="2824"/>
      <c r="F1" s="2824"/>
      <c r="G1" s="2824"/>
      <c r="H1" s="3705" t="s">
        <v>3478</v>
      </c>
      <c r="I1" s="3705"/>
      <c r="J1" s="3705"/>
      <c r="K1" s="3705"/>
    </row>
    <row r="2" spans="1:27" ht="2.4500000000000002" customHeight="1" x14ac:dyDescent="0.25">
      <c r="A2" s="2998"/>
      <c r="B2" s="2826"/>
      <c r="C2" s="2999"/>
      <c r="D2" s="3728"/>
      <c r="E2" s="3728"/>
      <c r="F2" s="3728"/>
      <c r="G2" s="3728"/>
      <c r="H2" s="3000"/>
      <c r="I2" s="3001"/>
      <c r="J2" s="3001"/>
      <c r="K2" s="3001"/>
    </row>
    <row r="3" spans="1:27" x14ac:dyDescent="0.25">
      <c r="A3" s="3678" t="s">
        <v>3254</v>
      </c>
      <c r="B3" s="3678"/>
      <c r="C3" s="3678"/>
      <c r="D3" s="3678"/>
      <c r="E3" s="3678"/>
      <c r="F3" s="3678"/>
      <c r="G3" s="3678"/>
      <c r="H3" s="3001"/>
      <c r="I3" s="3001"/>
      <c r="J3" s="3001"/>
      <c r="K3" s="3001"/>
    </row>
    <row r="4" spans="1:27" x14ac:dyDescent="0.25">
      <c r="A4" s="3678" t="s">
        <v>563</v>
      </c>
      <c r="B4" s="3678"/>
      <c r="C4" s="3678"/>
      <c r="D4" s="3678"/>
      <c r="E4" s="3678"/>
      <c r="F4" s="3678"/>
      <c r="G4" s="3678"/>
      <c r="H4" s="3678"/>
      <c r="I4" s="3678"/>
      <c r="J4" s="3678"/>
      <c r="K4" s="3678"/>
    </row>
    <row r="5" spans="1:27" ht="4.9000000000000004" customHeight="1" x14ac:dyDescent="0.25">
      <c r="A5" s="2825"/>
      <c r="B5" s="3723"/>
      <c r="C5" s="3723"/>
      <c r="D5" s="3723"/>
      <c r="E5" s="3723"/>
      <c r="F5" s="3723"/>
      <c r="G5" s="2823"/>
      <c r="H5" s="2793"/>
      <c r="I5" s="2793"/>
      <c r="J5" s="2793"/>
      <c r="K5" s="2793"/>
    </row>
    <row r="6" spans="1:27" x14ac:dyDescent="0.25">
      <c r="A6" s="3727" t="s">
        <v>220</v>
      </c>
      <c r="B6" s="3727"/>
      <c r="C6" s="3727"/>
      <c r="D6" s="3727"/>
      <c r="E6" s="3727"/>
      <c r="F6" s="3727"/>
      <c r="G6" s="3727"/>
      <c r="H6" s="3727"/>
      <c r="I6" s="3727"/>
      <c r="J6" s="3727"/>
      <c r="K6" s="3727"/>
    </row>
    <row r="7" spans="1:27" ht="15" customHeight="1" x14ac:dyDescent="0.25">
      <c r="A7" s="3706" t="s">
        <v>7</v>
      </c>
      <c r="B7" s="3709" t="s">
        <v>8</v>
      </c>
      <c r="C7" s="3712" t="s">
        <v>35</v>
      </c>
      <c r="D7" s="2828" t="s">
        <v>80</v>
      </c>
      <c r="E7" s="2829"/>
      <c r="F7" s="2829"/>
      <c r="G7" s="3717" t="s">
        <v>3109</v>
      </c>
      <c r="H7" s="3724" t="s">
        <v>3110</v>
      </c>
      <c r="I7" s="3725"/>
      <c r="J7" s="3725"/>
      <c r="K7" s="3726"/>
      <c r="N7" s="1099" t="s">
        <v>3113</v>
      </c>
      <c r="S7" s="1210" t="s">
        <v>3112</v>
      </c>
    </row>
    <row r="8" spans="1:27" ht="36" customHeight="1" x14ac:dyDescent="0.25">
      <c r="A8" s="3707"/>
      <c r="B8" s="3710"/>
      <c r="C8" s="3713"/>
      <c r="D8" s="2241" t="s">
        <v>250</v>
      </c>
      <c r="E8" s="2241" t="s">
        <v>222</v>
      </c>
      <c r="F8" s="2241" t="s">
        <v>223</v>
      </c>
      <c r="G8" s="3717"/>
      <c r="H8" s="2241" t="s">
        <v>3</v>
      </c>
      <c r="I8" s="2241" t="s">
        <v>173</v>
      </c>
      <c r="J8" s="2241" t="s">
        <v>98</v>
      </c>
      <c r="K8" s="2241" t="s">
        <v>99</v>
      </c>
      <c r="N8" s="125" t="s">
        <v>3</v>
      </c>
      <c r="O8" s="125" t="s">
        <v>173</v>
      </c>
      <c r="P8" s="125" t="s">
        <v>98</v>
      </c>
      <c r="Q8" s="125" t="s">
        <v>99</v>
      </c>
      <c r="S8" s="139" t="s">
        <v>3</v>
      </c>
      <c r="T8" s="125" t="s">
        <v>173</v>
      </c>
      <c r="U8" s="125" t="s">
        <v>98</v>
      </c>
      <c r="V8" s="125" t="s">
        <v>99</v>
      </c>
    </row>
    <row r="9" spans="1:27" ht="30.6" customHeight="1" x14ac:dyDescent="0.25">
      <c r="A9" s="3708"/>
      <c r="B9" s="3711"/>
      <c r="C9" s="3714"/>
      <c r="D9" s="2241">
        <f>'Вхідні дані'!$F$8</f>
        <v>2020</v>
      </c>
      <c r="E9" s="2241">
        <f>'Вхідні дані'!$F$7</f>
        <v>2021</v>
      </c>
      <c r="F9" s="3573" t="str">
        <f>'Вхідні дані'!$F$9</f>
        <v xml:space="preserve">Рішення виконавчого комітету Чорноморської міської ради Одеського району Одеської області № 381 від 27.12.2018 </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row>
    <row r="10" spans="1:27" ht="12" customHeight="1" x14ac:dyDescent="0.25">
      <c r="A10" s="2830">
        <v>1</v>
      </c>
      <c r="B10" s="2934">
        <v>2</v>
      </c>
      <c r="C10" s="2241">
        <v>3</v>
      </c>
      <c r="D10" s="2241">
        <v>4</v>
      </c>
      <c r="E10" s="2241">
        <v>5</v>
      </c>
      <c r="F10" s="2241">
        <v>6</v>
      </c>
      <c r="G10" s="2241">
        <v>7</v>
      </c>
      <c r="H10" s="2241">
        <v>8</v>
      </c>
      <c r="I10" s="2241">
        <v>9</v>
      </c>
      <c r="J10" s="2241">
        <v>10</v>
      </c>
      <c r="K10" s="2241">
        <v>11</v>
      </c>
    </row>
    <row r="11" spans="1:27" s="138" customFormat="1" ht="12" customHeight="1" x14ac:dyDescent="0.25">
      <c r="A11" s="2831">
        <v>1</v>
      </c>
      <c r="B11" s="2832" t="s">
        <v>224</v>
      </c>
      <c r="C11" s="2833" t="s">
        <v>40</v>
      </c>
      <c r="D11" s="2816">
        <f>D12+D18+D19+D23</f>
        <v>9617.0300000000007</v>
      </c>
      <c r="E11" s="2816">
        <f>E12+E18+E19+E23</f>
        <v>10289.790000000001</v>
      </c>
      <c r="F11" s="2816">
        <f>F12+F18+F19+F23</f>
        <v>6445.3</v>
      </c>
      <c r="G11" s="2816">
        <f>G12+G18+G19+G23</f>
        <v>15374.01</v>
      </c>
      <c r="H11" s="2816">
        <f t="shared" ref="H11:J11" si="0">H12+H18+H19+H23</f>
        <v>0</v>
      </c>
      <c r="I11" s="2816">
        <f t="shared" si="0"/>
        <v>0</v>
      </c>
      <c r="J11" s="2816">
        <f t="shared" si="0"/>
        <v>0</v>
      </c>
      <c r="K11" s="2816">
        <f>K12+K18+K19+K23</f>
        <v>15374.01</v>
      </c>
      <c r="L11" s="1100"/>
      <c r="M11" s="1100"/>
      <c r="N11" s="1103">
        <v>0</v>
      </c>
      <c r="O11" s="1103">
        <v>0</v>
      </c>
      <c r="P11" s="1103">
        <v>0</v>
      </c>
      <c r="Q11" s="1103">
        <f>K11/K$56*1000</f>
        <v>1861.11</v>
      </c>
      <c r="R11" s="2579">
        <f>K11/$R$46</f>
        <v>1861.11383486772</v>
      </c>
      <c r="S11" s="1104">
        <v>0</v>
      </c>
      <c r="T11" s="1104">
        <v>0</v>
      </c>
      <c r="U11" s="1104" t="e">
        <f>#REF!/#REF!</f>
        <v>#REF!</v>
      </c>
      <c r="V11" s="1104" t="e">
        <f>#REF!/#REF!</f>
        <v>#REF!</v>
      </c>
      <c r="W11" s="1100"/>
      <c r="X11" s="2482">
        <f>N11-S11</f>
        <v>0</v>
      </c>
      <c r="Y11" s="2482">
        <f t="shared" ref="Y11:AA26" si="1">O11-T11</f>
        <v>0</v>
      </c>
      <c r="Z11" s="2482" t="e">
        <f t="shared" si="1"/>
        <v>#REF!</v>
      </c>
      <c r="AA11" s="2482" t="e">
        <f t="shared" si="1"/>
        <v>#REF!</v>
      </c>
    </row>
    <row r="12" spans="1:27" ht="12" customHeight="1" x14ac:dyDescent="0.25">
      <c r="A12" s="2835" t="s">
        <v>23</v>
      </c>
      <c r="B12" s="2832" t="s">
        <v>225</v>
      </c>
      <c r="C12" s="2850" t="s">
        <v>40</v>
      </c>
      <c r="D12" s="2817">
        <f>D13+D14+D15+D16</f>
        <v>1739.05</v>
      </c>
      <c r="E12" s="2817">
        <f>E13+E14+E15+E16</f>
        <v>1926.47</v>
      </c>
      <c r="F12" s="2817">
        <f>F13+F14+F15+F16</f>
        <v>1953.5</v>
      </c>
      <c r="G12" s="2817">
        <f>G13+G14+G15+G16</f>
        <v>9472.25</v>
      </c>
      <c r="H12" s="2817">
        <f t="shared" ref="H12:K12" si="2">H13+H14+H15+H16</f>
        <v>0</v>
      </c>
      <c r="I12" s="2817">
        <f t="shared" si="2"/>
        <v>0</v>
      </c>
      <c r="J12" s="2817">
        <f>J13+J14+J15+J16</f>
        <v>0</v>
      </c>
      <c r="K12" s="2817">
        <f t="shared" si="2"/>
        <v>9472.25</v>
      </c>
      <c r="N12" s="1103">
        <v>0</v>
      </c>
      <c r="O12" s="1103">
        <v>0</v>
      </c>
      <c r="P12" s="1103">
        <v>0</v>
      </c>
      <c r="Q12" s="1103">
        <f t="shared" ref="Q12:Q44" si="3">K12/K$56*1000</f>
        <v>1146.67</v>
      </c>
      <c r="R12" s="2579">
        <f t="shared" ref="R12:R45" si="4">K12/$R$46</f>
        <v>1146.6712667889301</v>
      </c>
      <c r="S12" s="1104">
        <v>0</v>
      </c>
      <c r="T12" s="1104">
        <v>0</v>
      </c>
      <c r="U12" s="1104" t="e">
        <f>#REF!/#REF!</f>
        <v>#REF!</v>
      </c>
      <c r="V12" s="1104" t="e">
        <f>#REF!/#REF!</f>
        <v>#REF!</v>
      </c>
      <c r="X12" s="2482">
        <f t="shared" ref="X12:AA45" si="5">N12-S12</f>
        <v>0</v>
      </c>
      <c r="Y12" s="2482">
        <f t="shared" si="1"/>
        <v>0</v>
      </c>
      <c r="Z12" s="2482" t="e">
        <f t="shared" si="1"/>
        <v>#REF!</v>
      </c>
      <c r="AA12" s="2482" t="e">
        <f t="shared" si="1"/>
        <v>#REF!</v>
      </c>
    </row>
    <row r="13" spans="1:27" ht="12" customHeight="1" x14ac:dyDescent="0.25">
      <c r="A13" s="2835" t="s">
        <v>41</v>
      </c>
      <c r="B13" s="2832" t="s">
        <v>43</v>
      </c>
      <c r="C13" s="2850" t="s">
        <v>40</v>
      </c>
      <c r="D13" s="2817">
        <f>Виробництво_Транспортування_1ст!C105</f>
        <v>1426.04</v>
      </c>
      <c r="E13" s="2817">
        <f>Виробництво_Транспортування_1ст!D105</f>
        <v>1582.48</v>
      </c>
      <c r="F13" s="2817">
        <v>1638.2</v>
      </c>
      <c r="G13" s="2817">
        <f>Виробництво_Транспортування_1ст!L105</f>
        <v>1676.1</v>
      </c>
      <c r="H13" s="2816">
        <f t="shared" ref="H13:K27" si="6">$G13/$G$56*H$56</f>
        <v>0</v>
      </c>
      <c r="I13" s="2816">
        <f t="shared" si="6"/>
        <v>0</v>
      </c>
      <c r="J13" s="2816">
        <f>$G13/$G$56*J$56</f>
        <v>0</v>
      </c>
      <c r="K13" s="2816">
        <f t="shared" si="6"/>
        <v>1676.1</v>
      </c>
      <c r="L13" s="1099">
        <f>G13/G56*1000</f>
        <v>202.90170870330999</v>
      </c>
      <c r="M13" s="1099">
        <f>'Д 3_Т на Т з ЦТП'!G13/'Д 3_Т на Т з ЦТП'!G56*1000</f>
        <v>241.96441233638899</v>
      </c>
      <c r="N13" s="1103">
        <v>0</v>
      </c>
      <c r="O13" s="1103">
        <v>0</v>
      </c>
      <c r="P13" s="1103">
        <v>0</v>
      </c>
      <c r="Q13" s="1103">
        <f t="shared" si="3"/>
        <v>202.9</v>
      </c>
      <c r="R13" s="2579">
        <f t="shared" si="4"/>
        <v>202.90170870330999</v>
      </c>
      <c r="S13" s="1104">
        <v>0</v>
      </c>
      <c r="T13" s="1104">
        <v>0</v>
      </c>
      <c r="U13" s="1104" t="e">
        <f>#REF!/#REF!</f>
        <v>#REF!</v>
      </c>
      <c r="V13" s="1104" t="e">
        <f>#REF!/#REF!</f>
        <v>#REF!</v>
      </c>
      <c r="X13" s="2482">
        <f t="shared" si="5"/>
        <v>0</v>
      </c>
      <c r="Y13" s="2482">
        <f t="shared" si="1"/>
        <v>0</v>
      </c>
      <c r="Z13" s="2482" t="e">
        <f t="shared" si="1"/>
        <v>#REF!</v>
      </c>
      <c r="AA13" s="2482" t="e">
        <f t="shared" si="1"/>
        <v>#REF!</v>
      </c>
    </row>
    <row r="14" spans="1:27" ht="12.6" customHeight="1" x14ac:dyDescent="0.25">
      <c r="A14" s="2835" t="s">
        <v>42</v>
      </c>
      <c r="B14" s="2832" t="s">
        <v>3475</v>
      </c>
      <c r="C14" s="2850" t="s">
        <v>40</v>
      </c>
      <c r="D14" s="2817">
        <v>0</v>
      </c>
      <c r="E14" s="2817">
        <v>0</v>
      </c>
      <c r="F14" s="2818">
        <v>0</v>
      </c>
      <c r="G14" s="2817">
        <v>0</v>
      </c>
      <c r="H14" s="2816">
        <f t="shared" si="6"/>
        <v>0</v>
      </c>
      <c r="I14" s="2816">
        <f t="shared" si="6"/>
        <v>0</v>
      </c>
      <c r="J14" s="2816">
        <f t="shared" si="6"/>
        <v>0</v>
      </c>
      <c r="K14" s="2816">
        <f t="shared" si="6"/>
        <v>0</v>
      </c>
      <c r="L14" s="1101"/>
      <c r="M14" s="1101"/>
      <c r="N14" s="1103">
        <v>0</v>
      </c>
      <c r="O14" s="1103">
        <v>0</v>
      </c>
      <c r="P14" s="1103">
        <v>0</v>
      </c>
      <c r="Q14" s="1103">
        <f t="shared" si="3"/>
        <v>0</v>
      </c>
      <c r="R14" s="2579">
        <f t="shared" si="4"/>
        <v>0</v>
      </c>
      <c r="S14" s="1104">
        <v>0</v>
      </c>
      <c r="T14" s="1104">
        <v>0</v>
      </c>
      <c r="U14" s="1104" t="e">
        <f>#REF!/#REF!</f>
        <v>#REF!</v>
      </c>
      <c r="V14" s="1104" t="e">
        <f>#REF!/#REF!</f>
        <v>#REF!</v>
      </c>
      <c r="X14" s="2482">
        <f t="shared" si="5"/>
        <v>0</v>
      </c>
      <c r="Y14" s="2482">
        <f t="shared" si="1"/>
        <v>0</v>
      </c>
      <c r="Z14" s="2482" t="e">
        <f t="shared" si="1"/>
        <v>#REF!</v>
      </c>
      <c r="AA14" s="2482" t="e">
        <f t="shared" si="1"/>
        <v>#REF!</v>
      </c>
    </row>
    <row r="15" spans="1:27" ht="12" customHeight="1" x14ac:dyDescent="0.25">
      <c r="A15" s="2835" t="s">
        <v>44</v>
      </c>
      <c r="B15" s="2832" t="s">
        <v>597</v>
      </c>
      <c r="C15" s="2850" t="s">
        <v>40</v>
      </c>
      <c r="D15" s="2817">
        <f>Виробництво_Транспортування_1ст!C106</f>
        <v>177.76</v>
      </c>
      <c r="E15" s="2817">
        <f>Виробництво_Транспортування_1ст!D106</f>
        <v>210.97</v>
      </c>
      <c r="F15" s="2817">
        <v>118</v>
      </c>
      <c r="G15" s="2817">
        <f>Виробництво_Транспортування_1ст!L106</f>
        <v>413.86</v>
      </c>
      <c r="H15" s="2816">
        <f t="shared" si="6"/>
        <v>0</v>
      </c>
      <c r="I15" s="2816">
        <f t="shared" si="6"/>
        <v>0</v>
      </c>
      <c r="J15" s="2816">
        <f t="shared" si="6"/>
        <v>0</v>
      </c>
      <c r="K15" s="2816">
        <f t="shared" si="6"/>
        <v>413.86</v>
      </c>
      <c r="L15" s="1101"/>
      <c r="N15" s="1103">
        <v>0</v>
      </c>
      <c r="O15" s="1103">
        <v>0</v>
      </c>
      <c r="P15" s="1103">
        <v>0</v>
      </c>
      <c r="Q15" s="1103">
        <f t="shared" si="3"/>
        <v>50.1</v>
      </c>
      <c r="R15" s="2579">
        <f t="shared" si="4"/>
        <v>50.100173715143498</v>
      </c>
      <c r="S15" s="1104">
        <v>0</v>
      </c>
      <c r="T15" s="1104">
        <v>0</v>
      </c>
      <c r="U15" s="1104" t="e">
        <f>#REF!/#REF!</f>
        <v>#REF!</v>
      </c>
      <c r="V15" s="1104" t="e">
        <f>#REF!/#REF!</f>
        <v>#REF!</v>
      </c>
      <c r="X15" s="2482">
        <f t="shared" si="5"/>
        <v>0</v>
      </c>
      <c r="Y15" s="2482">
        <f t="shared" si="1"/>
        <v>0</v>
      </c>
      <c r="Z15" s="2482" t="e">
        <f t="shared" si="1"/>
        <v>#REF!</v>
      </c>
      <c r="AA15" s="2482" t="e">
        <f t="shared" si="1"/>
        <v>#REF!</v>
      </c>
    </row>
    <row r="16" spans="1:27" ht="12" customHeight="1" x14ac:dyDescent="0.25">
      <c r="A16" s="2835" t="s">
        <v>45</v>
      </c>
      <c r="B16" s="2832" t="s">
        <v>598</v>
      </c>
      <c r="C16" s="2850" t="s">
        <v>40</v>
      </c>
      <c r="D16" s="2817">
        <f>Виробництво_Транспортування_1ст!C104-Виробництво_Транспортування_1ст!C105-Виробництво_Транспортування_1ст!C106</f>
        <v>135.25</v>
      </c>
      <c r="E16" s="2817">
        <f>Виробництво_Транспортування_1ст!D104-Виробництво_Транспортування_1ст!D105-Виробництво_Транспортування_1ст!D106</f>
        <v>133.02000000000001</v>
      </c>
      <c r="F16" s="2817">
        <v>197.3</v>
      </c>
      <c r="G16" s="2817">
        <f>Виробництво_Транспортування_1ст!L104-Виробництво_Транспортування_1ст!L105-Виробництво_Транспортування_1ст!L106</f>
        <v>7382.29</v>
      </c>
      <c r="H16" s="2816">
        <f>($G16-$G17)/$G$56*H$56+H17</f>
        <v>0</v>
      </c>
      <c r="I16" s="2816">
        <f t="shared" ref="I16:K16" si="7">($G16-$G17)/$G$56*I$56+I17</f>
        <v>0</v>
      </c>
      <c r="J16" s="2816">
        <f>($G16-$G17)/$G$56*J$56+J17</f>
        <v>0</v>
      </c>
      <c r="K16" s="2816">
        <f t="shared" si="7"/>
        <v>7382.29</v>
      </c>
      <c r="L16" s="1101"/>
      <c r="N16" s="1103">
        <v>0</v>
      </c>
      <c r="O16" s="1103">
        <v>0</v>
      </c>
      <c r="P16" s="1103">
        <v>0</v>
      </c>
      <c r="Q16" s="1103">
        <f t="shared" si="3"/>
        <v>893.67</v>
      </c>
      <c r="R16" s="2579">
        <f t="shared" si="4"/>
        <v>893.66938437047895</v>
      </c>
      <c r="S16" s="1104">
        <v>0</v>
      </c>
      <c r="T16" s="1104">
        <v>0</v>
      </c>
      <c r="U16" s="1104" t="e">
        <f>#REF!/#REF!</f>
        <v>#REF!</v>
      </c>
      <c r="V16" s="1104" t="e">
        <f>#REF!/#REF!</f>
        <v>#REF!</v>
      </c>
      <c r="X16" s="2482">
        <f t="shared" si="5"/>
        <v>0</v>
      </c>
      <c r="Y16" s="2482">
        <f t="shared" si="1"/>
        <v>0</v>
      </c>
      <c r="Z16" s="2482" t="e">
        <f t="shared" si="1"/>
        <v>#REF!</v>
      </c>
      <c r="AA16" s="2482" t="e">
        <f t="shared" si="1"/>
        <v>#REF!</v>
      </c>
    </row>
    <row r="17" spans="1:27" ht="13.9" customHeight="1" x14ac:dyDescent="0.25">
      <c r="A17" s="2835" t="s">
        <v>1938</v>
      </c>
      <c r="B17" s="2832" t="s">
        <v>2764</v>
      </c>
      <c r="C17" s="2850" t="s">
        <v>40</v>
      </c>
      <c r="D17" s="2817">
        <v>0</v>
      </c>
      <c r="E17" s="2817">
        <v>0</v>
      </c>
      <c r="F17" s="2818">
        <v>0</v>
      </c>
      <c r="G17" s="2817">
        <f>Виробництво_Транспортування_1ст!L117</f>
        <v>7257.47</v>
      </c>
      <c r="H17" s="2816">
        <f>'Покриття втрат в мережах'!D13</f>
        <v>0</v>
      </c>
      <c r="I17" s="2816">
        <f>'Покриття втрат в мережах'!E13</f>
        <v>0</v>
      </c>
      <c r="J17" s="2816">
        <v>0</v>
      </c>
      <c r="K17" s="2816">
        <f>'Покриття втрат в мережах'!G13</f>
        <v>7257.47</v>
      </c>
      <c r="L17" s="2415">
        <f>G17+'Д 3_Т на Т з ЦТП'!G17</f>
        <v>8663.69</v>
      </c>
      <c r="N17" s="1103">
        <v>0</v>
      </c>
      <c r="O17" s="1103">
        <v>0</v>
      </c>
      <c r="P17" s="1103">
        <v>0</v>
      </c>
      <c r="Q17" s="1103">
        <f t="shared" si="3"/>
        <v>878.56</v>
      </c>
      <c r="R17" s="2579">
        <f t="shared" si="4"/>
        <v>878.55919328382197</v>
      </c>
      <c r="S17" s="1104">
        <v>0</v>
      </c>
      <c r="T17" s="1104">
        <v>0</v>
      </c>
      <c r="U17" s="1104" t="e">
        <f>#REF!/#REF!</f>
        <v>#REF!</v>
      </c>
      <c r="V17" s="1104" t="e">
        <f>#REF!/#REF!</f>
        <v>#REF!</v>
      </c>
      <c r="X17" s="2482">
        <f t="shared" si="5"/>
        <v>0</v>
      </c>
      <c r="Y17" s="2482">
        <f t="shared" si="1"/>
        <v>0</v>
      </c>
      <c r="Z17" s="2482" t="e">
        <f t="shared" si="1"/>
        <v>#REF!</v>
      </c>
      <c r="AA17" s="2482" t="e">
        <f t="shared" si="1"/>
        <v>#REF!</v>
      </c>
    </row>
    <row r="18" spans="1:27" ht="12" customHeight="1" x14ac:dyDescent="0.25">
      <c r="A18" s="2836" t="s">
        <v>24</v>
      </c>
      <c r="B18" s="2837" t="s">
        <v>47</v>
      </c>
      <c r="C18" s="2935" t="s">
        <v>40</v>
      </c>
      <c r="D18" s="2838">
        <f>Виробництво_Транспортування_1ст!C118</f>
        <v>2897.51</v>
      </c>
      <c r="E18" s="2838">
        <f>Виробництво_Транспортування_1ст!D118</f>
        <v>2957.1</v>
      </c>
      <c r="F18" s="2838">
        <v>2376.1999999999998</v>
      </c>
      <c r="G18" s="2838">
        <f>Виробництво_Транспортування_1ст!L118</f>
        <v>2429.21</v>
      </c>
      <c r="H18" s="2816">
        <f t="shared" si="6"/>
        <v>0</v>
      </c>
      <c r="I18" s="2816">
        <f t="shared" si="6"/>
        <v>0</v>
      </c>
      <c r="J18" s="2816">
        <f t="shared" si="6"/>
        <v>0</v>
      </c>
      <c r="K18" s="2816">
        <f t="shared" si="6"/>
        <v>2429.21</v>
      </c>
      <c r="N18" s="1103">
        <v>0</v>
      </c>
      <c r="O18" s="1103">
        <v>0</v>
      </c>
      <c r="P18" s="1103">
        <v>0</v>
      </c>
      <c r="Q18" s="1103">
        <f t="shared" si="3"/>
        <v>294.07</v>
      </c>
      <c r="R18" s="2579">
        <f t="shared" si="4"/>
        <v>294.070079231053</v>
      </c>
      <c r="S18" s="1104">
        <v>0</v>
      </c>
      <c r="T18" s="1104">
        <v>0</v>
      </c>
      <c r="U18" s="1104" t="e">
        <f>#REF!/#REF!</f>
        <v>#REF!</v>
      </c>
      <c r="V18" s="1104" t="e">
        <f>#REF!/#REF!</f>
        <v>#REF!</v>
      </c>
      <c r="X18" s="2482">
        <f t="shared" si="5"/>
        <v>0</v>
      </c>
      <c r="Y18" s="2482">
        <f t="shared" si="1"/>
        <v>0</v>
      </c>
      <c r="Z18" s="2482" t="e">
        <f t="shared" si="1"/>
        <v>#REF!</v>
      </c>
      <c r="AA18" s="2482" t="e">
        <f t="shared" si="1"/>
        <v>#REF!</v>
      </c>
    </row>
    <row r="19" spans="1:27" ht="12" customHeight="1" x14ac:dyDescent="0.25">
      <c r="A19" s="2835" t="s">
        <v>48</v>
      </c>
      <c r="B19" s="2832" t="s">
        <v>226</v>
      </c>
      <c r="C19" s="2850" t="s">
        <v>40</v>
      </c>
      <c r="D19" s="2817">
        <f>D20+D21+D22</f>
        <v>2845.15</v>
      </c>
      <c r="E19" s="2817">
        <f>E20+E21+E22</f>
        <v>3396.39</v>
      </c>
      <c r="F19" s="2817">
        <f>F20+F21+F22</f>
        <v>928.4</v>
      </c>
      <c r="G19" s="2817">
        <f>G20+G21+G22</f>
        <v>3081.18</v>
      </c>
      <c r="H19" s="2816">
        <f t="shared" si="6"/>
        <v>0</v>
      </c>
      <c r="I19" s="2816">
        <f t="shared" si="6"/>
        <v>0</v>
      </c>
      <c r="J19" s="2816">
        <f t="shared" si="6"/>
        <v>0</v>
      </c>
      <c r="K19" s="2816">
        <f t="shared" si="6"/>
        <v>3081.18</v>
      </c>
      <c r="N19" s="1103">
        <v>0</v>
      </c>
      <c r="O19" s="1103">
        <v>0</v>
      </c>
      <c r="P19" s="1103">
        <v>0</v>
      </c>
      <c r="Q19" s="1103">
        <f t="shared" si="3"/>
        <v>372.99</v>
      </c>
      <c r="R19" s="2579">
        <f t="shared" si="4"/>
        <v>372.99486117920497</v>
      </c>
      <c r="S19" s="1104">
        <v>0</v>
      </c>
      <c r="T19" s="1104">
        <v>0</v>
      </c>
      <c r="U19" s="1104" t="e">
        <f>#REF!/#REF!</f>
        <v>#REF!</v>
      </c>
      <c r="V19" s="1104" t="e">
        <f>#REF!/#REF!</f>
        <v>#REF!</v>
      </c>
      <c r="X19" s="2482">
        <f t="shared" si="5"/>
        <v>0</v>
      </c>
      <c r="Y19" s="2482">
        <f t="shared" si="1"/>
        <v>0</v>
      </c>
      <c r="Z19" s="2482" t="e">
        <f t="shared" si="1"/>
        <v>#REF!</v>
      </c>
      <c r="AA19" s="2482" t="e">
        <f t="shared" si="1"/>
        <v>#REF!</v>
      </c>
    </row>
    <row r="20" spans="1:27" ht="24" customHeight="1" x14ac:dyDescent="0.25">
      <c r="A20" s="2835" t="s">
        <v>49</v>
      </c>
      <c r="B20" s="2832" t="s">
        <v>451</v>
      </c>
      <c r="C20" s="2850" t="s">
        <v>40</v>
      </c>
      <c r="D20" s="2838">
        <f>Виробництво_Транспортування_1ст!C121</f>
        <v>610.1</v>
      </c>
      <c r="E20" s="2838">
        <f>Виробництво_Транспортування_1ст!D121</f>
        <v>641.79</v>
      </c>
      <c r="F20" s="2838">
        <v>522.70000000000005</v>
      </c>
      <c r="G20" s="2838">
        <f>Виробництво_Транспортування_1ст!L121</f>
        <v>534.42999999999995</v>
      </c>
      <c r="H20" s="2816">
        <f t="shared" si="6"/>
        <v>0</v>
      </c>
      <c r="I20" s="2816">
        <f t="shared" si="6"/>
        <v>0</v>
      </c>
      <c r="J20" s="2816">
        <f>$G20/$G$56*J$56</f>
        <v>0</v>
      </c>
      <c r="K20" s="2816">
        <f t="shared" si="6"/>
        <v>534.42999999999995</v>
      </c>
      <c r="L20" s="1102"/>
      <c r="N20" s="1103">
        <v>0</v>
      </c>
      <c r="O20" s="1103">
        <v>0</v>
      </c>
      <c r="P20" s="1103">
        <v>0</v>
      </c>
      <c r="Q20" s="1103">
        <f t="shared" si="3"/>
        <v>64.7</v>
      </c>
      <c r="R20" s="2579">
        <f t="shared" si="4"/>
        <v>64.695877443058393</v>
      </c>
      <c r="S20" s="1104">
        <v>0</v>
      </c>
      <c r="T20" s="1104">
        <v>0</v>
      </c>
      <c r="U20" s="1104" t="e">
        <f>#REF!/#REF!</f>
        <v>#REF!</v>
      </c>
      <c r="V20" s="1104" t="e">
        <f>#REF!/#REF!</f>
        <v>#REF!</v>
      </c>
      <c r="X20" s="2482">
        <f t="shared" si="5"/>
        <v>0</v>
      </c>
      <c r="Y20" s="2482">
        <f t="shared" si="1"/>
        <v>0</v>
      </c>
      <c r="Z20" s="2482" t="e">
        <f t="shared" si="1"/>
        <v>#REF!</v>
      </c>
      <c r="AA20" s="2482" t="e">
        <f t="shared" si="1"/>
        <v>#REF!</v>
      </c>
    </row>
    <row r="21" spans="1:27" ht="12" customHeight="1" x14ac:dyDescent="0.25">
      <c r="A21" s="2835" t="s">
        <v>50</v>
      </c>
      <c r="B21" s="2832" t="s">
        <v>459</v>
      </c>
      <c r="C21" s="2850" t="s">
        <v>40</v>
      </c>
      <c r="D21" s="2838">
        <f>Виробництво_Транспортування_1ст!C122+Виробництво_Транспортування_1ст!C123</f>
        <v>286.93</v>
      </c>
      <c r="E21" s="2838">
        <f>Виробництво_Транспортування_1ст!D122+Виробництво_Транспортування_1ст!D123</f>
        <v>286.93</v>
      </c>
      <c r="F21" s="2838">
        <v>405.7</v>
      </c>
      <c r="G21" s="2838">
        <f>Виробництво_Транспортування_1ст!L122+Виробництво_Транспортування_1ст!L123</f>
        <v>195.32</v>
      </c>
      <c r="H21" s="2816">
        <f t="shared" si="6"/>
        <v>0</v>
      </c>
      <c r="I21" s="2816">
        <f t="shared" si="6"/>
        <v>0</v>
      </c>
      <c r="J21" s="2816">
        <f t="shared" si="6"/>
        <v>0</v>
      </c>
      <c r="K21" s="2816">
        <f t="shared" si="6"/>
        <v>195.32</v>
      </c>
      <c r="L21" s="1102"/>
      <c r="N21" s="1103">
        <v>0</v>
      </c>
      <c r="O21" s="1103">
        <v>0</v>
      </c>
      <c r="P21" s="1103">
        <v>0</v>
      </c>
      <c r="Q21" s="1103">
        <f t="shared" si="3"/>
        <v>23.64</v>
      </c>
      <c r="R21" s="2579">
        <f t="shared" si="4"/>
        <v>23.644628449335102</v>
      </c>
      <c r="S21" s="1104">
        <v>0</v>
      </c>
      <c r="T21" s="1104">
        <v>0</v>
      </c>
      <c r="U21" s="1104" t="e">
        <f>#REF!/#REF!</f>
        <v>#REF!</v>
      </c>
      <c r="V21" s="1104" t="e">
        <f>#REF!/#REF!</f>
        <v>#REF!</v>
      </c>
      <c r="X21" s="2482">
        <f t="shared" si="5"/>
        <v>0</v>
      </c>
      <c r="Y21" s="2482">
        <f t="shared" si="1"/>
        <v>0</v>
      </c>
      <c r="Z21" s="2482" t="e">
        <f t="shared" si="1"/>
        <v>#REF!</v>
      </c>
      <c r="AA21" s="2482" t="e">
        <f t="shared" si="1"/>
        <v>#REF!</v>
      </c>
    </row>
    <row r="22" spans="1:27" ht="12" customHeight="1" x14ac:dyDescent="0.25">
      <c r="A22" s="2835" t="s">
        <v>51</v>
      </c>
      <c r="B22" s="2839" t="s">
        <v>82</v>
      </c>
      <c r="C22" s="2850" t="s">
        <v>40</v>
      </c>
      <c r="D22" s="2817">
        <f>Виробництво_Транспортування_1ст!C120-Виробництво_Транспортування_1ст!C121-Виробництво_Транспортування_1ст!C122-Виробництво_Транспортування_1ст!C123</f>
        <v>1948.12</v>
      </c>
      <c r="E22" s="2817">
        <f>Виробництво_Транспортування_1ст!D120-Виробництво_Транспортування_1ст!D121-Виробництво_Транспортування_1ст!D122-Виробництво_Транспортування_1ст!D123</f>
        <v>2467.67</v>
      </c>
      <c r="F22" s="2817">
        <v>0</v>
      </c>
      <c r="G22" s="2817">
        <f>Виробництво_Транспортування_1ст!L120-Виробництво_Транспортування_1ст!L121-Виробництво_Транспортування_1ст!L122-Виробництво_Транспортування_1ст!L123</f>
        <v>2351.4299999999998</v>
      </c>
      <c r="H22" s="2816">
        <f t="shared" si="6"/>
        <v>0</v>
      </c>
      <c r="I22" s="2816">
        <f t="shared" si="6"/>
        <v>0</v>
      </c>
      <c r="J22" s="2816">
        <f t="shared" si="6"/>
        <v>0</v>
      </c>
      <c r="K22" s="2816">
        <f t="shared" si="6"/>
        <v>2351.4299999999998</v>
      </c>
      <c r="L22" s="1102"/>
      <c r="M22" s="1102"/>
      <c r="N22" s="1103">
        <v>0</v>
      </c>
      <c r="O22" s="1103">
        <v>0</v>
      </c>
      <c r="P22" s="1103">
        <v>0</v>
      </c>
      <c r="Q22" s="1103">
        <f t="shared" si="3"/>
        <v>284.64999999999998</v>
      </c>
      <c r="R22" s="2579">
        <f t="shared" si="4"/>
        <v>284.65435528681201</v>
      </c>
      <c r="S22" s="1104">
        <v>0</v>
      </c>
      <c r="T22" s="1104">
        <v>0</v>
      </c>
      <c r="U22" s="1104" t="e">
        <f>#REF!/#REF!</f>
        <v>#REF!</v>
      </c>
      <c r="V22" s="1104" t="e">
        <f>#REF!/#REF!</f>
        <v>#REF!</v>
      </c>
      <c r="X22" s="2482">
        <f t="shared" si="5"/>
        <v>0</v>
      </c>
      <c r="Y22" s="2482">
        <f t="shared" si="1"/>
        <v>0</v>
      </c>
      <c r="Z22" s="2482" t="e">
        <f t="shared" si="1"/>
        <v>#REF!</v>
      </c>
      <c r="AA22" s="2482" t="e">
        <f t="shared" si="1"/>
        <v>#REF!</v>
      </c>
    </row>
    <row r="23" spans="1:27" ht="12" customHeight="1" x14ac:dyDescent="0.25">
      <c r="A23" s="2835" t="s">
        <v>53</v>
      </c>
      <c r="B23" s="2832" t="s">
        <v>227</v>
      </c>
      <c r="C23" s="2850" t="s">
        <v>40</v>
      </c>
      <c r="D23" s="2817">
        <f>D24+D25+D26</f>
        <v>2135.3200000000002</v>
      </c>
      <c r="E23" s="2817">
        <f t="shared" ref="E23:F23" si="8">E24+E25+E26</f>
        <v>2009.83</v>
      </c>
      <c r="F23" s="2817">
        <f t="shared" si="8"/>
        <v>1187.2</v>
      </c>
      <c r="G23" s="2817">
        <f>ЗВВ_1ст!J8</f>
        <v>391.37</v>
      </c>
      <c r="H23" s="2816">
        <f t="shared" si="6"/>
        <v>0</v>
      </c>
      <c r="I23" s="2816">
        <f t="shared" si="6"/>
        <v>0</v>
      </c>
      <c r="J23" s="2816">
        <f t="shared" si="6"/>
        <v>0</v>
      </c>
      <c r="K23" s="2816">
        <f t="shared" si="6"/>
        <v>391.37</v>
      </c>
      <c r="N23" s="1103">
        <v>0</v>
      </c>
      <c r="O23" s="1103">
        <v>0</v>
      </c>
      <c r="P23" s="1103">
        <v>0</v>
      </c>
      <c r="Q23" s="1103">
        <f t="shared" si="3"/>
        <v>47.38</v>
      </c>
      <c r="R23" s="2579">
        <f t="shared" si="4"/>
        <v>47.377627668524902</v>
      </c>
      <c r="S23" s="1104">
        <v>0</v>
      </c>
      <c r="T23" s="1104">
        <v>0</v>
      </c>
      <c r="U23" s="1104" t="e">
        <f>#REF!/#REF!</f>
        <v>#REF!</v>
      </c>
      <c r="V23" s="1104" t="e">
        <f>#REF!/#REF!</f>
        <v>#REF!</v>
      </c>
      <c r="X23" s="2482">
        <f t="shared" si="5"/>
        <v>0</v>
      </c>
      <c r="Y23" s="2482">
        <f t="shared" si="1"/>
        <v>0</v>
      </c>
      <c r="Z23" s="2482" t="e">
        <f t="shared" si="1"/>
        <v>#REF!</v>
      </c>
      <c r="AA23" s="2482" t="e">
        <f t="shared" si="1"/>
        <v>#REF!</v>
      </c>
    </row>
    <row r="24" spans="1:27" ht="12" customHeight="1" x14ac:dyDescent="0.25">
      <c r="A24" s="2835" t="s">
        <v>54</v>
      </c>
      <c r="B24" s="2832" t="s">
        <v>55</v>
      </c>
      <c r="C24" s="2850" t="s">
        <v>40</v>
      </c>
      <c r="D24" s="2817">
        <v>1535.43</v>
      </c>
      <c r="E24" s="2817">
        <v>1367.86</v>
      </c>
      <c r="F24" s="2818">
        <v>723.4</v>
      </c>
      <c r="G24" s="2817">
        <f>ЗВВ_1ст!J21</f>
        <v>260.67</v>
      </c>
      <c r="H24" s="2816">
        <f t="shared" si="6"/>
        <v>0</v>
      </c>
      <c r="I24" s="2816">
        <f t="shared" si="6"/>
        <v>0</v>
      </c>
      <c r="J24" s="2816">
        <f t="shared" si="6"/>
        <v>0</v>
      </c>
      <c r="K24" s="2816">
        <f t="shared" si="6"/>
        <v>260.67</v>
      </c>
      <c r="N24" s="1103">
        <v>0</v>
      </c>
      <c r="O24" s="1103">
        <v>0</v>
      </c>
      <c r="P24" s="1103">
        <v>0</v>
      </c>
      <c r="Q24" s="1103">
        <f t="shared" si="3"/>
        <v>31.56</v>
      </c>
      <c r="R24" s="2579">
        <f t="shared" si="4"/>
        <v>31.555628189065001</v>
      </c>
      <c r="S24" s="1104">
        <v>0</v>
      </c>
      <c r="T24" s="1104">
        <v>0</v>
      </c>
      <c r="U24" s="1104" t="e">
        <f>#REF!/#REF!</f>
        <v>#REF!</v>
      </c>
      <c r="V24" s="1104" t="e">
        <f>#REF!/#REF!</f>
        <v>#REF!</v>
      </c>
      <c r="X24" s="2482">
        <f t="shared" si="5"/>
        <v>0</v>
      </c>
      <c r="Y24" s="2482">
        <f t="shared" si="1"/>
        <v>0</v>
      </c>
      <c r="Z24" s="2482" t="e">
        <f t="shared" si="1"/>
        <v>#REF!</v>
      </c>
      <c r="AA24" s="2482" t="e">
        <f t="shared" si="1"/>
        <v>#REF!</v>
      </c>
    </row>
    <row r="25" spans="1:27" ht="23.45" customHeight="1" x14ac:dyDescent="0.25">
      <c r="A25" s="2835" t="s">
        <v>56</v>
      </c>
      <c r="B25" s="2832" t="s">
        <v>451</v>
      </c>
      <c r="C25" s="2850" t="s">
        <v>40</v>
      </c>
      <c r="D25" s="2817">
        <v>319.23</v>
      </c>
      <c r="E25" s="2817">
        <v>292.10000000000002</v>
      </c>
      <c r="F25" s="2818">
        <v>144</v>
      </c>
      <c r="G25" s="2817">
        <f>ЗВВ_1ст!J23</f>
        <v>57.35</v>
      </c>
      <c r="H25" s="2816">
        <f t="shared" si="6"/>
        <v>0</v>
      </c>
      <c r="I25" s="2816">
        <f t="shared" si="6"/>
        <v>0</v>
      </c>
      <c r="J25" s="2816">
        <f t="shared" si="6"/>
        <v>0</v>
      </c>
      <c r="K25" s="2816">
        <f t="shared" si="6"/>
        <v>57.35</v>
      </c>
      <c r="L25" s="1102"/>
      <c r="N25" s="1103">
        <v>0</v>
      </c>
      <c r="O25" s="1103">
        <v>0</v>
      </c>
      <c r="P25" s="1103">
        <v>0</v>
      </c>
      <c r="Q25" s="1103">
        <f t="shared" si="3"/>
        <v>6.94</v>
      </c>
      <c r="R25" s="2579">
        <f t="shared" si="4"/>
        <v>6.9425529468020102</v>
      </c>
      <c r="S25" s="1104">
        <v>0</v>
      </c>
      <c r="T25" s="1104">
        <v>0</v>
      </c>
      <c r="U25" s="1104" t="e">
        <f>#REF!/#REF!</f>
        <v>#REF!</v>
      </c>
      <c r="V25" s="1104" t="e">
        <f>#REF!/#REF!</f>
        <v>#REF!</v>
      </c>
      <c r="X25" s="2482">
        <f t="shared" si="5"/>
        <v>0</v>
      </c>
      <c r="Y25" s="2482">
        <f t="shared" si="1"/>
        <v>0</v>
      </c>
      <c r="Z25" s="2482" t="e">
        <f t="shared" si="1"/>
        <v>#REF!</v>
      </c>
      <c r="AA25" s="2482" t="e">
        <f t="shared" si="1"/>
        <v>#REF!</v>
      </c>
    </row>
    <row r="26" spans="1:27" ht="12" customHeight="1" x14ac:dyDescent="0.25">
      <c r="A26" s="2835" t="s">
        <v>57</v>
      </c>
      <c r="B26" s="2832" t="s">
        <v>58</v>
      </c>
      <c r="C26" s="2850" t="s">
        <v>40</v>
      </c>
      <c r="D26" s="2817">
        <v>280.66000000000003</v>
      </c>
      <c r="E26" s="2817">
        <v>349.87</v>
      </c>
      <c r="F26" s="2818">
        <v>319.8</v>
      </c>
      <c r="G26" s="2817">
        <f>G23-G24-G25</f>
        <v>73.349999999999994</v>
      </c>
      <c r="H26" s="2816">
        <f t="shared" si="6"/>
        <v>0</v>
      </c>
      <c r="I26" s="2816">
        <f t="shared" si="6"/>
        <v>0</v>
      </c>
      <c r="J26" s="2816">
        <f t="shared" si="6"/>
        <v>0</v>
      </c>
      <c r="K26" s="2816">
        <f t="shared" si="6"/>
        <v>73.349999999999994</v>
      </c>
      <c r="N26" s="1103">
        <v>0</v>
      </c>
      <c r="O26" s="1103">
        <v>0</v>
      </c>
      <c r="P26" s="1103">
        <v>0</v>
      </c>
      <c r="Q26" s="1103">
        <f t="shared" si="3"/>
        <v>8.8800000000000008</v>
      </c>
      <c r="R26" s="2579">
        <f t="shared" si="4"/>
        <v>8.8794465326578393</v>
      </c>
      <c r="S26" s="1104">
        <v>0</v>
      </c>
      <c r="T26" s="1104">
        <v>0</v>
      </c>
      <c r="U26" s="1104" t="e">
        <f>#REF!/#REF!</f>
        <v>#REF!</v>
      </c>
      <c r="V26" s="1104" t="e">
        <f>#REF!/#REF!</f>
        <v>#REF!</v>
      </c>
      <c r="X26" s="2482">
        <f t="shared" si="5"/>
        <v>0</v>
      </c>
      <c r="Y26" s="2482">
        <f t="shared" si="1"/>
        <v>0</v>
      </c>
      <c r="Z26" s="2482" t="e">
        <f t="shared" si="1"/>
        <v>#REF!</v>
      </c>
      <c r="AA26" s="2482" t="e">
        <f t="shared" si="1"/>
        <v>#REF!</v>
      </c>
    </row>
    <row r="27" spans="1:27" s="138" customFormat="1" ht="12" customHeight="1" x14ac:dyDescent="0.25">
      <c r="A27" s="2840">
        <v>2</v>
      </c>
      <c r="B27" s="2841" t="s">
        <v>228</v>
      </c>
      <c r="C27" s="2842" t="s">
        <v>40</v>
      </c>
      <c r="D27" s="2816">
        <f>D28+D29+D30</f>
        <v>486.78</v>
      </c>
      <c r="E27" s="2816">
        <f>E28+E29+E30</f>
        <v>499.75</v>
      </c>
      <c r="F27" s="2816">
        <f>F28+F29+F30</f>
        <v>320.8</v>
      </c>
      <c r="G27" s="2816">
        <f>Адміністративні_1ст!J8</f>
        <v>156.06</v>
      </c>
      <c r="H27" s="2816">
        <f>$G27/$G$56*H$56</f>
        <v>0</v>
      </c>
      <c r="I27" s="2816">
        <f t="shared" si="6"/>
        <v>0</v>
      </c>
      <c r="J27" s="2816">
        <f t="shared" si="6"/>
        <v>0</v>
      </c>
      <c r="K27" s="2816">
        <f t="shared" si="6"/>
        <v>156.06</v>
      </c>
      <c r="L27" s="1100"/>
      <c r="M27" s="1100"/>
      <c r="N27" s="1103">
        <v>0</v>
      </c>
      <c r="O27" s="1103">
        <v>0</v>
      </c>
      <c r="P27" s="1103">
        <v>0</v>
      </c>
      <c r="Q27" s="1103">
        <f t="shared" si="3"/>
        <v>18.89</v>
      </c>
      <c r="R27" s="2579">
        <f t="shared" si="4"/>
        <v>18.891975813041299</v>
      </c>
      <c r="S27" s="1104">
        <v>0</v>
      </c>
      <c r="T27" s="1104">
        <v>0</v>
      </c>
      <c r="U27" s="1104" t="e">
        <f>#REF!/#REF!</f>
        <v>#REF!</v>
      </c>
      <c r="V27" s="1104" t="e">
        <f>#REF!/#REF!</f>
        <v>#REF!</v>
      </c>
      <c r="W27" s="1100"/>
      <c r="X27" s="2482">
        <f t="shared" si="5"/>
        <v>0</v>
      </c>
      <c r="Y27" s="2482">
        <f t="shared" si="5"/>
        <v>0</v>
      </c>
      <c r="Z27" s="2482" t="e">
        <f t="shared" si="5"/>
        <v>#REF!</v>
      </c>
      <c r="AA27" s="2482" t="e">
        <f t="shared" si="5"/>
        <v>#REF!</v>
      </c>
    </row>
    <row r="28" spans="1:27" ht="12" customHeight="1" x14ac:dyDescent="0.25">
      <c r="A28" s="2843" t="s">
        <v>25</v>
      </c>
      <c r="B28" s="2844" t="s">
        <v>55</v>
      </c>
      <c r="C28" s="2241" t="s">
        <v>40</v>
      </c>
      <c r="D28" s="2817">
        <v>313.79000000000002</v>
      </c>
      <c r="E28" s="2817">
        <v>301.79000000000002</v>
      </c>
      <c r="F28" s="2818">
        <v>239</v>
      </c>
      <c r="G28" s="2817">
        <f>Адміністративні_1ст!J21</f>
        <v>97.18</v>
      </c>
      <c r="H28" s="2817">
        <f t="shared" ref="H28:K36" si="9">$G28/$G$56*H$56</f>
        <v>0</v>
      </c>
      <c r="I28" s="2817">
        <f t="shared" si="9"/>
        <v>0</v>
      </c>
      <c r="J28" s="2817">
        <f t="shared" si="9"/>
        <v>0</v>
      </c>
      <c r="K28" s="2817">
        <f t="shared" si="9"/>
        <v>97.18</v>
      </c>
      <c r="L28" s="1100"/>
      <c r="M28" s="1100"/>
      <c r="N28" s="1103">
        <v>0</v>
      </c>
      <c r="O28" s="1103">
        <v>0</v>
      </c>
      <c r="P28" s="1103">
        <v>0</v>
      </c>
      <c r="Q28" s="1103">
        <f t="shared" si="3"/>
        <v>11.76</v>
      </c>
      <c r="R28" s="2579">
        <f t="shared" si="4"/>
        <v>11.7642074170919</v>
      </c>
      <c r="S28" s="1104">
        <v>0</v>
      </c>
      <c r="T28" s="1104">
        <v>0</v>
      </c>
      <c r="U28" s="1104" t="e">
        <f>#REF!/#REF!</f>
        <v>#REF!</v>
      </c>
      <c r="V28" s="1104" t="e">
        <f>#REF!/#REF!</f>
        <v>#REF!</v>
      </c>
      <c r="W28" s="1120"/>
      <c r="X28" s="2482">
        <f t="shared" si="5"/>
        <v>0</v>
      </c>
      <c r="Y28" s="2482">
        <f t="shared" si="5"/>
        <v>0</v>
      </c>
      <c r="Z28" s="2482" t="e">
        <f t="shared" si="5"/>
        <v>#REF!</v>
      </c>
      <c r="AA28" s="2482" t="e">
        <f t="shared" si="5"/>
        <v>#REF!</v>
      </c>
    </row>
    <row r="29" spans="1:27" ht="21.75" customHeight="1" x14ac:dyDescent="0.25">
      <c r="A29" s="2843" t="s">
        <v>26</v>
      </c>
      <c r="B29" s="2844" t="s">
        <v>451</v>
      </c>
      <c r="C29" s="2241" t="s">
        <v>40</v>
      </c>
      <c r="D29" s="2817">
        <v>67.849999999999994</v>
      </c>
      <c r="E29" s="2817">
        <v>67.489999999999995</v>
      </c>
      <c r="F29" s="2818">
        <v>57.4</v>
      </c>
      <c r="G29" s="2817">
        <f>Адміністративні_1ст!J23</f>
        <v>21.38</v>
      </c>
      <c r="H29" s="2817">
        <f t="shared" si="9"/>
        <v>0</v>
      </c>
      <c r="I29" s="2817">
        <f t="shared" si="9"/>
        <v>0</v>
      </c>
      <c r="J29" s="2817">
        <f>$G29/$G$56*J$56</f>
        <v>0</v>
      </c>
      <c r="K29" s="2817">
        <f t="shared" si="9"/>
        <v>21.38</v>
      </c>
      <c r="L29" s="1102"/>
      <c r="M29" s="1100"/>
      <c r="N29" s="1103">
        <v>0</v>
      </c>
      <c r="O29" s="1103">
        <v>0</v>
      </c>
      <c r="P29" s="1103">
        <v>0</v>
      </c>
      <c r="Q29" s="1103">
        <f t="shared" si="3"/>
        <v>2.59</v>
      </c>
      <c r="R29" s="2579">
        <f t="shared" si="4"/>
        <v>2.5881740540998601</v>
      </c>
      <c r="S29" s="1104">
        <v>0</v>
      </c>
      <c r="T29" s="1104">
        <v>0</v>
      </c>
      <c r="U29" s="1104" t="e">
        <f>#REF!/#REF!</f>
        <v>#REF!</v>
      </c>
      <c r="V29" s="1104" t="e">
        <f>#REF!/#REF!</f>
        <v>#REF!</v>
      </c>
      <c r="W29" s="1120"/>
      <c r="X29" s="2482">
        <f t="shared" si="5"/>
        <v>0</v>
      </c>
      <c r="Y29" s="2482">
        <f t="shared" si="5"/>
        <v>0</v>
      </c>
      <c r="Z29" s="2482" t="e">
        <f t="shared" si="5"/>
        <v>#REF!</v>
      </c>
      <c r="AA29" s="2482" t="e">
        <f t="shared" si="5"/>
        <v>#REF!</v>
      </c>
    </row>
    <row r="30" spans="1:27" ht="12" customHeight="1" x14ac:dyDescent="0.25">
      <c r="A30" s="2843" t="s">
        <v>59</v>
      </c>
      <c r="B30" s="2845" t="s">
        <v>58</v>
      </c>
      <c r="C30" s="2241" t="s">
        <v>40</v>
      </c>
      <c r="D30" s="2817">
        <v>105.14</v>
      </c>
      <c r="E30" s="2817">
        <v>130.47</v>
      </c>
      <c r="F30" s="2818">
        <v>24.4</v>
      </c>
      <c r="G30" s="2817">
        <f>G27-G28-G29</f>
        <v>37.5</v>
      </c>
      <c r="H30" s="2816">
        <f t="shared" si="9"/>
        <v>0</v>
      </c>
      <c r="I30" s="2816">
        <f t="shared" si="9"/>
        <v>0</v>
      </c>
      <c r="J30" s="2816">
        <f t="shared" si="9"/>
        <v>0</v>
      </c>
      <c r="K30" s="2816">
        <f t="shared" si="9"/>
        <v>37.5</v>
      </c>
      <c r="L30" s="1100"/>
      <c r="M30" s="1100"/>
      <c r="N30" s="1103">
        <v>0</v>
      </c>
      <c r="O30" s="1103">
        <v>0</v>
      </c>
      <c r="P30" s="1103">
        <v>0</v>
      </c>
      <c r="Q30" s="1103">
        <f t="shared" si="3"/>
        <v>4.54</v>
      </c>
      <c r="R30" s="2579">
        <f t="shared" si="4"/>
        <v>4.5395943418496101</v>
      </c>
      <c r="S30" s="1104">
        <v>0</v>
      </c>
      <c r="T30" s="1104">
        <v>0</v>
      </c>
      <c r="U30" s="1104" t="e">
        <f>#REF!/#REF!</f>
        <v>#REF!</v>
      </c>
      <c r="V30" s="1104" t="e">
        <f>#REF!/#REF!</f>
        <v>#REF!</v>
      </c>
      <c r="X30" s="2482">
        <f t="shared" si="5"/>
        <v>0</v>
      </c>
      <c r="Y30" s="2482">
        <f t="shared" si="5"/>
        <v>0</v>
      </c>
      <c r="Z30" s="2482" t="e">
        <f t="shared" si="5"/>
        <v>#REF!</v>
      </c>
      <c r="AA30" s="2482" t="e">
        <f t="shared" si="5"/>
        <v>#REF!</v>
      </c>
    </row>
    <row r="31" spans="1:27" s="138" customFormat="1" ht="12" customHeight="1" x14ac:dyDescent="0.25">
      <c r="A31" s="2831" t="s">
        <v>180</v>
      </c>
      <c r="B31" s="2846" t="s">
        <v>229</v>
      </c>
      <c r="C31" s="2842" t="s">
        <v>40</v>
      </c>
      <c r="D31" s="2816">
        <f>D32+D33+D34</f>
        <v>0</v>
      </c>
      <c r="E31" s="2816">
        <f>E32+E33+E34</f>
        <v>0</v>
      </c>
      <c r="F31" s="2816">
        <f>F32+F33+F34</f>
        <v>0</v>
      </c>
      <c r="G31" s="2816">
        <f>G32+G33+G34</f>
        <v>0</v>
      </c>
      <c r="H31" s="2816">
        <f t="shared" si="9"/>
        <v>0</v>
      </c>
      <c r="I31" s="2816">
        <f t="shared" si="9"/>
        <v>0</v>
      </c>
      <c r="J31" s="2816">
        <f t="shared" si="9"/>
        <v>0</v>
      </c>
      <c r="K31" s="2816">
        <f t="shared" si="9"/>
        <v>0</v>
      </c>
      <c r="L31" s="1100"/>
      <c r="M31" s="1100"/>
      <c r="N31" s="1103">
        <v>0</v>
      </c>
      <c r="O31" s="1103">
        <v>0</v>
      </c>
      <c r="P31" s="1103">
        <v>0</v>
      </c>
      <c r="Q31" s="1103">
        <f t="shared" si="3"/>
        <v>0</v>
      </c>
      <c r="R31" s="2579">
        <f t="shared" si="4"/>
        <v>0</v>
      </c>
      <c r="S31" s="1104">
        <v>0</v>
      </c>
      <c r="T31" s="1104">
        <v>0</v>
      </c>
      <c r="U31" s="1104" t="e">
        <f>#REF!/#REF!</f>
        <v>#REF!</v>
      </c>
      <c r="V31" s="1104" t="e">
        <f>#REF!/#REF!</f>
        <v>#REF!</v>
      </c>
      <c r="W31" s="1100"/>
      <c r="X31" s="2482">
        <f t="shared" si="5"/>
        <v>0</v>
      </c>
      <c r="Y31" s="2482">
        <f t="shared" si="5"/>
        <v>0</v>
      </c>
      <c r="Z31" s="2482" t="e">
        <f t="shared" si="5"/>
        <v>#REF!</v>
      </c>
      <c r="AA31" s="2482" t="e">
        <f t="shared" si="5"/>
        <v>#REF!</v>
      </c>
    </row>
    <row r="32" spans="1:27" ht="12" customHeight="1" x14ac:dyDescent="0.25">
      <c r="A32" s="2835" t="s">
        <v>60</v>
      </c>
      <c r="B32" s="2832" t="s">
        <v>55</v>
      </c>
      <c r="C32" s="2241" t="s">
        <v>40</v>
      </c>
      <c r="D32" s="2817">
        <v>0</v>
      </c>
      <c r="E32" s="2817">
        <v>0</v>
      </c>
      <c r="F32" s="2817">
        <v>0</v>
      </c>
      <c r="G32" s="2817">
        <v>0</v>
      </c>
      <c r="H32" s="2816">
        <f t="shared" si="9"/>
        <v>0</v>
      </c>
      <c r="I32" s="2816">
        <f t="shared" si="9"/>
        <v>0</v>
      </c>
      <c r="J32" s="2816">
        <f t="shared" si="9"/>
        <v>0</v>
      </c>
      <c r="K32" s="2816">
        <f t="shared" si="9"/>
        <v>0</v>
      </c>
      <c r="L32" s="1100"/>
      <c r="M32" s="1100"/>
      <c r="N32" s="1103">
        <v>0</v>
      </c>
      <c r="O32" s="1103">
        <v>0</v>
      </c>
      <c r="P32" s="1103">
        <v>0</v>
      </c>
      <c r="Q32" s="1103">
        <f t="shared" si="3"/>
        <v>0</v>
      </c>
      <c r="R32" s="2579">
        <f t="shared" si="4"/>
        <v>0</v>
      </c>
      <c r="S32" s="1104">
        <v>0</v>
      </c>
      <c r="T32" s="1104">
        <v>0</v>
      </c>
      <c r="U32" s="1104" t="e">
        <f>#REF!/#REF!</f>
        <v>#REF!</v>
      </c>
      <c r="V32" s="1104" t="e">
        <f>#REF!/#REF!</f>
        <v>#REF!</v>
      </c>
      <c r="X32" s="2482">
        <f t="shared" si="5"/>
        <v>0</v>
      </c>
      <c r="Y32" s="2482">
        <f t="shared" si="5"/>
        <v>0</v>
      </c>
      <c r="Z32" s="2482" t="e">
        <f t="shared" si="5"/>
        <v>#REF!</v>
      </c>
      <c r="AA32" s="2482" t="e">
        <f t="shared" si="5"/>
        <v>#REF!</v>
      </c>
    </row>
    <row r="33" spans="1:27" ht="23.25" customHeight="1" x14ac:dyDescent="0.25">
      <c r="A33" s="2835" t="s">
        <v>61</v>
      </c>
      <c r="B33" s="2844" t="s">
        <v>451</v>
      </c>
      <c r="C33" s="2241" t="s">
        <v>40</v>
      </c>
      <c r="D33" s="2817">
        <v>0</v>
      </c>
      <c r="E33" s="2817">
        <v>0</v>
      </c>
      <c r="F33" s="2817">
        <v>0</v>
      </c>
      <c r="G33" s="2817">
        <v>0</v>
      </c>
      <c r="H33" s="2816">
        <f t="shared" si="9"/>
        <v>0</v>
      </c>
      <c r="I33" s="2816">
        <f t="shared" si="9"/>
        <v>0</v>
      </c>
      <c r="J33" s="2816">
        <f t="shared" si="9"/>
        <v>0</v>
      </c>
      <c r="K33" s="2816">
        <f t="shared" si="9"/>
        <v>0</v>
      </c>
      <c r="L33" s="1102"/>
      <c r="M33" s="1100"/>
      <c r="N33" s="1103">
        <v>0</v>
      </c>
      <c r="O33" s="1103">
        <v>0</v>
      </c>
      <c r="P33" s="1103">
        <v>0</v>
      </c>
      <c r="Q33" s="1103">
        <f t="shared" si="3"/>
        <v>0</v>
      </c>
      <c r="R33" s="2579">
        <f t="shared" si="4"/>
        <v>0</v>
      </c>
      <c r="S33" s="1104">
        <v>0</v>
      </c>
      <c r="T33" s="1104">
        <v>0</v>
      </c>
      <c r="U33" s="1104" t="e">
        <f>#REF!/#REF!</f>
        <v>#REF!</v>
      </c>
      <c r="V33" s="1104" t="e">
        <f>#REF!/#REF!</f>
        <v>#REF!</v>
      </c>
      <c r="X33" s="2482">
        <f t="shared" si="5"/>
        <v>0</v>
      </c>
      <c r="Y33" s="2482">
        <f t="shared" si="5"/>
        <v>0</v>
      </c>
      <c r="Z33" s="2482" t="e">
        <f t="shared" si="5"/>
        <v>#REF!</v>
      </c>
      <c r="AA33" s="2482" t="e">
        <f t="shared" si="5"/>
        <v>#REF!</v>
      </c>
    </row>
    <row r="34" spans="1:27" ht="12" customHeight="1" x14ac:dyDescent="0.25">
      <c r="A34" s="2843" t="s">
        <v>62</v>
      </c>
      <c r="B34" s="2734" t="s">
        <v>242</v>
      </c>
      <c r="C34" s="2241" t="s">
        <v>40</v>
      </c>
      <c r="D34" s="2817">
        <v>0</v>
      </c>
      <c r="E34" s="2817">
        <v>0</v>
      </c>
      <c r="F34" s="2817">
        <v>0</v>
      </c>
      <c r="G34" s="2817">
        <v>0</v>
      </c>
      <c r="H34" s="2816">
        <f t="shared" si="9"/>
        <v>0</v>
      </c>
      <c r="I34" s="2816">
        <f t="shared" si="9"/>
        <v>0</v>
      </c>
      <c r="J34" s="2816">
        <f t="shared" si="9"/>
        <v>0</v>
      </c>
      <c r="K34" s="2816">
        <f t="shared" si="9"/>
        <v>0</v>
      </c>
      <c r="L34" s="1100"/>
      <c r="M34" s="1100"/>
      <c r="N34" s="1103">
        <v>0</v>
      </c>
      <c r="O34" s="1103">
        <v>0</v>
      </c>
      <c r="P34" s="1103">
        <v>0</v>
      </c>
      <c r="Q34" s="1103">
        <f t="shared" si="3"/>
        <v>0</v>
      </c>
      <c r="R34" s="2579">
        <f t="shared" si="4"/>
        <v>0</v>
      </c>
      <c r="S34" s="1104">
        <v>0</v>
      </c>
      <c r="T34" s="1104">
        <v>0</v>
      </c>
      <c r="U34" s="1104" t="e">
        <f>#REF!/#REF!</f>
        <v>#REF!</v>
      </c>
      <c r="V34" s="1104" t="e">
        <f>#REF!/#REF!</f>
        <v>#REF!</v>
      </c>
      <c r="X34" s="2482">
        <f t="shared" si="5"/>
        <v>0</v>
      </c>
      <c r="Y34" s="2482">
        <f t="shared" si="5"/>
        <v>0</v>
      </c>
      <c r="Z34" s="2482" t="e">
        <f t="shared" si="5"/>
        <v>#REF!</v>
      </c>
      <c r="AA34" s="2482" t="e">
        <f t="shared" si="5"/>
        <v>#REF!</v>
      </c>
    </row>
    <row r="35" spans="1:27" s="138" customFormat="1" ht="12" customHeight="1" x14ac:dyDescent="0.25">
      <c r="A35" s="2840" t="s">
        <v>181</v>
      </c>
      <c r="B35" s="2847" t="s">
        <v>83</v>
      </c>
      <c r="C35" s="2842" t="s">
        <v>40</v>
      </c>
      <c r="D35" s="2817">
        <v>0</v>
      </c>
      <c r="E35" s="2817">
        <v>0</v>
      </c>
      <c r="F35" s="2817">
        <v>0</v>
      </c>
      <c r="G35" s="2817">
        <v>0</v>
      </c>
      <c r="H35" s="2816">
        <f t="shared" si="9"/>
        <v>0</v>
      </c>
      <c r="I35" s="2816">
        <f t="shared" si="9"/>
        <v>0</v>
      </c>
      <c r="J35" s="2816">
        <f t="shared" si="9"/>
        <v>0</v>
      </c>
      <c r="K35" s="2816">
        <f t="shared" si="9"/>
        <v>0</v>
      </c>
      <c r="L35" s="1100"/>
      <c r="M35" s="1100"/>
      <c r="N35" s="1103">
        <v>0</v>
      </c>
      <c r="O35" s="1103">
        <v>0</v>
      </c>
      <c r="P35" s="1103">
        <v>0</v>
      </c>
      <c r="Q35" s="1103">
        <f t="shared" si="3"/>
        <v>0</v>
      </c>
      <c r="R35" s="2579">
        <f t="shared" si="4"/>
        <v>0</v>
      </c>
      <c r="S35" s="1104">
        <v>0</v>
      </c>
      <c r="T35" s="1104">
        <v>0</v>
      </c>
      <c r="U35" s="1104" t="e">
        <f>#REF!/#REF!</f>
        <v>#REF!</v>
      </c>
      <c r="V35" s="1104" t="e">
        <f>#REF!/#REF!</f>
        <v>#REF!</v>
      </c>
      <c r="W35" s="1100"/>
      <c r="X35" s="2482">
        <f t="shared" si="5"/>
        <v>0</v>
      </c>
      <c r="Y35" s="2482">
        <f t="shared" si="5"/>
        <v>0</v>
      </c>
      <c r="Z35" s="2482" t="e">
        <f t="shared" si="5"/>
        <v>#REF!</v>
      </c>
      <c r="AA35" s="2482" t="e">
        <f t="shared" si="5"/>
        <v>#REF!</v>
      </c>
    </row>
    <row r="36" spans="1:27" s="138" customFormat="1" ht="12" customHeight="1" x14ac:dyDescent="0.25">
      <c r="A36" s="2840" t="s">
        <v>176</v>
      </c>
      <c r="B36" s="2847" t="s">
        <v>5</v>
      </c>
      <c r="C36" s="2842" t="s">
        <v>40</v>
      </c>
      <c r="D36" s="2819">
        <v>0</v>
      </c>
      <c r="E36" s="2819">
        <v>0</v>
      </c>
      <c r="F36" s="2819">
        <v>0</v>
      </c>
      <c r="G36" s="2816">
        <v>0</v>
      </c>
      <c r="H36" s="2816">
        <f t="shared" si="9"/>
        <v>0</v>
      </c>
      <c r="I36" s="2816">
        <f t="shared" si="9"/>
        <v>0</v>
      </c>
      <c r="J36" s="2816">
        <f t="shared" si="9"/>
        <v>0</v>
      </c>
      <c r="K36" s="2816">
        <f t="shared" si="9"/>
        <v>0</v>
      </c>
      <c r="L36" s="1100">
        <f>G37/G53*1000</f>
        <v>1490.61292421808</v>
      </c>
      <c r="M36" s="1100"/>
      <c r="N36" s="1103">
        <v>0</v>
      </c>
      <c r="O36" s="1103">
        <v>0</v>
      </c>
      <c r="P36" s="1103">
        <v>0</v>
      </c>
      <c r="Q36" s="1103">
        <f t="shared" si="3"/>
        <v>0</v>
      </c>
      <c r="R36" s="2579">
        <f t="shared" si="4"/>
        <v>0</v>
      </c>
      <c r="S36" s="1104">
        <v>0</v>
      </c>
      <c r="T36" s="1104">
        <v>0</v>
      </c>
      <c r="U36" s="1104" t="e">
        <f>#REF!/#REF!</f>
        <v>#REF!</v>
      </c>
      <c r="V36" s="1104" t="e">
        <f>#REF!/#REF!</f>
        <v>#REF!</v>
      </c>
      <c r="W36" s="1100"/>
      <c r="X36" s="2482">
        <f t="shared" si="5"/>
        <v>0</v>
      </c>
      <c r="Y36" s="2482">
        <f t="shared" si="5"/>
        <v>0</v>
      </c>
      <c r="Z36" s="2482" t="e">
        <f t="shared" si="5"/>
        <v>#REF!</v>
      </c>
      <c r="AA36" s="2482" t="e">
        <f t="shared" si="5"/>
        <v>#REF!</v>
      </c>
    </row>
    <row r="37" spans="1:27" s="138" customFormat="1" ht="12" customHeight="1" x14ac:dyDescent="0.25">
      <c r="A37" s="2840" t="s">
        <v>177</v>
      </c>
      <c r="B37" s="2847" t="s">
        <v>63</v>
      </c>
      <c r="C37" s="2842" t="s">
        <v>40</v>
      </c>
      <c r="D37" s="2816">
        <f>D36+D35+D31+D27+D11</f>
        <v>10103.81</v>
      </c>
      <c r="E37" s="2816">
        <f>E36+E35+E31+E27+E11</f>
        <v>10789.54</v>
      </c>
      <c r="F37" s="2816">
        <f>F36+F35+F31+F27+F11</f>
        <v>6766.1</v>
      </c>
      <c r="G37" s="2816">
        <f>G36+G35+G31+G27+G11</f>
        <v>15530.07</v>
      </c>
      <c r="H37" s="2816">
        <f t="shared" ref="H37:J37" si="10">H36+H35+H31+H27+H11</f>
        <v>0</v>
      </c>
      <c r="I37" s="2834">
        <f t="shared" si="10"/>
        <v>0</v>
      </c>
      <c r="J37" s="2816">
        <f t="shared" si="10"/>
        <v>0</v>
      </c>
      <c r="K37" s="2816">
        <f>K36+K35+K31+K27+K11</f>
        <v>15530.07</v>
      </c>
      <c r="L37" s="1103">
        <f>Виробництво_Транспортування_1ст!L103+ЗВВ_1ст!J8+Адміністративні_1ст!J8</f>
        <v>15530.07</v>
      </c>
      <c r="M37" s="1104">
        <f>G37-L37</f>
        <v>0</v>
      </c>
      <c r="N37" s="1103">
        <f>P11+P27</f>
        <v>0</v>
      </c>
      <c r="O37" s="1103">
        <f>Q11+Q27</f>
        <v>1880</v>
      </c>
      <c r="P37" s="1103">
        <v>0</v>
      </c>
      <c r="Q37" s="1103">
        <f t="shared" si="3"/>
        <v>1880.01</v>
      </c>
      <c r="R37" s="2579">
        <f t="shared" si="4"/>
        <v>1880.0058106807601</v>
      </c>
      <c r="S37" s="1104">
        <v>0</v>
      </c>
      <c r="T37" s="1104">
        <v>0</v>
      </c>
      <c r="U37" s="1104" t="e">
        <f>#REF!/#REF!</f>
        <v>#REF!</v>
      </c>
      <c r="V37" s="1104" t="e">
        <f>#REF!/#REF!</f>
        <v>#REF!</v>
      </c>
      <c r="W37" s="1100"/>
      <c r="X37" s="2482">
        <f t="shared" si="5"/>
        <v>0</v>
      </c>
      <c r="Y37" s="2482">
        <f t="shared" si="5"/>
        <v>1880</v>
      </c>
      <c r="Z37" s="2482" t="e">
        <f t="shared" si="5"/>
        <v>#REF!</v>
      </c>
      <c r="AA37" s="2482" t="e">
        <f t="shared" si="5"/>
        <v>#REF!</v>
      </c>
    </row>
    <row r="38" spans="1:27" s="138" customFormat="1" ht="12" customHeight="1" x14ac:dyDescent="0.25">
      <c r="A38" s="2840" t="s">
        <v>178</v>
      </c>
      <c r="B38" s="2847" t="s">
        <v>243</v>
      </c>
      <c r="C38" s="2842" t="s">
        <v>40</v>
      </c>
      <c r="D38" s="2816">
        <v>0</v>
      </c>
      <c r="E38" s="2816">
        <v>0</v>
      </c>
      <c r="F38" s="2816">
        <v>0</v>
      </c>
      <c r="G38" s="2816">
        <v>0</v>
      </c>
      <c r="H38" s="2816">
        <v>0</v>
      </c>
      <c r="I38" s="2816">
        <v>0</v>
      </c>
      <c r="J38" s="2816">
        <v>0</v>
      </c>
      <c r="K38" s="2816">
        <v>0</v>
      </c>
      <c r="L38" s="1100"/>
      <c r="M38" s="1100"/>
      <c r="N38" s="1103">
        <v>0</v>
      </c>
      <c r="O38" s="1103">
        <v>0</v>
      </c>
      <c r="P38" s="1103">
        <v>0</v>
      </c>
      <c r="Q38" s="1103">
        <f t="shared" si="3"/>
        <v>0</v>
      </c>
      <c r="R38" s="2579">
        <f t="shared" si="4"/>
        <v>0</v>
      </c>
      <c r="S38" s="1104">
        <v>0</v>
      </c>
      <c r="T38" s="1104">
        <v>0</v>
      </c>
      <c r="U38" s="1104" t="e">
        <f>#REF!/#REF!</f>
        <v>#REF!</v>
      </c>
      <c r="V38" s="1104" t="e">
        <f>#REF!/#REF!</f>
        <v>#REF!</v>
      </c>
      <c r="W38" s="1100"/>
      <c r="X38" s="2482">
        <f t="shared" si="5"/>
        <v>0</v>
      </c>
      <c r="Y38" s="2482">
        <f t="shared" si="5"/>
        <v>0</v>
      </c>
      <c r="Z38" s="2482" t="e">
        <f t="shared" si="5"/>
        <v>#REF!</v>
      </c>
      <c r="AA38" s="2482" t="e">
        <f t="shared" si="5"/>
        <v>#REF!</v>
      </c>
    </row>
    <row r="39" spans="1:27" s="138" customFormat="1" ht="12" customHeight="1" x14ac:dyDescent="0.25">
      <c r="A39" s="2840" t="s">
        <v>179</v>
      </c>
      <c r="B39" s="2847" t="s">
        <v>244</v>
      </c>
      <c r="C39" s="2842" t="s">
        <v>40</v>
      </c>
      <c r="D39" s="2819">
        <f>D40+D41+D42+D43+D44</f>
        <v>0</v>
      </c>
      <c r="E39" s="2819">
        <f>E40+E41+E42+E43+E44</f>
        <v>0</v>
      </c>
      <c r="F39" s="2819">
        <f>F40+F41+F42+F43+F44</f>
        <v>760.11</v>
      </c>
      <c r="G39" s="2819">
        <f>G40+G41+G42+G43+G44</f>
        <v>885.83</v>
      </c>
      <c r="H39" s="2819">
        <f t="shared" ref="H39:J39" si="11">H40+H41+H42+H43+H44</f>
        <v>0</v>
      </c>
      <c r="I39" s="2819">
        <f t="shared" si="11"/>
        <v>0</v>
      </c>
      <c r="J39" s="2819">
        <f t="shared" si="11"/>
        <v>0</v>
      </c>
      <c r="K39" s="2819">
        <f>K40+K41+K42+K43+K44</f>
        <v>885.83</v>
      </c>
      <c r="L39" s="1100">
        <f>G39/G53*1000</f>
        <v>85.024062780148498</v>
      </c>
      <c r="M39" s="1100"/>
      <c r="N39" s="1103">
        <v>0</v>
      </c>
      <c r="O39" s="1103">
        <v>0</v>
      </c>
      <c r="P39" s="1103">
        <v>0</v>
      </c>
      <c r="Q39" s="1103">
        <f t="shared" si="3"/>
        <v>107.23</v>
      </c>
      <c r="R39" s="2579">
        <f t="shared" si="4"/>
        <v>107.234902822417</v>
      </c>
      <c r="S39" s="1104">
        <v>0</v>
      </c>
      <c r="T39" s="1104">
        <v>0</v>
      </c>
      <c r="U39" s="1104" t="e">
        <f>#REF!/#REF!</f>
        <v>#REF!</v>
      </c>
      <c r="V39" s="1104" t="e">
        <f>#REF!/#REF!</f>
        <v>#REF!</v>
      </c>
      <c r="W39" s="1100"/>
      <c r="X39" s="2482">
        <f t="shared" si="5"/>
        <v>0</v>
      </c>
      <c r="Y39" s="2482">
        <f t="shared" si="5"/>
        <v>0</v>
      </c>
      <c r="Z39" s="2482" t="e">
        <f t="shared" si="5"/>
        <v>#REF!</v>
      </c>
      <c r="AA39" s="2482" t="e">
        <f t="shared" si="5"/>
        <v>#REF!</v>
      </c>
    </row>
    <row r="40" spans="1:27" ht="12" customHeight="1" x14ac:dyDescent="0.25">
      <c r="A40" s="2843" t="s">
        <v>116</v>
      </c>
      <c r="B40" s="2844" t="s">
        <v>65</v>
      </c>
      <c r="C40" s="2241" t="s">
        <v>84</v>
      </c>
      <c r="D40" s="2817">
        <v>0</v>
      </c>
      <c r="E40" s="2817">
        <v>0</v>
      </c>
      <c r="F40" s="2818">
        <v>136.82</v>
      </c>
      <c r="G40" s="2817">
        <f>G44*'Вхідні дані'!D47</f>
        <v>111.82</v>
      </c>
      <c r="H40" s="2820">
        <f>(H41+H42+H43+H44)/(100%-'Вхідні дані'!$D$47)-(H41+H42+H43+H44)</f>
        <v>0</v>
      </c>
      <c r="I40" s="2820">
        <f>(I41+I42+I43+I44)/(100%-'Вхідні дані'!$D$47)-(I41+I42+I43+I44)</f>
        <v>0</v>
      </c>
      <c r="J40" s="2817">
        <f>G40*J56/G56</f>
        <v>0</v>
      </c>
      <c r="K40" s="2817">
        <f>G40*K56/G56</f>
        <v>111.82</v>
      </c>
      <c r="N40" s="1103">
        <v>0</v>
      </c>
      <c r="O40" s="1103">
        <v>0</v>
      </c>
      <c r="P40" s="1103">
        <v>0</v>
      </c>
      <c r="Q40" s="1103">
        <f t="shared" si="3"/>
        <v>13.54</v>
      </c>
      <c r="R40" s="2579">
        <f t="shared" si="4"/>
        <v>13.536465048149999</v>
      </c>
      <c r="S40" s="1104">
        <v>0</v>
      </c>
      <c r="T40" s="1104">
        <v>0</v>
      </c>
      <c r="U40" s="1104" t="e">
        <f>#REF!/#REF!</f>
        <v>#REF!</v>
      </c>
      <c r="V40" s="1104" t="e">
        <f>#REF!/#REF!</f>
        <v>#REF!</v>
      </c>
      <c r="X40" s="2482">
        <f t="shared" si="5"/>
        <v>0</v>
      </c>
      <c r="Y40" s="2482">
        <f t="shared" si="5"/>
        <v>0</v>
      </c>
      <c r="Z40" s="2482" t="e">
        <f t="shared" si="5"/>
        <v>#REF!</v>
      </c>
      <c r="AA40" s="2482" t="e">
        <f t="shared" si="5"/>
        <v>#REF!</v>
      </c>
    </row>
    <row r="41" spans="1:27" ht="12" customHeight="1" x14ac:dyDescent="0.25">
      <c r="A41" s="2843" t="s">
        <v>118</v>
      </c>
      <c r="B41" s="2844" t="s">
        <v>85</v>
      </c>
      <c r="C41" s="2241" t="s">
        <v>40</v>
      </c>
      <c r="D41" s="2817">
        <v>0</v>
      </c>
      <c r="E41" s="2817">
        <v>0</v>
      </c>
      <c r="F41" s="2818">
        <v>93.49</v>
      </c>
      <c r="G41" s="2817">
        <f>(G44-G40)*'Вхідні дані'!D48</f>
        <v>152.81</v>
      </c>
      <c r="H41" s="2820">
        <f>(H43+H44)/(100%-'Вхідні дані'!$D$48)*'Вхідні дані'!$D$48</f>
        <v>0</v>
      </c>
      <c r="I41" s="2820">
        <f>(I43+I44)/(100%-'Вхідні дані'!$D$48)*'Вхідні дані'!$D$48</f>
        <v>0</v>
      </c>
      <c r="J41" s="2817">
        <f>G41*J56/G56</f>
        <v>0</v>
      </c>
      <c r="K41" s="2817">
        <f>G41*K56/G56</f>
        <v>152.81</v>
      </c>
      <c r="N41" s="1103">
        <v>0</v>
      </c>
      <c r="O41" s="1103">
        <v>0</v>
      </c>
      <c r="P41" s="1103">
        <v>0</v>
      </c>
      <c r="Q41" s="1103">
        <f t="shared" si="3"/>
        <v>18.5</v>
      </c>
      <c r="R41" s="2579">
        <f t="shared" si="4"/>
        <v>18.498544303414398</v>
      </c>
      <c r="S41" s="1104">
        <v>0</v>
      </c>
      <c r="T41" s="1104">
        <v>0</v>
      </c>
      <c r="U41" s="1104" t="e">
        <f>#REF!/#REF!</f>
        <v>#REF!</v>
      </c>
      <c r="V41" s="1104" t="e">
        <f>#REF!/#REF!</f>
        <v>#REF!</v>
      </c>
      <c r="X41" s="2482">
        <f t="shared" si="5"/>
        <v>0</v>
      </c>
      <c r="Y41" s="2482">
        <f t="shared" si="5"/>
        <v>0</v>
      </c>
      <c r="Z41" s="2482" t="e">
        <f t="shared" si="5"/>
        <v>#REF!</v>
      </c>
      <c r="AA41" s="2482" t="e">
        <f t="shared" si="5"/>
        <v>#REF!</v>
      </c>
    </row>
    <row r="42" spans="1:27" ht="12" customHeight="1" x14ac:dyDescent="0.25">
      <c r="A42" s="2843" t="s">
        <v>120</v>
      </c>
      <c r="B42" s="2844" t="s">
        <v>86</v>
      </c>
      <c r="C42" s="2241" t="s">
        <v>40</v>
      </c>
      <c r="D42" s="2817">
        <v>0</v>
      </c>
      <c r="E42" s="2817">
        <v>0</v>
      </c>
      <c r="F42" s="2818">
        <v>0</v>
      </c>
      <c r="G42" s="2817">
        <v>0</v>
      </c>
      <c r="H42" s="2817">
        <v>0</v>
      </c>
      <c r="I42" s="2817">
        <v>0</v>
      </c>
      <c r="J42" s="2817">
        <v>0</v>
      </c>
      <c r="K42" s="2817">
        <v>0</v>
      </c>
      <c r="N42" s="1103">
        <v>0</v>
      </c>
      <c r="O42" s="1103">
        <v>0</v>
      </c>
      <c r="P42" s="1103">
        <v>0</v>
      </c>
      <c r="Q42" s="1103">
        <f t="shared" si="3"/>
        <v>0</v>
      </c>
      <c r="R42" s="2579">
        <f t="shared" si="4"/>
        <v>0</v>
      </c>
      <c r="S42" s="1104">
        <v>0</v>
      </c>
      <c r="T42" s="1104">
        <v>0</v>
      </c>
      <c r="U42" s="1104" t="e">
        <f>#REF!/#REF!</f>
        <v>#REF!</v>
      </c>
      <c r="V42" s="1104" t="e">
        <f>#REF!/#REF!</f>
        <v>#REF!</v>
      </c>
      <c r="X42" s="2482">
        <f t="shared" si="5"/>
        <v>0</v>
      </c>
      <c r="Y42" s="2482">
        <f t="shared" si="5"/>
        <v>0</v>
      </c>
      <c r="Z42" s="2482" t="e">
        <f t="shared" si="5"/>
        <v>#REF!</v>
      </c>
      <c r="AA42" s="2482" t="e">
        <f t="shared" si="5"/>
        <v>#REF!</v>
      </c>
    </row>
    <row r="43" spans="1:27" ht="12" customHeight="1" x14ac:dyDescent="0.25">
      <c r="A43" s="2843" t="s">
        <v>122</v>
      </c>
      <c r="B43" s="2844" t="s">
        <v>71</v>
      </c>
      <c r="C43" s="2241" t="s">
        <v>40</v>
      </c>
      <c r="D43" s="2817">
        <v>0</v>
      </c>
      <c r="E43" s="2817">
        <v>0</v>
      </c>
      <c r="F43" s="2818">
        <v>0</v>
      </c>
      <c r="G43" s="2817">
        <v>0</v>
      </c>
      <c r="H43" s="2817">
        <v>0</v>
      </c>
      <c r="I43" s="2817">
        <v>0</v>
      </c>
      <c r="J43" s="2817">
        <v>0</v>
      </c>
      <c r="K43" s="2817">
        <v>0</v>
      </c>
      <c r="N43" s="1103">
        <v>0</v>
      </c>
      <c r="O43" s="1103">
        <v>0</v>
      </c>
      <c r="P43" s="1103">
        <v>0</v>
      </c>
      <c r="Q43" s="1103">
        <f t="shared" si="3"/>
        <v>0</v>
      </c>
      <c r="R43" s="2579">
        <f t="shared" si="4"/>
        <v>0</v>
      </c>
      <c r="S43" s="1104">
        <v>0</v>
      </c>
      <c r="T43" s="1104">
        <v>0</v>
      </c>
      <c r="U43" s="1104" t="e">
        <f>#REF!/#REF!</f>
        <v>#REF!</v>
      </c>
      <c r="V43" s="1104" t="e">
        <f>#REF!/#REF!</f>
        <v>#REF!</v>
      </c>
      <c r="X43" s="2482">
        <f t="shared" si="5"/>
        <v>0</v>
      </c>
      <c r="Y43" s="2482">
        <f t="shared" si="5"/>
        <v>0</v>
      </c>
      <c r="Z43" s="2482" t="e">
        <f t="shared" si="5"/>
        <v>#REF!</v>
      </c>
      <c r="AA43" s="2482" t="e">
        <f t="shared" si="5"/>
        <v>#REF!</v>
      </c>
    </row>
    <row r="44" spans="1:27" ht="12" customHeight="1" x14ac:dyDescent="0.25">
      <c r="A44" s="2843" t="s">
        <v>232</v>
      </c>
      <c r="B44" s="2844" t="s">
        <v>87</v>
      </c>
      <c r="C44" s="2241" t="s">
        <v>40</v>
      </c>
      <c r="D44" s="2817">
        <v>0</v>
      </c>
      <c r="E44" s="2817">
        <v>0</v>
      </c>
      <c r="F44" s="2818">
        <v>529.79999999999995</v>
      </c>
      <c r="G44" s="2817">
        <f>G37*'Вхідні дані'!$D$46</f>
        <v>621.20000000000005</v>
      </c>
      <c r="H44" s="2817">
        <f>H37*'Вхідні дані'!$D$46</f>
        <v>0</v>
      </c>
      <c r="I44" s="2817">
        <f>I37*'Вхідні дані'!$D$46</f>
        <v>0</v>
      </c>
      <c r="J44" s="2817">
        <f>G44*J56/G56</f>
        <v>0</v>
      </c>
      <c r="K44" s="2817">
        <f>G44*K56/G56</f>
        <v>621.20000000000005</v>
      </c>
      <c r="L44" s="1099" t="s">
        <v>2736</v>
      </c>
      <c r="N44" s="1103">
        <v>0</v>
      </c>
      <c r="O44" s="1103">
        <v>0</v>
      </c>
      <c r="P44" s="1103">
        <v>0</v>
      </c>
      <c r="Q44" s="1103">
        <f t="shared" si="3"/>
        <v>75.2</v>
      </c>
      <c r="R44" s="2579">
        <f t="shared" si="4"/>
        <v>75.1998934708528</v>
      </c>
      <c r="S44" s="1104">
        <v>0</v>
      </c>
      <c r="T44" s="1104">
        <v>0</v>
      </c>
      <c r="U44" s="1104" t="e">
        <f>#REF!/#REF!</f>
        <v>#REF!</v>
      </c>
      <c r="V44" s="1104" t="e">
        <f>#REF!/#REF!</f>
        <v>#REF!</v>
      </c>
      <c r="X44" s="2482">
        <f t="shared" si="5"/>
        <v>0</v>
      </c>
      <c r="Y44" s="2482">
        <f t="shared" si="5"/>
        <v>0</v>
      </c>
      <c r="Z44" s="2482" t="e">
        <f t="shared" si="5"/>
        <v>#REF!</v>
      </c>
      <c r="AA44" s="2482" t="e">
        <f t="shared" si="5"/>
        <v>#REF!</v>
      </c>
    </row>
    <row r="45" spans="1:27" s="138" customFormat="1" ht="14.45" customHeight="1" x14ac:dyDescent="0.25">
      <c r="A45" s="2840" t="s">
        <v>194</v>
      </c>
      <c r="B45" s="2848" t="s">
        <v>564</v>
      </c>
      <c r="C45" s="2842" t="s">
        <v>40</v>
      </c>
      <c r="D45" s="2816">
        <f>D39+D38+D37</f>
        <v>10103.81</v>
      </c>
      <c r="E45" s="2816">
        <f>E39+E38+E37</f>
        <v>10789.54</v>
      </c>
      <c r="F45" s="2816">
        <f>F39+F38+F37</f>
        <v>7526.21</v>
      </c>
      <c r="G45" s="2816">
        <f>G39+G38+G37</f>
        <v>16415.900000000001</v>
      </c>
      <c r="H45" s="2816">
        <f t="shared" ref="H45:K45" si="12">H39+H38+H37</f>
        <v>0</v>
      </c>
      <c r="I45" s="2816">
        <f t="shared" si="12"/>
        <v>0</v>
      </c>
      <c r="J45" s="2816">
        <f>J39+J38+J37</f>
        <v>0</v>
      </c>
      <c r="K45" s="2816">
        <f t="shared" si="12"/>
        <v>16415.900000000001</v>
      </c>
      <c r="L45" s="1213">
        <f>G45+'Д 3_Т на Т з ЦТП'!G45</f>
        <v>19613.53</v>
      </c>
      <c r="M45" s="1214">
        <v>36422.587741725998</v>
      </c>
      <c r="N45" s="1103">
        <v>0</v>
      </c>
      <c r="O45" s="1103">
        <v>0</v>
      </c>
      <c r="P45" s="1103">
        <v>0</v>
      </c>
      <c r="Q45" s="1103">
        <f t="shared" ref="Q45" si="13">K45/K$56*1000</f>
        <v>1987.24</v>
      </c>
      <c r="R45" s="2579">
        <f t="shared" si="4"/>
        <v>1987.2407135031699</v>
      </c>
      <c r="S45" s="1104">
        <v>0</v>
      </c>
      <c r="T45" s="1104">
        <v>0</v>
      </c>
      <c r="U45" s="1104" t="e">
        <f>#REF!/#REF!</f>
        <v>#REF!</v>
      </c>
      <c r="V45" s="1104" t="e">
        <f>#REF!/#REF!</f>
        <v>#REF!</v>
      </c>
      <c r="W45" s="1100"/>
      <c r="X45" s="2482">
        <f t="shared" si="5"/>
        <v>0</v>
      </c>
      <c r="Y45" s="2482">
        <f t="shared" si="5"/>
        <v>0</v>
      </c>
      <c r="Z45" s="2482" t="e">
        <f t="shared" si="5"/>
        <v>#REF!</v>
      </c>
      <c r="AA45" s="2482" t="e">
        <f t="shared" si="5"/>
        <v>#REF!</v>
      </c>
    </row>
    <row r="46" spans="1:27" s="138" customFormat="1" ht="14.45" customHeight="1" x14ac:dyDescent="0.25">
      <c r="A46" s="2831" t="s">
        <v>195</v>
      </c>
      <c r="B46" s="2847" t="s">
        <v>88</v>
      </c>
      <c r="C46" s="2833" t="s">
        <v>74</v>
      </c>
      <c r="D46" s="2816">
        <f>D45/D56*1000</f>
        <v>1054.05</v>
      </c>
      <c r="E46" s="2816">
        <f>E45/E56*1000</f>
        <v>1218.7</v>
      </c>
      <c r="F46" s="2816">
        <f>F45/F56*1000</f>
        <v>78.59</v>
      </c>
      <c r="G46" s="2816">
        <f>G45/G56*1000</f>
        <v>1987.24</v>
      </c>
      <c r="H46" s="2816">
        <v>0</v>
      </c>
      <c r="I46" s="2816">
        <v>0</v>
      </c>
      <c r="J46" s="2816">
        <v>0</v>
      </c>
      <c r="K46" s="2816">
        <f>K45/K56*1000</f>
        <v>1987.24</v>
      </c>
      <c r="L46" s="2027">
        <f>G46</f>
        <v>1987.24</v>
      </c>
      <c r="M46" s="1099"/>
      <c r="N46" s="1103"/>
      <c r="O46" s="1099"/>
      <c r="P46" s="1099"/>
      <c r="Q46" s="1100"/>
      <c r="R46" s="1100">
        <f>G56/1000</f>
        <v>8.26065</v>
      </c>
      <c r="S46" s="1104"/>
      <c r="T46" s="1100"/>
      <c r="U46" s="1100"/>
      <c r="V46" s="1100"/>
      <c r="W46" s="1100"/>
      <c r="X46" s="2482"/>
      <c r="Y46" s="2482"/>
      <c r="Z46" s="2482"/>
      <c r="AA46" s="2482"/>
    </row>
    <row r="47" spans="1:27" ht="24" x14ac:dyDescent="0.25">
      <c r="A47" s="2849">
        <v>11</v>
      </c>
      <c r="B47" s="2832" t="s">
        <v>565</v>
      </c>
      <c r="C47" s="2850" t="s">
        <v>22</v>
      </c>
      <c r="D47" s="2820">
        <f>D48+D49</f>
        <v>12876.33</v>
      </c>
      <c r="E47" s="2820">
        <f>E48+E49</f>
        <v>12915.64</v>
      </c>
      <c r="F47" s="2820">
        <f>F48+F49</f>
        <v>104867.95</v>
      </c>
      <c r="G47" s="2820">
        <f>G48+G49</f>
        <v>11672.37</v>
      </c>
      <c r="H47" s="2820">
        <f t="shared" ref="H47:K47" si="14">H48+H49</f>
        <v>0</v>
      </c>
      <c r="I47" s="2820">
        <f t="shared" si="14"/>
        <v>0</v>
      </c>
      <c r="J47" s="2817">
        <f t="shared" si="14"/>
        <v>0</v>
      </c>
      <c r="K47" s="2820">
        <f t="shared" si="14"/>
        <v>9273.7999999999993</v>
      </c>
      <c r="L47" s="1361">
        <f>G39/G56*1000</f>
        <v>107.23</v>
      </c>
      <c r="M47" s="1099" t="s">
        <v>2214</v>
      </c>
    </row>
    <row r="48" spans="1:27" ht="12" customHeight="1" x14ac:dyDescent="0.25">
      <c r="A48" s="2835" t="s">
        <v>92</v>
      </c>
      <c r="B48" s="2844" t="s">
        <v>90</v>
      </c>
      <c r="C48" s="2850" t="s">
        <v>22</v>
      </c>
      <c r="D48" s="2820">
        <f>'Д 7_РП'!E26</f>
        <v>12876.33</v>
      </c>
      <c r="E48" s="2820">
        <f>'Д 7_РП'!F26</f>
        <v>12915.64</v>
      </c>
      <c r="F48" s="2820">
        <v>104867.95</v>
      </c>
      <c r="G48" s="2820">
        <f>'Д 7_РП'!G29+'Д 7_РП'!G32+'Д 7_РП'!G35+'Д 7_РП'!G38+'Д 7_РП'!G41</f>
        <v>11672.37</v>
      </c>
      <c r="H48" s="2821">
        <f>'Д 7_РП'!G29</f>
        <v>0</v>
      </c>
      <c r="I48" s="2821">
        <f>'Д 7_РП'!G32</f>
        <v>0</v>
      </c>
      <c r="J48" s="2818">
        <f>'Д 7_РП'!G35</f>
        <v>0</v>
      </c>
      <c r="K48" s="2821">
        <f>'Д 7_РП'!G38</f>
        <v>9273.7999999999993</v>
      </c>
      <c r="L48" s="1362">
        <f>L46-L47</f>
        <v>1880.01</v>
      </c>
    </row>
    <row r="49" spans="1:27" ht="24" x14ac:dyDescent="0.25">
      <c r="A49" s="2835" t="s">
        <v>93</v>
      </c>
      <c r="B49" s="2844" t="s">
        <v>599</v>
      </c>
      <c r="C49" s="2850" t="s">
        <v>22</v>
      </c>
      <c r="D49" s="2820">
        <v>0</v>
      </c>
      <c r="E49" s="2820">
        <v>0</v>
      </c>
      <c r="F49" s="2821">
        <v>0</v>
      </c>
      <c r="G49" s="2821">
        <v>0</v>
      </c>
      <c r="H49" s="2821">
        <v>0</v>
      </c>
      <c r="I49" s="2821">
        <v>0</v>
      </c>
      <c r="J49" s="2818">
        <v>0</v>
      </c>
      <c r="K49" s="2821">
        <v>0</v>
      </c>
      <c r="L49" s="1102"/>
    </row>
    <row r="50" spans="1:27" ht="24" x14ac:dyDescent="0.25">
      <c r="A50" s="2835" t="s">
        <v>197</v>
      </c>
      <c r="B50" s="2844" t="s">
        <v>566</v>
      </c>
      <c r="C50" s="2850" t="s">
        <v>22</v>
      </c>
      <c r="D50" s="2820">
        <f>D51+D52</f>
        <v>1784.77</v>
      </c>
      <c r="E50" s="2820">
        <f>E51+E52</f>
        <v>1945.76</v>
      </c>
      <c r="F50" s="2820">
        <f>F51+F52</f>
        <v>9099.2900000000009</v>
      </c>
      <c r="G50" s="2820">
        <f>G51+G52</f>
        <v>1013.15</v>
      </c>
      <c r="H50" s="2820">
        <f t="shared" ref="H50:K50" si="15">H51+H52</f>
        <v>0</v>
      </c>
      <c r="I50" s="2820">
        <f t="shared" si="15"/>
        <v>0</v>
      </c>
      <c r="J50" s="2817">
        <f t="shared" si="15"/>
        <v>0</v>
      </c>
      <c r="K50" s="2820">
        <f t="shared" si="15"/>
        <v>1013.15</v>
      </c>
      <c r="L50" s="1102"/>
      <c r="P50" s="1120"/>
      <c r="Q50" s="1120">
        <f>K40/K56*1000</f>
        <v>13.54</v>
      </c>
    </row>
    <row r="51" spans="1:27" ht="12" customHeight="1" x14ac:dyDescent="0.25">
      <c r="A51" s="2835" t="s">
        <v>94</v>
      </c>
      <c r="B51" s="2832" t="s">
        <v>90</v>
      </c>
      <c r="C51" s="2850" t="s">
        <v>22</v>
      </c>
      <c r="D51" s="2820">
        <f>'Д 7_РП'!E48</f>
        <v>1784.77</v>
      </c>
      <c r="E51" s="2820">
        <f>'Д 7_РП'!F48</f>
        <v>1945.76</v>
      </c>
      <c r="F51" s="2820">
        <v>9099.2900000000009</v>
      </c>
      <c r="G51" s="2820">
        <f>'Д 7_РП'!G58-'Д 7_РП'!G63</f>
        <v>1013.15</v>
      </c>
      <c r="H51" s="2821">
        <f>H48-H56</f>
        <v>0</v>
      </c>
      <c r="I51" s="2821">
        <f t="shared" ref="I51:K51" si="16">I48-I56</f>
        <v>0</v>
      </c>
      <c r="J51" s="2818">
        <f t="shared" si="16"/>
        <v>0</v>
      </c>
      <c r="K51" s="2821">
        <f t="shared" si="16"/>
        <v>1013.15</v>
      </c>
      <c r="L51" s="1102"/>
      <c r="P51" s="1120"/>
      <c r="Q51" s="1120">
        <f>K41/K56*1000</f>
        <v>18.5</v>
      </c>
    </row>
    <row r="52" spans="1:27" ht="24" x14ac:dyDescent="0.25">
      <c r="A52" s="2835" t="s">
        <v>95</v>
      </c>
      <c r="B52" s="2839" t="s">
        <v>567</v>
      </c>
      <c r="C52" s="2850" t="s">
        <v>22</v>
      </c>
      <c r="D52" s="2820">
        <v>0</v>
      </c>
      <c r="E52" s="2820">
        <v>0</v>
      </c>
      <c r="F52" s="2821">
        <v>0</v>
      </c>
      <c r="G52" s="2821">
        <v>0</v>
      </c>
      <c r="H52" s="2821">
        <v>0</v>
      </c>
      <c r="I52" s="2821">
        <v>0</v>
      </c>
      <c r="J52" s="2818">
        <v>0</v>
      </c>
      <c r="K52" s="2821">
        <v>0</v>
      </c>
      <c r="L52" s="1102"/>
      <c r="P52" s="1120"/>
      <c r="Q52" s="1120">
        <f>K44/K56*1000</f>
        <v>75.2</v>
      </c>
    </row>
    <row r="53" spans="1:27" ht="24" x14ac:dyDescent="0.25">
      <c r="A53" s="2835" t="s">
        <v>198</v>
      </c>
      <c r="B53" s="2832" t="s">
        <v>568</v>
      </c>
      <c r="C53" s="2850" t="s">
        <v>22</v>
      </c>
      <c r="D53" s="2820">
        <f>D54+D55+D56</f>
        <v>9585.7199999999993</v>
      </c>
      <c r="E53" s="2820">
        <f>E54+E55+E56</f>
        <v>8853.31</v>
      </c>
      <c r="F53" s="2820">
        <f>F54+F55+F56</f>
        <v>95768.66</v>
      </c>
      <c r="G53" s="2820">
        <f>G54+G55+G56</f>
        <v>10418.58</v>
      </c>
      <c r="H53" s="2820">
        <f t="shared" ref="H53:K53" si="17">H54+H55+H56</f>
        <v>0</v>
      </c>
      <c r="I53" s="2820">
        <f t="shared" si="17"/>
        <v>0</v>
      </c>
      <c r="J53" s="2817">
        <f t="shared" si="17"/>
        <v>0</v>
      </c>
      <c r="K53" s="2820">
        <f t="shared" si="17"/>
        <v>10418.58</v>
      </c>
      <c r="L53" s="1102"/>
      <c r="P53" s="1120"/>
      <c r="Q53" s="1120">
        <f>Q50+Q51+Q52</f>
        <v>107.24</v>
      </c>
    </row>
    <row r="54" spans="1:27" x14ac:dyDescent="0.25">
      <c r="A54" s="2835" t="s">
        <v>245</v>
      </c>
      <c r="B54" s="2832" t="s">
        <v>247</v>
      </c>
      <c r="C54" s="2850" t="s">
        <v>22</v>
      </c>
      <c r="D54" s="2820">
        <f>'Д 7_РП'!E72</f>
        <v>0</v>
      </c>
      <c r="E54" s="2820">
        <f>'Д 7_РП'!F72</f>
        <v>0</v>
      </c>
      <c r="F54" s="2820">
        <v>0</v>
      </c>
      <c r="G54" s="2820">
        <f>'Д 7_РП'!G73</f>
        <v>2157.9299999999998</v>
      </c>
      <c r="H54" s="2851">
        <v>0</v>
      </c>
      <c r="I54" s="2851">
        <v>0</v>
      </c>
      <c r="J54" s="2818">
        <v>0</v>
      </c>
      <c r="K54" s="2821">
        <f>G54</f>
        <v>2157.9299999999998</v>
      </c>
    </row>
    <row r="55" spans="1:27" x14ac:dyDescent="0.25">
      <c r="A55" s="2835" t="s">
        <v>246</v>
      </c>
      <c r="B55" s="2832" t="s">
        <v>96</v>
      </c>
      <c r="C55" s="2850" t="s">
        <v>22</v>
      </c>
      <c r="D55" s="2820">
        <v>0</v>
      </c>
      <c r="E55" s="2820">
        <v>0</v>
      </c>
      <c r="F55" s="2821">
        <v>0</v>
      </c>
      <c r="G55" s="2821">
        <v>0</v>
      </c>
      <c r="H55" s="2821">
        <v>0</v>
      </c>
      <c r="I55" s="2821">
        <v>0</v>
      </c>
      <c r="J55" s="2818">
        <v>0</v>
      </c>
      <c r="K55" s="2821">
        <v>0</v>
      </c>
    </row>
    <row r="56" spans="1:27" ht="14.25" customHeight="1" x14ac:dyDescent="0.25">
      <c r="A56" s="2835" t="s">
        <v>569</v>
      </c>
      <c r="B56" s="2832" t="s">
        <v>248</v>
      </c>
      <c r="C56" s="2850" t="s">
        <v>22</v>
      </c>
      <c r="D56" s="2820">
        <f>D57+D58+D59+D60</f>
        <v>9585.7199999999993</v>
      </c>
      <c r="E56" s="2820">
        <f>E57+E58+E59+E60</f>
        <v>8853.31</v>
      </c>
      <c r="F56" s="2820">
        <f>F57+F58+F59+F60</f>
        <v>95768.66</v>
      </c>
      <c r="G56" s="2820">
        <f>G57+G58+G59+G60</f>
        <v>8260.65</v>
      </c>
      <c r="H56" s="2821">
        <f>G57</f>
        <v>0</v>
      </c>
      <c r="I56" s="2821">
        <f>G58</f>
        <v>0</v>
      </c>
      <c r="J56" s="2818">
        <f>G59</f>
        <v>0</v>
      </c>
      <c r="K56" s="2821">
        <f>G60</f>
        <v>8260.65</v>
      </c>
      <c r="N56" s="2626"/>
      <c r="O56" s="1210"/>
    </row>
    <row r="57" spans="1:27" ht="15.75" customHeight="1" x14ac:dyDescent="0.25">
      <c r="A57" s="2835" t="s">
        <v>570</v>
      </c>
      <c r="B57" s="2832" t="s">
        <v>3</v>
      </c>
      <c r="C57" s="2850" t="s">
        <v>22</v>
      </c>
      <c r="D57" s="2820">
        <f>'Д 7_РП'!$E$75</f>
        <v>0</v>
      </c>
      <c r="E57" s="2820">
        <f>'Д 7_РП'!$F$75</f>
        <v>0</v>
      </c>
      <c r="F57" s="2820">
        <v>77593.09</v>
      </c>
      <c r="G57" s="2820">
        <f>'Д 7_РП'!G80</f>
        <v>0</v>
      </c>
      <c r="H57" s="2241" t="s">
        <v>3111</v>
      </c>
      <c r="I57" s="2241" t="s">
        <v>3111</v>
      </c>
      <c r="J57" s="2817" t="s">
        <v>3111</v>
      </c>
      <c r="K57" s="2241" t="s">
        <v>3111</v>
      </c>
      <c r="N57" s="2627"/>
      <c r="O57" s="2627"/>
    </row>
    <row r="58" spans="1:27" ht="15" customHeight="1" x14ac:dyDescent="0.25">
      <c r="A58" s="2835" t="s">
        <v>571</v>
      </c>
      <c r="B58" s="2832" t="s">
        <v>173</v>
      </c>
      <c r="C58" s="2850" t="s">
        <v>22</v>
      </c>
      <c r="D58" s="2820">
        <f>'Д 7_РП'!$E$83</f>
        <v>0</v>
      </c>
      <c r="E58" s="2820">
        <f>'Д 7_РП'!$F$83</f>
        <v>0</v>
      </c>
      <c r="F58" s="2820">
        <v>14.98</v>
      </c>
      <c r="G58" s="2820">
        <f>'Д 7_РП'!G86</f>
        <v>0</v>
      </c>
      <c r="H58" s="2241" t="s">
        <v>3111</v>
      </c>
      <c r="I58" s="2241" t="s">
        <v>3111</v>
      </c>
      <c r="J58" s="2817" t="s">
        <v>3111</v>
      </c>
      <c r="K58" s="2241" t="s">
        <v>3111</v>
      </c>
      <c r="N58" s="1120"/>
      <c r="O58" s="1120"/>
    </row>
    <row r="59" spans="1:27" ht="16.5" customHeight="1" x14ac:dyDescent="0.25">
      <c r="A59" s="2835" t="s">
        <v>572</v>
      </c>
      <c r="B59" s="2832" t="s">
        <v>98</v>
      </c>
      <c r="C59" s="2850" t="s">
        <v>22</v>
      </c>
      <c r="D59" s="2820">
        <f>'Д 7_РП'!$E$87</f>
        <v>0</v>
      </c>
      <c r="E59" s="2820">
        <f>'Д 7_РП'!$F$87</f>
        <v>198.47</v>
      </c>
      <c r="F59" s="2820">
        <v>9783.7900000000009</v>
      </c>
      <c r="G59" s="2820">
        <f>'Д 7_РП'!G90</f>
        <v>0</v>
      </c>
      <c r="H59" s="2241" t="s">
        <v>3111</v>
      </c>
      <c r="I59" s="2241" t="s">
        <v>3111</v>
      </c>
      <c r="J59" s="2817" t="s">
        <v>3111</v>
      </c>
      <c r="K59" s="2241" t="s">
        <v>3111</v>
      </c>
    </row>
    <row r="60" spans="1:27" ht="14.25" customHeight="1" x14ac:dyDescent="0.25">
      <c r="A60" s="2835" t="s">
        <v>573</v>
      </c>
      <c r="B60" s="2832" t="s">
        <v>110</v>
      </c>
      <c r="C60" s="2850" t="s">
        <v>22</v>
      </c>
      <c r="D60" s="2820">
        <f>'Д 7_РП'!$E$91</f>
        <v>9585.7199999999993</v>
      </c>
      <c r="E60" s="2820">
        <f>'Д 7_РП'!$F$91</f>
        <v>8654.84</v>
      </c>
      <c r="F60" s="2820">
        <v>8376.7999999999993</v>
      </c>
      <c r="G60" s="2820">
        <f>'Д 7_РП'!G94</f>
        <v>8260.65</v>
      </c>
      <c r="H60" s="2241" t="s">
        <v>3111</v>
      </c>
      <c r="I60" s="2241" t="s">
        <v>3111</v>
      </c>
      <c r="J60" s="2817" t="s">
        <v>3111</v>
      </c>
      <c r="K60" s="2241" t="s">
        <v>3111</v>
      </c>
    </row>
    <row r="61" spans="1:27" ht="24" x14ac:dyDescent="0.25">
      <c r="A61" s="2843" t="s">
        <v>199</v>
      </c>
      <c r="B61" s="2852" t="s">
        <v>574</v>
      </c>
      <c r="C61" s="2241" t="s">
        <v>22</v>
      </c>
      <c r="D61" s="2820">
        <v>0</v>
      </c>
      <c r="E61" s="2820">
        <v>0</v>
      </c>
      <c r="F61" s="2820">
        <v>0</v>
      </c>
      <c r="G61" s="2820">
        <v>0</v>
      </c>
      <c r="H61" s="2820">
        <v>0</v>
      </c>
      <c r="I61" s="2820">
        <v>0</v>
      </c>
      <c r="J61" s="2817">
        <v>0</v>
      </c>
      <c r="K61" s="2820">
        <v>0</v>
      </c>
      <c r="L61" s="1102"/>
    </row>
    <row r="62" spans="1:27" ht="24" x14ac:dyDescent="0.25">
      <c r="A62" s="2843" t="s">
        <v>200</v>
      </c>
      <c r="B62" s="2844" t="s">
        <v>575</v>
      </c>
      <c r="C62" s="2241" t="s">
        <v>74</v>
      </c>
      <c r="D62" s="2820">
        <v>0</v>
      </c>
      <c r="E62" s="2820">
        <v>0</v>
      </c>
      <c r="F62" s="2820">
        <v>0</v>
      </c>
      <c r="G62" s="2820">
        <v>0</v>
      </c>
      <c r="H62" s="2820">
        <v>0</v>
      </c>
      <c r="I62" s="2820">
        <v>0</v>
      </c>
      <c r="J62" s="2817">
        <v>0</v>
      </c>
      <c r="K62" s="2820">
        <v>0</v>
      </c>
      <c r="L62" s="1102"/>
    </row>
    <row r="63" spans="1:27" x14ac:dyDescent="0.25">
      <c r="A63" s="2853"/>
      <c r="B63" s="2854"/>
      <c r="C63" s="2855"/>
      <c r="D63" s="2856"/>
      <c r="E63" s="2856"/>
      <c r="F63" s="2856"/>
      <c r="G63" s="2856"/>
      <c r="H63" s="2856"/>
      <c r="I63" s="2856"/>
      <c r="J63" s="2856"/>
      <c r="K63" s="2856"/>
    </row>
    <row r="64" spans="1:27" s="144" customFormat="1" x14ac:dyDescent="0.25">
      <c r="A64" s="2857" t="s">
        <v>79</v>
      </c>
      <c r="B64" s="2827"/>
      <c r="C64" s="2823"/>
      <c r="D64" s="2823"/>
      <c r="E64" s="2823"/>
      <c r="F64" s="2823"/>
      <c r="G64" s="2823"/>
      <c r="H64" s="2823"/>
      <c r="I64" s="2823"/>
      <c r="J64" s="2823"/>
      <c r="K64" s="2823"/>
      <c r="L64" s="1099"/>
      <c r="M64" s="1099"/>
      <c r="N64" s="1099"/>
      <c r="O64" s="1099"/>
      <c r="P64" s="1099"/>
      <c r="Q64" s="1099"/>
      <c r="R64" s="1099"/>
      <c r="S64" s="1210"/>
      <c r="T64" s="1099"/>
      <c r="U64" s="1099"/>
      <c r="V64" s="1099"/>
      <c r="W64" s="1099"/>
      <c r="X64" s="2481"/>
      <c r="Y64" s="2481"/>
      <c r="Z64" s="2481"/>
      <c r="AA64" s="2481"/>
    </row>
    <row r="65" spans="1:27" s="144" customFormat="1" x14ac:dyDescent="0.25">
      <c r="A65" s="2858"/>
      <c r="B65" s="2859"/>
      <c r="C65" s="2859"/>
      <c r="D65" s="2859"/>
      <c r="E65" s="2859"/>
      <c r="F65" s="2859"/>
      <c r="G65" s="2859"/>
      <c r="H65" s="2859"/>
      <c r="I65" s="2859"/>
      <c r="J65" s="2859"/>
      <c r="K65" s="2859"/>
      <c r="L65" s="1099"/>
      <c r="M65" s="1099"/>
      <c r="N65" s="1099"/>
      <c r="O65" s="1099"/>
      <c r="P65" s="1099"/>
      <c r="Q65" s="1099"/>
      <c r="R65" s="1099"/>
      <c r="S65" s="1210"/>
      <c r="T65" s="1099"/>
      <c r="U65" s="1099"/>
      <c r="V65" s="1099"/>
      <c r="W65" s="1099"/>
      <c r="X65" s="2481"/>
      <c r="Y65" s="2481"/>
      <c r="Z65" s="2481"/>
      <c r="AA65" s="2481"/>
    </row>
    <row r="66" spans="1:27" s="144" customFormat="1" ht="17.25" customHeight="1" x14ac:dyDescent="0.25">
      <c r="A66" s="2858"/>
      <c r="B66" s="2822" t="str">
        <f>'Вхідні дані'!B13</f>
        <v>Начальник Адміністрації морського порту Чорноморськ</v>
      </c>
      <c r="C66" s="3720" t="s">
        <v>249</v>
      </c>
      <c r="D66" s="3721"/>
      <c r="E66" s="2859"/>
      <c r="F66" s="2859"/>
      <c r="G66" s="2859"/>
      <c r="H66" s="3722" t="str">
        <f>'Вхідні дані'!F13</f>
        <v>Максим ШИРОКОВ</v>
      </c>
      <c r="I66" s="3722"/>
      <c r="J66" s="3722"/>
      <c r="K66" s="2859"/>
      <c r="L66" s="1099"/>
      <c r="M66" s="1099"/>
      <c r="N66" s="1099"/>
      <c r="O66" s="1099"/>
      <c r="P66" s="1099"/>
      <c r="Q66" s="1099"/>
      <c r="R66" s="1099"/>
      <c r="S66" s="1210"/>
      <c r="T66" s="1099"/>
      <c r="U66" s="1099"/>
      <c r="V66" s="1099"/>
      <c r="W66" s="1099"/>
      <c r="X66" s="2481"/>
      <c r="Y66" s="2481"/>
      <c r="Z66" s="2481"/>
      <c r="AA66" s="2481"/>
    </row>
    <row r="67" spans="1:27" s="144" customFormat="1" ht="25.5" customHeight="1" x14ac:dyDescent="0.25">
      <c r="A67" s="2858"/>
      <c r="B67" s="2930" t="s">
        <v>241</v>
      </c>
      <c r="C67" s="3718" t="s">
        <v>219</v>
      </c>
      <c r="D67" s="3719"/>
      <c r="E67" s="2930"/>
      <c r="F67" s="2859"/>
      <c r="G67" s="2859"/>
      <c r="H67" s="3718" t="s">
        <v>239</v>
      </c>
      <c r="I67" s="3718"/>
      <c r="J67" s="3718"/>
      <c r="K67" s="2859"/>
      <c r="L67" s="1099"/>
      <c r="M67" s="1099"/>
      <c r="N67" s="1099"/>
      <c r="O67" s="1099"/>
      <c r="P67" s="1099"/>
      <c r="Q67" s="1099"/>
      <c r="R67" s="1099"/>
      <c r="S67" s="1210"/>
      <c r="T67" s="1099"/>
      <c r="U67" s="1099"/>
      <c r="V67" s="1099"/>
      <c r="W67" s="1099"/>
      <c r="X67" s="2481"/>
      <c r="Y67" s="2481"/>
      <c r="Z67" s="2481"/>
      <c r="AA67" s="2481"/>
    </row>
    <row r="68" spans="1:27" x14ac:dyDescent="0.25">
      <c r="A68" s="3002"/>
      <c r="B68" s="3003" t="s">
        <v>2197</v>
      </c>
      <c r="C68" s="3003"/>
      <c r="D68" s="3003"/>
      <c r="E68" s="3003"/>
      <c r="F68" s="3003"/>
      <c r="G68" s="3003"/>
      <c r="H68" s="3003"/>
      <c r="I68" s="3003"/>
      <c r="J68" s="2996"/>
      <c r="K68" s="2996"/>
    </row>
    <row r="69" spans="1:27" s="144" customFormat="1" x14ac:dyDescent="0.25">
      <c r="J69" s="2859"/>
      <c r="K69" s="2859"/>
      <c r="L69" s="1099"/>
      <c r="M69" s="1099"/>
      <c r="N69" s="1099"/>
      <c r="O69" s="1099"/>
      <c r="P69" s="1099"/>
      <c r="Q69" s="1099"/>
      <c r="R69" s="1099"/>
      <c r="S69" s="1210"/>
      <c r="T69" s="1099"/>
      <c r="U69" s="1099"/>
      <c r="V69" s="1099"/>
      <c r="W69" s="1099"/>
      <c r="X69" s="2481"/>
      <c r="Y69" s="2481"/>
      <c r="Z69" s="2481"/>
      <c r="AA69" s="2481"/>
    </row>
    <row r="73" spans="1:27" x14ac:dyDescent="0.25">
      <c r="D73" s="1105"/>
      <c r="E73" s="1105"/>
      <c r="F73" s="1105"/>
      <c r="G73" s="1105"/>
    </row>
    <row r="75" spans="1:27" x14ac:dyDescent="0.25">
      <c r="D75" s="1105"/>
      <c r="E75" s="1105"/>
      <c r="F75" s="1105"/>
      <c r="G75" s="1106"/>
    </row>
    <row r="76" spans="1:27" x14ac:dyDescent="0.25">
      <c r="D76" s="1106"/>
      <c r="E76" s="1106"/>
      <c r="F76" s="1106"/>
      <c r="G76" s="1105"/>
      <c r="H76" s="1105"/>
      <c r="I76" s="1105"/>
      <c r="J76" s="1105"/>
      <c r="K76" s="1105"/>
    </row>
    <row r="77" spans="1:27" x14ac:dyDescent="0.25">
      <c r="G77" s="1106"/>
    </row>
  </sheetData>
  <mergeCells count="15">
    <mergeCell ref="C67:D67"/>
    <mergeCell ref="H7:K7"/>
    <mergeCell ref="H1:K1"/>
    <mergeCell ref="A4:K4"/>
    <mergeCell ref="A6:K6"/>
    <mergeCell ref="G7:G8"/>
    <mergeCell ref="C66:D66"/>
    <mergeCell ref="H66:J66"/>
    <mergeCell ref="A3:G3"/>
    <mergeCell ref="B5:F5"/>
    <mergeCell ref="A7:A9"/>
    <mergeCell ref="B7:B9"/>
    <mergeCell ref="C7:C9"/>
    <mergeCell ref="D2:G2"/>
    <mergeCell ref="H67:J67"/>
  </mergeCells>
  <conditionalFormatting sqref="B1:B2">
    <cfRule type="containsText" dxfId="44" priority="1" operator="containsText" text="Для корек">
      <formula>NOT(ISERROR(SEARCH("Для корек",B1)))</formula>
    </cfRule>
  </conditionalFormatting>
  <pageMargins left="0.27" right="0.27559055118110237" top="0.45" bottom="0.19" header="0.62992125984251968" footer="0.17"/>
  <pageSetup paperSize="9" fitToHeight="0" orientation="landscape" r:id="rId1"/>
  <headerFooter differentFirst="1">
    <oddHeader>&amp;Rпродовження додатку 3.1</oddHeader>
  </headerFooter>
  <rowBreaks count="1" manualBreakCount="1">
    <brk id="35"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83"/>
  <sheetViews>
    <sheetView topLeftCell="D40" workbookViewId="0">
      <selection activeCell="K21" sqref="K21"/>
    </sheetView>
  </sheetViews>
  <sheetFormatPr defaultRowHeight="15" x14ac:dyDescent="0.25"/>
  <cols>
    <col min="1" max="1" width="6.28515625" style="1373" customWidth="1"/>
    <col min="2" max="2" width="39.7109375" style="1368" customWidth="1"/>
    <col min="3" max="3" width="8.28515625" style="1368" customWidth="1"/>
    <col min="4" max="4" width="14.7109375" customWidth="1"/>
    <col min="5" max="5" width="10.85546875" customWidth="1"/>
    <col min="6" max="6" width="11.140625" customWidth="1"/>
    <col min="7" max="7" width="9.85546875" customWidth="1"/>
    <col min="8" max="8" width="11.42578125" customWidth="1"/>
    <col min="9" max="9" width="14.28515625" customWidth="1"/>
    <col min="10" max="10" width="11.42578125" customWidth="1"/>
    <col min="11" max="18" width="14.28515625" customWidth="1"/>
  </cols>
  <sheetData>
    <row r="1" spans="1:18" x14ac:dyDescent="0.25">
      <c r="A1" s="110"/>
      <c r="B1" s="111"/>
      <c r="C1" s="112"/>
    </row>
    <row r="2" spans="1:18" x14ac:dyDescent="0.25">
      <c r="A2" s="110"/>
      <c r="B2" s="111"/>
      <c r="C2" s="112"/>
    </row>
    <row r="3" spans="1:18" x14ac:dyDescent="0.25">
      <c r="A3" s="4444" t="s">
        <v>2227</v>
      </c>
      <c r="B3" s="4444"/>
      <c r="C3" s="4444"/>
      <c r="D3" s="4444"/>
      <c r="E3" s="4444"/>
      <c r="F3" s="4444"/>
      <c r="G3" s="4444"/>
      <c r="H3" s="4444"/>
      <c r="I3" s="4444"/>
      <c r="J3" s="4444"/>
      <c r="K3" s="4444"/>
      <c r="L3" s="4444"/>
      <c r="M3" s="4444"/>
      <c r="N3" s="4444"/>
      <c r="O3" s="4444"/>
      <c r="P3" s="4444"/>
      <c r="Q3" s="4444"/>
      <c r="R3" s="4444"/>
    </row>
    <row r="4" spans="1:18" x14ac:dyDescent="0.25">
      <c r="A4" s="110"/>
      <c r="B4"/>
      <c r="C4"/>
    </row>
    <row r="5" spans="1:18" ht="15.75" thickBot="1" x14ac:dyDescent="0.3">
      <c r="A5" s="110"/>
      <c r="B5" s="112"/>
      <c r="C5" s="113"/>
    </row>
    <row r="6" spans="1:18" x14ac:dyDescent="0.25">
      <c r="A6" s="4445" t="s">
        <v>7</v>
      </c>
      <c r="B6" s="4448" t="s">
        <v>8</v>
      </c>
      <c r="C6" s="3729" t="s">
        <v>35</v>
      </c>
      <c r="D6" s="4449" t="s">
        <v>2228</v>
      </c>
      <c r="E6" s="4449"/>
      <c r="F6" s="4449"/>
      <c r="G6" s="4449"/>
      <c r="H6" s="4449"/>
      <c r="I6" s="4450" t="s">
        <v>2229</v>
      </c>
      <c r="J6" s="4450"/>
      <c r="K6" s="4450"/>
      <c r="L6" s="4450"/>
      <c r="M6" s="4450"/>
      <c r="N6" s="4451" t="s">
        <v>2230</v>
      </c>
      <c r="O6" s="4451"/>
      <c r="P6" s="4451"/>
      <c r="Q6" s="4451"/>
      <c r="R6" s="4451"/>
    </row>
    <row r="7" spans="1:18" s="1368" customFormat="1" x14ac:dyDescent="0.25">
      <c r="A7" s="4446"/>
      <c r="B7" s="4448"/>
      <c r="C7" s="3729"/>
      <c r="D7" s="3729" t="s">
        <v>36</v>
      </c>
      <c r="E7" s="3729" t="s">
        <v>2231</v>
      </c>
      <c r="F7" s="3729"/>
      <c r="G7" s="3729"/>
      <c r="H7" s="3729"/>
      <c r="I7" s="3729" t="s">
        <v>36</v>
      </c>
      <c r="J7" s="3729" t="s">
        <v>2231</v>
      </c>
      <c r="K7" s="3729"/>
      <c r="L7" s="3729"/>
      <c r="M7" s="3729"/>
      <c r="N7" s="3729" t="s">
        <v>36</v>
      </c>
      <c r="O7" s="3729" t="s">
        <v>2231</v>
      </c>
      <c r="P7" s="3729"/>
      <c r="Q7" s="3729"/>
      <c r="R7" s="3729"/>
    </row>
    <row r="8" spans="1:18" s="1368" customFormat="1" ht="25.5" x14ac:dyDescent="0.25">
      <c r="A8" s="4446"/>
      <c r="B8" s="4448"/>
      <c r="C8" s="3729"/>
      <c r="D8" s="3729"/>
      <c r="E8" s="146" t="s">
        <v>2232</v>
      </c>
      <c r="F8" s="146" t="s">
        <v>2233</v>
      </c>
      <c r="G8" s="2249" t="s">
        <v>98</v>
      </c>
      <c r="H8" s="1369" t="s">
        <v>2235</v>
      </c>
      <c r="I8" s="3729"/>
      <c r="J8" s="146" t="s">
        <v>2232</v>
      </c>
      <c r="K8" s="146" t="s">
        <v>2233</v>
      </c>
      <c r="L8" s="1369" t="s">
        <v>2234</v>
      </c>
      <c r="M8" s="1369" t="s">
        <v>2235</v>
      </c>
      <c r="N8" s="3729"/>
      <c r="O8" s="146" t="s">
        <v>2232</v>
      </c>
      <c r="P8" s="146" t="s">
        <v>2233</v>
      </c>
      <c r="Q8" s="1369" t="s">
        <v>2234</v>
      </c>
      <c r="R8" s="1369" t="s">
        <v>2235</v>
      </c>
    </row>
    <row r="9" spans="1:18" s="1370" customFormat="1" ht="15.75" thickBot="1" x14ac:dyDescent="0.3">
      <c r="A9" s="4447"/>
      <c r="B9" s="4448"/>
      <c r="C9" s="3729"/>
      <c r="D9" s="2241" t="str">
        <f>'Вхідні дані'!$F$6</f>
        <v>2022-2023</v>
      </c>
      <c r="E9" s="2241" t="str">
        <f>'Вхідні дані'!$F$6</f>
        <v>2022-2023</v>
      </c>
      <c r="F9" s="2241" t="str">
        <f>'Вхідні дані'!$F$6</f>
        <v>2022-2023</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c r="L9" s="2241" t="str">
        <f>'Вхідні дані'!$F$6</f>
        <v>2022-2023</v>
      </c>
      <c r="M9" s="2241" t="str">
        <f>'Вхідні дані'!$F$6</f>
        <v>2022-2023</v>
      </c>
      <c r="N9" s="2241" t="str">
        <f>'Вхідні дані'!$F$6</f>
        <v>2022-2023</v>
      </c>
      <c r="O9" s="2241" t="str">
        <f>'Вхідні дані'!$F$6</f>
        <v>2022-2023</v>
      </c>
      <c r="P9" s="2241" t="str">
        <f>'Вхідні дані'!$F$6</f>
        <v>2022-2023</v>
      </c>
      <c r="Q9" s="2241" t="str">
        <f>'Вхідні дані'!$F$6</f>
        <v>2022-2023</v>
      </c>
      <c r="R9" s="2241" t="str">
        <f>'Вхідні дані'!$F$6</f>
        <v>2022-2023</v>
      </c>
    </row>
    <row r="10" spans="1:18" s="1368" customFormat="1" x14ac:dyDescent="0.25">
      <c r="A10" s="1371">
        <v>1</v>
      </c>
      <c r="B10" s="905" t="s">
        <v>497</v>
      </c>
      <c r="C10" s="2242">
        <v>3</v>
      </c>
      <c r="D10" s="905" t="s">
        <v>181</v>
      </c>
      <c r="E10" s="905" t="s">
        <v>176</v>
      </c>
      <c r="F10" s="905" t="s">
        <v>177</v>
      </c>
      <c r="G10" s="905" t="s">
        <v>178</v>
      </c>
      <c r="H10" s="905" t="s">
        <v>179</v>
      </c>
      <c r="I10" s="905" t="s">
        <v>194</v>
      </c>
      <c r="J10" s="905" t="s">
        <v>195</v>
      </c>
      <c r="K10" s="905" t="s">
        <v>196</v>
      </c>
      <c r="L10" s="905" t="s">
        <v>197</v>
      </c>
      <c r="M10" s="905" t="s">
        <v>197</v>
      </c>
      <c r="N10" s="905" t="s">
        <v>194</v>
      </c>
      <c r="O10" s="905" t="s">
        <v>195</v>
      </c>
      <c r="P10" s="905" t="s">
        <v>196</v>
      </c>
      <c r="Q10" s="905" t="s">
        <v>197</v>
      </c>
      <c r="R10" s="905" t="s">
        <v>197</v>
      </c>
    </row>
    <row r="11" spans="1:18" x14ac:dyDescent="0.25">
      <c r="A11" s="120">
        <v>1</v>
      </c>
      <c r="B11" s="13" t="s">
        <v>224</v>
      </c>
      <c r="C11" s="127" t="s">
        <v>40</v>
      </c>
      <c r="D11" s="1372">
        <f>'Д 2_Т на В'!H12</f>
        <v>70936.5</v>
      </c>
      <c r="E11" s="1372">
        <f>'Д 2_Т на В'!L12</f>
        <v>0</v>
      </c>
      <c r="F11" s="1372">
        <f>'Д 2_Т на В'!P12</f>
        <v>0</v>
      </c>
      <c r="G11" s="1372">
        <f>'Д 2_Т на В'!T12</f>
        <v>0</v>
      </c>
      <c r="H11" s="1372">
        <f>'Д 2_Т на В'!X12</f>
        <v>70936.5</v>
      </c>
      <c r="I11" s="1388" t="e">
        <f>#REF!</f>
        <v>#REF!</v>
      </c>
      <c r="J11" s="1388" t="e">
        <f>#REF!</f>
        <v>#REF!</v>
      </c>
      <c r="K11" s="1388" t="e">
        <f>#REF!</f>
        <v>#REF!</v>
      </c>
      <c r="L11" s="1388" t="e">
        <f>#REF!</f>
        <v>#REF!</v>
      </c>
      <c r="M11" s="1388" t="e">
        <f>#REF!</f>
        <v>#REF!</v>
      </c>
      <c r="N11" s="1372" t="e">
        <f>D11-I11</f>
        <v>#REF!</v>
      </c>
      <c r="O11" s="1372" t="e">
        <f>E11-J11</f>
        <v>#REF!</v>
      </c>
      <c r="P11" s="1372" t="e">
        <f>F11-K11</f>
        <v>#REF!</v>
      </c>
      <c r="Q11" s="1372" t="e">
        <f>G11-L11</f>
        <v>#REF!</v>
      </c>
      <c r="R11" s="1372" t="e">
        <f>H11-M11</f>
        <v>#REF!</v>
      </c>
    </row>
    <row r="12" spans="1:18" x14ac:dyDescent="0.25">
      <c r="A12" s="123" t="s">
        <v>23</v>
      </c>
      <c r="B12" s="13" t="s">
        <v>225</v>
      </c>
      <c r="C12" s="125" t="s">
        <v>40</v>
      </c>
      <c r="D12" s="1372">
        <f>'Д 2_Т на В'!H13</f>
        <v>55382.93</v>
      </c>
      <c r="E12" s="1372">
        <f>'Д 2_Т на В'!L13</f>
        <v>0</v>
      </c>
      <c r="F12" s="1372">
        <f>'Д 2_Т на В'!P13</f>
        <v>0</v>
      </c>
      <c r="G12" s="1372">
        <f>'Д 2_Т на В'!T13</f>
        <v>0</v>
      </c>
      <c r="H12" s="1372">
        <f>'Д 2_Т на В'!X13</f>
        <v>55382.93</v>
      </c>
      <c r="I12" s="1388" t="e">
        <f>#REF!</f>
        <v>#REF!</v>
      </c>
      <c r="J12" s="1388" t="e">
        <f>#REF!</f>
        <v>#REF!</v>
      </c>
      <c r="K12" s="1388" t="e">
        <f>#REF!</f>
        <v>#REF!</v>
      </c>
      <c r="L12" s="1388" t="e">
        <f>#REF!</f>
        <v>#REF!</v>
      </c>
      <c r="M12" s="1388" t="e">
        <f>#REF!</f>
        <v>#REF!</v>
      </c>
      <c r="N12" s="1372" t="e">
        <f t="shared" ref="N12:R51" si="0">D12-I12</f>
        <v>#REF!</v>
      </c>
      <c r="O12" s="1372" t="e">
        <f t="shared" si="0"/>
        <v>#REF!</v>
      </c>
      <c r="P12" s="1372" t="e">
        <f t="shared" si="0"/>
        <v>#REF!</v>
      </c>
      <c r="Q12" s="1372" t="e">
        <f t="shared" si="0"/>
        <v>#REF!</v>
      </c>
      <c r="R12" s="1372" t="e">
        <f t="shared" si="0"/>
        <v>#REF!</v>
      </c>
    </row>
    <row r="13" spans="1:18" x14ac:dyDescent="0.25">
      <c r="A13" s="2237" t="s">
        <v>41</v>
      </c>
      <c r="B13" s="906" t="s">
        <v>453</v>
      </c>
      <c r="C13" s="2242" t="s">
        <v>40</v>
      </c>
      <c r="D13" s="1372">
        <f>'Д 2_Т на В'!H14</f>
        <v>54631.040000000001</v>
      </c>
      <c r="E13" s="1372">
        <f>'Д 2_Т на В'!L14</f>
        <v>0</v>
      </c>
      <c r="F13" s="1372">
        <f>'Д 2_Т на В'!P14</f>
        <v>0</v>
      </c>
      <c r="G13" s="1372">
        <f>'Д 2_Т на В'!T14</f>
        <v>0</v>
      </c>
      <c r="H13" s="1372">
        <f>'Д 2_Т на В'!X14</f>
        <v>54631.040000000001</v>
      </c>
      <c r="I13" s="1388" t="e">
        <f>#REF!</f>
        <v>#REF!</v>
      </c>
      <c r="J13" s="1388" t="e">
        <f>#REF!</f>
        <v>#REF!</v>
      </c>
      <c r="K13" s="1388" t="e">
        <f>#REF!</f>
        <v>#REF!</v>
      </c>
      <c r="L13" s="1388" t="e">
        <f>#REF!</f>
        <v>#REF!</v>
      </c>
      <c r="M13" s="1388" t="e">
        <f>#REF!</f>
        <v>#REF!</v>
      </c>
      <c r="N13" s="1372" t="e">
        <f t="shared" si="0"/>
        <v>#REF!</v>
      </c>
      <c r="O13" s="1372" t="e">
        <f t="shared" si="0"/>
        <v>#REF!</v>
      </c>
      <c r="P13" s="1372" t="e">
        <f t="shared" si="0"/>
        <v>#REF!</v>
      </c>
      <c r="Q13" s="1372" t="e">
        <f t="shared" si="0"/>
        <v>#REF!</v>
      </c>
      <c r="R13" s="1372" t="e">
        <f t="shared" si="0"/>
        <v>#REF!</v>
      </c>
    </row>
    <row r="14" spans="1:18" x14ac:dyDescent="0.25">
      <c r="A14" s="2237" t="s">
        <v>454</v>
      </c>
      <c r="B14" s="2243" t="s">
        <v>439</v>
      </c>
      <c r="C14" s="2242" t="s">
        <v>40</v>
      </c>
      <c r="D14" s="1372">
        <f>'Д 2_Т на В'!H15</f>
        <v>52940.37</v>
      </c>
      <c r="E14" s="1372">
        <f>'Д 2_Т на В'!L15</f>
        <v>0</v>
      </c>
      <c r="F14" s="1372">
        <f>'Д 2_Т на В'!P15</f>
        <v>0</v>
      </c>
      <c r="G14" s="1372">
        <f>'Д 2_Т на В'!T15</f>
        <v>0</v>
      </c>
      <c r="H14" s="1372">
        <f>'Д 2_Т на В'!X15</f>
        <v>52940.37</v>
      </c>
      <c r="I14" s="1388" t="e">
        <f>#REF!</f>
        <v>#REF!</v>
      </c>
      <c r="J14" s="1388" t="e">
        <f>#REF!</f>
        <v>#REF!</v>
      </c>
      <c r="K14" s="1388" t="e">
        <f>#REF!</f>
        <v>#REF!</v>
      </c>
      <c r="L14" s="1388" t="e">
        <f>#REF!</f>
        <v>#REF!</v>
      </c>
      <c r="M14" s="1388" t="e">
        <f>#REF!</f>
        <v>#REF!</v>
      </c>
      <c r="N14" s="1372" t="e">
        <f t="shared" si="0"/>
        <v>#REF!</v>
      </c>
      <c r="O14" s="1372" t="e">
        <f t="shared" si="0"/>
        <v>#REF!</v>
      </c>
      <c r="P14" s="1372" t="e">
        <f t="shared" si="0"/>
        <v>#REF!</v>
      </c>
      <c r="Q14" s="1372" t="e">
        <f t="shared" si="0"/>
        <v>#REF!</v>
      </c>
      <c r="R14" s="1372" t="e">
        <f t="shared" si="0"/>
        <v>#REF!</v>
      </c>
    </row>
    <row r="15" spans="1:18" x14ac:dyDescent="0.25">
      <c r="A15" s="2237" t="s">
        <v>455</v>
      </c>
      <c r="B15" s="2243" t="s">
        <v>1832</v>
      </c>
      <c r="C15" s="2242" t="s">
        <v>40</v>
      </c>
      <c r="D15" s="1372">
        <f>'Д 2_Т на В'!H16</f>
        <v>236.45</v>
      </c>
      <c r="E15" s="1372">
        <f>'Д 2_Т на В'!L16</f>
        <v>0</v>
      </c>
      <c r="F15" s="1372">
        <f>'Д 2_Т на В'!P16</f>
        <v>0</v>
      </c>
      <c r="G15" s="1372">
        <f>'Д 2_Т на В'!T16</f>
        <v>0</v>
      </c>
      <c r="H15" s="1372">
        <f>'Д 2_Т на В'!X16</f>
        <v>236.45</v>
      </c>
      <c r="I15" s="1388" t="e">
        <f>#REF!</f>
        <v>#REF!</v>
      </c>
      <c r="J15" s="1388" t="e">
        <f>#REF!</f>
        <v>#REF!</v>
      </c>
      <c r="K15" s="1388" t="e">
        <f>#REF!</f>
        <v>#REF!</v>
      </c>
      <c r="L15" s="1388" t="e">
        <f>#REF!</f>
        <v>#REF!</v>
      </c>
      <c r="M15" s="1388" t="e">
        <f>#REF!</f>
        <v>#REF!</v>
      </c>
      <c r="N15" s="1372" t="e">
        <f t="shared" si="0"/>
        <v>#REF!</v>
      </c>
      <c r="O15" s="1372" t="e">
        <f t="shared" si="0"/>
        <v>#REF!</v>
      </c>
      <c r="P15" s="1372" t="e">
        <f t="shared" si="0"/>
        <v>#REF!</v>
      </c>
      <c r="Q15" s="1372" t="e">
        <f t="shared" si="0"/>
        <v>#REF!</v>
      </c>
      <c r="R15" s="1372" t="e">
        <f t="shared" si="0"/>
        <v>#REF!</v>
      </c>
    </row>
    <row r="16" spans="1:18" x14ac:dyDescent="0.25">
      <c r="A16" s="2237" t="s">
        <v>456</v>
      </c>
      <c r="B16" s="2243" t="s">
        <v>1833</v>
      </c>
      <c r="C16" s="2242" t="s">
        <v>40</v>
      </c>
      <c r="D16" s="1372">
        <f>'Д 2_Т на В'!H17</f>
        <v>1454.22</v>
      </c>
      <c r="E16" s="1372">
        <f>'Д 2_Т на В'!L17</f>
        <v>0</v>
      </c>
      <c r="F16" s="1372">
        <f>'Д 2_Т на В'!P17</f>
        <v>0</v>
      </c>
      <c r="G16" s="1372">
        <f>'Д 2_Т на В'!T17</f>
        <v>0</v>
      </c>
      <c r="H16" s="1372">
        <f>'Д 2_Т на В'!X17</f>
        <v>1454.22</v>
      </c>
      <c r="I16" s="1388" t="e">
        <f>#REF!</f>
        <v>#REF!</v>
      </c>
      <c r="J16" s="1388" t="e">
        <f>#REF!</f>
        <v>#REF!</v>
      </c>
      <c r="K16" s="1388" t="e">
        <f>#REF!</f>
        <v>#REF!</v>
      </c>
      <c r="L16" s="1388" t="e">
        <f>#REF!</f>
        <v>#REF!</v>
      </c>
      <c r="M16" s="1388" t="e">
        <f>#REF!</f>
        <v>#REF!</v>
      </c>
      <c r="N16" s="1372" t="e">
        <f t="shared" si="0"/>
        <v>#REF!</v>
      </c>
      <c r="O16" s="1372" t="e">
        <f t="shared" si="0"/>
        <v>#REF!</v>
      </c>
      <c r="P16" s="1372" t="e">
        <f t="shared" si="0"/>
        <v>#REF!</v>
      </c>
      <c r="Q16" s="1372" t="e">
        <f t="shared" si="0"/>
        <v>#REF!</v>
      </c>
      <c r="R16" s="1372" t="e">
        <f t="shared" si="0"/>
        <v>#REF!</v>
      </c>
    </row>
    <row r="17" spans="1:18" x14ac:dyDescent="0.25">
      <c r="A17" s="123" t="s">
        <v>42</v>
      </c>
      <c r="B17" s="124" t="s">
        <v>43</v>
      </c>
      <c r="C17" s="125" t="s">
        <v>40</v>
      </c>
      <c r="D17" s="1372">
        <f>'Д 2_Т на В'!H18</f>
        <v>466.11</v>
      </c>
      <c r="E17" s="1372">
        <f>'Д 2_Т на В'!L18</f>
        <v>0</v>
      </c>
      <c r="F17" s="1372">
        <f>'Д 2_Т на В'!P18</f>
        <v>0</v>
      </c>
      <c r="G17" s="1372">
        <f>'Д 2_Т на В'!T18</f>
        <v>0</v>
      </c>
      <c r="H17" s="1372">
        <f>'Д 2_Т на В'!X18</f>
        <v>466.11</v>
      </c>
      <c r="I17" s="1388" t="e">
        <f>#REF!</f>
        <v>#REF!</v>
      </c>
      <c r="J17" s="1388" t="e">
        <f>#REF!</f>
        <v>#REF!</v>
      </c>
      <c r="K17" s="1388" t="e">
        <f>#REF!</f>
        <v>#REF!</v>
      </c>
      <c r="L17" s="1388" t="e">
        <f>#REF!</f>
        <v>#REF!</v>
      </c>
      <c r="M17" s="1388" t="e">
        <f>#REF!</f>
        <v>#REF!</v>
      </c>
      <c r="N17" s="1372" t="e">
        <f t="shared" si="0"/>
        <v>#REF!</v>
      </c>
      <c r="O17" s="1372" t="e">
        <f t="shared" si="0"/>
        <v>#REF!</v>
      </c>
      <c r="P17" s="1372" t="e">
        <f t="shared" si="0"/>
        <v>#REF!</v>
      </c>
      <c r="Q17" s="1372" t="e">
        <f t="shared" si="0"/>
        <v>#REF!</v>
      </c>
      <c r="R17" s="1372" t="e">
        <f t="shared" si="0"/>
        <v>#REF!</v>
      </c>
    </row>
    <row r="18" spans="1:18" ht="56.25" x14ac:dyDescent="0.25">
      <c r="A18" s="2238" t="s">
        <v>44</v>
      </c>
      <c r="B18" s="2244" t="s">
        <v>1908</v>
      </c>
      <c r="C18" s="125" t="s">
        <v>40</v>
      </c>
      <c r="D18" s="1372">
        <f>'Д 2_Т на В'!H19</f>
        <v>0</v>
      </c>
      <c r="E18" s="1372">
        <f>'Д 2_Т на В'!L19</f>
        <v>0</v>
      </c>
      <c r="F18" s="1372">
        <f>'Д 2_Т на В'!P19</f>
        <v>0</v>
      </c>
      <c r="G18" s="1372">
        <f>'Д 2_Т на В'!T19</f>
        <v>0</v>
      </c>
      <c r="H18" s="1372">
        <f>'Д 2_Т на В'!X19</f>
        <v>0</v>
      </c>
      <c r="I18" s="1388" t="e">
        <f>#REF!</f>
        <v>#REF!</v>
      </c>
      <c r="J18" s="1388" t="e">
        <f>#REF!</f>
        <v>#REF!</v>
      </c>
      <c r="K18" s="1388" t="e">
        <f>#REF!</f>
        <v>#REF!</v>
      </c>
      <c r="L18" s="1388" t="e">
        <f>#REF!</f>
        <v>#REF!</v>
      </c>
      <c r="M18" s="1388" t="e">
        <f>#REF!</f>
        <v>#REF!</v>
      </c>
      <c r="N18" s="1372" t="e">
        <f t="shared" si="0"/>
        <v>#REF!</v>
      </c>
      <c r="O18" s="1372" t="e">
        <f t="shared" si="0"/>
        <v>#REF!</v>
      </c>
      <c r="P18" s="1372" t="e">
        <f t="shared" si="0"/>
        <v>#REF!</v>
      </c>
      <c r="Q18" s="1372" t="e">
        <f t="shared" si="0"/>
        <v>#REF!</v>
      </c>
      <c r="R18" s="1372" t="e">
        <f t="shared" si="0"/>
        <v>#REF!</v>
      </c>
    </row>
    <row r="19" spans="1:18" x14ac:dyDescent="0.25">
      <c r="A19" s="2239" t="s">
        <v>558</v>
      </c>
      <c r="B19" s="2244" t="s">
        <v>559</v>
      </c>
      <c r="C19" s="2242" t="s">
        <v>40</v>
      </c>
      <c r="D19" s="1372">
        <f>'Д 2_Т на В'!H20</f>
        <v>0</v>
      </c>
      <c r="E19" s="1372">
        <f>'Д 2_Т на В'!L20</f>
        <v>0</v>
      </c>
      <c r="F19" s="1372">
        <f>'Д 2_Т на В'!P20</f>
        <v>0</v>
      </c>
      <c r="G19" s="1372">
        <f>'Д 2_Т на В'!T20</f>
        <v>0</v>
      </c>
      <c r="H19" s="1372">
        <f>'Д 2_Т на В'!X20</f>
        <v>0</v>
      </c>
      <c r="I19" s="1388" t="e">
        <f>#REF!</f>
        <v>#REF!</v>
      </c>
      <c r="J19" s="1388" t="e">
        <f>#REF!</f>
        <v>#REF!</v>
      </c>
      <c r="K19" s="1388" t="e">
        <f>#REF!</f>
        <v>#REF!</v>
      </c>
      <c r="L19" s="1388" t="e">
        <f>#REF!</f>
        <v>#REF!</v>
      </c>
      <c r="M19" s="1388" t="e">
        <f>#REF!</f>
        <v>#REF!</v>
      </c>
      <c r="N19" s="1372" t="e">
        <f t="shared" si="0"/>
        <v>#REF!</v>
      </c>
      <c r="O19" s="1372" t="e">
        <f t="shared" si="0"/>
        <v>#REF!</v>
      </c>
      <c r="P19" s="1372" t="e">
        <f t="shared" si="0"/>
        <v>#REF!</v>
      </c>
      <c r="Q19" s="1372" t="e">
        <f t="shared" si="0"/>
        <v>#REF!</v>
      </c>
      <c r="R19" s="1372" t="e">
        <f t="shared" si="0"/>
        <v>#REF!</v>
      </c>
    </row>
    <row r="20" spans="1:18" ht="20.45" customHeight="1" x14ac:dyDescent="0.25">
      <c r="A20" s="2239" t="s">
        <v>560</v>
      </c>
      <c r="B20" s="2244" t="s">
        <v>561</v>
      </c>
      <c r="C20" s="2242" t="s">
        <v>40</v>
      </c>
      <c r="D20" s="1372">
        <f>'Д 2_Т на В'!H21</f>
        <v>0</v>
      </c>
      <c r="E20" s="1372">
        <f>'Д 2_Т на В'!L21</f>
        <v>0</v>
      </c>
      <c r="F20" s="1372">
        <f>'Д 2_Т на В'!P21</f>
        <v>0</v>
      </c>
      <c r="G20" s="1372">
        <f>'Д 2_Т на В'!T21</f>
        <v>0</v>
      </c>
      <c r="H20" s="1372">
        <f>'Д 2_Т на В'!X21</f>
        <v>0</v>
      </c>
      <c r="I20" s="1388" t="e">
        <f>#REF!</f>
        <v>#REF!</v>
      </c>
      <c r="J20" s="1388" t="e">
        <f>#REF!</f>
        <v>#REF!</v>
      </c>
      <c r="K20" s="1388" t="e">
        <f>#REF!</f>
        <v>#REF!</v>
      </c>
      <c r="L20" s="1388" t="e">
        <f>#REF!</f>
        <v>#REF!</v>
      </c>
      <c r="M20" s="1388" t="e">
        <f>#REF!</f>
        <v>#REF!</v>
      </c>
      <c r="N20" s="1372" t="e">
        <f t="shared" si="0"/>
        <v>#REF!</v>
      </c>
      <c r="O20" s="1372" t="e">
        <f t="shared" si="0"/>
        <v>#REF!</v>
      </c>
      <c r="P20" s="1372" t="e">
        <f t="shared" si="0"/>
        <v>#REF!</v>
      </c>
      <c r="Q20" s="1372" t="e">
        <f t="shared" si="0"/>
        <v>#REF!</v>
      </c>
      <c r="R20" s="1372" t="e">
        <f t="shared" si="0"/>
        <v>#REF!</v>
      </c>
    </row>
    <row r="21" spans="1:18" ht="22.5" x14ac:dyDescent="0.25">
      <c r="A21" s="2238" t="s">
        <v>45</v>
      </c>
      <c r="B21" s="904" t="s">
        <v>1610</v>
      </c>
      <c r="C21" s="125" t="s">
        <v>40</v>
      </c>
      <c r="D21" s="1372">
        <f>'Д 2_Т на В'!H22</f>
        <v>38.79</v>
      </c>
      <c r="E21" s="1372">
        <f>'Д 2_Т на В'!L22</f>
        <v>0</v>
      </c>
      <c r="F21" s="1372">
        <f>'Д 2_Т на В'!P22</f>
        <v>0</v>
      </c>
      <c r="G21" s="1372">
        <f>'Д 2_Т на В'!T22</f>
        <v>0</v>
      </c>
      <c r="H21" s="1372">
        <f>'Д 2_Т на В'!X22</f>
        <v>38.79</v>
      </c>
      <c r="I21" s="1388" t="e">
        <f>#REF!</f>
        <v>#REF!</v>
      </c>
      <c r="J21" s="1388" t="e">
        <f>#REF!</f>
        <v>#REF!</v>
      </c>
      <c r="K21" s="1388" t="e">
        <f>#REF!</f>
        <v>#REF!</v>
      </c>
      <c r="L21" s="1388" t="e">
        <f>#REF!</f>
        <v>#REF!</v>
      </c>
      <c r="M21" s="1388" t="e">
        <f>#REF!</f>
        <v>#REF!</v>
      </c>
      <c r="N21" s="1372" t="e">
        <f t="shared" si="0"/>
        <v>#REF!</v>
      </c>
      <c r="O21" s="1372" t="e">
        <f t="shared" si="0"/>
        <v>#REF!</v>
      </c>
      <c r="P21" s="1372" t="e">
        <f t="shared" si="0"/>
        <v>#REF!</v>
      </c>
      <c r="Q21" s="1372" t="e">
        <f t="shared" si="0"/>
        <v>#REF!</v>
      </c>
      <c r="R21" s="1372" t="e">
        <f t="shared" si="0"/>
        <v>#REF!</v>
      </c>
    </row>
    <row r="22" spans="1:18" x14ac:dyDescent="0.25">
      <c r="A22" s="2238" t="s">
        <v>46</v>
      </c>
      <c r="B22" s="81" t="s">
        <v>598</v>
      </c>
      <c r="C22" s="125" t="s">
        <v>40</v>
      </c>
      <c r="D22" s="1372">
        <f>'Д 2_Т на В'!H23</f>
        <v>246.99</v>
      </c>
      <c r="E22" s="1372">
        <f>'Д 2_Т на В'!L23</f>
        <v>0</v>
      </c>
      <c r="F22" s="1372">
        <f>'Д 2_Т на В'!P23</f>
        <v>0</v>
      </c>
      <c r="G22" s="1372">
        <f>'Д 2_Т на В'!T23</f>
        <v>0</v>
      </c>
      <c r="H22" s="1372">
        <f>'Д 2_Т на В'!X23</f>
        <v>246.99</v>
      </c>
      <c r="I22" s="1388" t="e">
        <f>#REF!</f>
        <v>#REF!</v>
      </c>
      <c r="J22" s="1388" t="e">
        <f>#REF!</f>
        <v>#REF!</v>
      </c>
      <c r="K22" s="1388" t="e">
        <f>#REF!</f>
        <v>#REF!</v>
      </c>
      <c r="L22" s="1388" t="e">
        <f>#REF!</f>
        <v>#REF!</v>
      </c>
      <c r="M22" s="1388" t="e">
        <f>#REF!</f>
        <v>#REF!</v>
      </c>
      <c r="N22" s="1372" t="e">
        <f t="shared" si="0"/>
        <v>#REF!</v>
      </c>
      <c r="O22" s="1372" t="e">
        <f t="shared" si="0"/>
        <v>#REF!</v>
      </c>
      <c r="P22" s="1372" t="e">
        <f t="shared" si="0"/>
        <v>#REF!</v>
      </c>
      <c r="Q22" s="1372" t="e">
        <f t="shared" si="0"/>
        <v>#REF!</v>
      </c>
      <c r="R22" s="1372" t="e">
        <f t="shared" si="0"/>
        <v>#REF!</v>
      </c>
    </row>
    <row r="23" spans="1:18" x14ac:dyDescent="0.25">
      <c r="A23" s="123" t="s">
        <v>24</v>
      </c>
      <c r="B23" s="13" t="s">
        <v>47</v>
      </c>
      <c r="C23" s="125" t="s">
        <v>40</v>
      </c>
      <c r="D23" s="1372">
        <f>'Д 2_Т на В'!H24</f>
        <v>5029.51</v>
      </c>
      <c r="E23" s="1372">
        <f>'Д 2_Т на В'!L24</f>
        <v>0</v>
      </c>
      <c r="F23" s="1372">
        <f>'Д 2_Т на В'!P24</f>
        <v>0</v>
      </c>
      <c r="G23" s="1372">
        <f>'Д 2_Т на В'!T24</f>
        <v>0</v>
      </c>
      <c r="H23" s="1372">
        <f>'Д 2_Т на В'!X24</f>
        <v>5029.51</v>
      </c>
      <c r="I23" s="1388" t="e">
        <f>#REF!</f>
        <v>#REF!</v>
      </c>
      <c r="J23" s="1388" t="e">
        <f>#REF!</f>
        <v>#REF!</v>
      </c>
      <c r="K23" s="1388" t="e">
        <f>#REF!</f>
        <v>#REF!</v>
      </c>
      <c r="L23" s="1388" t="e">
        <f>#REF!</f>
        <v>#REF!</v>
      </c>
      <c r="M23" s="1388" t="e">
        <f>#REF!</f>
        <v>#REF!</v>
      </c>
      <c r="N23" s="1372" t="e">
        <f t="shared" si="0"/>
        <v>#REF!</v>
      </c>
      <c r="O23" s="1372" t="e">
        <f t="shared" si="0"/>
        <v>#REF!</v>
      </c>
      <c r="P23" s="1372" t="e">
        <f t="shared" si="0"/>
        <v>#REF!</v>
      </c>
      <c r="Q23" s="1372" t="e">
        <f t="shared" si="0"/>
        <v>#REF!</v>
      </c>
      <c r="R23" s="1372" t="e">
        <f t="shared" si="0"/>
        <v>#REF!</v>
      </c>
    </row>
    <row r="24" spans="1:18" x14ac:dyDescent="0.25">
      <c r="A24" s="123" t="s">
        <v>48</v>
      </c>
      <c r="B24" s="13" t="s">
        <v>226</v>
      </c>
      <c r="C24" s="125" t="s">
        <v>40</v>
      </c>
      <c r="D24" s="1372">
        <f>'Д 2_Т на В'!H25</f>
        <v>7104.5</v>
      </c>
      <c r="E24" s="1372">
        <f>'Д 2_Т на В'!L25</f>
        <v>0</v>
      </c>
      <c r="F24" s="1372">
        <f>'Д 2_Т на В'!P25</f>
        <v>0</v>
      </c>
      <c r="G24" s="1372">
        <f>'Д 2_Т на В'!T25</f>
        <v>0</v>
      </c>
      <c r="H24" s="1372">
        <f>'Д 2_Т на В'!X25</f>
        <v>7104.5</v>
      </c>
      <c r="I24" s="1388" t="e">
        <f>#REF!</f>
        <v>#REF!</v>
      </c>
      <c r="J24" s="1388" t="e">
        <f>#REF!</f>
        <v>#REF!</v>
      </c>
      <c r="K24" s="1388" t="e">
        <f>#REF!</f>
        <v>#REF!</v>
      </c>
      <c r="L24" s="1388" t="e">
        <f>#REF!</f>
        <v>#REF!</v>
      </c>
      <c r="M24" s="1388" t="e">
        <f>#REF!</f>
        <v>#REF!</v>
      </c>
      <c r="N24" s="1372" t="e">
        <f t="shared" si="0"/>
        <v>#REF!</v>
      </c>
      <c r="O24" s="1372" t="e">
        <f t="shared" si="0"/>
        <v>#REF!</v>
      </c>
      <c r="P24" s="1372" t="e">
        <f t="shared" si="0"/>
        <v>#REF!</v>
      </c>
      <c r="Q24" s="1372" t="e">
        <f t="shared" si="0"/>
        <v>#REF!</v>
      </c>
      <c r="R24" s="1372" t="e">
        <f t="shared" si="0"/>
        <v>#REF!</v>
      </c>
    </row>
    <row r="25" spans="1:18" ht="22.5" x14ac:dyDescent="0.25">
      <c r="A25" s="123" t="s">
        <v>49</v>
      </c>
      <c r="B25" s="906" t="s">
        <v>451</v>
      </c>
      <c r="C25" s="125" t="s">
        <v>40</v>
      </c>
      <c r="D25" s="1372">
        <f>'Д 2_Т на В'!H26</f>
        <v>1106.49</v>
      </c>
      <c r="E25" s="1372">
        <f>'Д 2_Т на В'!L26</f>
        <v>0</v>
      </c>
      <c r="F25" s="1372">
        <f>'Д 2_Т на В'!P26</f>
        <v>0</v>
      </c>
      <c r="G25" s="1372">
        <f>'Д 2_Т на В'!T26</f>
        <v>0</v>
      </c>
      <c r="H25" s="1372">
        <f>'Д 2_Т на В'!X26</f>
        <v>1106.49</v>
      </c>
      <c r="I25" s="1388" t="e">
        <f>#REF!</f>
        <v>#REF!</v>
      </c>
      <c r="J25" s="1388" t="e">
        <f>#REF!</f>
        <v>#REF!</v>
      </c>
      <c r="K25" s="1388" t="e">
        <f>#REF!</f>
        <v>#REF!</v>
      </c>
      <c r="L25" s="1388" t="e">
        <f>#REF!</f>
        <v>#REF!</v>
      </c>
      <c r="M25" s="1388" t="e">
        <f>#REF!</f>
        <v>#REF!</v>
      </c>
      <c r="N25" s="1372" t="e">
        <f t="shared" si="0"/>
        <v>#REF!</v>
      </c>
      <c r="O25" s="1372" t="e">
        <f t="shared" si="0"/>
        <v>#REF!</v>
      </c>
      <c r="P25" s="1372" t="e">
        <f t="shared" si="0"/>
        <v>#REF!</v>
      </c>
      <c r="Q25" s="1372" t="e">
        <f t="shared" si="0"/>
        <v>#REF!</v>
      </c>
      <c r="R25" s="1372" t="e">
        <f t="shared" si="0"/>
        <v>#REF!</v>
      </c>
    </row>
    <row r="26" spans="1:18" x14ac:dyDescent="0.25">
      <c r="A26" s="123" t="s">
        <v>50</v>
      </c>
      <c r="B26" s="906" t="s">
        <v>452</v>
      </c>
      <c r="C26" s="125" t="s">
        <v>40</v>
      </c>
      <c r="D26" s="1372">
        <f>'Д 2_Т на В'!H27</f>
        <v>2255</v>
      </c>
      <c r="E26" s="1372">
        <f>'Д 2_Т на В'!L27</f>
        <v>0</v>
      </c>
      <c r="F26" s="1372">
        <f>'Д 2_Т на В'!P27</f>
        <v>0</v>
      </c>
      <c r="G26" s="1372">
        <f>'Д 2_Т на В'!T27</f>
        <v>0</v>
      </c>
      <c r="H26" s="1372">
        <f>'Д 2_Т на В'!X27</f>
        <v>2255</v>
      </c>
      <c r="I26" s="1388" t="e">
        <f>#REF!</f>
        <v>#REF!</v>
      </c>
      <c r="J26" s="1388" t="e">
        <f>#REF!</f>
        <v>#REF!</v>
      </c>
      <c r="K26" s="1388" t="e">
        <f>#REF!</f>
        <v>#REF!</v>
      </c>
      <c r="L26" s="1388" t="e">
        <f>#REF!</f>
        <v>#REF!</v>
      </c>
      <c r="M26" s="1388" t="e">
        <f>#REF!</f>
        <v>#REF!</v>
      </c>
      <c r="N26" s="1372" t="e">
        <f t="shared" si="0"/>
        <v>#REF!</v>
      </c>
      <c r="O26" s="1372" t="e">
        <f t="shared" si="0"/>
        <v>#REF!</v>
      </c>
      <c r="P26" s="1372" t="e">
        <f t="shared" si="0"/>
        <v>#REF!</v>
      </c>
      <c r="Q26" s="1372" t="e">
        <f t="shared" si="0"/>
        <v>#REF!</v>
      </c>
      <c r="R26" s="1372" t="e">
        <f t="shared" si="0"/>
        <v>#REF!</v>
      </c>
    </row>
    <row r="27" spans="1:18" x14ac:dyDescent="0.25">
      <c r="A27" s="123" t="s">
        <v>51</v>
      </c>
      <c r="B27" s="124" t="s">
        <v>52</v>
      </c>
      <c r="C27" s="125" t="s">
        <v>40</v>
      </c>
      <c r="D27" s="1372">
        <f>'Д 2_Т на В'!H28</f>
        <v>3743.01</v>
      </c>
      <c r="E27" s="1372">
        <f>'Д 2_Т на В'!L28</f>
        <v>0</v>
      </c>
      <c r="F27" s="1372">
        <f>'Д 2_Т на В'!P28</f>
        <v>0</v>
      </c>
      <c r="G27" s="1372">
        <f>'Д 2_Т на В'!T28</f>
        <v>0</v>
      </c>
      <c r="H27" s="1372">
        <f>'Д 2_Т на В'!X28</f>
        <v>3743.01</v>
      </c>
      <c r="I27" s="1388" t="e">
        <f>#REF!</f>
        <v>#REF!</v>
      </c>
      <c r="J27" s="1388" t="e">
        <f>#REF!</f>
        <v>#REF!</v>
      </c>
      <c r="K27" s="1388" t="e">
        <f>#REF!</f>
        <v>#REF!</v>
      </c>
      <c r="L27" s="1388" t="e">
        <f>#REF!</f>
        <v>#REF!</v>
      </c>
      <c r="M27" s="1388" t="e">
        <f>#REF!</f>
        <v>#REF!</v>
      </c>
      <c r="N27" s="1372" t="e">
        <f t="shared" si="0"/>
        <v>#REF!</v>
      </c>
      <c r="O27" s="1372" t="e">
        <f t="shared" si="0"/>
        <v>#REF!</v>
      </c>
      <c r="P27" s="1372" t="e">
        <f t="shared" si="0"/>
        <v>#REF!</v>
      </c>
      <c r="Q27" s="1372" t="e">
        <f t="shared" si="0"/>
        <v>#REF!</v>
      </c>
      <c r="R27" s="1372" t="e">
        <f t="shared" si="0"/>
        <v>#REF!</v>
      </c>
    </row>
    <row r="28" spans="1:18" s="169" customFormat="1" x14ac:dyDescent="0.25">
      <c r="A28" s="120" t="s">
        <v>53</v>
      </c>
      <c r="B28" s="126" t="s">
        <v>227</v>
      </c>
      <c r="C28" s="127" t="s">
        <v>40</v>
      </c>
      <c r="D28" s="2103">
        <f>'Д 2_Т на В'!H29</f>
        <v>3419.56</v>
      </c>
      <c r="E28" s="2103">
        <f>'Д 2_Т на В'!L29</f>
        <v>0</v>
      </c>
      <c r="F28" s="2103">
        <f>'Д 2_Т на В'!P29</f>
        <v>0</v>
      </c>
      <c r="G28" s="2103">
        <f>'Д 2_Т на В'!T29</f>
        <v>0</v>
      </c>
      <c r="H28" s="2103">
        <f>'Д 2_Т на В'!X29</f>
        <v>3419.56</v>
      </c>
      <c r="I28" s="2245" t="e">
        <f>#REF!</f>
        <v>#REF!</v>
      </c>
      <c r="J28" s="2245" t="e">
        <f>#REF!</f>
        <v>#REF!</v>
      </c>
      <c r="K28" s="2245" t="e">
        <f>#REF!</f>
        <v>#REF!</v>
      </c>
      <c r="L28" s="2245" t="e">
        <f>#REF!</f>
        <v>#REF!</v>
      </c>
      <c r="M28" s="2245" t="e">
        <f>#REF!</f>
        <v>#REF!</v>
      </c>
      <c r="N28" s="2103" t="e">
        <f t="shared" si="0"/>
        <v>#REF!</v>
      </c>
      <c r="O28" s="2103" t="e">
        <f t="shared" si="0"/>
        <v>#REF!</v>
      </c>
      <c r="P28" s="2103" t="e">
        <f t="shared" si="0"/>
        <v>#REF!</v>
      </c>
      <c r="Q28" s="2103" t="e">
        <f t="shared" si="0"/>
        <v>#REF!</v>
      </c>
      <c r="R28" s="2103" t="e">
        <f t="shared" si="0"/>
        <v>#REF!</v>
      </c>
    </row>
    <row r="29" spans="1:18" x14ac:dyDescent="0.25">
      <c r="A29" s="123" t="s">
        <v>54</v>
      </c>
      <c r="B29" s="124" t="s">
        <v>55</v>
      </c>
      <c r="C29" s="125" t="s">
        <v>40</v>
      </c>
      <c r="D29" s="1372">
        <f>'Д 2_Т на В'!H30</f>
        <v>2277.36</v>
      </c>
      <c r="E29" s="1372">
        <f>'Д 2_Т на В'!L30</f>
        <v>0</v>
      </c>
      <c r="F29" s="1372">
        <f>'Д 2_Т на В'!P30</f>
        <v>0</v>
      </c>
      <c r="G29" s="1372">
        <f>'Д 2_Т на В'!T30</f>
        <v>0</v>
      </c>
      <c r="H29" s="1372">
        <f>'Д 2_Т на В'!X30</f>
        <v>2277.36</v>
      </c>
      <c r="I29" s="1388" t="e">
        <f>#REF!</f>
        <v>#REF!</v>
      </c>
      <c r="J29" s="1388" t="e">
        <f>#REF!</f>
        <v>#REF!</v>
      </c>
      <c r="K29" s="1388" t="e">
        <f>#REF!</f>
        <v>#REF!</v>
      </c>
      <c r="L29" s="1388" t="e">
        <f>#REF!</f>
        <v>#REF!</v>
      </c>
      <c r="M29" s="1388" t="e">
        <f>#REF!</f>
        <v>#REF!</v>
      </c>
      <c r="N29" s="1372" t="e">
        <f t="shared" si="0"/>
        <v>#REF!</v>
      </c>
      <c r="O29" s="1372" t="e">
        <f t="shared" si="0"/>
        <v>#REF!</v>
      </c>
      <c r="P29" s="1372" t="e">
        <f t="shared" si="0"/>
        <v>#REF!</v>
      </c>
      <c r="Q29" s="1372" t="e">
        <f t="shared" si="0"/>
        <v>#REF!</v>
      </c>
      <c r="R29" s="1372" t="e">
        <f t="shared" si="0"/>
        <v>#REF!</v>
      </c>
    </row>
    <row r="30" spans="1:18" ht="22.5" x14ac:dyDescent="0.25">
      <c r="A30" s="123" t="s">
        <v>56</v>
      </c>
      <c r="B30" s="906" t="s">
        <v>451</v>
      </c>
      <c r="C30" s="125" t="s">
        <v>40</v>
      </c>
      <c r="D30" s="1372">
        <f>'Д 2_Т на В'!H31</f>
        <v>501.02</v>
      </c>
      <c r="E30" s="1372">
        <f>'Д 2_Т на В'!L31</f>
        <v>0</v>
      </c>
      <c r="F30" s="1372">
        <f>'Д 2_Т на В'!P31</f>
        <v>0</v>
      </c>
      <c r="G30" s="1372">
        <f>'Д 2_Т на В'!T31</f>
        <v>0</v>
      </c>
      <c r="H30" s="1372">
        <f>'Д 2_Т на В'!X31</f>
        <v>501.02</v>
      </c>
      <c r="I30" s="1388" t="e">
        <f>#REF!</f>
        <v>#REF!</v>
      </c>
      <c r="J30" s="1388" t="e">
        <f>#REF!</f>
        <v>#REF!</v>
      </c>
      <c r="K30" s="1388" t="e">
        <f>#REF!</f>
        <v>#REF!</v>
      </c>
      <c r="L30" s="1388" t="e">
        <f>#REF!</f>
        <v>#REF!</v>
      </c>
      <c r="M30" s="1388" t="e">
        <f>#REF!</f>
        <v>#REF!</v>
      </c>
      <c r="N30" s="1372" t="e">
        <f t="shared" si="0"/>
        <v>#REF!</v>
      </c>
      <c r="O30" s="1372" t="e">
        <f t="shared" si="0"/>
        <v>#REF!</v>
      </c>
      <c r="P30" s="1372" t="e">
        <f t="shared" si="0"/>
        <v>#REF!</v>
      </c>
      <c r="Q30" s="1372" t="e">
        <f t="shared" si="0"/>
        <v>#REF!</v>
      </c>
      <c r="R30" s="1372" t="e">
        <f t="shared" si="0"/>
        <v>#REF!</v>
      </c>
    </row>
    <row r="31" spans="1:18" x14ac:dyDescent="0.25">
      <c r="A31" s="123" t="s">
        <v>57</v>
      </c>
      <c r="B31" s="124" t="s">
        <v>58</v>
      </c>
      <c r="C31" s="125" t="s">
        <v>40</v>
      </c>
      <c r="D31" s="1372">
        <f>'Д 2_Т на В'!H32</f>
        <v>641.17999999999995</v>
      </c>
      <c r="E31" s="1372">
        <f>'Д 2_Т на В'!L32</f>
        <v>0</v>
      </c>
      <c r="F31" s="1372">
        <f>'Д 2_Т на В'!P32</f>
        <v>0</v>
      </c>
      <c r="G31" s="1372">
        <f>'Д 2_Т на В'!T32</f>
        <v>0</v>
      </c>
      <c r="H31" s="1372">
        <f>'Д 2_Т на В'!X32</f>
        <v>641.17999999999995</v>
      </c>
      <c r="I31" s="1388" t="e">
        <f>#REF!</f>
        <v>#REF!</v>
      </c>
      <c r="J31" s="1388" t="e">
        <f>#REF!</f>
        <v>#REF!</v>
      </c>
      <c r="K31" s="1388" t="e">
        <f>#REF!</f>
        <v>#REF!</v>
      </c>
      <c r="L31" s="1388" t="e">
        <f>#REF!</f>
        <v>#REF!</v>
      </c>
      <c r="M31" s="1388" t="e">
        <f>#REF!</f>
        <v>#REF!</v>
      </c>
      <c r="N31" s="1372" t="e">
        <f t="shared" si="0"/>
        <v>#REF!</v>
      </c>
      <c r="O31" s="1372" t="e">
        <f t="shared" si="0"/>
        <v>#REF!</v>
      </c>
      <c r="P31" s="1372" t="e">
        <f t="shared" si="0"/>
        <v>#REF!</v>
      </c>
      <c r="Q31" s="1372" t="e">
        <f t="shared" si="0"/>
        <v>#REF!</v>
      </c>
      <c r="R31" s="1372" t="e">
        <f t="shared" si="0"/>
        <v>#REF!</v>
      </c>
    </row>
    <row r="32" spans="1:18" s="169" customFormat="1" x14ac:dyDescent="0.25">
      <c r="A32" s="120">
        <v>2</v>
      </c>
      <c r="B32" s="126" t="s">
        <v>228</v>
      </c>
      <c r="C32" s="127" t="s">
        <v>40</v>
      </c>
      <c r="D32" s="2103">
        <f>'Д 2_Т на В'!H33</f>
        <v>1363.33</v>
      </c>
      <c r="E32" s="2103">
        <f>'Д 2_Т на В'!L33</f>
        <v>0</v>
      </c>
      <c r="F32" s="2103">
        <f>'Д 2_Т на В'!P33</f>
        <v>0</v>
      </c>
      <c r="G32" s="2103">
        <f>'Д 2_Т на В'!T33</f>
        <v>0</v>
      </c>
      <c r="H32" s="2103">
        <f>'Д 2_Т на В'!X33</f>
        <v>1363.33</v>
      </c>
      <c r="I32" s="2245" t="e">
        <f>#REF!</f>
        <v>#REF!</v>
      </c>
      <c r="J32" s="2245" t="e">
        <f>#REF!</f>
        <v>#REF!</v>
      </c>
      <c r="K32" s="2245" t="e">
        <f>#REF!</f>
        <v>#REF!</v>
      </c>
      <c r="L32" s="2245" t="e">
        <f>#REF!</f>
        <v>#REF!</v>
      </c>
      <c r="M32" s="2245" t="e">
        <f>#REF!</f>
        <v>#REF!</v>
      </c>
      <c r="N32" s="2103" t="e">
        <f t="shared" si="0"/>
        <v>#REF!</v>
      </c>
      <c r="O32" s="2103" t="e">
        <f t="shared" si="0"/>
        <v>#REF!</v>
      </c>
      <c r="P32" s="2103" t="e">
        <f t="shared" si="0"/>
        <v>#REF!</v>
      </c>
      <c r="Q32" s="2103" t="e">
        <f t="shared" si="0"/>
        <v>#REF!</v>
      </c>
      <c r="R32" s="2103" t="e">
        <f t="shared" si="0"/>
        <v>#REF!</v>
      </c>
    </row>
    <row r="33" spans="1:18" x14ac:dyDescent="0.25">
      <c r="A33" s="123" t="s">
        <v>25</v>
      </c>
      <c r="B33" s="124" t="s">
        <v>55</v>
      </c>
      <c r="C33" s="125" t="s">
        <v>40</v>
      </c>
      <c r="D33" s="1372">
        <f>'Д 2_Т на В'!H34</f>
        <v>848.97</v>
      </c>
      <c r="E33" s="1372">
        <f>'Д 2_Т на В'!L34</f>
        <v>0</v>
      </c>
      <c r="F33" s="1372">
        <f>'Д 2_Т на В'!P34</f>
        <v>0</v>
      </c>
      <c r="G33" s="1372">
        <f>'Д 2_Т на В'!T34</f>
        <v>0</v>
      </c>
      <c r="H33" s="1372">
        <f>'Д 2_Т на В'!X34</f>
        <v>848.97</v>
      </c>
      <c r="I33" s="1388" t="e">
        <f>#REF!</f>
        <v>#REF!</v>
      </c>
      <c r="J33" s="1388" t="e">
        <f>#REF!</f>
        <v>#REF!</v>
      </c>
      <c r="K33" s="1388" t="e">
        <f>#REF!</f>
        <v>#REF!</v>
      </c>
      <c r="L33" s="1388" t="e">
        <f>#REF!</f>
        <v>#REF!</v>
      </c>
      <c r="M33" s="1388" t="e">
        <f>#REF!</f>
        <v>#REF!</v>
      </c>
      <c r="N33" s="1372" t="e">
        <f t="shared" si="0"/>
        <v>#REF!</v>
      </c>
      <c r="O33" s="1372" t="e">
        <f t="shared" si="0"/>
        <v>#REF!</v>
      </c>
      <c r="P33" s="1372" t="e">
        <f t="shared" si="0"/>
        <v>#REF!</v>
      </c>
      <c r="Q33" s="1372" t="e">
        <f t="shared" si="0"/>
        <v>#REF!</v>
      </c>
      <c r="R33" s="1372" t="e">
        <f t="shared" si="0"/>
        <v>#REF!</v>
      </c>
    </row>
    <row r="34" spans="1:18" ht="22.5" x14ac:dyDescent="0.25">
      <c r="A34" s="123" t="s">
        <v>26</v>
      </c>
      <c r="B34" s="906" t="s">
        <v>451</v>
      </c>
      <c r="C34" s="125" t="s">
        <v>40</v>
      </c>
      <c r="D34" s="1372">
        <f>'Д 2_Т на В'!H35</f>
        <v>186.77</v>
      </c>
      <c r="E34" s="1372">
        <f>'Д 2_Т на В'!L35</f>
        <v>0</v>
      </c>
      <c r="F34" s="1372">
        <f>'Д 2_Т на В'!P35</f>
        <v>0</v>
      </c>
      <c r="G34" s="1372">
        <f>'Д 2_Т на В'!T35</f>
        <v>0</v>
      </c>
      <c r="H34" s="1372">
        <f>'Д 2_Т на В'!X35</f>
        <v>186.77</v>
      </c>
      <c r="I34" s="1388" t="e">
        <f>#REF!</f>
        <v>#REF!</v>
      </c>
      <c r="J34" s="1388" t="e">
        <f>#REF!</f>
        <v>#REF!</v>
      </c>
      <c r="K34" s="1388" t="e">
        <f>#REF!</f>
        <v>#REF!</v>
      </c>
      <c r="L34" s="1388" t="e">
        <f>#REF!</f>
        <v>#REF!</v>
      </c>
      <c r="M34" s="1388" t="e">
        <f>#REF!</f>
        <v>#REF!</v>
      </c>
      <c r="N34" s="1372" t="e">
        <f t="shared" si="0"/>
        <v>#REF!</v>
      </c>
      <c r="O34" s="1372" t="e">
        <f t="shared" si="0"/>
        <v>#REF!</v>
      </c>
      <c r="P34" s="1372" t="e">
        <f t="shared" si="0"/>
        <v>#REF!</v>
      </c>
      <c r="Q34" s="1372" t="e">
        <f t="shared" si="0"/>
        <v>#REF!</v>
      </c>
      <c r="R34" s="1372" t="e">
        <f t="shared" si="0"/>
        <v>#REF!</v>
      </c>
    </row>
    <row r="35" spans="1:18" x14ac:dyDescent="0.25">
      <c r="A35" s="123" t="s">
        <v>59</v>
      </c>
      <c r="B35" s="124" t="s">
        <v>58</v>
      </c>
      <c r="C35" s="125" t="s">
        <v>40</v>
      </c>
      <c r="D35" s="1372">
        <f>'Д 2_Т на В'!H36</f>
        <v>327.58999999999997</v>
      </c>
      <c r="E35" s="1372">
        <f>'Д 2_Т на В'!L36</f>
        <v>0</v>
      </c>
      <c r="F35" s="1372">
        <f>'Д 2_Т на В'!P36</f>
        <v>0</v>
      </c>
      <c r="G35" s="1372">
        <f>'Д 2_Т на В'!T36</f>
        <v>0</v>
      </c>
      <c r="H35" s="1372">
        <f>'Д 2_Т на В'!X36</f>
        <v>327.58999999999997</v>
      </c>
      <c r="I35" s="1388" t="e">
        <f>#REF!</f>
        <v>#REF!</v>
      </c>
      <c r="J35" s="1388" t="e">
        <f>#REF!</f>
        <v>#REF!</v>
      </c>
      <c r="K35" s="1388" t="e">
        <f>#REF!</f>
        <v>#REF!</v>
      </c>
      <c r="L35" s="1388" t="e">
        <f>#REF!</f>
        <v>#REF!</v>
      </c>
      <c r="M35" s="1388" t="e">
        <f>#REF!</f>
        <v>#REF!</v>
      </c>
      <c r="N35" s="1372" t="e">
        <f t="shared" si="0"/>
        <v>#REF!</v>
      </c>
      <c r="O35" s="1372" t="e">
        <f t="shared" si="0"/>
        <v>#REF!</v>
      </c>
      <c r="P35" s="1372" t="e">
        <f t="shared" si="0"/>
        <v>#REF!</v>
      </c>
      <c r="Q35" s="1372" t="e">
        <f t="shared" si="0"/>
        <v>#REF!</v>
      </c>
      <c r="R35" s="1372" t="e">
        <f t="shared" si="0"/>
        <v>#REF!</v>
      </c>
    </row>
    <row r="36" spans="1:18" x14ac:dyDescent="0.25">
      <c r="A36" s="123" t="s">
        <v>180</v>
      </c>
      <c r="B36" s="13" t="s">
        <v>229</v>
      </c>
      <c r="C36" s="125" t="s">
        <v>40</v>
      </c>
      <c r="D36" s="1372">
        <f>'Д 2_Т на В'!H37</f>
        <v>0</v>
      </c>
      <c r="E36" s="1372">
        <f>'Д 2_Т на В'!L37</f>
        <v>0</v>
      </c>
      <c r="F36" s="1372">
        <f>'Д 2_Т на В'!P37</f>
        <v>0</v>
      </c>
      <c r="G36" s="1372">
        <f>'Д 2_Т на В'!T37</f>
        <v>0</v>
      </c>
      <c r="H36" s="1372">
        <f>'Д 2_Т на В'!X37</f>
        <v>0</v>
      </c>
      <c r="I36" s="1388" t="e">
        <f>#REF!</f>
        <v>#REF!</v>
      </c>
      <c r="J36" s="1388" t="e">
        <f>#REF!</f>
        <v>#REF!</v>
      </c>
      <c r="K36" s="1388" t="e">
        <f>#REF!</f>
        <v>#REF!</v>
      </c>
      <c r="L36" s="1388" t="e">
        <f>#REF!</f>
        <v>#REF!</v>
      </c>
      <c r="M36" s="1388" t="e">
        <f>#REF!</f>
        <v>#REF!</v>
      </c>
      <c r="N36" s="1372" t="e">
        <f t="shared" si="0"/>
        <v>#REF!</v>
      </c>
      <c r="O36" s="1372" t="e">
        <f t="shared" si="0"/>
        <v>#REF!</v>
      </c>
      <c r="P36" s="1372" t="e">
        <f t="shared" si="0"/>
        <v>#REF!</v>
      </c>
      <c r="Q36" s="1372" t="e">
        <f t="shared" si="0"/>
        <v>#REF!</v>
      </c>
      <c r="R36" s="1372" t="e">
        <f t="shared" si="0"/>
        <v>#REF!</v>
      </c>
    </row>
    <row r="37" spans="1:18" x14ac:dyDescent="0.25">
      <c r="A37" s="123" t="s">
        <v>60</v>
      </c>
      <c r="B37" s="13" t="s">
        <v>55</v>
      </c>
      <c r="C37" s="125" t="s">
        <v>40</v>
      </c>
      <c r="D37" s="1372">
        <f>'Д 2_Т на В'!H38</f>
        <v>0</v>
      </c>
      <c r="E37" s="1372">
        <f>'Д 2_Т на В'!L38</f>
        <v>0</v>
      </c>
      <c r="F37" s="1372">
        <f>'Д 2_Т на В'!P38</f>
        <v>0</v>
      </c>
      <c r="G37" s="1372">
        <f>'Д 2_Т на В'!T38</f>
        <v>0</v>
      </c>
      <c r="H37" s="1372">
        <f>'Д 2_Т на В'!X38</f>
        <v>0</v>
      </c>
      <c r="I37" s="1388" t="e">
        <f>#REF!</f>
        <v>#REF!</v>
      </c>
      <c r="J37" s="1388" t="e">
        <f>#REF!</f>
        <v>#REF!</v>
      </c>
      <c r="K37" s="1388" t="e">
        <f>#REF!</f>
        <v>#REF!</v>
      </c>
      <c r="L37" s="1388" t="e">
        <f>#REF!</f>
        <v>#REF!</v>
      </c>
      <c r="M37" s="1388" t="e">
        <f>#REF!</f>
        <v>#REF!</v>
      </c>
      <c r="N37" s="1372" t="e">
        <f t="shared" si="0"/>
        <v>#REF!</v>
      </c>
      <c r="O37" s="1372" t="e">
        <f t="shared" si="0"/>
        <v>#REF!</v>
      </c>
      <c r="P37" s="1372" t="e">
        <f t="shared" si="0"/>
        <v>#REF!</v>
      </c>
      <c r="Q37" s="1372" t="e">
        <f t="shared" si="0"/>
        <v>#REF!</v>
      </c>
      <c r="R37" s="1372" t="e">
        <f t="shared" si="0"/>
        <v>#REF!</v>
      </c>
    </row>
    <row r="38" spans="1:18" ht="22.5" x14ac:dyDescent="0.25">
      <c r="A38" s="123" t="s">
        <v>61</v>
      </c>
      <c r="B38" s="906" t="s">
        <v>451</v>
      </c>
      <c r="C38" s="125" t="s">
        <v>40</v>
      </c>
      <c r="D38" s="1372">
        <f>'Д 2_Т на В'!H39</f>
        <v>0</v>
      </c>
      <c r="E38" s="1372">
        <f>'Д 2_Т на В'!L39</f>
        <v>0</v>
      </c>
      <c r="F38" s="1372">
        <f>'Д 2_Т на В'!P39</f>
        <v>0</v>
      </c>
      <c r="G38" s="1372">
        <f>'Д 2_Т на В'!T39</f>
        <v>0</v>
      </c>
      <c r="H38" s="1372">
        <f>'Д 2_Т на В'!X39</f>
        <v>0</v>
      </c>
      <c r="I38" s="1388" t="e">
        <f>#REF!</f>
        <v>#REF!</v>
      </c>
      <c r="J38" s="1388" t="e">
        <f>#REF!</f>
        <v>#REF!</v>
      </c>
      <c r="K38" s="1388" t="e">
        <f>#REF!</f>
        <v>#REF!</v>
      </c>
      <c r="L38" s="1388" t="e">
        <f>#REF!</f>
        <v>#REF!</v>
      </c>
      <c r="M38" s="1388" t="e">
        <f>#REF!</f>
        <v>#REF!</v>
      </c>
      <c r="N38" s="1372" t="e">
        <f t="shared" si="0"/>
        <v>#REF!</v>
      </c>
      <c r="O38" s="1372" t="e">
        <f t="shared" si="0"/>
        <v>#REF!</v>
      </c>
      <c r="P38" s="1372" t="e">
        <f t="shared" si="0"/>
        <v>#REF!</v>
      </c>
      <c r="Q38" s="1372" t="e">
        <f t="shared" si="0"/>
        <v>#REF!</v>
      </c>
      <c r="R38" s="1372" t="e">
        <f t="shared" si="0"/>
        <v>#REF!</v>
      </c>
    </row>
    <row r="39" spans="1:18" x14ac:dyDescent="0.25">
      <c r="A39" s="123" t="s">
        <v>62</v>
      </c>
      <c r="B39" s="13" t="s">
        <v>58</v>
      </c>
      <c r="C39" s="125" t="s">
        <v>40</v>
      </c>
      <c r="D39" s="1372">
        <f>'Д 2_Т на В'!H40</f>
        <v>0</v>
      </c>
      <c r="E39" s="1372">
        <f>'Д 2_Т на В'!L40</f>
        <v>0</v>
      </c>
      <c r="F39" s="1372">
        <f>'Д 2_Т на В'!P40</f>
        <v>0</v>
      </c>
      <c r="G39" s="1372">
        <f>'Д 2_Т на В'!T40</f>
        <v>0</v>
      </c>
      <c r="H39" s="1372">
        <f>'Д 2_Т на В'!X40</f>
        <v>0</v>
      </c>
      <c r="I39" s="1388" t="e">
        <f>#REF!</f>
        <v>#REF!</v>
      </c>
      <c r="J39" s="1388" t="e">
        <f>#REF!</f>
        <v>#REF!</v>
      </c>
      <c r="K39" s="1388" t="e">
        <f>#REF!</f>
        <v>#REF!</v>
      </c>
      <c r="L39" s="1388" t="e">
        <f>#REF!</f>
        <v>#REF!</v>
      </c>
      <c r="M39" s="1388" t="e">
        <f>#REF!</f>
        <v>#REF!</v>
      </c>
      <c r="N39" s="1372" t="e">
        <f t="shared" si="0"/>
        <v>#REF!</v>
      </c>
      <c r="O39" s="1372" t="e">
        <f t="shared" si="0"/>
        <v>#REF!</v>
      </c>
      <c r="P39" s="1372" t="e">
        <f t="shared" si="0"/>
        <v>#REF!</v>
      </c>
      <c r="Q39" s="1372" t="e">
        <f t="shared" si="0"/>
        <v>#REF!</v>
      </c>
      <c r="R39" s="1372" t="e">
        <f t="shared" si="0"/>
        <v>#REF!</v>
      </c>
    </row>
    <row r="40" spans="1:18" x14ac:dyDescent="0.25">
      <c r="A40" s="123" t="s">
        <v>181</v>
      </c>
      <c r="B40" s="124" t="s">
        <v>182</v>
      </c>
      <c r="C40" s="125" t="s">
        <v>40</v>
      </c>
      <c r="D40" s="1372">
        <f>'Д 2_Т на В'!H41</f>
        <v>0</v>
      </c>
      <c r="E40" s="1372">
        <f>'Д 2_Т на В'!L41</f>
        <v>0</v>
      </c>
      <c r="F40" s="1372">
        <f>'Д 2_Т на В'!P41</f>
        <v>0</v>
      </c>
      <c r="G40" s="1372">
        <f>'Д 2_Т на В'!T41</f>
        <v>0</v>
      </c>
      <c r="H40" s="1372">
        <f>'Д 2_Т на В'!X41</f>
        <v>0</v>
      </c>
      <c r="I40" s="1388" t="e">
        <f>#REF!</f>
        <v>#REF!</v>
      </c>
      <c r="J40" s="1388" t="e">
        <f>#REF!</f>
        <v>#REF!</v>
      </c>
      <c r="K40" s="1388" t="e">
        <f>#REF!</f>
        <v>#REF!</v>
      </c>
      <c r="L40" s="1388" t="e">
        <f>#REF!</f>
        <v>#REF!</v>
      </c>
      <c r="M40" s="1388" t="e">
        <f>#REF!</f>
        <v>#REF!</v>
      </c>
      <c r="N40" s="1372" t="e">
        <f t="shared" si="0"/>
        <v>#REF!</v>
      </c>
      <c r="O40" s="1372" t="e">
        <f t="shared" si="0"/>
        <v>#REF!</v>
      </c>
      <c r="P40" s="1372" t="e">
        <f t="shared" si="0"/>
        <v>#REF!</v>
      </c>
      <c r="Q40" s="1372" t="e">
        <f t="shared" si="0"/>
        <v>#REF!</v>
      </c>
      <c r="R40" s="1372" t="e">
        <f t="shared" si="0"/>
        <v>#REF!</v>
      </c>
    </row>
    <row r="41" spans="1:18" x14ac:dyDescent="0.25">
      <c r="A41" s="123" t="s">
        <v>176</v>
      </c>
      <c r="B41" s="124" t="s">
        <v>5</v>
      </c>
      <c r="C41" s="125" t="s">
        <v>40</v>
      </c>
      <c r="D41" s="1372">
        <f>'Д 2_Т на В'!H42</f>
        <v>0</v>
      </c>
      <c r="E41" s="1372">
        <f>'Д 2_Т на В'!L42</f>
        <v>0</v>
      </c>
      <c r="F41" s="1372">
        <f>'Д 2_Т на В'!P42</f>
        <v>0</v>
      </c>
      <c r="G41" s="1372">
        <f>'Д 2_Т на В'!T42</f>
        <v>0</v>
      </c>
      <c r="H41" s="1372">
        <f>'Д 2_Т на В'!X42</f>
        <v>0</v>
      </c>
      <c r="I41" s="1388" t="e">
        <f>#REF!</f>
        <v>#REF!</v>
      </c>
      <c r="J41" s="1388" t="e">
        <f>#REF!</f>
        <v>#REF!</v>
      </c>
      <c r="K41" s="1388" t="e">
        <f>#REF!</f>
        <v>#REF!</v>
      </c>
      <c r="L41" s="1388" t="e">
        <f>#REF!</f>
        <v>#REF!</v>
      </c>
      <c r="M41" s="1388" t="e">
        <f>#REF!</f>
        <v>#REF!</v>
      </c>
      <c r="N41" s="1372" t="e">
        <f t="shared" si="0"/>
        <v>#REF!</v>
      </c>
      <c r="O41" s="1372" t="e">
        <f t="shared" si="0"/>
        <v>#REF!</v>
      </c>
      <c r="P41" s="1372" t="e">
        <f t="shared" si="0"/>
        <v>#REF!</v>
      </c>
      <c r="Q41" s="1372" t="e">
        <f t="shared" si="0"/>
        <v>#REF!</v>
      </c>
      <c r="R41" s="1372" t="e">
        <f t="shared" si="0"/>
        <v>#REF!</v>
      </c>
    </row>
    <row r="42" spans="1:18" x14ac:dyDescent="0.25">
      <c r="A42" s="120" t="s">
        <v>177</v>
      </c>
      <c r="B42" s="126" t="s">
        <v>183</v>
      </c>
      <c r="C42" s="127" t="s">
        <v>40</v>
      </c>
      <c r="D42" s="2246">
        <f>'Д 2_Т на В'!H43</f>
        <v>72299.83</v>
      </c>
      <c r="E42" s="2246">
        <f>'Д 2_Т на В'!L43</f>
        <v>0</v>
      </c>
      <c r="F42" s="2246">
        <f>'Д 2_Т на В'!P43</f>
        <v>0</v>
      </c>
      <c r="G42" s="2246">
        <f>'Д 2_Т на В'!T43</f>
        <v>0</v>
      </c>
      <c r="H42" s="2246">
        <f>'Д 2_Т на В'!X43</f>
        <v>72299.83</v>
      </c>
      <c r="I42" s="1388" t="e">
        <f>#REF!</f>
        <v>#REF!</v>
      </c>
      <c r="J42" s="1388" t="e">
        <f>#REF!</f>
        <v>#REF!</v>
      </c>
      <c r="K42" s="1388" t="e">
        <f>#REF!</f>
        <v>#REF!</v>
      </c>
      <c r="L42" s="1388" t="e">
        <f>#REF!</f>
        <v>#REF!</v>
      </c>
      <c r="M42" s="1388" t="e">
        <f>#REF!</f>
        <v>#REF!</v>
      </c>
      <c r="N42" s="1372" t="e">
        <f t="shared" si="0"/>
        <v>#REF!</v>
      </c>
      <c r="O42" s="1372" t="e">
        <f t="shared" si="0"/>
        <v>#REF!</v>
      </c>
      <c r="P42" s="1372" t="e">
        <f t="shared" si="0"/>
        <v>#REF!</v>
      </c>
      <c r="Q42" s="1372" t="e">
        <f t="shared" si="0"/>
        <v>#REF!</v>
      </c>
      <c r="R42" s="1372" t="e">
        <f t="shared" si="0"/>
        <v>#REF!</v>
      </c>
    </row>
    <row r="43" spans="1:18" x14ac:dyDescent="0.25">
      <c r="A43" s="120" t="s">
        <v>178</v>
      </c>
      <c r="B43" s="126" t="s">
        <v>230</v>
      </c>
      <c r="C43" s="127" t="s">
        <v>40</v>
      </c>
      <c r="D43" s="2246">
        <f>'Д 2_Т на В'!H44</f>
        <v>0</v>
      </c>
      <c r="E43" s="2246">
        <f>'Д 2_Т на В'!L44</f>
        <v>0</v>
      </c>
      <c r="F43" s="2246">
        <f>'Д 2_Т на В'!P44</f>
        <v>0</v>
      </c>
      <c r="G43" s="2246">
        <f>'Д 2_Т на В'!T44</f>
        <v>0</v>
      </c>
      <c r="H43" s="2246">
        <f>'Д 2_Т на В'!X44</f>
        <v>0</v>
      </c>
      <c r="I43" s="1388" t="e">
        <f>#REF!</f>
        <v>#REF!</v>
      </c>
      <c r="J43" s="1388" t="e">
        <f>#REF!</f>
        <v>#REF!</v>
      </c>
      <c r="K43" s="1388" t="e">
        <f>#REF!</f>
        <v>#REF!</v>
      </c>
      <c r="L43" s="1388" t="e">
        <f>#REF!</f>
        <v>#REF!</v>
      </c>
      <c r="M43" s="1388" t="e">
        <f>#REF!</f>
        <v>#REF!</v>
      </c>
      <c r="N43" s="1372" t="e">
        <f t="shared" si="0"/>
        <v>#REF!</v>
      </c>
      <c r="O43" s="1372" t="e">
        <f t="shared" si="0"/>
        <v>#REF!</v>
      </c>
      <c r="P43" s="1372" t="e">
        <f t="shared" si="0"/>
        <v>#REF!</v>
      </c>
      <c r="Q43" s="1372" t="e">
        <f t="shared" si="0"/>
        <v>#REF!</v>
      </c>
      <c r="R43" s="1372" t="e">
        <f t="shared" si="0"/>
        <v>#REF!</v>
      </c>
    </row>
    <row r="44" spans="1:18" x14ac:dyDescent="0.25">
      <c r="A44" s="120" t="s">
        <v>179</v>
      </c>
      <c r="B44" s="2247" t="s">
        <v>231</v>
      </c>
      <c r="C44" s="127" t="s">
        <v>40</v>
      </c>
      <c r="D44" s="2246">
        <f>'Д 2_Т на В'!H45</f>
        <v>4123.9799999999996</v>
      </c>
      <c r="E44" s="2246">
        <f>'Д 2_Т на В'!L45</f>
        <v>0</v>
      </c>
      <c r="F44" s="2246">
        <f>'Д 2_Т на В'!P45</f>
        <v>0</v>
      </c>
      <c r="G44" s="2246">
        <f>'Д 2_Т на В'!T45</f>
        <v>0</v>
      </c>
      <c r="H44" s="2246">
        <f>'Д 2_Т на В'!X45</f>
        <v>4123.9799999999996</v>
      </c>
      <c r="I44" s="1388" t="e">
        <f>#REF!</f>
        <v>#REF!</v>
      </c>
      <c r="J44" s="1388" t="e">
        <f>#REF!</f>
        <v>#REF!</v>
      </c>
      <c r="K44" s="1388" t="e">
        <f>#REF!</f>
        <v>#REF!</v>
      </c>
      <c r="L44" s="1388" t="e">
        <f>#REF!</f>
        <v>#REF!</v>
      </c>
      <c r="M44" s="1388" t="e">
        <f>#REF!</f>
        <v>#REF!</v>
      </c>
      <c r="N44" s="1372" t="e">
        <f t="shared" si="0"/>
        <v>#REF!</v>
      </c>
      <c r="O44" s="1372" t="e">
        <f t="shared" si="0"/>
        <v>#REF!</v>
      </c>
      <c r="P44" s="1372" t="e">
        <f t="shared" si="0"/>
        <v>#REF!</v>
      </c>
      <c r="Q44" s="1372" t="e">
        <f t="shared" si="0"/>
        <v>#REF!</v>
      </c>
      <c r="R44" s="1372" t="e">
        <f t="shared" si="0"/>
        <v>#REF!</v>
      </c>
    </row>
    <row r="45" spans="1:18" x14ac:dyDescent="0.25">
      <c r="A45" s="123" t="s">
        <v>116</v>
      </c>
      <c r="B45" s="124" t="s">
        <v>65</v>
      </c>
      <c r="C45" s="125" t="s">
        <v>40</v>
      </c>
      <c r="D45" s="1372">
        <f>'Д 2_Т на В'!H46</f>
        <v>520.55999999999995</v>
      </c>
      <c r="E45" s="1372">
        <f>'Д 2_Т на В'!L46</f>
        <v>0</v>
      </c>
      <c r="F45" s="1372">
        <f>'Д 2_Т на В'!P46</f>
        <v>0</v>
      </c>
      <c r="G45" s="1372">
        <f>'Д 2_Т на В'!T46</f>
        <v>0</v>
      </c>
      <c r="H45" s="1372">
        <f>'Д 2_Т на В'!X46</f>
        <v>520.55999999999995</v>
      </c>
      <c r="I45" s="1388" t="e">
        <f>#REF!</f>
        <v>#REF!</v>
      </c>
      <c r="J45" s="1388" t="e">
        <f>#REF!</f>
        <v>#REF!</v>
      </c>
      <c r="K45" s="1388" t="e">
        <f>#REF!</f>
        <v>#REF!</v>
      </c>
      <c r="L45" s="1388" t="e">
        <f>#REF!</f>
        <v>#REF!</v>
      </c>
      <c r="M45" s="1388" t="e">
        <f>#REF!</f>
        <v>#REF!</v>
      </c>
      <c r="N45" s="1372" t="e">
        <f t="shared" si="0"/>
        <v>#REF!</v>
      </c>
      <c r="O45" s="1372" t="e">
        <f t="shared" si="0"/>
        <v>#REF!</v>
      </c>
      <c r="P45" s="1372" t="e">
        <f t="shared" si="0"/>
        <v>#REF!</v>
      </c>
      <c r="Q45" s="1372" t="e">
        <f t="shared" si="0"/>
        <v>#REF!</v>
      </c>
      <c r="R45" s="1372" t="e">
        <f t="shared" si="0"/>
        <v>#REF!</v>
      </c>
    </row>
    <row r="46" spans="1:18" x14ac:dyDescent="0.25">
      <c r="A46" s="123" t="s">
        <v>118</v>
      </c>
      <c r="B46" s="124" t="s">
        <v>67</v>
      </c>
      <c r="C46" s="125" t="s">
        <v>40</v>
      </c>
      <c r="D46" s="1372">
        <f>'Д 2_Т на В'!H47</f>
        <v>711.43</v>
      </c>
      <c r="E46" s="1372">
        <f>'Д 2_Т на В'!L47</f>
        <v>0</v>
      </c>
      <c r="F46" s="1372">
        <f>'Д 2_Т на В'!P47</f>
        <v>0</v>
      </c>
      <c r="G46" s="1372">
        <f>'Д 2_Т на В'!T47</f>
        <v>0</v>
      </c>
      <c r="H46" s="1372">
        <f>'Д 2_Т на В'!X47</f>
        <v>711.43</v>
      </c>
      <c r="I46" s="1388" t="e">
        <f>#REF!</f>
        <v>#REF!</v>
      </c>
      <c r="J46" s="1388" t="e">
        <f>#REF!</f>
        <v>#REF!</v>
      </c>
      <c r="K46" s="1388" t="e">
        <f>#REF!</f>
        <v>#REF!</v>
      </c>
      <c r="L46" s="1388" t="e">
        <f>#REF!</f>
        <v>#REF!</v>
      </c>
      <c r="M46" s="1388" t="e">
        <f>#REF!</f>
        <v>#REF!</v>
      </c>
      <c r="N46" s="1372" t="e">
        <f t="shared" si="0"/>
        <v>#REF!</v>
      </c>
      <c r="O46" s="1372" t="e">
        <f t="shared" si="0"/>
        <v>#REF!</v>
      </c>
      <c r="P46" s="1372" t="e">
        <f t="shared" si="0"/>
        <v>#REF!</v>
      </c>
      <c r="Q46" s="1372" t="e">
        <f t="shared" si="0"/>
        <v>#REF!</v>
      </c>
      <c r="R46" s="1372" t="e">
        <f t="shared" si="0"/>
        <v>#REF!</v>
      </c>
    </row>
    <row r="47" spans="1:18" x14ac:dyDescent="0.25">
      <c r="A47" s="123" t="s">
        <v>120</v>
      </c>
      <c r="B47" s="124" t="s">
        <v>69</v>
      </c>
      <c r="C47" s="125" t="s">
        <v>40</v>
      </c>
      <c r="D47" s="1372">
        <f>'Д 2_Т на В'!H48</f>
        <v>0</v>
      </c>
      <c r="E47" s="1372">
        <f>'Д 2_Т на В'!L48</f>
        <v>0</v>
      </c>
      <c r="F47" s="1372">
        <f>'Д 2_Т на В'!P48</f>
        <v>0</v>
      </c>
      <c r="G47" s="1372">
        <f>'Д 2_Т на В'!T48</f>
        <v>0</v>
      </c>
      <c r="H47" s="1372">
        <f>'Д 2_Т на В'!X48</f>
        <v>0</v>
      </c>
      <c r="I47" s="1388" t="e">
        <f>#REF!</f>
        <v>#REF!</v>
      </c>
      <c r="J47" s="1388" t="e">
        <f>#REF!</f>
        <v>#REF!</v>
      </c>
      <c r="K47" s="1388" t="e">
        <f>#REF!</f>
        <v>#REF!</v>
      </c>
      <c r="L47" s="1388" t="e">
        <f>#REF!</f>
        <v>#REF!</v>
      </c>
      <c r="M47" s="1388" t="e">
        <f>#REF!</f>
        <v>#REF!</v>
      </c>
      <c r="N47" s="1372" t="e">
        <f t="shared" si="0"/>
        <v>#REF!</v>
      </c>
      <c r="O47" s="1372" t="e">
        <f t="shared" si="0"/>
        <v>#REF!</v>
      </c>
      <c r="P47" s="1372" t="e">
        <f t="shared" si="0"/>
        <v>#REF!</v>
      </c>
      <c r="Q47" s="1372" t="e">
        <f t="shared" si="0"/>
        <v>#REF!</v>
      </c>
      <c r="R47" s="1372" t="e">
        <f t="shared" si="0"/>
        <v>#REF!</v>
      </c>
    </row>
    <row r="48" spans="1:18" x14ac:dyDescent="0.25">
      <c r="A48" s="123" t="s">
        <v>122</v>
      </c>
      <c r="B48" s="124" t="s">
        <v>71</v>
      </c>
      <c r="C48" s="125" t="s">
        <v>40</v>
      </c>
      <c r="D48" s="1372">
        <f>'Д 2_Т на В'!H49</f>
        <v>0</v>
      </c>
      <c r="E48" s="1372">
        <f>'Д 2_Т на В'!L49</f>
        <v>0</v>
      </c>
      <c r="F48" s="1372">
        <f>'Д 2_Т на В'!P49</f>
        <v>0</v>
      </c>
      <c r="G48" s="1372">
        <f>'Д 2_Т на В'!T49</f>
        <v>0</v>
      </c>
      <c r="H48" s="1372">
        <f>'Д 2_Т на В'!X49</f>
        <v>0</v>
      </c>
      <c r="I48" s="1388" t="e">
        <f>#REF!</f>
        <v>#REF!</v>
      </c>
      <c r="J48" s="1388" t="e">
        <f>#REF!</f>
        <v>#REF!</v>
      </c>
      <c r="K48" s="1388" t="e">
        <f>#REF!</f>
        <v>#REF!</v>
      </c>
      <c r="L48" s="1388" t="e">
        <f>#REF!</f>
        <v>#REF!</v>
      </c>
      <c r="M48" s="1388" t="e">
        <f>#REF!</f>
        <v>#REF!</v>
      </c>
      <c r="N48" s="1372" t="e">
        <f t="shared" si="0"/>
        <v>#REF!</v>
      </c>
      <c r="O48" s="1372" t="e">
        <f t="shared" si="0"/>
        <v>#REF!</v>
      </c>
      <c r="P48" s="1372" t="e">
        <f t="shared" si="0"/>
        <v>#REF!</v>
      </c>
      <c r="Q48" s="1372" t="e">
        <f t="shared" si="0"/>
        <v>#REF!</v>
      </c>
      <c r="R48" s="1372" t="e">
        <f t="shared" si="0"/>
        <v>#REF!</v>
      </c>
    </row>
    <row r="49" spans="1:18" x14ac:dyDescent="0.25">
      <c r="A49" s="123" t="s">
        <v>232</v>
      </c>
      <c r="B49" s="124" t="s">
        <v>87</v>
      </c>
      <c r="C49" s="125" t="s">
        <v>40</v>
      </c>
      <c r="D49" s="1372">
        <f>'Д 2_Т на В'!H50</f>
        <v>2891.99</v>
      </c>
      <c r="E49" s="1372">
        <f>'Д 2_Т на В'!L50</f>
        <v>0</v>
      </c>
      <c r="F49" s="1372">
        <f>'Д 2_Т на В'!P50</f>
        <v>0</v>
      </c>
      <c r="G49" s="1372">
        <f>'Д 2_Т на В'!T50</f>
        <v>0</v>
      </c>
      <c r="H49" s="1372">
        <f>'Д 2_Т на В'!X50</f>
        <v>2891.99</v>
      </c>
      <c r="I49" s="1388" t="e">
        <f>#REF!</f>
        <v>#REF!</v>
      </c>
      <c r="J49" s="1388" t="e">
        <f>#REF!</f>
        <v>#REF!</v>
      </c>
      <c r="K49" s="1388" t="e">
        <f>#REF!</f>
        <v>#REF!</v>
      </c>
      <c r="L49" s="1388" t="e">
        <f>#REF!</f>
        <v>#REF!</v>
      </c>
      <c r="M49" s="1388" t="e">
        <f>#REF!</f>
        <v>#REF!</v>
      </c>
      <c r="N49" s="1372" t="e">
        <f t="shared" si="0"/>
        <v>#REF!</v>
      </c>
      <c r="O49" s="1372" t="e">
        <f t="shared" si="0"/>
        <v>#REF!</v>
      </c>
      <c r="P49" s="1372" t="e">
        <f t="shared" si="0"/>
        <v>#REF!</v>
      </c>
      <c r="Q49" s="1372" t="e">
        <f t="shared" si="0"/>
        <v>#REF!</v>
      </c>
      <c r="R49" s="1372" t="e">
        <f t="shared" si="0"/>
        <v>#REF!</v>
      </c>
    </row>
    <row r="50" spans="1:18" ht="21" x14ac:dyDescent="0.25">
      <c r="A50" s="120" t="s">
        <v>194</v>
      </c>
      <c r="B50" s="126" t="s">
        <v>73</v>
      </c>
      <c r="C50" s="127" t="s">
        <v>40</v>
      </c>
      <c r="D50" s="2246">
        <f>'Д 2_Т на В'!H51</f>
        <v>76423.81</v>
      </c>
      <c r="E50" s="2246">
        <f>'Д 2_Т на В'!L51</f>
        <v>0</v>
      </c>
      <c r="F50" s="2246">
        <f>'Д 2_Т на В'!P51</f>
        <v>0</v>
      </c>
      <c r="G50" s="2246">
        <f>'Д 2_Т на В'!T51</f>
        <v>0</v>
      </c>
      <c r="H50" s="2246">
        <f>'Д 2_Т на В'!X51</f>
        <v>76423.81</v>
      </c>
      <c r="I50" s="1388" t="e">
        <f>#REF!</f>
        <v>#REF!</v>
      </c>
      <c r="J50" s="1388" t="e">
        <f>#REF!</f>
        <v>#REF!</v>
      </c>
      <c r="K50" s="1388" t="e">
        <f>#REF!</f>
        <v>#REF!</v>
      </c>
      <c r="L50" s="1388" t="e">
        <f>#REF!</f>
        <v>#REF!</v>
      </c>
      <c r="M50" s="1388" t="e">
        <f>#REF!</f>
        <v>#REF!</v>
      </c>
      <c r="N50" s="1372" t="e">
        <f t="shared" si="0"/>
        <v>#REF!</v>
      </c>
      <c r="O50" s="1372" t="e">
        <f t="shared" si="0"/>
        <v>#REF!</v>
      </c>
      <c r="P50" s="1372" t="e">
        <f t="shared" si="0"/>
        <v>#REF!</v>
      </c>
      <c r="Q50" s="1372" t="e">
        <f t="shared" si="0"/>
        <v>#REF!</v>
      </c>
      <c r="R50" s="1372" t="e">
        <f t="shared" si="0"/>
        <v>#REF!</v>
      </c>
    </row>
    <row r="51" spans="1:18" x14ac:dyDescent="0.25">
      <c r="A51" s="120" t="s">
        <v>195</v>
      </c>
      <c r="B51" s="126" t="s">
        <v>234</v>
      </c>
      <c r="C51" s="127" t="s">
        <v>74</v>
      </c>
      <c r="D51" s="1372">
        <f>'Д 2_Т на В'!H52</f>
        <v>7163.27</v>
      </c>
      <c r="E51" s="1372">
        <f>'Д 2_Т на В'!L52</f>
        <v>0</v>
      </c>
      <c r="F51" s="1372">
        <f>'Д 2_Т на В'!P52</f>
        <v>0</v>
      </c>
      <c r="G51" s="1372">
        <f>'Д 2_Т на В'!T52</f>
        <v>0</v>
      </c>
      <c r="H51" s="1372">
        <f>'Д 2_Т на В'!X52</f>
        <v>7163.27</v>
      </c>
      <c r="I51" s="1388" t="e">
        <f>#REF!</f>
        <v>#REF!</v>
      </c>
      <c r="J51" s="1388" t="e">
        <f>#REF!</f>
        <v>#REF!</v>
      </c>
      <c r="K51" s="1388" t="e">
        <f>#REF!</f>
        <v>#REF!</v>
      </c>
      <c r="L51" s="1388" t="e">
        <f>#REF!</f>
        <v>#REF!</v>
      </c>
      <c r="M51" s="1388" t="e">
        <f>#REF!</f>
        <v>#REF!</v>
      </c>
      <c r="N51" s="1372" t="e">
        <f t="shared" si="0"/>
        <v>#REF!</v>
      </c>
      <c r="O51" s="1372" t="e">
        <f t="shared" si="0"/>
        <v>#REF!</v>
      </c>
      <c r="P51" s="1372" t="e">
        <f t="shared" si="0"/>
        <v>#REF!</v>
      </c>
      <c r="Q51" s="1372" t="e">
        <f t="shared" si="0"/>
        <v>#REF!</v>
      </c>
      <c r="R51" s="1372" t="e">
        <f t="shared" si="0"/>
        <v>#REF!</v>
      </c>
    </row>
    <row r="52" spans="1:18" x14ac:dyDescent="0.25">
      <c r="A52" s="123" t="s">
        <v>89</v>
      </c>
      <c r="B52" s="13" t="s">
        <v>235</v>
      </c>
      <c r="C52" s="127" t="s">
        <v>74</v>
      </c>
      <c r="D52" s="1372">
        <f>'Д 2_Т на В'!H53</f>
        <v>5120.62</v>
      </c>
      <c r="E52" s="1372">
        <f>'Д 2_Т на В'!L53</f>
        <v>0</v>
      </c>
      <c r="F52" s="1372">
        <f>'Д 2_Т на В'!P53</f>
        <v>0</v>
      </c>
      <c r="G52" s="1372">
        <f>'Д 2_Т на В'!T53</f>
        <v>0</v>
      </c>
      <c r="H52" s="1372">
        <f>'Д 2_Т на В'!X53</f>
        <v>5120.62</v>
      </c>
      <c r="I52" s="1388"/>
      <c r="J52" s="35"/>
      <c r="K52" s="35"/>
      <c r="L52" s="35"/>
      <c r="M52" s="35"/>
      <c r="N52" s="35"/>
      <c r="O52" s="35"/>
      <c r="P52" s="35"/>
      <c r="Q52" s="35"/>
      <c r="R52" s="35"/>
    </row>
    <row r="53" spans="1:18" x14ac:dyDescent="0.25">
      <c r="A53" s="123" t="s">
        <v>91</v>
      </c>
      <c r="B53" s="13" t="s">
        <v>236</v>
      </c>
      <c r="C53" s="127" t="s">
        <v>74</v>
      </c>
      <c r="D53" s="1372">
        <f>'Д 2_Т на В'!H54</f>
        <v>1656.11</v>
      </c>
      <c r="E53" s="1372">
        <f>'Д 2_Т на В'!L54</f>
        <v>0</v>
      </c>
      <c r="F53" s="1372">
        <f>'Д 2_Т на В'!P54</f>
        <v>0</v>
      </c>
      <c r="G53" s="1372">
        <f>'Д 2_Т на В'!T54</f>
        <v>0</v>
      </c>
      <c r="H53" s="1372">
        <f>'Д 2_Т на В'!X54</f>
        <v>1656.11</v>
      </c>
      <c r="I53" s="1388"/>
      <c r="J53" s="35"/>
      <c r="K53" s="35"/>
      <c r="L53" s="35"/>
      <c r="M53" s="35"/>
      <c r="N53" s="35"/>
      <c r="O53" s="35"/>
      <c r="P53" s="35"/>
      <c r="Q53" s="35"/>
      <c r="R53" s="35"/>
    </row>
    <row r="54" spans="1:18" ht="21" x14ac:dyDescent="0.25">
      <c r="A54" s="2240" t="s">
        <v>196</v>
      </c>
      <c r="B54" s="2248" t="s">
        <v>562</v>
      </c>
      <c r="C54" s="127" t="s">
        <v>22</v>
      </c>
      <c r="D54" s="1372">
        <f>'Д 2_Т на В'!H55</f>
        <v>9459.3799999999992</v>
      </c>
      <c r="E54" s="1372">
        <f>'Д 2_Т на В'!L55</f>
        <v>0</v>
      </c>
      <c r="F54" s="1372">
        <f>'Д 2_Т на В'!P55</f>
        <v>0</v>
      </c>
      <c r="G54" s="1372">
        <f>'Д 2_Т на В'!T55</f>
        <v>0</v>
      </c>
      <c r="H54" s="1372">
        <f>'Д 2_Т на В'!X55</f>
        <v>9459.3799999999992</v>
      </c>
      <c r="I54" s="1388"/>
      <c r="J54" s="35"/>
      <c r="K54" s="35"/>
      <c r="L54" s="35"/>
      <c r="M54" s="35"/>
      <c r="N54" s="35"/>
      <c r="O54" s="35"/>
      <c r="P54" s="35"/>
      <c r="Q54" s="35"/>
      <c r="R54" s="35"/>
    </row>
    <row r="55" spans="1:18" x14ac:dyDescent="0.25">
      <c r="A55" s="2240" t="s">
        <v>197</v>
      </c>
      <c r="B55" s="908" t="s">
        <v>76</v>
      </c>
      <c r="C55" s="127" t="s">
        <v>22</v>
      </c>
      <c r="D55" s="1372">
        <f>'Д 2_Т на В'!H56</f>
        <v>0</v>
      </c>
      <c r="E55" s="1372">
        <f>'Д 2_Т на В'!L56</f>
        <v>0</v>
      </c>
      <c r="F55" s="1372">
        <f>'Д 2_Т на В'!P56</f>
        <v>0</v>
      </c>
      <c r="G55" s="1372">
        <f>'Д 2_Т на В'!T56</f>
        <v>0</v>
      </c>
      <c r="H55" s="1372">
        <f>'Д 2_Т на В'!X56</f>
        <v>0</v>
      </c>
      <c r="I55" s="1388"/>
      <c r="J55" s="35"/>
      <c r="K55" s="35"/>
      <c r="L55" s="35"/>
      <c r="M55" s="35"/>
      <c r="N55" s="35"/>
      <c r="O55" s="35"/>
      <c r="P55" s="35"/>
      <c r="Q55" s="35"/>
      <c r="R55" s="35"/>
    </row>
    <row r="56" spans="1:18" x14ac:dyDescent="0.25">
      <c r="A56" s="2240" t="s">
        <v>198</v>
      </c>
      <c r="B56" s="908" t="s">
        <v>77</v>
      </c>
      <c r="C56" s="127" t="s">
        <v>74</v>
      </c>
      <c r="D56" s="1372">
        <f>'Д 2_Т на В'!H57</f>
        <v>0</v>
      </c>
      <c r="E56" s="1372">
        <f>'Д 2_Т на В'!L57</f>
        <v>0</v>
      </c>
      <c r="F56" s="1372">
        <f>'Д 2_Т на В'!P57</f>
        <v>0</v>
      </c>
      <c r="G56" s="1372">
        <f>'Д 2_Т на В'!T57</f>
        <v>0</v>
      </c>
      <c r="H56" s="1372">
        <f>'Д 2_Т на В'!X57</f>
        <v>0</v>
      </c>
      <c r="I56" s="1388"/>
      <c r="J56" s="35"/>
      <c r="K56" s="35"/>
      <c r="L56" s="35"/>
      <c r="M56" s="35"/>
      <c r="N56" s="35"/>
      <c r="O56" s="35"/>
      <c r="P56" s="35"/>
      <c r="Q56" s="35"/>
      <c r="R56" s="35"/>
    </row>
    <row r="57" spans="1:18" ht="21" x14ac:dyDescent="0.25">
      <c r="A57" s="2240" t="s">
        <v>199</v>
      </c>
      <c r="B57" s="909" t="s">
        <v>1964</v>
      </c>
      <c r="C57" s="127" t="s">
        <v>22</v>
      </c>
      <c r="D57" s="1372">
        <f>'Д 2_Т на В'!H58</f>
        <v>10668.84</v>
      </c>
      <c r="E57" s="1372">
        <f>'Д 2_Т на В'!L58</f>
        <v>0</v>
      </c>
      <c r="F57" s="1372">
        <f>'Д 2_Т на В'!P58</f>
        <v>0</v>
      </c>
      <c r="G57" s="1372">
        <f>'Д 2_Т на В'!T58</f>
        <v>0</v>
      </c>
      <c r="H57" s="1372">
        <f>'Д 2_Т на В'!X58</f>
        <v>10668.84</v>
      </c>
      <c r="I57" s="1388"/>
      <c r="J57" s="35"/>
      <c r="K57" s="35"/>
      <c r="L57" s="35"/>
      <c r="M57" s="35"/>
      <c r="N57" s="35"/>
      <c r="O57" s="35"/>
      <c r="P57" s="35"/>
      <c r="Q57" s="35"/>
      <c r="R57" s="35"/>
    </row>
    <row r="58" spans="1:18" ht="21.75" thickBot="1" x14ac:dyDescent="0.3">
      <c r="A58" s="129" t="s">
        <v>200</v>
      </c>
      <c r="B58" s="1385" t="s">
        <v>237</v>
      </c>
      <c r="C58" s="127" t="s">
        <v>74</v>
      </c>
      <c r="D58" s="1372">
        <f>'Д 2_Т на В'!H59</f>
        <v>6776.73</v>
      </c>
      <c r="E58" s="1372">
        <f>'Д 2_Т на В'!L59</f>
        <v>0</v>
      </c>
      <c r="F58" s="1372">
        <f>'Д 2_Т на В'!P59</f>
        <v>0</v>
      </c>
      <c r="G58" s="1372">
        <f>'Д 2_Т на В'!T59</f>
        <v>0</v>
      </c>
      <c r="H58" s="1372">
        <f>'Д 2_Т на В'!X59</f>
        <v>6776.73</v>
      </c>
      <c r="I58" s="1388"/>
      <c r="J58" s="35"/>
      <c r="K58" s="35"/>
      <c r="L58" s="35"/>
      <c r="M58" s="35"/>
      <c r="N58" s="35"/>
      <c r="O58" s="35"/>
      <c r="P58" s="35"/>
      <c r="Q58" s="35"/>
      <c r="R58" s="35"/>
    </row>
    <row r="59" spans="1:18" x14ac:dyDescent="0.25">
      <c r="A59" s="130"/>
      <c r="B59" s="70"/>
      <c r="C59" s="131"/>
    </row>
    <row r="60" spans="1:18" x14ac:dyDescent="0.25">
      <c r="A60" s="132"/>
      <c r="B60" s="4443" t="s">
        <v>2236</v>
      </c>
      <c r="C60" s="4443"/>
      <c r="D60" s="4443"/>
      <c r="E60" s="4443"/>
      <c r="F60" s="4443"/>
      <c r="G60" s="4443"/>
      <c r="H60" s="4443"/>
      <c r="I60" s="4443"/>
      <c r="J60" s="4443"/>
      <c r="K60" s="4443"/>
      <c r="L60" s="4443"/>
      <c r="M60" s="4443"/>
      <c r="N60" s="4443"/>
      <c r="O60" s="4443"/>
      <c r="P60" s="4443"/>
      <c r="Q60" s="4443"/>
      <c r="R60" s="4443"/>
    </row>
    <row r="61" spans="1:18" x14ac:dyDescent="0.25">
      <c r="B61"/>
      <c r="C61"/>
    </row>
    <row r="62" spans="1:18" x14ac:dyDescent="0.25">
      <c r="B62" s="1360"/>
      <c r="C62" s="1360"/>
    </row>
    <row r="63" spans="1:18" ht="15.75" x14ac:dyDescent="0.25">
      <c r="A63" s="134"/>
      <c r="B63" s="152">
        <f>'Вхідні дані'!A13</f>
        <v>0</v>
      </c>
      <c r="C63" s="135"/>
    </row>
    <row r="64" spans="1:18" ht="15.75" x14ac:dyDescent="0.25">
      <c r="A64" s="134"/>
      <c r="B64" s="1359" t="s">
        <v>241</v>
      </c>
      <c r="C64" s="135"/>
    </row>
    <row r="65" spans="1:3" x14ac:dyDescent="0.25">
      <c r="B65"/>
      <c r="C65"/>
    </row>
    <row r="66" spans="1:3" x14ac:dyDescent="0.25">
      <c r="B66"/>
      <c r="C66"/>
    </row>
    <row r="67" spans="1:3" x14ac:dyDescent="0.25">
      <c r="A67" s="110"/>
      <c r="B67" s="922" t="s">
        <v>1913</v>
      </c>
      <c r="C67" s="922"/>
    </row>
    <row r="68" spans="1:3" x14ac:dyDescent="0.25">
      <c r="B68"/>
      <c r="C68"/>
    </row>
    <row r="69" spans="1:3" x14ac:dyDescent="0.25">
      <c r="B69"/>
      <c r="C69"/>
    </row>
    <row r="70" spans="1:3" x14ac:dyDescent="0.25">
      <c r="B70"/>
      <c r="C70"/>
    </row>
    <row r="71" spans="1:3" x14ac:dyDescent="0.25">
      <c r="B71"/>
      <c r="C71"/>
    </row>
    <row r="72" spans="1:3" x14ac:dyDescent="0.25">
      <c r="B72"/>
      <c r="C72"/>
    </row>
    <row r="73" spans="1:3" x14ac:dyDescent="0.25">
      <c r="B73"/>
      <c r="C73"/>
    </row>
    <row r="74" spans="1:3" x14ac:dyDescent="0.25">
      <c r="B74"/>
      <c r="C74"/>
    </row>
    <row r="75" spans="1:3" x14ac:dyDescent="0.25">
      <c r="B75"/>
      <c r="C75"/>
    </row>
    <row r="76" spans="1:3" x14ac:dyDescent="0.25">
      <c r="B76"/>
      <c r="C76"/>
    </row>
    <row r="77" spans="1:3" x14ac:dyDescent="0.25">
      <c r="B77"/>
      <c r="C77"/>
    </row>
    <row r="78" spans="1:3" x14ac:dyDescent="0.25">
      <c r="B78"/>
      <c r="C78"/>
    </row>
    <row r="79" spans="1:3" x14ac:dyDescent="0.25">
      <c r="B79"/>
      <c r="C79"/>
    </row>
    <row r="80" spans="1:3" x14ac:dyDescent="0.25">
      <c r="B80"/>
      <c r="C80"/>
    </row>
    <row r="81" spans="2:3" x14ac:dyDescent="0.25">
      <c r="B81"/>
      <c r="C81"/>
    </row>
    <row r="82" spans="2:3" x14ac:dyDescent="0.25">
      <c r="B82"/>
      <c r="C82"/>
    </row>
    <row r="83" spans="2:3" x14ac:dyDescent="0.25">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1" priority="1" operator="containsText" text="Для корек">
      <formula>NOT(ISERROR(SEARCH("Для корек",B1)))</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30"/>
  <sheetViews>
    <sheetView topLeftCell="A10" workbookViewId="0">
      <selection activeCell="J18" sqref="J18"/>
    </sheetView>
  </sheetViews>
  <sheetFormatPr defaultColWidth="8.85546875" defaultRowHeight="15" x14ac:dyDescent="0.25"/>
  <cols>
    <col min="1" max="1" width="3.5703125" style="18" customWidth="1"/>
    <col min="2" max="2" width="22.42578125" style="18" customWidth="1"/>
    <col min="3" max="3" width="7.28515625" style="18" customWidth="1"/>
    <col min="4" max="5" width="8.85546875" style="23"/>
    <col min="6" max="6" width="8.85546875" style="18"/>
    <col min="7" max="7" width="6.28515625" style="18" customWidth="1"/>
    <col min="8" max="9" width="8.7109375" style="18" customWidth="1"/>
    <col min="10" max="10" width="8.85546875" style="23"/>
    <col min="11" max="11" width="8.85546875" style="18"/>
    <col min="12" max="12" width="7.28515625" style="18" customWidth="1"/>
    <col min="13" max="13" width="6.28515625" style="18" customWidth="1"/>
    <col min="14" max="14" width="7.140625" style="18" customWidth="1"/>
    <col min="15" max="15" width="6.5703125" style="18" customWidth="1"/>
    <col min="16" max="16" width="8.85546875" style="18"/>
    <col min="17" max="17" width="7.85546875" style="18" customWidth="1"/>
    <col min="18" max="18" width="5.7109375" style="18" customWidth="1"/>
    <col min="19" max="19" width="8" style="18" customWidth="1"/>
    <col min="20" max="20" width="6.7109375" style="18" customWidth="1"/>
    <col min="21" max="21" width="6.28515625" style="23" customWidth="1"/>
    <col min="22" max="22" width="6.7109375" style="18" customWidth="1"/>
    <col min="23" max="23" width="6.28515625" style="18" customWidth="1"/>
    <col min="24" max="24" width="7.85546875" style="18" customWidth="1"/>
    <col min="25" max="25" width="5" style="18" customWidth="1"/>
    <col min="26" max="16384" width="8.85546875" style="18"/>
  </cols>
  <sheetData>
    <row r="1" spans="1:25" x14ac:dyDescent="0.25">
      <c r="A1" s="4454" t="s">
        <v>2237</v>
      </c>
      <c r="B1" s="4454"/>
      <c r="C1" s="4454"/>
      <c r="D1" s="4454"/>
      <c r="E1" s="4454"/>
      <c r="F1" s="4454"/>
      <c r="G1" s="4454"/>
      <c r="H1" s="4454"/>
      <c r="I1" s="4454"/>
      <c r="J1" s="4454"/>
      <c r="K1" s="4454"/>
      <c r="L1" s="4454"/>
      <c r="M1" s="4454"/>
      <c r="N1" s="4454"/>
      <c r="O1" s="4454"/>
      <c r="P1" s="4454"/>
      <c r="Q1" s="4454"/>
      <c r="R1" s="4454"/>
      <c r="S1" s="4454"/>
      <c r="T1" s="4454"/>
      <c r="U1" s="4454"/>
      <c r="V1" s="4454"/>
      <c r="W1" s="4454"/>
      <c r="X1" s="4454"/>
      <c r="Y1" s="4454"/>
    </row>
    <row r="2" spans="1:25" x14ac:dyDescent="0.25">
      <c r="A2" s="1374"/>
      <c r="B2" s="1374"/>
      <c r="C2" s="1375"/>
      <c r="D2" s="4455" t="s">
        <v>2238</v>
      </c>
      <c r="E2" s="4454" t="s">
        <v>1822</v>
      </c>
      <c r="F2" s="4454"/>
      <c r="G2" s="4454"/>
      <c r="H2" s="4454"/>
      <c r="I2" s="4454"/>
      <c r="J2" s="4454" t="s">
        <v>1823</v>
      </c>
      <c r="K2" s="4454"/>
      <c r="L2" s="4454"/>
      <c r="M2" s="4454"/>
      <c r="N2" s="4454"/>
      <c r="O2" s="4454"/>
      <c r="P2" s="4454"/>
      <c r="Q2" s="4454"/>
      <c r="R2" s="4454"/>
      <c r="S2" s="4454"/>
      <c r="T2" s="4454"/>
      <c r="U2" s="4454" t="s">
        <v>2117</v>
      </c>
      <c r="V2" s="4454"/>
      <c r="W2" s="4454"/>
      <c r="X2" s="4454"/>
      <c r="Y2" s="4454"/>
    </row>
    <row r="3" spans="1:25" x14ac:dyDescent="0.25">
      <c r="A3" s="1374"/>
      <c r="B3" s="1374"/>
      <c r="C3" s="1375"/>
      <c r="D3" s="4455"/>
      <c r="E3" s="1363" t="s">
        <v>1376</v>
      </c>
      <c r="F3" s="20" t="s">
        <v>2239</v>
      </c>
      <c r="G3" s="20" t="s">
        <v>2240</v>
      </c>
      <c r="H3" s="20" t="s">
        <v>1095</v>
      </c>
      <c r="I3" s="20" t="s">
        <v>2179</v>
      </c>
      <c r="J3" s="1363" t="s">
        <v>1376</v>
      </c>
      <c r="K3" s="20" t="s">
        <v>631</v>
      </c>
      <c r="L3" s="20" t="s">
        <v>2239</v>
      </c>
      <c r="M3" s="20" t="s">
        <v>2240</v>
      </c>
      <c r="N3" s="20" t="s">
        <v>1095</v>
      </c>
      <c r="O3" s="20" t="s">
        <v>2179</v>
      </c>
      <c r="P3" s="20" t="s">
        <v>630</v>
      </c>
      <c r="Q3" s="20" t="s">
        <v>2239</v>
      </c>
      <c r="R3" s="20" t="s">
        <v>2240</v>
      </c>
      <c r="S3" s="20" t="s">
        <v>1095</v>
      </c>
      <c r="T3" s="20" t="s">
        <v>2179</v>
      </c>
      <c r="U3" s="1363" t="s">
        <v>1376</v>
      </c>
      <c r="V3" s="20" t="s">
        <v>2239</v>
      </c>
      <c r="W3" s="20" t="s">
        <v>2240</v>
      </c>
      <c r="X3" s="20" t="s">
        <v>1095</v>
      </c>
      <c r="Y3" s="20" t="s">
        <v>2179</v>
      </c>
    </row>
    <row r="4" spans="1:25" ht="27" customHeight="1" x14ac:dyDescent="0.25">
      <c r="A4" s="1376" t="s">
        <v>179</v>
      </c>
      <c r="B4" s="1385" t="s">
        <v>231</v>
      </c>
      <c r="C4" s="910" t="s">
        <v>40</v>
      </c>
      <c r="D4" s="1377">
        <f>E4+J4+U4</f>
        <v>5238.2</v>
      </c>
      <c r="E4" s="1378">
        <f>SUM(F4:I4)</f>
        <v>4123.9799999999996</v>
      </c>
      <c r="F4" s="924">
        <f>'Д 2_Т на В'!L45</f>
        <v>0</v>
      </c>
      <c r="G4" s="924">
        <f>'Д 2_Т на В'!P45</f>
        <v>0</v>
      </c>
      <c r="H4" s="924">
        <f>'Д 2_Т на В'!T45</f>
        <v>0</v>
      </c>
      <c r="I4" s="924">
        <f>'Д 2_Т на В'!X45</f>
        <v>4123.9799999999996</v>
      </c>
      <c r="J4" s="1378">
        <f>K4+P4</f>
        <v>1058.3800000000001</v>
      </c>
      <c r="K4" s="1378">
        <f>'Д 3_Т на Т з ЦТП'!G39</f>
        <v>172.55</v>
      </c>
      <c r="L4" s="924"/>
      <c r="M4" s="924"/>
      <c r="N4" s="924"/>
      <c r="O4" s="924"/>
      <c r="P4" s="1378">
        <f>'Д 3.1_Т на Т без ЦТП'!G39</f>
        <v>885.83</v>
      </c>
      <c r="Q4" s="924"/>
      <c r="R4" s="924"/>
      <c r="S4" s="924"/>
      <c r="T4" s="924"/>
      <c r="U4" s="1378">
        <f>'Д 4_Т на П'!G36</f>
        <v>55.84</v>
      </c>
      <c r="V4" s="924"/>
      <c r="W4" s="924"/>
      <c r="X4" s="924"/>
      <c r="Y4" s="924"/>
    </row>
    <row r="5" spans="1:25" ht="15.6" customHeight="1" x14ac:dyDescent="0.25">
      <c r="A5" s="1379" t="s">
        <v>116</v>
      </c>
      <c r="B5" s="124" t="s">
        <v>65</v>
      </c>
      <c r="C5" s="128" t="s">
        <v>40</v>
      </c>
      <c r="D5" s="1377">
        <f t="shared" ref="D5:D9" si="0">E5+J5+U5</f>
        <v>661.21</v>
      </c>
      <c r="E5" s="1378">
        <f t="shared" ref="E5:E9" si="1">SUM(F5:I5)</f>
        <v>520.55999999999995</v>
      </c>
      <c r="F5" s="924">
        <f>'Д 2_Т на В'!L46</f>
        <v>0</v>
      </c>
      <c r="G5" s="924">
        <f>'Д 2_Т на В'!P46</f>
        <v>0</v>
      </c>
      <c r="H5" s="924">
        <f>'Д 2_Т на В'!T46</f>
        <v>0</v>
      </c>
      <c r="I5" s="924">
        <f>'Д 2_Т на В'!X46</f>
        <v>520.55999999999995</v>
      </c>
      <c r="J5" s="1378">
        <f t="shared" ref="J5:J9" si="2">K5+P5</f>
        <v>133.6</v>
      </c>
      <c r="K5" s="1378">
        <f>'Д 3_Т на Т з ЦТП'!G40</f>
        <v>21.78</v>
      </c>
      <c r="L5" s="924"/>
      <c r="M5" s="924"/>
      <c r="N5" s="924"/>
      <c r="O5" s="924"/>
      <c r="P5" s="1378">
        <f>'Д 3.1_Т на Т без ЦТП'!G40</f>
        <v>111.82</v>
      </c>
      <c r="Q5" s="924"/>
      <c r="R5" s="924"/>
      <c r="S5" s="924"/>
      <c r="T5" s="924"/>
      <c r="U5" s="1378">
        <f>'Д 4_Т на П'!G37</f>
        <v>7.05</v>
      </c>
      <c r="V5" s="924"/>
      <c r="W5" s="924"/>
      <c r="X5" s="924"/>
      <c r="Y5" s="924"/>
    </row>
    <row r="6" spans="1:25" ht="15.6" customHeight="1" x14ac:dyDescent="0.25">
      <c r="A6" s="1379" t="s">
        <v>118</v>
      </c>
      <c r="B6" s="124" t="s">
        <v>67</v>
      </c>
      <c r="C6" s="128" t="s">
        <v>40</v>
      </c>
      <c r="D6" s="1377">
        <f t="shared" si="0"/>
        <v>903.64</v>
      </c>
      <c r="E6" s="1378">
        <f t="shared" si="1"/>
        <v>711.43</v>
      </c>
      <c r="F6" s="924">
        <f>'Д 2_Т на В'!L47</f>
        <v>0</v>
      </c>
      <c r="G6" s="924">
        <f>'Д 2_Т на В'!P47</f>
        <v>0</v>
      </c>
      <c r="H6" s="924">
        <f>'Д 2_Т на В'!T47</f>
        <v>0</v>
      </c>
      <c r="I6" s="924">
        <f>'Д 2_Т на В'!X47</f>
        <v>711.43</v>
      </c>
      <c r="J6" s="1378">
        <f t="shared" si="2"/>
        <v>182.58</v>
      </c>
      <c r="K6" s="1378">
        <f>'Д 3_Т на Т з ЦТП'!G41</f>
        <v>29.77</v>
      </c>
      <c r="L6" s="924"/>
      <c r="M6" s="924"/>
      <c r="N6" s="924"/>
      <c r="O6" s="924"/>
      <c r="P6" s="1378">
        <f>'Д 3.1_Т на Т без ЦТП'!G41</f>
        <v>152.81</v>
      </c>
      <c r="Q6" s="924"/>
      <c r="R6" s="924"/>
      <c r="S6" s="924"/>
      <c r="T6" s="924"/>
      <c r="U6" s="1378">
        <f>'Д 4_Т на П'!G38</f>
        <v>9.6300000000000008</v>
      </c>
      <c r="V6" s="924"/>
      <c r="W6" s="924"/>
      <c r="X6" s="924"/>
      <c r="Y6" s="924"/>
    </row>
    <row r="7" spans="1:25" ht="15.6" customHeight="1" x14ac:dyDescent="0.25">
      <c r="A7" s="1379" t="s">
        <v>120</v>
      </c>
      <c r="B7" s="124" t="s">
        <v>69</v>
      </c>
      <c r="C7" s="128" t="s">
        <v>40</v>
      </c>
      <c r="D7" s="1377">
        <f t="shared" si="0"/>
        <v>0</v>
      </c>
      <c r="E7" s="1378">
        <f t="shared" si="1"/>
        <v>0</v>
      </c>
      <c r="F7" s="924">
        <f>'Д 2_Т на В'!L48</f>
        <v>0</v>
      </c>
      <c r="G7" s="924">
        <f>'Д 2_Т на В'!P48</f>
        <v>0</v>
      </c>
      <c r="H7" s="924">
        <f>'Д 2_Т на В'!T48</f>
        <v>0</v>
      </c>
      <c r="I7" s="924">
        <f>'Д 2_Т на В'!X48</f>
        <v>0</v>
      </c>
      <c r="J7" s="1378">
        <f t="shared" si="2"/>
        <v>0</v>
      </c>
      <c r="K7" s="1378">
        <f>'Д 3_Т на Т з ЦТП'!G42</f>
        <v>0</v>
      </c>
      <c r="L7" s="924"/>
      <c r="M7" s="924"/>
      <c r="N7" s="924"/>
      <c r="O7" s="924"/>
      <c r="P7" s="1378">
        <f>'Д 3.1_Т на Т без ЦТП'!G42</f>
        <v>0</v>
      </c>
      <c r="Q7" s="924"/>
      <c r="R7" s="924"/>
      <c r="S7" s="924"/>
      <c r="T7" s="924"/>
      <c r="U7" s="1378">
        <f>'Д 4_Т на П'!G39</f>
        <v>0</v>
      </c>
      <c r="V7" s="924"/>
      <c r="W7" s="924"/>
      <c r="X7" s="924"/>
      <c r="Y7" s="924"/>
    </row>
    <row r="8" spans="1:25" ht="21.6" customHeight="1" x14ac:dyDescent="0.25">
      <c r="A8" s="1379" t="s">
        <v>122</v>
      </c>
      <c r="B8" s="124" t="s">
        <v>71</v>
      </c>
      <c r="C8" s="128" t="s">
        <v>40</v>
      </c>
      <c r="D8" s="1377">
        <f t="shared" si="0"/>
        <v>0</v>
      </c>
      <c r="E8" s="1378">
        <f t="shared" si="1"/>
        <v>0</v>
      </c>
      <c r="F8" s="924">
        <f>'Д 2_Т на В'!L49</f>
        <v>0</v>
      </c>
      <c r="G8" s="924">
        <f>'Д 2_Т на В'!P49</f>
        <v>0</v>
      </c>
      <c r="H8" s="924">
        <f>'Д 2_Т на В'!T49</f>
        <v>0</v>
      </c>
      <c r="I8" s="924">
        <f>'Д 2_Т на В'!X49</f>
        <v>0</v>
      </c>
      <c r="J8" s="1378">
        <f t="shared" si="2"/>
        <v>0</v>
      </c>
      <c r="K8" s="1378">
        <f>'Д 3_Т на Т з ЦТП'!G43</f>
        <v>0</v>
      </c>
      <c r="L8" s="924"/>
      <c r="M8" s="924"/>
      <c r="N8" s="924"/>
      <c r="O8" s="924"/>
      <c r="P8" s="1378">
        <f>'Д 3.1_Т на Т без ЦТП'!G43</f>
        <v>0</v>
      </c>
      <c r="Q8" s="924"/>
      <c r="R8" s="924"/>
      <c r="S8" s="924"/>
      <c r="T8" s="924"/>
      <c r="U8" s="1378">
        <f>'Д 4_Т на П'!G40</f>
        <v>0</v>
      </c>
      <c r="V8" s="924"/>
      <c r="W8" s="924"/>
      <c r="X8" s="924"/>
      <c r="Y8" s="924"/>
    </row>
    <row r="9" spans="1:25" ht="15.6" customHeight="1" x14ac:dyDescent="0.25">
      <c r="A9" s="1379" t="s">
        <v>232</v>
      </c>
      <c r="B9" s="124" t="s">
        <v>87</v>
      </c>
      <c r="C9" s="128" t="s">
        <v>40</v>
      </c>
      <c r="D9" s="1377">
        <f t="shared" si="0"/>
        <v>3673.35</v>
      </c>
      <c r="E9" s="1378">
        <f t="shared" si="1"/>
        <v>2891.99</v>
      </c>
      <c r="F9" s="924">
        <f>'Д 2_Т на В'!L50</f>
        <v>0</v>
      </c>
      <c r="G9" s="924">
        <f>'Д 2_Т на В'!P50</f>
        <v>0</v>
      </c>
      <c r="H9" s="924">
        <f>'Д 2_Т на В'!T50</f>
        <v>0</v>
      </c>
      <c r="I9" s="924">
        <f>'Д 2_Т на В'!X50</f>
        <v>2891.99</v>
      </c>
      <c r="J9" s="1378">
        <f t="shared" si="2"/>
        <v>742.2</v>
      </c>
      <c r="K9" s="1378">
        <f>'Д 3_Т на Т з ЦТП'!G44</f>
        <v>121</v>
      </c>
      <c r="L9" s="924"/>
      <c r="M9" s="924"/>
      <c r="N9" s="924"/>
      <c r="O9" s="924"/>
      <c r="P9" s="1378">
        <f>'Д 3.1_Т на Т без ЦТП'!G44</f>
        <v>621.20000000000005</v>
      </c>
      <c r="Q9" s="924"/>
      <c r="R9" s="924"/>
      <c r="S9" s="924"/>
      <c r="T9" s="924"/>
      <c r="U9" s="1378">
        <f>'Д 4_Т на П'!G41</f>
        <v>39.159999999999997</v>
      </c>
      <c r="V9" s="924"/>
      <c r="W9" s="924"/>
      <c r="X9" s="924"/>
      <c r="Y9" s="924"/>
    </row>
    <row r="10" spans="1:25" s="1380" customFormat="1" x14ac:dyDescent="0.25">
      <c r="A10" s="4452" t="s">
        <v>2241</v>
      </c>
      <c r="B10" s="4452"/>
      <c r="C10" s="4452"/>
      <c r="D10" s="4452"/>
      <c r="E10" s="4452"/>
      <c r="F10" s="4452"/>
      <c r="G10" s="4452"/>
      <c r="H10" s="4452"/>
      <c r="I10" s="4452"/>
      <c r="J10" s="4452"/>
      <c r="K10" s="4452"/>
      <c r="L10" s="4452"/>
      <c r="M10" s="4452"/>
      <c r="N10" s="4452"/>
      <c r="O10" s="4452"/>
      <c r="P10" s="4452"/>
      <c r="Q10" s="4452"/>
      <c r="R10" s="4452"/>
      <c r="S10" s="4452"/>
      <c r="T10" s="4452"/>
      <c r="U10" s="4452"/>
      <c r="V10" s="4452"/>
      <c r="W10" s="4452"/>
      <c r="X10" s="4452"/>
      <c r="Y10" s="4456"/>
    </row>
    <row r="11" spans="1:25" ht="21" x14ac:dyDescent="0.25">
      <c r="A11" s="1376" t="s">
        <v>179</v>
      </c>
      <c r="B11" s="1385" t="s">
        <v>231</v>
      </c>
      <c r="C11" s="910" t="s">
        <v>40</v>
      </c>
      <c r="D11" s="1377" t="e">
        <f>E11+J11+U11</f>
        <v>#REF!</v>
      </c>
      <c r="E11" s="1378" t="e">
        <f>SUM(F11:I11)</f>
        <v>#REF!</v>
      </c>
      <c r="F11" s="924" t="e">
        <f>#REF!</f>
        <v>#REF!</v>
      </c>
      <c r="G11" s="924" t="e">
        <f>#REF!</f>
        <v>#REF!</v>
      </c>
      <c r="H11" s="924" t="e">
        <f>#REF!</f>
        <v>#REF!</v>
      </c>
      <c r="I11" s="924" t="e">
        <f>#REF!</f>
        <v>#REF!</v>
      </c>
      <c r="J11" s="1378" t="e">
        <f>K11+P11</f>
        <v>#REF!</v>
      </c>
      <c r="K11" s="1378" t="e">
        <f>SUM(L11:O11)</f>
        <v>#REF!</v>
      </c>
      <c r="L11" s="924" t="e">
        <f>#REF!</f>
        <v>#REF!</v>
      </c>
      <c r="M11" s="924" t="e">
        <f>#REF!</f>
        <v>#REF!</v>
      </c>
      <c r="N11" s="924" t="e">
        <f>#REF!</f>
        <v>#REF!</v>
      </c>
      <c r="O11" s="924" t="e">
        <f>#REF!</f>
        <v>#REF!</v>
      </c>
      <c r="P11" s="1378">
        <f>SUM(Q11:T11)</f>
        <v>0</v>
      </c>
      <c r="Q11" s="924"/>
      <c r="R11" s="924"/>
      <c r="S11" s="924"/>
      <c r="T11" s="924"/>
      <c r="U11" s="1378" t="e">
        <f>SUM(V11:Y11)</f>
        <v>#REF!</v>
      </c>
      <c r="V11" s="924" t="e">
        <f>#REF!</f>
        <v>#REF!</v>
      </c>
      <c r="W11" s="924" t="e">
        <f>#REF!</f>
        <v>#REF!</v>
      </c>
      <c r="X11" s="924" t="e">
        <f>#REF!</f>
        <v>#REF!</v>
      </c>
      <c r="Y11" s="924" t="e">
        <f>#REF!</f>
        <v>#REF!</v>
      </c>
    </row>
    <row r="12" spans="1:25" ht="15.6" customHeight="1" x14ac:dyDescent="0.25">
      <c r="A12" s="1379" t="s">
        <v>116</v>
      </c>
      <c r="B12" s="124" t="s">
        <v>65</v>
      </c>
      <c r="C12" s="128" t="s">
        <v>40</v>
      </c>
      <c r="D12" s="1377" t="e">
        <f t="shared" ref="D12:D16" si="3">E12+J12+U12</f>
        <v>#REF!</v>
      </c>
      <c r="E12" s="1378" t="e">
        <f t="shared" ref="E12:E16" si="4">SUM(F12:I12)</f>
        <v>#REF!</v>
      </c>
      <c r="F12" s="924" t="e">
        <f>#REF!</f>
        <v>#REF!</v>
      </c>
      <c r="G12" s="924" t="e">
        <f>#REF!</f>
        <v>#REF!</v>
      </c>
      <c r="H12" s="924" t="e">
        <f>#REF!</f>
        <v>#REF!</v>
      </c>
      <c r="I12" s="924" t="e">
        <f>#REF!</f>
        <v>#REF!</v>
      </c>
      <c r="J12" s="1378" t="e">
        <f t="shared" ref="J12:J16" si="5">K12+P12</f>
        <v>#REF!</v>
      </c>
      <c r="K12" s="1378" t="e">
        <f t="shared" ref="K12:K16" si="6">SUM(L12:O12)</f>
        <v>#REF!</v>
      </c>
      <c r="L12" s="924" t="e">
        <f>#REF!</f>
        <v>#REF!</v>
      </c>
      <c r="M12" s="924" t="e">
        <f>#REF!</f>
        <v>#REF!</v>
      </c>
      <c r="N12" s="924" t="e">
        <f>#REF!</f>
        <v>#REF!</v>
      </c>
      <c r="O12" s="924" t="e">
        <f>#REF!</f>
        <v>#REF!</v>
      </c>
      <c r="P12" s="1378">
        <f t="shared" ref="P12:P16" si="7">SUM(Q12:T12)</f>
        <v>0</v>
      </c>
      <c r="Q12" s="924"/>
      <c r="R12" s="924"/>
      <c r="S12" s="924"/>
      <c r="T12" s="924"/>
      <c r="U12" s="1378" t="e">
        <f t="shared" ref="U12:U16" si="8">SUM(V12:Y12)</f>
        <v>#REF!</v>
      </c>
      <c r="V12" s="924" t="e">
        <f>#REF!</f>
        <v>#REF!</v>
      </c>
      <c r="W12" s="924" t="e">
        <f>#REF!</f>
        <v>#REF!</v>
      </c>
      <c r="X12" s="924" t="e">
        <f>#REF!</f>
        <v>#REF!</v>
      </c>
      <c r="Y12" s="924" t="e">
        <f>#REF!</f>
        <v>#REF!</v>
      </c>
    </row>
    <row r="13" spans="1:25" ht="15.6" customHeight="1" x14ac:dyDescent="0.25">
      <c r="A13" s="1379" t="s">
        <v>118</v>
      </c>
      <c r="B13" s="124" t="s">
        <v>67</v>
      </c>
      <c r="C13" s="128" t="s">
        <v>40</v>
      </c>
      <c r="D13" s="1377" t="e">
        <f t="shared" si="3"/>
        <v>#REF!</v>
      </c>
      <c r="E13" s="1378" t="e">
        <f t="shared" si="4"/>
        <v>#REF!</v>
      </c>
      <c r="F13" s="924" t="e">
        <f>#REF!</f>
        <v>#REF!</v>
      </c>
      <c r="G13" s="924" t="e">
        <f>#REF!</f>
        <v>#REF!</v>
      </c>
      <c r="H13" s="924" t="e">
        <f>#REF!</f>
        <v>#REF!</v>
      </c>
      <c r="I13" s="924" t="e">
        <f>#REF!</f>
        <v>#REF!</v>
      </c>
      <c r="J13" s="1378" t="e">
        <f t="shared" si="5"/>
        <v>#REF!</v>
      </c>
      <c r="K13" s="1378" t="e">
        <f t="shared" si="6"/>
        <v>#REF!</v>
      </c>
      <c r="L13" s="924" t="e">
        <f>#REF!</f>
        <v>#REF!</v>
      </c>
      <c r="M13" s="924" t="e">
        <f>#REF!</f>
        <v>#REF!</v>
      </c>
      <c r="N13" s="924" t="e">
        <f>#REF!</f>
        <v>#REF!</v>
      </c>
      <c r="O13" s="924" t="e">
        <f>#REF!</f>
        <v>#REF!</v>
      </c>
      <c r="P13" s="1378">
        <f t="shared" si="7"/>
        <v>0</v>
      </c>
      <c r="Q13" s="924"/>
      <c r="R13" s="924"/>
      <c r="S13" s="924"/>
      <c r="T13" s="924"/>
      <c r="U13" s="1378" t="e">
        <f t="shared" si="8"/>
        <v>#REF!</v>
      </c>
      <c r="V13" s="924" t="e">
        <f>#REF!</f>
        <v>#REF!</v>
      </c>
      <c r="W13" s="924" t="e">
        <f>#REF!</f>
        <v>#REF!</v>
      </c>
      <c r="X13" s="924" t="e">
        <f>#REF!</f>
        <v>#REF!</v>
      </c>
      <c r="Y13" s="924" t="e">
        <f>#REF!</f>
        <v>#REF!</v>
      </c>
    </row>
    <row r="14" spans="1:25" ht="15.6" customHeight="1" x14ac:dyDescent="0.25">
      <c r="A14" s="1379" t="s">
        <v>120</v>
      </c>
      <c r="B14" s="124" t="s">
        <v>69</v>
      </c>
      <c r="C14" s="128" t="s">
        <v>40</v>
      </c>
      <c r="D14" s="1377" t="e">
        <f t="shared" si="3"/>
        <v>#REF!</v>
      </c>
      <c r="E14" s="1378" t="e">
        <f t="shared" si="4"/>
        <v>#REF!</v>
      </c>
      <c r="F14" s="924" t="e">
        <f>#REF!</f>
        <v>#REF!</v>
      </c>
      <c r="G14" s="924" t="e">
        <f>#REF!</f>
        <v>#REF!</v>
      </c>
      <c r="H14" s="924" t="e">
        <f>#REF!</f>
        <v>#REF!</v>
      </c>
      <c r="I14" s="924" t="e">
        <f>#REF!</f>
        <v>#REF!</v>
      </c>
      <c r="J14" s="1378" t="e">
        <f t="shared" si="5"/>
        <v>#REF!</v>
      </c>
      <c r="K14" s="1378" t="e">
        <f t="shared" si="6"/>
        <v>#REF!</v>
      </c>
      <c r="L14" s="924" t="e">
        <f>#REF!</f>
        <v>#REF!</v>
      </c>
      <c r="M14" s="924" t="e">
        <f>#REF!</f>
        <v>#REF!</v>
      </c>
      <c r="N14" s="924" t="e">
        <f>#REF!</f>
        <v>#REF!</v>
      </c>
      <c r="O14" s="924" t="e">
        <f>#REF!</f>
        <v>#REF!</v>
      </c>
      <c r="P14" s="1378">
        <f t="shared" si="7"/>
        <v>0</v>
      </c>
      <c r="Q14" s="924"/>
      <c r="R14" s="924"/>
      <c r="S14" s="924"/>
      <c r="T14" s="924"/>
      <c r="U14" s="1378" t="e">
        <f t="shared" si="8"/>
        <v>#REF!</v>
      </c>
      <c r="V14" s="924" t="e">
        <f>#REF!</f>
        <v>#REF!</v>
      </c>
      <c r="W14" s="924" t="e">
        <f>#REF!</f>
        <v>#REF!</v>
      </c>
      <c r="X14" s="924" t="e">
        <f>#REF!</f>
        <v>#REF!</v>
      </c>
      <c r="Y14" s="924" t="e">
        <f>#REF!</f>
        <v>#REF!</v>
      </c>
    </row>
    <row r="15" spans="1:25" ht="24.6" customHeight="1" x14ac:dyDescent="0.25">
      <c r="A15" s="1379" t="s">
        <v>122</v>
      </c>
      <c r="B15" s="124" t="s">
        <v>71</v>
      </c>
      <c r="C15" s="128" t="s">
        <v>40</v>
      </c>
      <c r="D15" s="1377" t="e">
        <f t="shared" si="3"/>
        <v>#REF!</v>
      </c>
      <c r="E15" s="1378" t="e">
        <f t="shared" si="4"/>
        <v>#REF!</v>
      </c>
      <c r="F15" s="924" t="e">
        <f>#REF!</f>
        <v>#REF!</v>
      </c>
      <c r="G15" s="924" t="e">
        <f>#REF!</f>
        <v>#REF!</v>
      </c>
      <c r="H15" s="924" t="e">
        <f>#REF!</f>
        <v>#REF!</v>
      </c>
      <c r="I15" s="924" t="e">
        <f>#REF!</f>
        <v>#REF!</v>
      </c>
      <c r="J15" s="1378" t="e">
        <f t="shared" si="5"/>
        <v>#REF!</v>
      </c>
      <c r="K15" s="1378" t="e">
        <f t="shared" si="6"/>
        <v>#REF!</v>
      </c>
      <c r="L15" s="924" t="e">
        <f>#REF!</f>
        <v>#REF!</v>
      </c>
      <c r="M15" s="924" t="e">
        <f>#REF!</f>
        <v>#REF!</v>
      </c>
      <c r="N15" s="924" t="e">
        <f>#REF!</f>
        <v>#REF!</v>
      </c>
      <c r="O15" s="924" t="e">
        <f>#REF!</f>
        <v>#REF!</v>
      </c>
      <c r="P15" s="1378">
        <f t="shared" si="7"/>
        <v>0</v>
      </c>
      <c r="Q15" s="924"/>
      <c r="R15" s="924"/>
      <c r="S15" s="924"/>
      <c r="T15" s="924"/>
      <c r="U15" s="1378" t="e">
        <f t="shared" si="8"/>
        <v>#REF!</v>
      </c>
      <c r="V15" s="924" t="e">
        <f>#REF!</f>
        <v>#REF!</v>
      </c>
      <c r="W15" s="924" t="e">
        <f>#REF!</f>
        <v>#REF!</v>
      </c>
      <c r="X15" s="924" t="e">
        <f>#REF!</f>
        <v>#REF!</v>
      </c>
      <c r="Y15" s="924" t="e">
        <f>#REF!</f>
        <v>#REF!</v>
      </c>
    </row>
    <row r="16" spans="1:25" ht="15.6" customHeight="1" x14ac:dyDescent="0.25">
      <c r="A16" s="1379" t="s">
        <v>232</v>
      </c>
      <c r="B16" s="124" t="s">
        <v>87</v>
      </c>
      <c r="C16" s="128" t="s">
        <v>40</v>
      </c>
      <c r="D16" s="1377" t="e">
        <f t="shared" si="3"/>
        <v>#REF!</v>
      </c>
      <c r="E16" s="1378" t="e">
        <f t="shared" si="4"/>
        <v>#REF!</v>
      </c>
      <c r="F16" s="924" t="e">
        <f>#REF!</f>
        <v>#REF!</v>
      </c>
      <c r="G16" s="924" t="e">
        <f>#REF!</f>
        <v>#REF!</v>
      </c>
      <c r="H16" s="924" t="e">
        <f>#REF!</f>
        <v>#REF!</v>
      </c>
      <c r="I16" s="924" t="e">
        <f>#REF!</f>
        <v>#REF!</v>
      </c>
      <c r="J16" s="1378" t="e">
        <f t="shared" si="5"/>
        <v>#REF!</v>
      </c>
      <c r="K16" s="1378" t="e">
        <f t="shared" si="6"/>
        <v>#REF!</v>
      </c>
      <c r="L16" s="924" t="e">
        <f>#REF!</f>
        <v>#REF!</v>
      </c>
      <c r="M16" s="924" t="e">
        <f>#REF!</f>
        <v>#REF!</v>
      </c>
      <c r="N16" s="924" t="e">
        <f>#REF!</f>
        <v>#REF!</v>
      </c>
      <c r="O16" s="924" t="e">
        <f>#REF!</f>
        <v>#REF!</v>
      </c>
      <c r="P16" s="1378">
        <f t="shared" si="7"/>
        <v>0</v>
      </c>
      <c r="Q16" s="924"/>
      <c r="R16" s="924"/>
      <c r="S16" s="924"/>
      <c r="T16" s="924"/>
      <c r="U16" s="1378" t="e">
        <f t="shared" si="8"/>
        <v>#REF!</v>
      </c>
      <c r="V16" s="924" t="e">
        <f>#REF!</f>
        <v>#REF!</v>
      </c>
      <c r="W16" s="924" t="e">
        <f>#REF!</f>
        <v>#REF!</v>
      </c>
      <c r="X16" s="924" t="e">
        <f>#REF!</f>
        <v>#REF!</v>
      </c>
      <c r="Y16" s="924" t="e">
        <f>#REF!</f>
        <v>#REF!</v>
      </c>
    </row>
    <row r="17" spans="1:37" s="1380" customFormat="1" ht="15.6" customHeight="1" x14ac:dyDescent="0.25">
      <c r="A17" s="4452" t="s">
        <v>2242</v>
      </c>
      <c r="B17" s="4452"/>
      <c r="C17" s="4452"/>
      <c r="D17" s="4452"/>
      <c r="E17" s="4452"/>
      <c r="F17" s="4452"/>
      <c r="G17" s="4452"/>
      <c r="H17" s="4452"/>
      <c r="I17" s="4452"/>
      <c r="J17" s="4452"/>
      <c r="K17" s="4452"/>
      <c r="L17" s="4452"/>
      <c r="M17" s="4452"/>
      <c r="N17" s="4452"/>
      <c r="O17" s="4452"/>
      <c r="P17" s="4452"/>
      <c r="Q17" s="4452"/>
      <c r="R17" s="4452"/>
      <c r="S17" s="4452"/>
      <c r="T17" s="4452"/>
      <c r="U17" s="4452"/>
      <c r="V17" s="4452"/>
      <c r="W17" s="4452"/>
      <c r="X17" s="4452"/>
      <c r="Y17" s="4452"/>
      <c r="Z17" s="1381"/>
      <c r="AA17" s="1381"/>
      <c r="AB17" s="1381"/>
      <c r="AC17" s="1381"/>
      <c r="AD17" s="1381"/>
      <c r="AE17" s="1381"/>
      <c r="AF17" s="1381"/>
      <c r="AG17" s="1381"/>
      <c r="AH17" s="1381"/>
      <c r="AI17" s="1381"/>
      <c r="AJ17" s="1381"/>
      <c r="AK17" s="1382"/>
    </row>
    <row r="18" spans="1:37" ht="21" x14ac:dyDescent="0.25">
      <c r="A18" s="1376" t="s">
        <v>179</v>
      </c>
      <c r="B18" s="1385" t="s">
        <v>231</v>
      </c>
      <c r="C18" s="910" t="s">
        <v>40</v>
      </c>
      <c r="D18" s="1377" t="e">
        <f>E18+J18+U18</f>
        <v>#REF!</v>
      </c>
      <c r="E18" s="1378" t="e">
        <f>SUM(F18:I18)</f>
        <v>#REF!</v>
      </c>
      <c r="F18" s="924" t="e">
        <f>#REF!</f>
        <v>#REF!</v>
      </c>
      <c r="G18" s="924" t="e">
        <f>#REF!</f>
        <v>#REF!</v>
      </c>
      <c r="H18" s="924" t="e">
        <f>#REF!</f>
        <v>#REF!</v>
      </c>
      <c r="I18" s="924" t="e">
        <f>#REF!</f>
        <v>#REF!</v>
      </c>
      <c r="J18" s="1378" t="e">
        <f>K18+P18</f>
        <v>#REF!</v>
      </c>
      <c r="K18" s="1378">
        <f>SUM(L18:O18)</f>
        <v>0</v>
      </c>
      <c r="L18" s="924"/>
      <c r="M18" s="924"/>
      <c r="N18" s="924"/>
      <c r="O18" s="924"/>
      <c r="P18" s="1378" t="e">
        <f>SUM(Q18:T18)</f>
        <v>#REF!</v>
      </c>
      <c r="Q18" s="924" t="e">
        <f>#REF!</f>
        <v>#REF!</v>
      </c>
      <c r="R18" s="924" t="e">
        <f>#REF!</f>
        <v>#REF!</v>
      </c>
      <c r="S18" s="924" t="e">
        <f>#REF!</f>
        <v>#REF!</v>
      </c>
      <c r="T18" s="924" t="e">
        <f>#REF!</f>
        <v>#REF!</v>
      </c>
      <c r="U18" s="1378" t="e">
        <f>SUM(V18:Y18)</f>
        <v>#REF!</v>
      </c>
      <c r="V18" s="924" t="e">
        <f>#REF!</f>
        <v>#REF!</v>
      </c>
      <c r="W18" s="924" t="e">
        <f>#REF!</f>
        <v>#REF!</v>
      </c>
      <c r="X18" s="924" t="e">
        <f>#REF!</f>
        <v>#REF!</v>
      </c>
      <c r="Y18" s="924" t="e">
        <f>#REF!</f>
        <v>#REF!</v>
      </c>
    </row>
    <row r="19" spans="1:37" ht="15.6" customHeight="1" x14ac:dyDescent="0.25">
      <c r="A19" s="1379" t="s">
        <v>116</v>
      </c>
      <c r="B19" s="124" t="s">
        <v>65</v>
      </c>
      <c r="C19" s="128" t="s">
        <v>40</v>
      </c>
      <c r="D19" s="1377" t="e">
        <f t="shared" ref="D19:D23" si="9">E19+J19+U19</f>
        <v>#REF!</v>
      </c>
      <c r="E19" s="1378" t="e">
        <f t="shared" ref="E19:E23" si="10">SUM(F19:I19)</f>
        <v>#REF!</v>
      </c>
      <c r="F19" s="924" t="e">
        <f>#REF!</f>
        <v>#REF!</v>
      </c>
      <c r="G19" s="924" t="e">
        <f>#REF!</f>
        <v>#REF!</v>
      </c>
      <c r="H19" s="924" t="e">
        <f>#REF!</f>
        <v>#REF!</v>
      </c>
      <c r="I19" s="924" t="e">
        <f>#REF!</f>
        <v>#REF!</v>
      </c>
      <c r="J19" s="1378" t="e">
        <f t="shared" ref="J19:J23" si="11">K19+P19</f>
        <v>#REF!</v>
      </c>
      <c r="K19" s="1378">
        <f t="shared" ref="K19:K23" si="12">SUM(L19:O19)</f>
        <v>0</v>
      </c>
      <c r="L19" s="924"/>
      <c r="M19" s="924"/>
      <c r="N19" s="924"/>
      <c r="O19" s="924"/>
      <c r="P19" s="1378" t="e">
        <f t="shared" ref="P19:P23" si="13">SUM(Q19:T19)</f>
        <v>#REF!</v>
      </c>
      <c r="Q19" s="924" t="e">
        <f>#REF!</f>
        <v>#REF!</v>
      </c>
      <c r="R19" s="924" t="e">
        <f>#REF!</f>
        <v>#REF!</v>
      </c>
      <c r="S19" s="924" t="e">
        <f>#REF!</f>
        <v>#REF!</v>
      </c>
      <c r="T19" s="924" t="e">
        <f>#REF!</f>
        <v>#REF!</v>
      </c>
      <c r="U19" s="1378" t="e">
        <f t="shared" ref="U19:U23" si="14">SUM(V19:Y19)</f>
        <v>#REF!</v>
      </c>
      <c r="V19" s="924" t="e">
        <f>#REF!</f>
        <v>#REF!</v>
      </c>
      <c r="W19" s="924" t="e">
        <f>#REF!</f>
        <v>#REF!</v>
      </c>
      <c r="X19" s="924" t="e">
        <f>#REF!</f>
        <v>#REF!</v>
      </c>
      <c r="Y19" s="924" t="e">
        <f>#REF!</f>
        <v>#REF!</v>
      </c>
    </row>
    <row r="20" spans="1:37" ht="15.6" customHeight="1" x14ac:dyDescent="0.25">
      <c r="A20" s="1379" t="s">
        <v>118</v>
      </c>
      <c r="B20" s="124" t="s">
        <v>67</v>
      </c>
      <c r="C20" s="128" t="s">
        <v>40</v>
      </c>
      <c r="D20" s="1377" t="e">
        <f t="shared" si="9"/>
        <v>#REF!</v>
      </c>
      <c r="E20" s="1378" t="e">
        <f t="shared" si="10"/>
        <v>#REF!</v>
      </c>
      <c r="F20" s="924" t="e">
        <f>#REF!</f>
        <v>#REF!</v>
      </c>
      <c r="G20" s="924" t="e">
        <f>#REF!</f>
        <v>#REF!</v>
      </c>
      <c r="H20" s="924" t="e">
        <f>#REF!</f>
        <v>#REF!</v>
      </c>
      <c r="I20" s="924" t="e">
        <f>#REF!</f>
        <v>#REF!</v>
      </c>
      <c r="J20" s="1378" t="e">
        <f t="shared" si="11"/>
        <v>#REF!</v>
      </c>
      <c r="K20" s="1378">
        <f t="shared" si="12"/>
        <v>0</v>
      </c>
      <c r="L20" s="924"/>
      <c r="M20" s="924"/>
      <c r="N20" s="924"/>
      <c r="O20" s="924"/>
      <c r="P20" s="1378" t="e">
        <f t="shared" si="13"/>
        <v>#REF!</v>
      </c>
      <c r="Q20" s="924" t="e">
        <f>#REF!</f>
        <v>#REF!</v>
      </c>
      <c r="R20" s="924" t="e">
        <f>#REF!</f>
        <v>#REF!</v>
      </c>
      <c r="S20" s="924" t="e">
        <f>#REF!</f>
        <v>#REF!</v>
      </c>
      <c r="T20" s="924" t="e">
        <f>#REF!</f>
        <v>#REF!</v>
      </c>
      <c r="U20" s="1378" t="e">
        <f t="shared" si="14"/>
        <v>#REF!</v>
      </c>
      <c r="V20" s="924" t="e">
        <f>#REF!</f>
        <v>#REF!</v>
      </c>
      <c r="W20" s="924" t="e">
        <f>#REF!</f>
        <v>#REF!</v>
      </c>
      <c r="X20" s="924" t="e">
        <f>#REF!</f>
        <v>#REF!</v>
      </c>
      <c r="Y20" s="924" t="e">
        <f>#REF!</f>
        <v>#REF!</v>
      </c>
    </row>
    <row r="21" spans="1:37" ht="15.6" customHeight="1" x14ac:dyDescent="0.25">
      <c r="A21" s="1379" t="s">
        <v>120</v>
      </c>
      <c r="B21" s="124" t="s">
        <v>69</v>
      </c>
      <c r="C21" s="128" t="s">
        <v>40</v>
      </c>
      <c r="D21" s="1377" t="e">
        <f t="shared" si="9"/>
        <v>#REF!</v>
      </c>
      <c r="E21" s="1378" t="e">
        <f t="shared" si="10"/>
        <v>#REF!</v>
      </c>
      <c r="F21" s="924" t="e">
        <f>#REF!</f>
        <v>#REF!</v>
      </c>
      <c r="G21" s="924" t="e">
        <f>#REF!</f>
        <v>#REF!</v>
      </c>
      <c r="H21" s="924" t="e">
        <f>#REF!</f>
        <v>#REF!</v>
      </c>
      <c r="I21" s="924" t="e">
        <f>#REF!</f>
        <v>#REF!</v>
      </c>
      <c r="J21" s="1378" t="e">
        <f t="shared" si="11"/>
        <v>#REF!</v>
      </c>
      <c r="K21" s="1378">
        <f t="shared" si="12"/>
        <v>0</v>
      </c>
      <c r="L21" s="924"/>
      <c r="M21" s="924"/>
      <c r="N21" s="924"/>
      <c r="O21" s="924"/>
      <c r="P21" s="1378" t="e">
        <f t="shared" si="13"/>
        <v>#REF!</v>
      </c>
      <c r="Q21" s="924" t="e">
        <f>#REF!</f>
        <v>#REF!</v>
      </c>
      <c r="R21" s="924" t="e">
        <f>#REF!</f>
        <v>#REF!</v>
      </c>
      <c r="S21" s="924" t="e">
        <f>#REF!</f>
        <v>#REF!</v>
      </c>
      <c r="T21" s="924" t="e">
        <f>#REF!</f>
        <v>#REF!</v>
      </c>
      <c r="U21" s="1378" t="e">
        <f t="shared" si="14"/>
        <v>#REF!</v>
      </c>
      <c r="V21" s="924" t="e">
        <f>#REF!</f>
        <v>#REF!</v>
      </c>
      <c r="W21" s="924" t="e">
        <f>#REF!</f>
        <v>#REF!</v>
      </c>
      <c r="X21" s="924" t="e">
        <f>#REF!</f>
        <v>#REF!</v>
      </c>
      <c r="Y21" s="924" t="e">
        <f>#REF!</f>
        <v>#REF!</v>
      </c>
    </row>
    <row r="22" spans="1:37" ht="24.6" customHeight="1" x14ac:dyDescent="0.25">
      <c r="A22" s="1379" t="s">
        <v>122</v>
      </c>
      <c r="B22" s="124" t="s">
        <v>71</v>
      </c>
      <c r="C22" s="128" t="s">
        <v>40</v>
      </c>
      <c r="D22" s="1377" t="e">
        <f t="shared" si="9"/>
        <v>#REF!</v>
      </c>
      <c r="E22" s="1378" t="e">
        <f t="shared" si="10"/>
        <v>#REF!</v>
      </c>
      <c r="F22" s="924" t="e">
        <f>#REF!</f>
        <v>#REF!</v>
      </c>
      <c r="G22" s="924" t="e">
        <f>#REF!</f>
        <v>#REF!</v>
      </c>
      <c r="H22" s="924" t="e">
        <f>#REF!</f>
        <v>#REF!</v>
      </c>
      <c r="I22" s="924" t="e">
        <f>#REF!</f>
        <v>#REF!</v>
      </c>
      <c r="J22" s="1378" t="e">
        <f t="shared" si="11"/>
        <v>#REF!</v>
      </c>
      <c r="K22" s="1378">
        <f t="shared" si="12"/>
        <v>0</v>
      </c>
      <c r="L22" s="924"/>
      <c r="M22" s="924"/>
      <c r="N22" s="924"/>
      <c r="O22" s="924"/>
      <c r="P22" s="1378" t="e">
        <f t="shared" si="13"/>
        <v>#REF!</v>
      </c>
      <c r="Q22" s="924" t="e">
        <f>#REF!</f>
        <v>#REF!</v>
      </c>
      <c r="R22" s="924" t="e">
        <f>#REF!</f>
        <v>#REF!</v>
      </c>
      <c r="S22" s="924" t="e">
        <f>#REF!</f>
        <v>#REF!</v>
      </c>
      <c r="T22" s="924" t="e">
        <f>#REF!</f>
        <v>#REF!</v>
      </c>
      <c r="U22" s="1378" t="e">
        <f t="shared" si="14"/>
        <v>#REF!</v>
      </c>
      <c r="V22" s="924" t="e">
        <f>#REF!</f>
        <v>#REF!</v>
      </c>
      <c r="W22" s="924" t="e">
        <f>#REF!</f>
        <v>#REF!</v>
      </c>
      <c r="X22" s="924" t="e">
        <f>#REF!</f>
        <v>#REF!</v>
      </c>
      <c r="Y22" s="924" t="e">
        <f>#REF!</f>
        <v>#REF!</v>
      </c>
    </row>
    <row r="23" spans="1:37" ht="15.6" customHeight="1" x14ac:dyDescent="0.25">
      <c r="A23" s="1379" t="s">
        <v>232</v>
      </c>
      <c r="B23" s="124" t="s">
        <v>87</v>
      </c>
      <c r="C23" s="128" t="s">
        <v>40</v>
      </c>
      <c r="D23" s="1377" t="e">
        <f t="shared" si="9"/>
        <v>#REF!</v>
      </c>
      <c r="E23" s="1378" t="e">
        <f t="shared" si="10"/>
        <v>#REF!</v>
      </c>
      <c r="F23" s="924" t="e">
        <f>#REF!</f>
        <v>#REF!</v>
      </c>
      <c r="G23" s="924" t="e">
        <f>#REF!</f>
        <v>#REF!</v>
      </c>
      <c r="H23" s="924" t="e">
        <f>#REF!</f>
        <v>#REF!</v>
      </c>
      <c r="I23" s="924" t="e">
        <f>#REF!</f>
        <v>#REF!</v>
      </c>
      <c r="J23" s="1378" t="e">
        <f t="shared" si="11"/>
        <v>#REF!</v>
      </c>
      <c r="K23" s="1378">
        <f t="shared" si="12"/>
        <v>0</v>
      </c>
      <c r="L23" s="924"/>
      <c r="M23" s="924"/>
      <c r="N23" s="924"/>
      <c r="O23" s="924"/>
      <c r="P23" s="1378" t="e">
        <f t="shared" si="13"/>
        <v>#REF!</v>
      </c>
      <c r="Q23" s="924" t="e">
        <f>#REF!</f>
        <v>#REF!</v>
      </c>
      <c r="R23" s="924" t="e">
        <f>#REF!</f>
        <v>#REF!</v>
      </c>
      <c r="S23" s="924" t="e">
        <f>#REF!</f>
        <v>#REF!</v>
      </c>
      <c r="T23" s="924" t="e">
        <f>#REF!</f>
        <v>#REF!</v>
      </c>
      <c r="U23" s="1378" t="e">
        <f t="shared" si="14"/>
        <v>#REF!</v>
      </c>
      <c r="V23" s="924" t="e">
        <f>#REF!</f>
        <v>#REF!</v>
      </c>
      <c r="W23" s="924" t="e">
        <f>#REF!</f>
        <v>#REF!</v>
      </c>
      <c r="X23" s="924" t="e">
        <f>#REF!</f>
        <v>#REF!</v>
      </c>
      <c r="Y23" s="924" t="e">
        <f>#REF!</f>
        <v>#REF!</v>
      </c>
    </row>
    <row r="24" spans="1:37" x14ac:dyDescent="0.25">
      <c r="A24" s="4453" t="s">
        <v>2243</v>
      </c>
      <c r="B24" s="4453"/>
      <c r="C24" s="4453"/>
      <c r="D24" s="4453"/>
      <c r="E24" s="4453"/>
      <c r="F24" s="4453"/>
      <c r="G24" s="4453"/>
      <c r="H24" s="4453"/>
      <c r="I24" s="4453"/>
      <c r="J24" s="4453"/>
      <c r="K24" s="4453"/>
      <c r="L24" s="4453"/>
      <c r="M24" s="4453"/>
      <c r="N24" s="4453"/>
      <c r="O24" s="4453"/>
      <c r="P24" s="4453"/>
      <c r="Q24" s="4453"/>
      <c r="R24" s="4453"/>
      <c r="S24" s="4453"/>
      <c r="T24" s="4453"/>
      <c r="U24" s="4453"/>
      <c r="V24" s="4453"/>
      <c r="W24" s="4453"/>
      <c r="X24" s="4453"/>
      <c r="Y24" s="4453"/>
    </row>
    <row r="25" spans="1:37" ht="21" x14ac:dyDescent="0.25">
      <c r="A25" s="1376" t="s">
        <v>179</v>
      </c>
      <c r="B25" s="1385" t="s">
        <v>231</v>
      </c>
      <c r="C25" s="910" t="s">
        <v>40</v>
      </c>
      <c r="D25" s="1384" t="e">
        <f>E25+J25+U25</f>
        <v>#REF!</v>
      </c>
      <c r="E25" s="1383" t="e">
        <f>SUM(F25:I25)</f>
        <v>#REF!</v>
      </c>
      <c r="F25" s="924" t="e">
        <f>F4-F11</f>
        <v>#REF!</v>
      </c>
      <c r="G25" s="924" t="e">
        <f t="shared" ref="G25:I25" si="15">G4-G11</f>
        <v>#REF!</v>
      </c>
      <c r="H25" s="924" t="e">
        <f t="shared" si="15"/>
        <v>#REF!</v>
      </c>
      <c r="I25" s="924" t="e">
        <f t="shared" si="15"/>
        <v>#REF!</v>
      </c>
      <c r="J25" s="1383" t="e">
        <f>J4-J11-J18</f>
        <v>#REF!</v>
      </c>
      <c r="K25" s="1383" t="e">
        <f>K4-K11</f>
        <v>#REF!</v>
      </c>
      <c r="L25" s="924"/>
      <c r="M25" s="924"/>
      <c r="N25" s="924"/>
      <c r="O25" s="924"/>
      <c r="P25" s="1383" t="e">
        <f>P4-P18</f>
        <v>#REF!</v>
      </c>
      <c r="Q25" s="924"/>
      <c r="R25" s="924"/>
      <c r="S25" s="924"/>
      <c r="T25" s="924"/>
      <c r="U25" s="1383" t="e">
        <f>SUM(V25:Y25)</f>
        <v>#REF!</v>
      </c>
      <c r="V25" s="924" t="e">
        <f>V11-V18</f>
        <v>#REF!</v>
      </c>
      <c r="W25" s="924" t="e">
        <f t="shared" ref="W25:Y25" si="16">W11-W18</f>
        <v>#REF!</v>
      </c>
      <c r="X25" s="924" t="e">
        <f t="shared" si="16"/>
        <v>#REF!</v>
      </c>
      <c r="Y25" s="924" t="e">
        <f t="shared" si="16"/>
        <v>#REF!</v>
      </c>
    </row>
    <row r="26" spans="1:37" ht="15.6" customHeight="1" x14ac:dyDescent="0.25">
      <c r="A26" s="1379" t="s">
        <v>116</v>
      </c>
      <c r="B26" s="124" t="s">
        <v>65</v>
      </c>
      <c r="C26" s="128" t="s">
        <v>40</v>
      </c>
      <c r="D26" s="1384" t="e">
        <f t="shared" ref="D26:D30" si="17">E26+J26+U26</f>
        <v>#REF!</v>
      </c>
      <c r="E26" s="1383" t="e">
        <f t="shared" ref="E26:E30" si="18">SUM(F26:I26)</f>
        <v>#REF!</v>
      </c>
      <c r="F26" s="924" t="e">
        <f t="shared" ref="F26:I30" si="19">F5-F12</f>
        <v>#REF!</v>
      </c>
      <c r="G26" s="924" t="e">
        <f t="shared" si="19"/>
        <v>#REF!</v>
      </c>
      <c r="H26" s="924" t="e">
        <f t="shared" si="19"/>
        <v>#REF!</v>
      </c>
      <c r="I26" s="924" t="e">
        <f t="shared" si="19"/>
        <v>#REF!</v>
      </c>
      <c r="J26" s="1383" t="e">
        <f t="shared" ref="J26:J30" si="20">J5-J12-J19</f>
        <v>#REF!</v>
      </c>
      <c r="K26" s="1383" t="e">
        <f t="shared" ref="K26:K30" si="21">K5-K12</f>
        <v>#REF!</v>
      </c>
      <c r="L26" s="924"/>
      <c r="M26" s="924"/>
      <c r="N26" s="924"/>
      <c r="O26" s="924"/>
      <c r="P26" s="1383" t="e">
        <f t="shared" ref="P26:P30" si="22">P5-P19</f>
        <v>#REF!</v>
      </c>
      <c r="Q26" s="924"/>
      <c r="R26" s="924"/>
      <c r="S26" s="924"/>
      <c r="T26" s="924"/>
      <c r="U26" s="1383" t="e">
        <f t="shared" ref="U26:U30" si="23">SUM(V26:Y26)</f>
        <v>#REF!</v>
      </c>
      <c r="V26" s="924" t="e">
        <f t="shared" ref="V26:Y30" si="24">V12-V19</f>
        <v>#REF!</v>
      </c>
      <c r="W26" s="924" t="e">
        <f t="shared" si="24"/>
        <v>#REF!</v>
      </c>
      <c r="X26" s="924" t="e">
        <f t="shared" si="24"/>
        <v>#REF!</v>
      </c>
      <c r="Y26" s="924" t="e">
        <f t="shared" si="24"/>
        <v>#REF!</v>
      </c>
    </row>
    <row r="27" spans="1:37" ht="15.6" customHeight="1" x14ac:dyDescent="0.25">
      <c r="A27" s="1379" t="s">
        <v>118</v>
      </c>
      <c r="B27" s="124" t="s">
        <v>67</v>
      </c>
      <c r="C27" s="128" t="s">
        <v>40</v>
      </c>
      <c r="D27" s="1384" t="e">
        <f t="shared" si="17"/>
        <v>#REF!</v>
      </c>
      <c r="E27" s="1383" t="e">
        <f t="shared" si="18"/>
        <v>#REF!</v>
      </c>
      <c r="F27" s="924" t="e">
        <f t="shared" si="19"/>
        <v>#REF!</v>
      </c>
      <c r="G27" s="924" t="e">
        <f t="shared" si="19"/>
        <v>#REF!</v>
      </c>
      <c r="H27" s="924" t="e">
        <f t="shared" si="19"/>
        <v>#REF!</v>
      </c>
      <c r="I27" s="924" t="e">
        <f t="shared" si="19"/>
        <v>#REF!</v>
      </c>
      <c r="J27" s="1383" t="e">
        <f t="shared" si="20"/>
        <v>#REF!</v>
      </c>
      <c r="K27" s="1383" t="e">
        <f t="shared" si="21"/>
        <v>#REF!</v>
      </c>
      <c r="L27" s="924"/>
      <c r="M27" s="924"/>
      <c r="N27" s="924"/>
      <c r="O27" s="924"/>
      <c r="P27" s="1383" t="e">
        <f t="shared" si="22"/>
        <v>#REF!</v>
      </c>
      <c r="Q27" s="924"/>
      <c r="R27" s="924"/>
      <c r="S27" s="924"/>
      <c r="T27" s="924"/>
      <c r="U27" s="1383" t="e">
        <f t="shared" si="23"/>
        <v>#REF!</v>
      </c>
      <c r="V27" s="924" t="e">
        <f t="shared" si="24"/>
        <v>#REF!</v>
      </c>
      <c r="W27" s="924" t="e">
        <f t="shared" si="24"/>
        <v>#REF!</v>
      </c>
      <c r="X27" s="924" t="e">
        <f t="shared" si="24"/>
        <v>#REF!</v>
      </c>
      <c r="Y27" s="924" t="e">
        <f t="shared" si="24"/>
        <v>#REF!</v>
      </c>
    </row>
    <row r="28" spans="1:37" ht="15.6" customHeight="1" x14ac:dyDescent="0.25">
      <c r="A28" s="1379" t="s">
        <v>120</v>
      </c>
      <c r="B28" s="124" t="s">
        <v>69</v>
      </c>
      <c r="C28" s="128" t="s">
        <v>40</v>
      </c>
      <c r="D28" s="1384" t="e">
        <f t="shared" si="17"/>
        <v>#REF!</v>
      </c>
      <c r="E28" s="1383" t="e">
        <f t="shared" si="18"/>
        <v>#REF!</v>
      </c>
      <c r="F28" s="924" t="e">
        <f t="shared" si="19"/>
        <v>#REF!</v>
      </c>
      <c r="G28" s="924" t="e">
        <f t="shared" si="19"/>
        <v>#REF!</v>
      </c>
      <c r="H28" s="924" t="e">
        <f t="shared" si="19"/>
        <v>#REF!</v>
      </c>
      <c r="I28" s="924" t="e">
        <f t="shared" si="19"/>
        <v>#REF!</v>
      </c>
      <c r="J28" s="1383" t="e">
        <f t="shared" si="20"/>
        <v>#REF!</v>
      </c>
      <c r="K28" s="1383" t="e">
        <f t="shared" si="21"/>
        <v>#REF!</v>
      </c>
      <c r="L28" s="924"/>
      <c r="M28" s="924"/>
      <c r="N28" s="924"/>
      <c r="O28" s="924"/>
      <c r="P28" s="1383" t="e">
        <f t="shared" si="22"/>
        <v>#REF!</v>
      </c>
      <c r="Q28" s="924"/>
      <c r="R28" s="924"/>
      <c r="S28" s="924"/>
      <c r="T28" s="924"/>
      <c r="U28" s="1383" t="e">
        <f t="shared" si="23"/>
        <v>#REF!</v>
      </c>
      <c r="V28" s="924" t="e">
        <f t="shared" si="24"/>
        <v>#REF!</v>
      </c>
      <c r="W28" s="924" t="e">
        <f t="shared" si="24"/>
        <v>#REF!</v>
      </c>
      <c r="X28" s="924" t="e">
        <f t="shared" si="24"/>
        <v>#REF!</v>
      </c>
      <c r="Y28" s="924" t="e">
        <f t="shared" si="24"/>
        <v>#REF!</v>
      </c>
    </row>
    <row r="29" spans="1:37" ht="21" customHeight="1" x14ac:dyDescent="0.25">
      <c r="A29" s="1379" t="s">
        <v>122</v>
      </c>
      <c r="B29" s="124" t="s">
        <v>71</v>
      </c>
      <c r="C29" s="128" t="s">
        <v>40</v>
      </c>
      <c r="D29" s="1384" t="e">
        <f t="shared" si="17"/>
        <v>#REF!</v>
      </c>
      <c r="E29" s="1383" t="e">
        <f t="shared" si="18"/>
        <v>#REF!</v>
      </c>
      <c r="F29" s="924" t="e">
        <f t="shared" si="19"/>
        <v>#REF!</v>
      </c>
      <c r="G29" s="924" t="e">
        <f t="shared" si="19"/>
        <v>#REF!</v>
      </c>
      <c r="H29" s="924" t="e">
        <f t="shared" si="19"/>
        <v>#REF!</v>
      </c>
      <c r="I29" s="924" t="e">
        <f t="shared" si="19"/>
        <v>#REF!</v>
      </c>
      <c r="J29" s="1383" t="e">
        <f t="shared" si="20"/>
        <v>#REF!</v>
      </c>
      <c r="K29" s="1383" t="e">
        <f t="shared" si="21"/>
        <v>#REF!</v>
      </c>
      <c r="L29" s="924"/>
      <c r="M29" s="924"/>
      <c r="N29" s="924"/>
      <c r="O29" s="924"/>
      <c r="P29" s="1383" t="e">
        <f t="shared" si="22"/>
        <v>#REF!</v>
      </c>
      <c r="Q29" s="924"/>
      <c r="R29" s="924"/>
      <c r="S29" s="924"/>
      <c r="T29" s="924"/>
      <c r="U29" s="1383" t="e">
        <f t="shared" si="23"/>
        <v>#REF!</v>
      </c>
      <c r="V29" s="924" t="e">
        <f t="shared" si="24"/>
        <v>#REF!</v>
      </c>
      <c r="W29" s="924" t="e">
        <f t="shared" si="24"/>
        <v>#REF!</v>
      </c>
      <c r="X29" s="924" t="e">
        <f t="shared" si="24"/>
        <v>#REF!</v>
      </c>
      <c r="Y29" s="924" t="e">
        <f t="shared" si="24"/>
        <v>#REF!</v>
      </c>
    </row>
    <row r="30" spans="1:37" ht="15.6" customHeight="1" x14ac:dyDescent="0.25">
      <c r="A30" s="1379" t="s">
        <v>232</v>
      </c>
      <c r="B30" s="124" t="s">
        <v>87</v>
      </c>
      <c r="C30" s="128" t="s">
        <v>40</v>
      </c>
      <c r="D30" s="1384" t="e">
        <f t="shared" si="17"/>
        <v>#REF!</v>
      </c>
      <c r="E30" s="1383" t="e">
        <f t="shared" si="18"/>
        <v>#REF!</v>
      </c>
      <c r="F30" s="924" t="e">
        <f t="shared" si="19"/>
        <v>#REF!</v>
      </c>
      <c r="G30" s="924" t="e">
        <f t="shared" si="19"/>
        <v>#REF!</v>
      </c>
      <c r="H30" s="924" t="e">
        <f t="shared" si="19"/>
        <v>#REF!</v>
      </c>
      <c r="I30" s="924" t="e">
        <f t="shared" si="19"/>
        <v>#REF!</v>
      </c>
      <c r="J30" s="1383" t="e">
        <f t="shared" si="20"/>
        <v>#REF!</v>
      </c>
      <c r="K30" s="1383" t="e">
        <f t="shared" si="21"/>
        <v>#REF!</v>
      </c>
      <c r="L30" s="924"/>
      <c r="M30" s="924"/>
      <c r="N30" s="924"/>
      <c r="O30" s="924"/>
      <c r="P30" s="1383" t="e">
        <f t="shared" si="22"/>
        <v>#REF!</v>
      </c>
      <c r="Q30" s="924"/>
      <c r="R30" s="924"/>
      <c r="S30" s="924"/>
      <c r="T30" s="924"/>
      <c r="U30" s="1383" t="e">
        <f t="shared" si="23"/>
        <v>#REF!</v>
      </c>
      <c r="V30" s="924" t="e">
        <f t="shared" si="24"/>
        <v>#REF!</v>
      </c>
      <c r="W30" s="924" t="e">
        <f t="shared" si="24"/>
        <v>#REF!</v>
      </c>
      <c r="X30" s="924" t="e">
        <f t="shared" si="24"/>
        <v>#REF!</v>
      </c>
      <c r="Y30" s="924" t="e">
        <f t="shared" si="24"/>
        <v>#REF!</v>
      </c>
    </row>
  </sheetData>
  <mergeCells count="8">
    <mergeCell ref="A17:Y17"/>
    <mergeCell ref="A24:Y24"/>
    <mergeCell ref="A1:Y1"/>
    <mergeCell ref="D2:D3"/>
    <mergeCell ref="E2:I2"/>
    <mergeCell ref="J2:T2"/>
    <mergeCell ref="U2:Y2"/>
    <mergeCell ref="A10:Y10"/>
  </mergeCells>
  <pageMargins left="0.70866141732283472" right="0.70866141732283472" top="0.52" bottom="0.26" header="0.31496062992125984" footer="0.15"/>
  <pageSetup paperSize="9" orientation="landscape"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96"/>
  <sheetViews>
    <sheetView topLeftCell="A42" workbookViewId="0">
      <selection activeCell="E9" sqref="E9"/>
    </sheetView>
  </sheetViews>
  <sheetFormatPr defaultColWidth="8.85546875" defaultRowHeight="15" x14ac:dyDescent="0.25"/>
  <cols>
    <col min="1" max="1" width="8.85546875" style="18"/>
    <col min="2" max="2" width="33.7109375" style="18" customWidth="1"/>
    <col min="3" max="3" width="9.42578125" style="18" customWidth="1"/>
    <col min="4" max="4" width="11.140625" style="18" customWidth="1"/>
    <col min="5" max="5" width="14.7109375" style="18" customWidth="1"/>
    <col min="6" max="6" width="12.42578125" style="18" customWidth="1"/>
    <col min="7" max="8" width="10.42578125" style="18" customWidth="1"/>
    <col min="9" max="16384" width="8.85546875" style="18"/>
  </cols>
  <sheetData>
    <row r="1" spans="1:10" ht="15.6" customHeight="1" x14ac:dyDescent="0.25">
      <c r="A1" s="4457" t="s">
        <v>2367</v>
      </c>
      <c r="B1" s="4457"/>
      <c r="C1" s="4457"/>
      <c r="D1" s="4457"/>
      <c r="E1" s="4457"/>
      <c r="F1" s="4457"/>
    </row>
    <row r="2" spans="1:10" ht="16.5" thickBot="1" x14ac:dyDescent="0.3">
      <c r="E2" s="53"/>
      <c r="F2" s="1771" t="s">
        <v>992</v>
      </c>
    </row>
    <row r="3" spans="1:10" ht="14.45" customHeight="1" thickBot="1" x14ac:dyDescent="0.3">
      <c r="A3" s="4331" t="s">
        <v>2141</v>
      </c>
      <c r="B3" s="4458" t="s">
        <v>8</v>
      </c>
      <c r="C3" s="4337" t="s">
        <v>2142</v>
      </c>
      <c r="D3" s="4334" t="s">
        <v>2252</v>
      </c>
      <c r="E3" s="4471" t="s">
        <v>2386</v>
      </c>
      <c r="F3" s="4472"/>
      <c r="G3" s="4471" t="s">
        <v>2387</v>
      </c>
      <c r="H3" s="4472"/>
    </row>
    <row r="4" spans="1:10" ht="14.45" customHeight="1" x14ac:dyDescent="0.25">
      <c r="A4" s="4332"/>
      <c r="B4" s="4459"/>
      <c r="C4" s="4338"/>
      <c r="D4" s="4335"/>
      <c r="E4" s="4346" t="s">
        <v>766</v>
      </c>
      <c r="F4" s="4468" t="s">
        <v>2368</v>
      </c>
      <c r="G4" s="4346" t="s">
        <v>766</v>
      </c>
      <c r="H4" s="4468" t="s">
        <v>2368</v>
      </c>
    </row>
    <row r="5" spans="1:10" ht="14.45" customHeight="1" x14ac:dyDescent="0.25">
      <c r="A5" s="4332"/>
      <c r="B5" s="4459"/>
      <c r="C5" s="4338"/>
      <c r="D5" s="4335"/>
      <c r="E5" s="4347"/>
      <c r="F5" s="4469"/>
      <c r="G5" s="4347"/>
      <c r="H5" s="4469"/>
    </row>
    <row r="6" spans="1:10" ht="15" customHeight="1" thickBot="1" x14ac:dyDescent="0.3">
      <c r="A6" s="4333"/>
      <c r="B6" s="4460"/>
      <c r="C6" s="4339"/>
      <c r="D6" s="4336"/>
      <c r="E6" s="4347"/>
      <c r="F6" s="4470"/>
      <c r="G6" s="4347"/>
      <c r="H6" s="4470"/>
    </row>
    <row r="7" spans="1:10" s="1791" customFormat="1" x14ac:dyDescent="0.25">
      <c r="A7" s="1789">
        <v>1</v>
      </c>
      <c r="B7" s="1790">
        <f>A7+1</f>
        <v>2</v>
      </c>
      <c r="C7" s="1790">
        <f t="shared" ref="C7:H7" si="0">B7+1</f>
        <v>3</v>
      </c>
      <c r="D7" s="1790">
        <f t="shared" si="0"/>
        <v>4</v>
      </c>
      <c r="E7" s="1790">
        <f t="shared" si="0"/>
        <v>5</v>
      </c>
      <c r="F7" s="1790">
        <f t="shared" si="0"/>
        <v>6</v>
      </c>
      <c r="G7" s="1790">
        <f t="shared" si="0"/>
        <v>7</v>
      </c>
      <c r="H7" s="1790">
        <f t="shared" si="0"/>
        <v>8</v>
      </c>
    </row>
    <row r="8" spans="1:10" ht="31.5" x14ac:dyDescent="0.25">
      <c r="A8" s="1259">
        <v>1</v>
      </c>
      <c r="B8" s="1785" t="s">
        <v>2147</v>
      </c>
      <c r="C8" s="1772" t="s">
        <v>2148</v>
      </c>
      <c r="D8" s="1772"/>
      <c r="E8" s="1773">
        <f>E9+E10+E11+E15</f>
        <v>3596.8</v>
      </c>
      <c r="F8" s="1773">
        <f>F9+F10+F11+F15</f>
        <v>15.9</v>
      </c>
      <c r="G8" s="1773" t="e">
        <f>G9+G10+G11+G15</f>
        <v>#REF!</v>
      </c>
      <c r="H8" s="20"/>
    </row>
    <row r="9" spans="1:10" ht="15.75" x14ac:dyDescent="0.25">
      <c r="A9" s="1259" t="s">
        <v>23</v>
      </c>
      <c r="B9" s="1785" t="s">
        <v>103</v>
      </c>
      <c r="C9" s="1772" t="s">
        <v>40</v>
      </c>
      <c r="D9" s="1772"/>
      <c r="E9" s="1774">
        <f>[54]Прямі!G15/1000</f>
        <v>78.3</v>
      </c>
      <c r="F9" s="1774">
        <f>E9/$E$33/12*1000</f>
        <v>0.35</v>
      </c>
      <c r="G9" s="1774">
        <f>G50</f>
        <v>89.75</v>
      </c>
      <c r="H9" s="20"/>
    </row>
    <row r="10" spans="1:10" ht="15.75" x14ac:dyDescent="0.25">
      <c r="A10" s="1259" t="s">
        <v>24</v>
      </c>
      <c r="B10" s="1785" t="s">
        <v>47</v>
      </c>
      <c r="C10" s="1772" t="s">
        <v>40</v>
      </c>
      <c r="D10" s="1772"/>
      <c r="E10" s="1774">
        <f>[54]Прямі!G16/1000</f>
        <v>1860.48</v>
      </c>
      <c r="F10" s="1774">
        <f>E10/$E$33/12*1000</f>
        <v>8.2200000000000006</v>
      </c>
      <c r="G10" s="1774">
        <f>ФОП!H29/1000</f>
        <v>0</v>
      </c>
      <c r="H10" s="20"/>
    </row>
    <row r="11" spans="1:10" ht="15.75" x14ac:dyDescent="0.25">
      <c r="A11" s="1259" t="s">
        <v>48</v>
      </c>
      <c r="B11" s="1785" t="s">
        <v>2152</v>
      </c>
      <c r="C11" s="1772" t="s">
        <v>40</v>
      </c>
      <c r="D11" s="1772"/>
      <c r="E11" s="1773">
        <f>SUM(E12:E14)</f>
        <v>1265.52</v>
      </c>
      <c r="F11" s="1773">
        <f>SUM(F12:F14)</f>
        <v>5.6</v>
      </c>
      <c r="G11" s="1773">
        <f>SUM(G12:G14)</f>
        <v>74.400000000000006</v>
      </c>
      <c r="H11" s="20"/>
    </row>
    <row r="12" spans="1:10" ht="15.75" x14ac:dyDescent="0.25">
      <c r="A12" s="1263" t="s">
        <v>49</v>
      </c>
      <c r="B12" s="1786" t="s">
        <v>2153</v>
      </c>
      <c r="C12" s="1775" t="s">
        <v>40</v>
      </c>
      <c r="D12" s="1775"/>
      <c r="E12" s="1774">
        <f>[54]Прямі!G19/1000</f>
        <v>401.09</v>
      </c>
      <c r="F12" s="1774">
        <f>E12/$E$33/12*1000</f>
        <v>1.77</v>
      </c>
      <c r="G12" s="1774">
        <f>ФОП!H31/1000</f>
        <v>0</v>
      </c>
      <c r="H12" s="20"/>
      <c r="J12" s="18">
        <f>G10*22%</f>
        <v>0</v>
      </c>
    </row>
    <row r="13" spans="1:10" ht="15.75" x14ac:dyDescent="0.25">
      <c r="A13" s="1263" t="s">
        <v>50</v>
      </c>
      <c r="B13" s="1786" t="s">
        <v>2154</v>
      </c>
      <c r="C13" s="1775" t="s">
        <v>40</v>
      </c>
      <c r="D13" s="1775"/>
      <c r="E13" s="1774">
        <f>[54]Прямі!G25/1000</f>
        <v>12.59</v>
      </c>
      <c r="F13" s="1774">
        <f>E13/$E$33/12*1000</f>
        <v>0.06</v>
      </c>
      <c r="G13" s="1774">
        <f>G65+G66</f>
        <v>0</v>
      </c>
      <c r="H13" s="20"/>
    </row>
    <row r="14" spans="1:10" ht="15.75" x14ac:dyDescent="0.25">
      <c r="A14" s="1263" t="s">
        <v>51</v>
      </c>
      <c r="B14" s="1786" t="s">
        <v>2369</v>
      </c>
      <c r="C14" s="1775" t="s">
        <v>40</v>
      </c>
      <c r="D14" s="1775"/>
      <c r="E14" s="1774">
        <f>[54]Прямі!G67/1000</f>
        <v>851.84</v>
      </c>
      <c r="F14" s="1774">
        <f>E14/$E$33/12*1000</f>
        <v>3.77</v>
      </c>
      <c r="G14" s="1774">
        <f>G63-G65-G66</f>
        <v>74.400000000000006</v>
      </c>
      <c r="H14" s="20"/>
    </row>
    <row r="15" spans="1:10" ht="31.5" x14ac:dyDescent="0.25">
      <c r="A15" s="1259" t="s">
        <v>53</v>
      </c>
      <c r="B15" s="1785" t="s">
        <v>2155</v>
      </c>
      <c r="C15" s="1772" t="s">
        <v>40</v>
      </c>
      <c r="D15" s="1772"/>
      <c r="E15" s="1773">
        <f>SUM(E16:E18)</f>
        <v>392.5</v>
      </c>
      <c r="F15" s="1773">
        <f>SUM(F16:F18)</f>
        <v>1.73</v>
      </c>
      <c r="G15" s="1773" t="e">
        <f>SUM(G16:G18)</f>
        <v>#REF!</v>
      </c>
      <c r="H15" s="20"/>
    </row>
    <row r="16" spans="1:10" ht="15.75" x14ac:dyDescent="0.25">
      <c r="A16" s="1263" t="s">
        <v>54</v>
      </c>
      <c r="B16" s="1786" t="s">
        <v>55</v>
      </c>
      <c r="C16" s="1775" t="s">
        <v>40</v>
      </c>
      <c r="D16" s="1775"/>
      <c r="E16" s="1774">
        <v>319.58999999999997</v>
      </c>
      <c r="F16" s="1774">
        <f>E16/$E$33/12*1000</f>
        <v>1.41</v>
      </c>
      <c r="G16" s="1774" t="e">
        <f>#REF!</f>
        <v>#REF!</v>
      </c>
      <c r="H16" s="20"/>
    </row>
    <row r="17" spans="1:8" ht="15.75" x14ac:dyDescent="0.25">
      <c r="A17" s="1263" t="s">
        <v>56</v>
      </c>
      <c r="B17" s="1786" t="s">
        <v>2153</v>
      </c>
      <c r="C17" s="1775" t="s">
        <v>40</v>
      </c>
      <c r="D17" s="1775"/>
      <c r="E17" s="1774">
        <v>67.94</v>
      </c>
      <c r="F17" s="1774">
        <f>E17/$E$33/12*1000</f>
        <v>0.3</v>
      </c>
      <c r="G17" s="1774" t="e">
        <f>#REF!</f>
        <v>#REF!</v>
      </c>
      <c r="H17" s="20"/>
    </row>
    <row r="18" spans="1:8" ht="15.75" x14ac:dyDescent="0.25">
      <c r="A18" s="1263" t="s">
        <v>57</v>
      </c>
      <c r="B18" s="1786" t="s">
        <v>58</v>
      </c>
      <c r="C18" s="1775" t="s">
        <v>40</v>
      </c>
      <c r="D18" s="1775"/>
      <c r="E18" s="1774">
        <v>4.97</v>
      </c>
      <c r="F18" s="1774">
        <f>E18/$E$33/12*1000</f>
        <v>0.02</v>
      </c>
      <c r="G18" s="1774" t="e">
        <f>#REF!-#REF!</f>
        <v>#REF!</v>
      </c>
      <c r="H18" s="20"/>
    </row>
    <row r="19" spans="1:8" ht="18.600000000000001" customHeight="1" x14ac:dyDescent="0.25">
      <c r="A19" s="1259">
        <v>2</v>
      </c>
      <c r="B19" s="1785" t="s">
        <v>2156</v>
      </c>
      <c r="C19" s="1772" t="s">
        <v>40</v>
      </c>
      <c r="D19" s="1772"/>
      <c r="E19" s="1773">
        <f>E20+E21+E22</f>
        <v>532.71</v>
      </c>
      <c r="F19" s="1773">
        <f>F20+F21+F22</f>
        <v>2.36</v>
      </c>
      <c r="G19" s="1773">
        <f>G20+G21+G22</f>
        <v>0</v>
      </c>
      <c r="H19" s="20"/>
    </row>
    <row r="20" spans="1:8" ht="15.75" x14ac:dyDescent="0.25">
      <c r="A20" s="1263" t="s">
        <v>25</v>
      </c>
      <c r="B20" s="1786" t="s">
        <v>55</v>
      </c>
      <c r="C20" s="1775" t="s">
        <v>40</v>
      </c>
      <c r="D20" s="1775"/>
      <c r="E20" s="1774">
        <v>387.09</v>
      </c>
      <c r="F20" s="1774">
        <f>E20/$E$33/12*1000</f>
        <v>1.71</v>
      </c>
      <c r="G20" s="1774"/>
      <c r="H20" s="20"/>
    </row>
    <row r="21" spans="1:8" ht="15.75" x14ac:dyDescent="0.25">
      <c r="A21" s="1263" t="s">
        <v>26</v>
      </c>
      <c r="B21" s="1786" t="s">
        <v>2153</v>
      </c>
      <c r="C21" s="1775" t="s">
        <v>40</v>
      </c>
      <c r="D21" s="1775"/>
      <c r="E21" s="1774">
        <v>85.16</v>
      </c>
      <c r="F21" s="1774">
        <f>E21/$E$33/12*1000</f>
        <v>0.38</v>
      </c>
      <c r="G21" s="1774"/>
      <c r="H21" s="20"/>
    </row>
    <row r="22" spans="1:8" ht="15.75" x14ac:dyDescent="0.25">
      <c r="A22" s="1263" t="s">
        <v>59</v>
      </c>
      <c r="B22" s="1786" t="s">
        <v>58</v>
      </c>
      <c r="C22" s="1775" t="s">
        <v>40</v>
      </c>
      <c r="D22" s="1775"/>
      <c r="E22" s="1774">
        <v>60.46</v>
      </c>
      <c r="F22" s="1774">
        <f>E22/$E$33/12*1000</f>
        <v>0.27</v>
      </c>
      <c r="G22" s="1774"/>
      <c r="H22" s="20"/>
    </row>
    <row r="23" spans="1:8" ht="15.75" x14ac:dyDescent="0.25">
      <c r="A23" s="1263" t="s">
        <v>180</v>
      </c>
      <c r="B23" s="1786" t="s">
        <v>2370</v>
      </c>
      <c r="C23" s="1775" t="s">
        <v>40</v>
      </c>
      <c r="D23" s="1775"/>
      <c r="E23" s="1774"/>
      <c r="F23" s="1774"/>
      <c r="G23" s="1774"/>
      <c r="H23" s="20"/>
    </row>
    <row r="24" spans="1:8" ht="15.75" x14ac:dyDescent="0.25">
      <c r="A24" s="1263" t="s">
        <v>181</v>
      </c>
      <c r="B24" s="1786" t="s">
        <v>5</v>
      </c>
      <c r="C24" s="1775" t="s">
        <v>40</v>
      </c>
      <c r="D24" s="1775"/>
      <c r="E24" s="1774">
        <v>9.35</v>
      </c>
      <c r="F24" s="1774">
        <f t="shared" ref="F24" si="1">E24/$E$33/12*1000</f>
        <v>0.04</v>
      </c>
      <c r="G24" s="1774"/>
      <c r="H24" s="20"/>
    </row>
    <row r="25" spans="1:8" ht="15.75" x14ac:dyDescent="0.25">
      <c r="A25" s="1259" t="s">
        <v>176</v>
      </c>
      <c r="B25" s="1785" t="s">
        <v>2371</v>
      </c>
      <c r="C25" s="1772" t="s">
        <v>40</v>
      </c>
      <c r="D25" s="1772"/>
      <c r="E25" s="1773">
        <f>E8+E19+E23+E24</f>
        <v>4138.8599999999997</v>
      </c>
      <c r="F25" s="1773">
        <f>F8+F19+F23+F24</f>
        <v>18.3</v>
      </c>
      <c r="G25" s="1773" t="e">
        <f>G8+G19+G23+G24</f>
        <v>#REF!</v>
      </c>
      <c r="H25" s="20"/>
    </row>
    <row r="26" spans="1:8" ht="31.5" x14ac:dyDescent="0.25">
      <c r="A26" s="1259" t="s">
        <v>177</v>
      </c>
      <c r="B26" s="1785" t="s">
        <v>2372</v>
      </c>
      <c r="C26" s="1772" t="s">
        <v>40</v>
      </c>
      <c r="D26" s="1772"/>
      <c r="E26" s="1773">
        <f>E27+E28+E29+E30+E31</f>
        <v>118.77</v>
      </c>
      <c r="F26" s="1773">
        <f>F27+F28+F29+F30+F31</f>
        <v>0.52</v>
      </c>
      <c r="G26" s="1773" t="e">
        <f>G27+G28+G29+G30+G31</f>
        <v>#REF!</v>
      </c>
      <c r="H26" s="20"/>
    </row>
    <row r="27" spans="1:8" ht="15.75" x14ac:dyDescent="0.25">
      <c r="A27" s="1263" t="s">
        <v>32</v>
      </c>
      <c r="B27" s="1786" t="s">
        <v>65</v>
      </c>
      <c r="C27" s="1775" t="s">
        <v>40</v>
      </c>
      <c r="D27" s="1775"/>
      <c r="E27" s="1774">
        <f>(E31+E30+E29+E28)/82*18</f>
        <v>21.38</v>
      </c>
      <c r="F27" s="1774">
        <f>E27/$E$33/12*1000</f>
        <v>0.09</v>
      </c>
      <c r="G27" s="1774" t="e">
        <f>(G31+G30+G29+G28)/82*18</f>
        <v>#REF!</v>
      </c>
      <c r="H27" s="20"/>
    </row>
    <row r="28" spans="1:8" ht="15.75" x14ac:dyDescent="0.25">
      <c r="A28" s="1263" t="s">
        <v>33</v>
      </c>
      <c r="B28" s="1786" t="s">
        <v>85</v>
      </c>
      <c r="C28" s="1775" t="s">
        <v>40</v>
      </c>
      <c r="D28" s="1775"/>
      <c r="E28" s="1774">
        <f>(E31+E30+E29)/85*15</f>
        <v>14.61</v>
      </c>
      <c r="F28" s="1774">
        <f t="shared" ref="F28:F31" si="2">E28/$E$33/12*1000</f>
        <v>0.06</v>
      </c>
      <c r="G28" s="1774" t="e">
        <f>(G31+G30+G29)/85*15</f>
        <v>#REF!</v>
      </c>
      <c r="H28" s="20"/>
    </row>
    <row r="29" spans="1:8" ht="15.75" x14ac:dyDescent="0.25">
      <c r="A29" s="1263" t="s">
        <v>34</v>
      </c>
      <c r="B29" s="1786" t="s">
        <v>86</v>
      </c>
      <c r="C29" s="1775" t="s">
        <v>40</v>
      </c>
      <c r="D29" s="1775"/>
      <c r="E29" s="1774">
        <v>0</v>
      </c>
      <c r="F29" s="1774">
        <f t="shared" si="2"/>
        <v>0</v>
      </c>
      <c r="G29" s="1774">
        <v>0</v>
      </c>
      <c r="H29" s="20"/>
    </row>
    <row r="30" spans="1:8" ht="31.5" x14ac:dyDescent="0.25">
      <c r="A30" s="1263" t="s">
        <v>2373</v>
      </c>
      <c r="B30" s="1786" t="s">
        <v>71</v>
      </c>
      <c r="C30" s="1775" t="s">
        <v>40</v>
      </c>
      <c r="D30" s="1775"/>
      <c r="E30" s="1774">
        <f>E25*2%</f>
        <v>82.78</v>
      </c>
      <c r="F30" s="1774">
        <f t="shared" si="2"/>
        <v>0.37</v>
      </c>
      <c r="G30" s="1774" t="e">
        <f>G25*2%</f>
        <v>#REF!</v>
      </c>
      <c r="H30" s="20"/>
    </row>
    <row r="31" spans="1:8" ht="15.75" x14ac:dyDescent="0.25">
      <c r="A31" s="1263" t="s">
        <v>2374</v>
      </c>
      <c r="B31" s="1786" t="s">
        <v>2375</v>
      </c>
      <c r="C31" s="1775" t="s">
        <v>40</v>
      </c>
      <c r="D31" s="1775"/>
      <c r="E31" s="1774">
        <v>0</v>
      </c>
      <c r="F31" s="1774">
        <f t="shared" si="2"/>
        <v>0</v>
      </c>
      <c r="G31" s="1774">
        <v>0</v>
      </c>
      <c r="H31" s="20"/>
    </row>
    <row r="32" spans="1:8" ht="31.5" x14ac:dyDescent="0.25">
      <c r="A32" s="1776" t="s">
        <v>178</v>
      </c>
      <c r="B32" s="1785" t="s">
        <v>2161</v>
      </c>
      <c r="C32" s="1261" t="s">
        <v>40</v>
      </c>
      <c r="D32" s="1261"/>
      <c r="E32" s="1773">
        <f>E25+E26</f>
        <v>4257.63</v>
      </c>
      <c r="F32" s="1773">
        <f>F25+F26</f>
        <v>18.82</v>
      </c>
      <c r="G32" s="1773" t="e">
        <f>G25+G26</f>
        <v>#REF!</v>
      </c>
      <c r="H32" s="20"/>
    </row>
    <row r="33" spans="1:8" ht="15.75" x14ac:dyDescent="0.25">
      <c r="A33" s="1777" t="s">
        <v>179</v>
      </c>
      <c r="B33" s="1786" t="s">
        <v>2376</v>
      </c>
      <c r="C33" s="1265" t="s">
        <v>890</v>
      </c>
      <c r="D33" s="1265"/>
      <c r="E33" s="1778">
        <v>18853</v>
      </c>
      <c r="F33" s="1524">
        <v>1</v>
      </c>
      <c r="G33" s="1788">
        <v>18853</v>
      </c>
      <c r="H33" s="20">
        <v>1</v>
      </c>
    </row>
    <row r="34" spans="1:8" ht="31.5" x14ac:dyDescent="0.25">
      <c r="A34" s="1259" t="s">
        <v>194</v>
      </c>
      <c r="B34" s="1785" t="s">
        <v>2377</v>
      </c>
      <c r="C34" s="1779" t="s">
        <v>2378</v>
      </c>
      <c r="D34" s="1779"/>
      <c r="E34" s="1774">
        <f>ROUND(E32/E33*1000/12,2)</f>
        <v>18.82</v>
      </c>
      <c r="F34" s="1524"/>
      <c r="G34" s="1774" t="e">
        <f>ROUND(G32/G33*1000/12,2)</f>
        <v>#REF!</v>
      </c>
      <c r="H34" s="20"/>
    </row>
    <row r="35" spans="1:8" ht="31.5" x14ac:dyDescent="0.25">
      <c r="A35" s="1259" t="s">
        <v>195</v>
      </c>
      <c r="B35" s="1785" t="s">
        <v>2379</v>
      </c>
      <c r="C35" s="1261" t="s">
        <v>2378</v>
      </c>
      <c r="D35" s="1261"/>
      <c r="E35" s="1780">
        <f>E34+H34</f>
        <v>18.82</v>
      </c>
      <c r="F35" s="1524"/>
      <c r="G35" s="1780" t="e">
        <f>G34+J34</f>
        <v>#REF!</v>
      </c>
      <c r="H35" s="20"/>
    </row>
    <row r="36" spans="1:8" ht="15.75" x14ac:dyDescent="0.25">
      <c r="A36" s="1259"/>
      <c r="B36" s="1787" t="s">
        <v>2380</v>
      </c>
      <c r="C36" s="1261"/>
      <c r="D36" s="1261"/>
      <c r="E36" s="1780"/>
      <c r="F36" s="1524"/>
      <c r="G36" s="1780"/>
      <c r="H36" s="20"/>
    </row>
    <row r="37" spans="1:8" ht="47.25" x14ac:dyDescent="0.25">
      <c r="A37" s="1781" t="s">
        <v>196</v>
      </c>
      <c r="B37" s="1785" t="s">
        <v>2381</v>
      </c>
      <c r="C37" s="1782" t="s">
        <v>2382</v>
      </c>
      <c r="D37" s="1782"/>
      <c r="E37" s="1773">
        <f>ROUND('[54]Гран розмір'!E4,2)</f>
        <v>31.15</v>
      </c>
      <c r="F37" s="1524"/>
      <c r="G37" s="1773">
        <f>ROUND('[54]Гран розмір'!G4,2)</f>
        <v>0</v>
      </c>
      <c r="H37" s="20"/>
    </row>
    <row r="38" spans="1:8" ht="15.6" customHeight="1" x14ac:dyDescent="0.25">
      <c r="A38" s="1783" t="s">
        <v>2383</v>
      </c>
      <c r="B38" s="4473" t="str">
        <f>CONCATENATE("у тому числі плата банкам за приймання платежів в сумі ",I38,J38," або ",I39," грн. з ПДВ на одного абонента в місяць")</f>
        <v>у тому числі плата банкам за приймання платежів в сумі  або  грн. з ПДВ на одного абонента в місяць</v>
      </c>
      <c r="C38" s="4474"/>
      <c r="D38" s="4474"/>
      <c r="E38" s="4474"/>
      <c r="F38" s="4474"/>
    </row>
    <row r="39" spans="1:8" ht="15.75" x14ac:dyDescent="0.25">
      <c r="B39" s="1784" t="s">
        <v>602</v>
      </c>
      <c r="C39" s="27"/>
      <c r="E39" s="4475" t="s">
        <v>2384</v>
      </c>
      <c r="F39" s="4475"/>
    </row>
    <row r="40" spans="1:8" ht="15.75" x14ac:dyDescent="0.25">
      <c r="E40" s="53"/>
      <c r="F40" s="53"/>
    </row>
    <row r="41" spans="1:8" ht="31.5" x14ac:dyDescent="0.25">
      <c r="A41" s="1784"/>
      <c r="B41" s="1784" t="s">
        <v>928</v>
      </c>
      <c r="C41" s="27"/>
      <c r="E41" s="4338" t="s">
        <v>2385</v>
      </c>
      <c r="F41" s="4338"/>
    </row>
    <row r="42" spans="1:8" ht="15.75" x14ac:dyDescent="0.25">
      <c r="E42" s="53"/>
      <c r="F42" s="53"/>
    </row>
    <row r="45" spans="1:8" s="1792" customFormat="1" ht="14.25" x14ac:dyDescent="0.2">
      <c r="B45" s="1792" t="s">
        <v>2388</v>
      </c>
    </row>
    <row r="46" spans="1:8" ht="15.75" x14ac:dyDescent="0.25">
      <c r="B46" s="4461" t="s">
        <v>8</v>
      </c>
      <c r="C46" s="4465" t="s">
        <v>2142</v>
      </c>
      <c r="D46" s="1813" t="s">
        <v>958</v>
      </c>
      <c r="E46" s="4462" t="s">
        <v>2395</v>
      </c>
      <c r="F46" s="4463"/>
      <c r="G46" s="4463" t="s">
        <v>2396</v>
      </c>
      <c r="H46" s="4463"/>
    </row>
    <row r="47" spans="1:8" ht="15.75" x14ac:dyDescent="0.25">
      <c r="B47" s="4461"/>
      <c r="C47" s="4466"/>
      <c r="D47" s="1814">
        <f>'Вхідні дані'!$F$7</f>
        <v>2021</v>
      </c>
      <c r="E47" s="4464" t="s">
        <v>766</v>
      </c>
      <c r="F47" s="4464" t="s">
        <v>2397</v>
      </c>
      <c r="G47" s="4464" t="s">
        <v>766</v>
      </c>
      <c r="H47" s="4464" t="s">
        <v>2397</v>
      </c>
    </row>
    <row r="48" spans="1:8" ht="31.5" x14ac:dyDescent="0.25">
      <c r="B48" s="4461"/>
      <c r="C48" s="4467"/>
      <c r="D48" s="1793" t="s">
        <v>2394</v>
      </c>
      <c r="E48" s="4464"/>
      <c r="F48" s="4464"/>
      <c r="G48" s="4464"/>
      <c r="H48" s="4464"/>
    </row>
    <row r="49" spans="2:11" ht="31.5" x14ac:dyDescent="0.25">
      <c r="B49" s="1794" t="s">
        <v>1586</v>
      </c>
      <c r="C49" s="1794"/>
      <c r="D49" s="1795">
        <f t="shared" ref="D49:H49" si="3">D50+D61+D63</f>
        <v>2573.6999999999998</v>
      </c>
      <c r="E49" s="1795">
        <f t="shared" si="3"/>
        <v>0</v>
      </c>
      <c r="F49" s="1795">
        <f t="shared" si="3"/>
        <v>0</v>
      </c>
      <c r="G49" s="1795">
        <f t="shared" si="3"/>
        <v>164.15</v>
      </c>
      <c r="H49" s="1795">
        <f t="shared" si="3"/>
        <v>0</v>
      </c>
    </row>
    <row r="50" spans="2:11" ht="31.5" x14ac:dyDescent="0.25">
      <c r="B50" s="1796" t="s">
        <v>1585</v>
      </c>
      <c r="C50" s="1796"/>
      <c r="D50" s="1797">
        <f>SUM(D51:D60)</f>
        <v>85.43</v>
      </c>
      <c r="E50" s="1797">
        <f t="shared" ref="E50:H50" si="4">SUM(E51:E60)</f>
        <v>0</v>
      </c>
      <c r="F50" s="1797">
        <f t="shared" si="4"/>
        <v>0</v>
      </c>
      <c r="G50" s="1797">
        <f t="shared" si="4"/>
        <v>89.75</v>
      </c>
      <c r="H50" s="1797">
        <f t="shared" si="4"/>
        <v>0</v>
      </c>
    </row>
    <row r="51" spans="2:11" ht="15.75" x14ac:dyDescent="0.25">
      <c r="B51" s="1798" t="s">
        <v>960</v>
      </c>
      <c r="C51" s="1798"/>
      <c r="D51" s="1799">
        <v>0</v>
      </c>
      <c r="E51" s="921"/>
      <c r="F51" s="921"/>
      <c r="G51" s="921"/>
      <c r="H51" s="921"/>
    </row>
    <row r="52" spans="2:11" ht="15.75" x14ac:dyDescent="0.25">
      <c r="B52" s="1798" t="s">
        <v>961</v>
      </c>
      <c r="C52" s="1798"/>
      <c r="D52" s="1799">
        <v>0</v>
      </c>
      <c r="E52" s="921"/>
      <c r="F52" s="921"/>
      <c r="G52" s="921"/>
      <c r="H52" s="921"/>
    </row>
    <row r="53" spans="2:11" ht="15.75" x14ac:dyDescent="0.25">
      <c r="B53" s="1798" t="s">
        <v>962</v>
      </c>
      <c r="C53" s="1798"/>
      <c r="D53" s="1799">
        <v>9.81</v>
      </c>
      <c r="E53" s="921"/>
      <c r="F53" s="921"/>
      <c r="G53" s="1812">
        <f>D53*'Вхідні дані'!$D$77</f>
        <v>10.42</v>
      </c>
      <c r="H53" s="921"/>
      <c r="I53" s="492" t="s">
        <v>1601</v>
      </c>
    </row>
    <row r="54" spans="2:11" ht="31.5" x14ac:dyDescent="0.25">
      <c r="B54" s="1798" t="s">
        <v>1509</v>
      </c>
      <c r="C54" s="1798"/>
      <c r="D54" s="1799">
        <v>0.21</v>
      </c>
      <c r="E54" s="921"/>
      <c r="F54" s="921"/>
      <c r="G54" s="1812">
        <f>D54*'Вхідні дані'!$D$77</f>
        <v>0.22</v>
      </c>
      <c r="H54" s="921"/>
      <c r="I54" s="492" t="s">
        <v>1601</v>
      </c>
    </row>
    <row r="55" spans="2:11" ht="15.75" x14ac:dyDescent="0.25">
      <c r="B55" s="1798" t="s">
        <v>941</v>
      </c>
      <c r="C55" s="1798"/>
      <c r="D55" s="1799">
        <v>0</v>
      </c>
      <c r="E55" s="921"/>
      <c r="F55" s="921"/>
      <c r="G55" s="1812">
        <f>D55*'Вхідні дані'!$D$77</f>
        <v>0</v>
      </c>
      <c r="H55" s="921"/>
      <c r="I55" s="492" t="s">
        <v>1601</v>
      </c>
    </row>
    <row r="56" spans="2:11" ht="15.75" x14ac:dyDescent="0.25">
      <c r="B56" s="1798" t="s">
        <v>963</v>
      </c>
      <c r="C56" s="1798"/>
      <c r="D56" s="1799">
        <v>17.93</v>
      </c>
      <c r="E56" s="921"/>
      <c r="F56" s="921"/>
      <c r="G56" s="1812">
        <f>D56*'Вхідні дані'!$D$77</f>
        <v>19.04</v>
      </c>
      <c r="H56" s="921"/>
      <c r="I56" s="492" t="s">
        <v>1601</v>
      </c>
    </row>
    <row r="57" spans="2:11" ht="15.75" x14ac:dyDescent="0.25">
      <c r="B57" s="1798" t="s">
        <v>964</v>
      </c>
      <c r="C57" s="1798"/>
      <c r="D57" s="1799">
        <v>12.39</v>
      </c>
      <c r="E57" s="921"/>
      <c r="F57" s="921"/>
      <c r="G57" s="1812">
        <f>D57*'Вхідні дані'!$D$77</f>
        <v>13.16</v>
      </c>
      <c r="H57" s="921"/>
      <c r="I57" s="492" t="s">
        <v>1601</v>
      </c>
    </row>
    <row r="58" spans="2:11" ht="15.75" x14ac:dyDescent="0.25">
      <c r="B58" s="1798" t="s">
        <v>965</v>
      </c>
      <c r="C58" s="1798"/>
      <c r="D58" s="1799">
        <v>40.92</v>
      </c>
      <c r="E58" s="921"/>
      <c r="F58" s="921"/>
      <c r="G58" s="1812">
        <f>D58*'Вхідні дані'!$D$77</f>
        <v>43.46</v>
      </c>
      <c r="H58" s="921"/>
      <c r="I58" s="492" t="s">
        <v>1601</v>
      </c>
    </row>
    <row r="59" spans="2:11" ht="15.75" x14ac:dyDescent="0.25">
      <c r="B59" s="1798" t="s">
        <v>966</v>
      </c>
      <c r="C59" s="1798"/>
      <c r="D59" s="1799">
        <v>3.91</v>
      </c>
      <c r="E59" s="921"/>
      <c r="F59" s="921"/>
      <c r="G59" s="1812">
        <f>ОП!J124/1000</f>
        <v>3.45</v>
      </c>
      <c r="H59" s="921"/>
      <c r="I59" s="18" t="s">
        <v>2398</v>
      </c>
      <c r="K59" s="18" t="s">
        <v>2399</v>
      </c>
    </row>
    <row r="60" spans="2:11" ht="15.75" x14ac:dyDescent="0.25">
      <c r="B60" s="1798" t="s">
        <v>967</v>
      </c>
      <c r="C60" s="1798"/>
      <c r="D60" s="1799">
        <v>0.26</v>
      </c>
      <c r="E60" s="921"/>
      <c r="F60" s="921"/>
      <c r="G60" s="1812">
        <f>СПЕЦХАРЧ!J33</f>
        <v>0</v>
      </c>
      <c r="H60" s="921"/>
      <c r="I60" s="18" t="s">
        <v>2398</v>
      </c>
      <c r="K60" s="18" t="s">
        <v>2400</v>
      </c>
    </row>
    <row r="61" spans="2:11" s="1808" customFormat="1" ht="31.5" x14ac:dyDescent="0.25">
      <c r="B61" s="1807" t="s">
        <v>1587</v>
      </c>
      <c r="C61" s="1807"/>
      <c r="D61" s="1809">
        <v>1632.93</v>
      </c>
      <c r="E61" s="1810"/>
      <c r="F61" s="1810"/>
      <c r="G61" s="1811">
        <f>ФОП!H29/1000</f>
        <v>0</v>
      </c>
      <c r="H61" s="1810"/>
    </row>
    <row r="62" spans="2:11" ht="15.75" x14ac:dyDescent="0.25">
      <c r="B62" s="1801" t="s">
        <v>943</v>
      </c>
      <c r="C62" s="1801"/>
      <c r="D62" s="1802"/>
      <c r="E62" s="921"/>
      <c r="F62" s="921"/>
      <c r="G62" s="921"/>
      <c r="H62" s="921"/>
    </row>
    <row r="63" spans="2:11" ht="15.75" x14ac:dyDescent="0.25">
      <c r="B63" s="1800" t="s">
        <v>1588</v>
      </c>
      <c r="C63" s="1800"/>
      <c r="D63" s="1795">
        <f>SUM(D64:D96)</f>
        <v>855.34</v>
      </c>
      <c r="E63" s="1795">
        <f t="shared" ref="E63:H63" si="5">SUM(E64:E96)</f>
        <v>0</v>
      </c>
      <c r="F63" s="1795">
        <f t="shared" si="5"/>
        <v>0</v>
      </c>
      <c r="G63" s="1795">
        <f t="shared" si="5"/>
        <v>74.400000000000006</v>
      </c>
      <c r="H63" s="1795">
        <f t="shared" si="5"/>
        <v>0</v>
      </c>
    </row>
    <row r="64" spans="2:11" ht="47.25" x14ac:dyDescent="0.25">
      <c r="B64" s="1798" t="s">
        <v>539</v>
      </c>
      <c r="C64" s="1798"/>
      <c r="D64" s="1802">
        <v>331.64</v>
      </c>
      <c r="E64" s="921"/>
      <c r="F64" s="921"/>
      <c r="G64" s="1812">
        <f>ФОП!H31/1000</f>
        <v>0</v>
      </c>
      <c r="H64" s="921"/>
    </row>
    <row r="65" spans="2:11" ht="63" x14ac:dyDescent="0.25">
      <c r="B65" s="1798" t="s">
        <v>2389</v>
      </c>
      <c r="C65" s="1798"/>
      <c r="D65" s="1802">
        <v>20.440000000000001</v>
      </c>
      <c r="E65" s="921"/>
      <c r="F65" s="921"/>
      <c r="G65" s="921"/>
      <c r="H65" s="921"/>
      <c r="I65" s="1815" t="s">
        <v>2398</v>
      </c>
    </row>
    <row r="66" spans="2:11" ht="78.75" x14ac:dyDescent="0.25">
      <c r="B66" s="1798" t="s">
        <v>2390</v>
      </c>
      <c r="C66" s="1798"/>
      <c r="D66" s="1802">
        <v>0</v>
      </c>
      <c r="E66" s="921"/>
      <c r="F66" s="921"/>
      <c r="G66" s="921"/>
      <c r="H66" s="921"/>
      <c r="I66" s="1815" t="s">
        <v>2398</v>
      </c>
    </row>
    <row r="67" spans="2:11" ht="15.75" x14ac:dyDescent="0.25">
      <c r="B67" s="1803" t="s">
        <v>1330</v>
      </c>
      <c r="C67" s="1803"/>
      <c r="D67" s="1802">
        <v>0</v>
      </c>
      <c r="E67" s="921"/>
      <c r="F67" s="921"/>
      <c r="G67" s="921"/>
      <c r="H67" s="921"/>
    </row>
    <row r="68" spans="2:11" ht="15.75" x14ac:dyDescent="0.25">
      <c r="B68" s="1803" t="s">
        <v>2391</v>
      </c>
      <c r="C68" s="1803"/>
      <c r="D68" s="1802">
        <v>0</v>
      </c>
      <c r="E68" s="921"/>
      <c r="F68" s="921"/>
      <c r="G68" s="921"/>
      <c r="H68" s="921"/>
    </row>
    <row r="69" spans="2:11" ht="47.25" x14ac:dyDescent="0.25">
      <c r="B69" s="1803" t="s">
        <v>1334</v>
      </c>
      <c r="C69" s="1803"/>
      <c r="D69" s="1802">
        <v>2.0699999999999998</v>
      </c>
      <c r="E69" s="921"/>
      <c r="F69" s="921"/>
      <c r="G69" s="1525">
        <f>ВОДА!T88+ВОДА!U88</f>
        <v>2.13</v>
      </c>
      <c r="H69" s="921"/>
      <c r="I69" s="18" t="s">
        <v>2398</v>
      </c>
      <c r="K69" s="18" t="s">
        <v>2401</v>
      </c>
    </row>
    <row r="70" spans="2:11" ht="31.5" x14ac:dyDescent="0.25">
      <c r="B70" s="1803" t="s">
        <v>946</v>
      </c>
      <c r="C70" s="1803"/>
      <c r="D70" s="1802">
        <v>7.37</v>
      </c>
      <c r="E70" s="921"/>
      <c r="F70" s="921"/>
      <c r="G70" s="1812">
        <f>'Д 9_ЕЕ'!D202</f>
        <v>2.29</v>
      </c>
      <c r="H70" s="921"/>
      <c r="I70" s="18" t="s">
        <v>2398</v>
      </c>
      <c r="K70" s="18" t="s">
        <v>2402</v>
      </c>
    </row>
    <row r="71" spans="2:11" ht="15.75" x14ac:dyDescent="0.25">
      <c r="B71" s="1803" t="s">
        <v>947</v>
      </c>
      <c r="C71" s="1803"/>
      <c r="D71" s="1802">
        <v>0</v>
      </c>
      <c r="E71" s="921"/>
      <c r="F71" s="921"/>
      <c r="G71" s="921"/>
      <c r="H71" s="921"/>
    </row>
    <row r="72" spans="2:11" ht="15.75" x14ac:dyDescent="0.25">
      <c r="B72" s="1803" t="s">
        <v>1340</v>
      </c>
      <c r="C72" s="1803"/>
      <c r="D72" s="1802">
        <v>0</v>
      </c>
      <c r="E72" s="921"/>
      <c r="F72" s="921"/>
      <c r="G72" s="921"/>
      <c r="H72" s="921"/>
    </row>
    <row r="73" spans="2:11" ht="15.75" x14ac:dyDescent="0.25">
      <c r="B73" s="1803" t="s">
        <v>1341</v>
      </c>
      <c r="C73" s="1803"/>
      <c r="D73" s="1802">
        <v>0</v>
      </c>
      <c r="E73" s="921"/>
      <c r="F73" s="921"/>
      <c r="G73" s="921"/>
      <c r="H73" s="921"/>
    </row>
    <row r="74" spans="2:11" ht="15.75" x14ac:dyDescent="0.25">
      <c r="B74" s="1803" t="s">
        <v>1344</v>
      </c>
      <c r="C74" s="1803"/>
      <c r="D74" s="1802">
        <v>0</v>
      </c>
      <c r="E74" s="921"/>
      <c r="F74" s="921"/>
      <c r="G74" s="921"/>
      <c r="H74" s="921"/>
    </row>
    <row r="75" spans="2:11" ht="15.75" x14ac:dyDescent="0.25">
      <c r="B75" s="1803" t="s">
        <v>1345</v>
      </c>
      <c r="C75" s="1803"/>
      <c r="D75" s="1802">
        <v>0</v>
      </c>
      <c r="E75" s="921"/>
      <c r="F75" s="921"/>
      <c r="G75" s="921"/>
      <c r="H75" s="921"/>
    </row>
    <row r="76" spans="2:11" ht="15.75" x14ac:dyDescent="0.25">
      <c r="B76" s="1804" t="s">
        <v>1346</v>
      </c>
      <c r="C76" s="1804"/>
      <c r="D76" s="1802">
        <v>0.45</v>
      </c>
      <c r="E76" s="921"/>
      <c r="F76" s="921"/>
      <c r="G76" s="1812">
        <f>ОП!J13/1000</f>
        <v>1.47</v>
      </c>
      <c r="H76" s="921"/>
      <c r="I76" s="1815" t="s">
        <v>2398</v>
      </c>
      <c r="K76" s="18" t="s">
        <v>2399</v>
      </c>
    </row>
    <row r="77" spans="2:11" ht="31.5" x14ac:dyDescent="0.25">
      <c r="B77" s="1804" t="s">
        <v>1348</v>
      </c>
      <c r="C77" s="1804"/>
      <c r="D77" s="1802">
        <v>0.49</v>
      </c>
      <c r="E77" s="921"/>
      <c r="F77" s="921"/>
      <c r="G77" s="921">
        <f>ОП!J41/1000</f>
        <v>0.51</v>
      </c>
      <c r="H77" s="921"/>
      <c r="I77" s="1815" t="s">
        <v>2398</v>
      </c>
      <c r="K77" s="18" t="s">
        <v>2399</v>
      </c>
    </row>
    <row r="78" spans="2:11" ht="15.75" x14ac:dyDescent="0.25">
      <c r="B78" s="1804" t="s">
        <v>1526</v>
      </c>
      <c r="C78" s="1804"/>
      <c r="D78" s="1802">
        <v>0</v>
      </c>
      <c r="E78" s="921"/>
      <c r="F78" s="921"/>
      <c r="G78" s="921"/>
      <c r="H78" s="921"/>
    </row>
    <row r="79" spans="2:11" ht="31.5" x14ac:dyDescent="0.25">
      <c r="B79" s="1804" t="s">
        <v>2392</v>
      </c>
      <c r="C79" s="1804"/>
      <c r="D79" s="1802">
        <v>447.69</v>
      </c>
      <c r="E79" s="921"/>
      <c r="F79" s="921"/>
      <c r="G79" s="921"/>
      <c r="H79" s="921"/>
      <c r="I79" s="1815" t="s">
        <v>2398</v>
      </c>
    </row>
    <row r="80" spans="2:11" ht="31.5" x14ac:dyDescent="0.25">
      <c r="B80" s="1804" t="s">
        <v>1349</v>
      </c>
      <c r="C80" s="1804"/>
      <c r="D80" s="1802">
        <v>0</v>
      </c>
      <c r="E80" s="921"/>
      <c r="F80" s="921"/>
      <c r="G80" s="921"/>
      <c r="H80" s="921"/>
    </row>
    <row r="81" spans="2:9" ht="31.5" x14ac:dyDescent="0.25">
      <c r="B81" s="1804" t="s">
        <v>1525</v>
      </c>
      <c r="C81" s="1804"/>
      <c r="D81" s="1802">
        <v>0</v>
      </c>
      <c r="E81" s="921"/>
      <c r="F81" s="921"/>
      <c r="G81" s="921"/>
      <c r="H81" s="921"/>
    </row>
    <row r="82" spans="2:9" ht="15.75" x14ac:dyDescent="0.25">
      <c r="B82" s="1804" t="s">
        <v>1524</v>
      </c>
      <c r="C82" s="1804"/>
      <c r="D82" s="1802">
        <v>0</v>
      </c>
      <c r="E82" s="921"/>
      <c r="F82" s="921"/>
      <c r="G82" s="921"/>
      <c r="H82" s="921"/>
    </row>
    <row r="83" spans="2:9" ht="15.75" x14ac:dyDescent="0.25">
      <c r="B83" s="1804" t="s">
        <v>1583</v>
      </c>
      <c r="C83" s="1804"/>
      <c r="D83" s="1802">
        <v>0</v>
      </c>
      <c r="E83" s="921"/>
      <c r="F83" s="921"/>
      <c r="G83" s="921"/>
      <c r="H83" s="921"/>
    </row>
    <row r="84" spans="2:9" ht="15.75" x14ac:dyDescent="0.25">
      <c r="B84" s="1804" t="s">
        <v>2393</v>
      </c>
      <c r="C84" s="1804"/>
      <c r="D84" s="1802">
        <v>0</v>
      </c>
      <c r="E84" s="921"/>
      <c r="F84" s="921"/>
      <c r="G84" s="921"/>
      <c r="H84" s="921"/>
    </row>
    <row r="85" spans="2:9" ht="15.75" x14ac:dyDescent="0.25">
      <c r="B85" s="1804" t="s">
        <v>1827</v>
      </c>
      <c r="C85" s="1804"/>
      <c r="D85" s="1802">
        <v>14.81</v>
      </c>
      <c r="E85" s="921"/>
      <c r="F85" s="921"/>
      <c r="G85" s="921"/>
      <c r="H85" s="921"/>
    </row>
    <row r="86" spans="2:9" ht="15.75" x14ac:dyDescent="0.25">
      <c r="B86" s="1804" t="s">
        <v>1480</v>
      </c>
      <c r="C86" s="1804"/>
      <c r="D86" s="1802">
        <v>0</v>
      </c>
      <c r="E86" s="921"/>
      <c r="F86" s="921"/>
      <c r="G86" s="921"/>
      <c r="H86" s="921"/>
    </row>
    <row r="87" spans="2:9" ht="15.75" x14ac:dyDescent="0.25">
      <c r="B87" s="1804" t="s">
        <v>1478</v>
      </c>
      <c r="C87" s="1804"/>
      <c r="D87" s="1802">
        <v>7.0000000000000007E-2</v>
      </c>
      <c r="E87" s="921"/>
      <c r="F87" s="921"/>
      <c r="G87" s="921"/>
      <c r="H87" s="921"/>
    </row>
    <row r="88" spans="2:9" ht="15.75" x14ac:dyDescent="0.25">
      <c r="B88" s="1798" t="s">
        <v>1518</v>
      </c>
      <c r="C88" s="1798"/>
      <c r="D88" s="1802">
        <v>0</v>
      </c>
      <c r="E88" s="921"/>
      <c r="F88" s="921"/>
      <c r="G88" s="921">
        <f>(48000+20000)/1000</f>
        <v>68</v>
      </c>
      <c r="H88" s="921"/>
      <c r="I88" s="1905" t="s">
        <v>2534</v>
      </c>
    </row>
    <row r="89" spans="2:9" ht="31.5" x14ac:dyDescent="0.25">
      <c r="B89" s="1798" t="s">
        <v>1331</v>
      </c>
      <c r="C89" s="1798"/>
      <c r="D89" s="1802">
        <v>0</v>
      </c>
      <c r="E89" s="921"/>
      <c r="F89" s="921"/>
      <c r="G89" s="921"/>
      <c r="H89" s="921"/>
    </row>
    <row r="90" spans="2:9" ht="15.75" x14ac:dyDescent="0.25">
      <c r="B90" s="1805" t="s">
        <v>1332</v>
      </c>
      <c r="C90" s="1805"/>
      <c r="D90" s="1802">
        <v>1.31</v>
      </c>
      <c r="E90" s="921"/>
      <c r="F90" s="921"/>
      <c r="G90" s="921"/>
      <c r="H90" s="921"/>
    </row>
    <row r="91" spans="2:9" ht="15.75" x14ac:dyDescent="0.25">
      <c r="B91" s="1805" t="s">
        <v>1333</v>
      </c>
      <c r="C91" s="1805"/>
      <c r="D91" s="1802">
        <v>0</v>
      </c>
      <c r="E91" s="921"/>
      <c r="F91" s="921"/>
      <c r="G91" s="921"/>
      <c r="H91" s="921"/>
    </row>
    <row r="92" spans="2:9" ht="47.25" x14ac:dyDescent="0.25">
      <c r="B92" s="1806" t="s">
        <v>1517</v>
      </c>
      <c r="C92" s="1806"/>
      <c r="D92" s="1802">
        <v>0</v>
      </c>
      <c r="E92" s="921"/>
      <c r="F92" s="921"/>
      <c r="G92" s="921"/>
      <c r="H92" s="921"/>
    </row>
    <row r="93" spans="2:9" ht="31.5" x14ac:dyDescent="0.25">
      <c r="B93" s="1803" t="s">
        <v>1338</v>
      </c>
      <c r="C93" s="1803"/>
      <c r="D93" s="1802">
        <v>0</v>
      </c>
      <c r="E93" s="921"/>
      <c r="F93" s="921"/>
      <c r="G93" s="921"/>
      <c r="H93" s="921"/>
    </row>
    <row r="94" spans="2:9" ht="31.5" x14ac:dyDescent="0.25">
      <c r="B94" s="1798" t="s">
        <v>1516</v>
      </c>
      <c r="C94" s="1798"/>
      <c r="D94" s="1802">
        <v>0</v>
      </c>
      <c r="E94" s="921"/>
      <c r="F94" s="921"/>
      <c r="G94" s="921"/>
      <c r="H94" s="921"/>
    </row>
    <row r="95" spans="2:9" ht="15.75" x14ac:dyDescent="0.25">
      <c r="B95" s="1798" t="s">
        <v>950</v>
      </c>
      <c r="C95" s="1798"/>
      <c r="D95" s="1802">
        <v>0</v>
      </c>
      <c r="E95" s="921"/>
      <c r="F95" s="921"/>
      <c r="G95" s="921"/>
      <c r="H95" s="921"/>
    </row>
    <row r="96" spans="2:9" ht="15.75" x14ac:dyDescent="0.25">
      <c r="B96" s="1798" t="s">
        <v>58</v>
      </c>
      <c r="C96" s="1798"/>
      <c r="D96" s="1802">
        <v>29</v>
      </c>
      <c r="E96" s="921"/>
      <c r="F96" s="921"/>
      <c r="G96" s="921"/>
      <c r="H96" s="921"/>
    </row>
  </sheetData>
  <mergeCells count="22">
    <mergeCell ref="E41:F41"/>
    <mergeCell ref="F4:F6"/>
    <mergeCell ref="E4:E6"/>
    <mergeCell ref="E3:F3"/>
    <mergeCell ref="G3:H3"/>
    <mergeCell ref="G4:G6"/>
    <mergeCell ref="H4:H6"/>
    <mergeCell ref="B38:F38"/>
    <mergeCell ref="E39:F39"/>
    <mergeCell ref="B46:B48"/>
    <mergeCell ref="E46:F46"/>
    <mergeCell ref="G46:H46"/>
    <mergeCell ref="E47:E48"/>
    <mergeCell ref="F47:F48"/>
    <mergeCell ref="G47:G48"/>
    <mergeCell ref="H47:H48"/>
    <mergeCell ref="C46:C48"/>
    <mergeCell ref="A1:F1"/>
    <mergeCell ref="A3:A6"/>
    <mergeCell ref="B3:B6"/>
    <mergeCell ref="C3:C6"/>
    <mergeCell ref="D3:D6"/>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heetViews>
  <sheetFormatPr defaultRowHeight="1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4:D15"/>
  <sheetViews>
    <sheetView workbookViewId="0">
      <selection activeCell="D5" sqref="D5"/>
    </sheetView>
  </sheetViews>
  <sheetFormatPr defaultRowHeight="15" x14ac:dyDescent="0.25"/>
  <cols>
    <col min="1" max="1" width="8.85546875" style="1892"/>
    <col min="2" max="2" width="53.140625" customWidth="1"/>
    <col min="4" max="4" width="43.42578125" customWidth="1"/>
  </cols>
  <sheetData>
    <row r="4" spans="1:4" s="1821" customFormat="1" x14ac:dyDescent="0.25">
      <c r="A4" s="1894">
        <v>1</v>
      </c>
      <c r="B4" s="1821" t="s">
        <v>2504</v>
      </c>
    </row>
    <row r="5" spans="1:4" ht="45" x14ac:dyDescent="0.25">
      <c r="A5" s="1892" t="s">
        <v>1672</v>
      </c>
      <c r="B5" s="1906" t="s">
        <v>2536</v>
      </c>
      <c r="C5">
        <f>1500/1.2</f>
        <v>1250</v>
      </c>
      <c r="D5" s="1906" t="s">
        <v>2537</v>
      </c>
    </row>
    <row r="11" spans="1:4" s="1821" customFormat="1" x14ac:dyDescent="0.25">
      <c r="A11" s="1894">
        <v>6</v>
      </c>
      <c r="B11" s="1821" t="s">
        <v>2527</v>
      </c>
    </row>
    <row r="12" spans="1:4" x14ac:dyDescent="0.25">
      <c r="A12" s="1893" t="s">
        <v>1777</v>
      </c>
      <c r="B12" t="s">
        <v>2488</v>
      </c>
      <c r="C12">
        <v>20880</v>
      </c>
      <c r="D12" t="s">
        <v>2489</v>
      </c>
    </row>
    <row r="13" spans="1:4" x14ac:dyDescent="0.25">
      <c r="A13" s="1892" t="s">
        <v>1779</v>
      </c>
      <c r="B13" t="s">
        <v>2519</v>
      </c>
      <c r="C13">
        <v>4058.52</v>
      </c>
      <c r="D13" t="s">
        <v>2529</v>
      </c>
    </row>
    <row r="14" spans="1:4" x14ac:dyDescent="0.25">
      <c r="C14">
        <v>3564</v>
      </c>
      <c r="D14" t="s">
        <v>2528</v>
      </c>
    </row>
    <row r="15" spans="1:4" x14ac:dyDescent="0.25">
      <c r="A15" s="1892" t="s">
        <v>2530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2" tint="-0.499984740745262"/>
  </sheetPr>
  <dimension ref="A1:AA33"/>
  <sheetViews>
    <sheetView workbookViewId="0">
      <pane xSplit="1" ySplit="6" topLeftCell="E13" activePane="bottomRight" state="frozen"/>
      <selection pane="topRight" activeCell="B1" sqref="B1"/>
      <selection pane="bottomLeft" activeCell="A7" sqref="A7"/>
      <selection pane="bottomRight" activeCell="P32" sqref="P32"/>
    </sheetView>
  </sheetViews>
  <sheetFormatPr defaultColWidth="9.140625" defaultRowHeight="15" x14ac:dyDescent="0.25"/>
  <cols>
    <col min="1" max="1" width="23" style="837" customWidth="1"/>
    <col min="2" max="2" width="10.140625" style="837" customWidth="1"/>
    <col min="3" max="3" width="5.85546875" style="837" customWidth="1"/>
    <col min="4" max="4" width="10" style="837" customWidth="1"/>
    <col min="5" max="5" width="8.5703125" style="837" customWidth="1"/>
    <col min="6" max="6" width="9.28515625" style="837" customWidth="1"/>
    <col min="7" max="7" width="8" style="837" bestFit="1" customWidth="1"/>
    <col min="8" max="8" width="6.28515625" style="837" customWidth="1"/>
    <col min="9" max="9" width="5.85546875" style="837" customWidth="1"/>
    <col min="10" max="10" width="7.5703125" style="837" customWidth="1"/>
    <col min="11" max="11" width="5.140625" style="837" customWidth="1"/>
    <col min="12" max="12" width="10.7109375" style="837" customWidth="1"/>
    <col min="13" max="13" width="10" style="837" customWidth="1"/>
    <col min="14" max="14" width="8.85546875" style="837" customWidth="1"/>
    <col min="15" max="15" width="8.28515625" style="837" customWidth="1"/>
    <col min="16" max="16" width="9.42578125" style="837" customWidth="1"/>
    <col min="17" max="17" width="5.85546875" style="837" customWidth="1"/>
    <col min="18" max="18" width="10.140625" style="837" customWidth="1"/>
    <col min="19" max="19" width="5.42578125" style="837" customWidth="1"/>
    <col min="20" max="20" width="4.85546875" style="837" customWidth="1"/>
    <col min="21" max="21" width="6.42578125" style="837" customWidth="1"/>
    <col min="22" max="22" width="4.7109375" style="837" customWidth="1"/>
    <col min="23" max="23" width="6.28515625" style="837" customWidth="1"/>
    <col min="24" max="24" width="4.5703125" style="837" customWidth="1"/>
    <col min="25" max="25" width="5.7109375" style="837" customWidth="1"/>
    <col min="26" max="26" width="8.28515625" style="837" customWidth="1"/>
    <col min="27" max="16384" width="9.140625" style="837"/>
  </cols>
  <sheetData>
    <row r="1" spans="1:27" x14ac:dyDescent="0.25">
      <c r="Z1" s="837" t="s">
        <v>1043</v>
      </c>
    </row>
    <row r="3" spans="1:27" x14ac:dyDescent="0.25">
      <c r="A3" s="4479" t="s">
        <v>2256</v>
      </c>
      <c r="B3" s="4479"/>
      <c r="C3" s="4479"/>
      <c r="D3" s="4479"/>
      <c r="E3" s="4479"/>
      <c r="F3" s="4479"/>
      <c r="G3" s="4479"/>
      <c r="H3" s="4479"/>
      <c r="I3" s="4479"/>
      <c r="J3" s="4479"/>
      <c r="K3" s="4479"/>
      <c r="L3" s="4479"/>
      <c r="M3" s="4479"/>
      <c r="N3" s="4479"/>
      <c r="O3" s="4479"/>
      <c r="P3" s="4479"/>
      <c r="Q3" s="4479"/>
      <c r="R3" s="4479"/>
      <c r="S3" s="4479"/>
      <c r="T3" s="4479"/>
      <c r="U3" s="4479"/>
      <c r="V3" s="4479"/>
      <c r="W3" s="4479"/>
      <c r="X3" s="4479"/>
      <c r="Y3" s="4479"/>
      <c r="Z3" s="4479"/>
      <c r="AA3" s="4479"/>
    </row>
    <row r="5" spans="1:27" x14ac:dyDescent="0.25">
      <c r="A5" s="841"/>
      <c r="B5" s="4476" t="s">
        <v>1910</v>
      </c>
      <c r="C5" s="4476"/>
      <c r="D5" s="4476" t="s">
        <v>11</v>
      </c>
      <c r="E5" s="4476"/>
      <c r="F5" s="4476" t="s">
        <v>1922</v>
      </c>
      <c r="G5" s="4476"/>
      <c r="H5" s="4476" t="s">
        <v>11</v>
      </c>
      <c r="I5" s="4476"/>
      <c r="J5" s="4476" t="s">
        <v>139</v>
      </c>
      <c r="K5" s="4476"/>
      <c r="L5" s="4476" t="s">
        <v>15</v>
      </c>
      <c r="M5" s="4476"/>
      <c r="N5" s="4476" t="s">
        <v>16</v>
      </c>
      <c r="O5" s="4476"/>
      <c r="P5" s="4476" t="s">
        <v>17</v>
      </c>
      <c r="Q5" s="4476"/>
      <c r="R5" s="4476" t="s">
        <v>18</v>
      </c>
      <c r="S5" s="4476"/>
      <c r="T5" s="4476" t="s">
        <v>19</v>
      </c>
      <c r="U5" s="4476"/>
      <c r="V5" s="4476" t="s">
        <v>20</v>
      </c>
      <c r="W5" s="4476"/>
      <c r="X5" s="4476" t="s">
        <v>21</v>
      </c>
      <c r="Y5" s="4476"/>
      <c r="Z5" s="4477" t="s">
        <v>1923</v>
      </c>
      <c r="AA5" s="4478"/>
    </row>
    <row r="6" spans="1:27" s="849" customFormat="1" ht="14.25" x14ac:dyDescent="0.2">
      <c r="A6" s="848" t="s">
        <v>2252</v>
      </c>
      <c r="B6" s="850" t="s">
        <v>1880</v>
      </c>
      <c r="C6" s="850" t="s">
        <v>1011</v>
      </c>
      <c r="D6" s="850" t="s">
        <v>1880</v>
      </c>
      <c r="E6" s="850" t="s">
        <v>1011</v>
      </c>
      <c r="F6" s="850" t="s">
        <v>1880</v>
      </c>
      <c r="G6" s="850" t="s">
        <v>1011</v>
      </c>
      <c r="H6" s="850" t="s">
        <v>1880</v>
      </c>
      <c r="I6" s="850" t="s">
        <v>1011</v>
      </c>
      <c r="J6" s="850" t="s">
        <v>1880</v>
      </c>
      <c r="K6" s="850" t="s">
        <v>1011</v>
      </c>
      <c r="L6" s="850" t="s">
        <v>1880</v>
      </c>
      <c r="M6" s="850" t="s">
        <v>1011</v>
      </c>
      <c r="N6" s="850" t="s">
        <v>1880</v>
      </c>
      <c r="O6" s="850" t="s">
        <v>1011</v>
      </c>
      <c r="P6" s="850" t="s">
        <v>1880</v>
      </c>
      <c r="Q6" s="850" t="s">
        <v>1011</v>
      </c>
      <c r="R6" s="850" t="s">
        <v>1880</v>
      </c>
      <c r="S6" s="850" t="s">
        <v>1011</v>
      </c>
      <c r="T6" s="850" t="s">
        <v>1880</v>
      </c>
      <c r="U6" s="850" t="s">
        <v>1011</v>
      </c>
      <c r="V6" s="850" t="s">
        <v>1880</v>
      </c>
      <c r="W6" s="850" t="s">
        <v>1011</v>
      </c>
      <c r="X6" s="850" t="s">
        <v>1880</v>
      </c>
      <c r="Y6" s="850" t="s">
        <v>1011</v>
      </c>
      <c r="Z6" s="850" t="s">
        <v>1880</v>
      </c>
      <c r="AA6" s="850" t="s">
        <v>887</v>
      </c>
    </row>
    <row r="7" spans="1:27" x14ac:dyDescent="0.25">
      <c r="A7" s="1454" t="s">
        <v>880</v>
      </c>
      <c r="B7" s="1455">
        <v>28</v>
      </c>
      <c r="C7" s="1455">
        <v>15.03</v>
      </c>
      <c r="D7" s="1455">
        <v>70</v>
      </c>
      <c r="E7" s="1455">
        <v>15.03</v>
      </c>
      <c r="F7" s="1455">
        <v>58</v>
      </c>
      <c r="G7" s="1455">
        <v>15.03</v>
      </c>
      <c r="H7" s="1455">
        <v>65</v>
      </c>
      <c r="I7" s="1455">
        <v>15.03</v>
      </c>
      <c r="J7" s="1455">
        <v>250</v>
      </c>
      <c r="K7" s="1455">
        <v>15.03</v>
      </c>
      <c r="L7" s="1455">
        <v>204</v>
      </c>
      <c r="M7" s="1455">
        <v>15.27</v>
      </c>
      <c r="N7" s="1455">
        <v>170</v>
      </c>
      <c r="O7" s="1455">
        <v>18.04</v>
      </c>
      <c r="P7" s="1455">
        <v>164</v>
      </c>
      <c r="Q7" s="1455">
        <v>15.03</v>
      </c>
      <c r="R7" s="1455">
        <v>181</v>
      </c>
      <c r="S7" s="1455">
        <v>15.03</v>
      </c>
      <c r="T7" s="1455">
        <v>238</v>
      </c>
      <c r="U7" s="1455">
        <v>15.03</v>
      </c>
      <c r="V7" s="1455">
        <v>108</v>
      </c>
      <c r="W7" s="1455">
        <v>15.84</v>
      </c>
      <c r="X7" s="1455">
        <v>60</v>
      </c>
      <c r="Y7" s="1456">
        <v>14.21</v>
      </c>
      <c r="Z7" s="1457">
        <f>B7+D7+F7+H7+J7+L7+N7+P7+R7+T7+V7+X7</f>
        <v>1596</v>
      </c>
      <c r="AA7" s="1458">
        <f>B7*C7+D7*E7+F7*G7+H7*I7+J7*K7+L7*M7+N7*O7+P7*Q7+R7*S7+T7*U7+V7*W7+X7*Y7</f>
        <v>24586.82</v>
      </c>
    </row>
    <row r="8" spans="1:27" x14ac:dyDescent="0.25">
      <c r="A8" s="1459" t="s">
        <v>2308</v>
      </c>
      <c r="B8" s="1460">
        <v>43</v>
      </c>
      <c r="C8" s="1460">
        <v>15.03</v>
      </c>
      <c r="D8" s="1460">
        <v>90</v>
      </c>
      <c r="E8" s="1460">
        <v>15.03</v>
      </c>
      <c r="F8" s="1460">
        <v>50</v>
      </c>
      <c r="G8" s="1460">
        <v>15.03</v>
      </c>
      <c r="H8" s="1460">
        <v>79</v>
      </c>
      <c r="I8" s="1460">
        <v>15.03</v>
      </c>
      <c r="J8" s="1460">
        <v>116</v>
      </c>
      <c r="K8" s="1460">
        <v>15.03</v>
      </c>
      <c r="L8" s="1460">
        <v>86</v>
      </c>
      <c r="M8" s="1460">
        <v>15.31</v>
      </c>
      <c r="N8" s="1460">
        <v>97</v>
      </c>
      <c r="O8" s="1460">
        <v>18.04</v>
      </c>
      <c r="P8" s="1460">
        <v>127</v>
      </c>
      <c r="Q8" s="1460">
        <v>15.03</v>
      </c>
      <c r="R8" s="1460">
        <v>137</v>
      </c>
      <c r="S8" s="1460">
        <v>15.03</v>
      </c>
      <c r="T8" s="1460">
        <v>66</v>
      </c>
      <c r="U8" s="1460">
        <v>15.03</v>
      </c>
      <c r="V8" s="1460">
        <v>129</v>
      </c>
      <c r="W8" s="1460">
        <v>15.84</v>
      </c>
      <c r="X8" s="1460">
        <v>79</v>
      </c>
      <c r="Y8" s="1461">
        <v>13.81</v>
      </c>
      <c r="Z8" s="1462">
        <f t="shared" ref="Z8:Z14" si="0">B8+D8+F8+H8+J8+L8+N8+P8+R8+T8+V8+X8</f>
        <v>1099</v>
      </c>
      <c r="AA8" s="1463">
        <f>B8*C8+D8*E8+F8*G8+H8*I8+J8*K8+L8*M8+N8*O8+P8*Q8+R8*S8+T8*U8+V8*W8+X8*Y8</f>
        <v>16842.13</v>
      </c>
    </row>
    <row r="9" spans="1:27" x14ac:dyDescent="0.25">
      <c r="A9" s="1459" t="s">
        <v>2309</v>
      </c>
      <c r="B9" s="1460"/>
      <c r="C9" s="1460"/>
      <c r="D9" s="1460"/>
      <c r="E9" s="1460"/>
      <c r="F9" s="1460"/>
      <c r="G9" s="1460"/>
      <c r="H9" s="1460">
        <v>2</v>
      </c>
      <c r="I9" s="1460">
        <v>15.03</v>
      </c>
      <c r="J9" s="1460">
        <v>18</v>
      </c>
      <c r="K9" s="1460">
        <v>15.03</v>
      </c>
      <c r="L9" s="1460">
        <v>12</v>
      </c>
      <c r="M9" s="1460">
        <v>18.04</v>
      </c>
      <c r="N9" s="1460">
        <v>22</v>
      </c>
      <c r="O9" s="1460">
        <v>18.04</v>
      </c>
      <c r="P9" s="1460">
        <v>5</v>
      </c>
      <c r="Q9" s="1460">
        <v>15.03</v>
      </c>
      <c r="R9" s="1460">
        <v>8</v>
      </c>
      <c r="S9" s="1460">
        <v>15.03</v>
      </c>
      <c r="T9" s="1460">
        <v>24</v>
      </c>
      <c r="U9" s="1460">
        <v>15.03</v>
      </c>
      <c r="V9" s="1460">
        <v>4</v>
      </c>
      <c r="W9" s="1460">
        <v>15.84</v>
      </c>
      <c r="X9" s="1460"/>
      <c r="Y9" s="1461"/>
      <c r="Z9" s="1462">
        <f t="shared" si="0"/>
        <v>95</v>
      </c>
      <c r="AA9" s="1463">
        <f t="shared" ref="AA9:AA14" si="1">B9*C9+D9*E9+F9*G9+H9*I9+J9*K9+L9*M9+N9*O9+P9*Q9+R9*S9+T9*U9+V9*W9+X9*Y9</f>
        <v>1533.43</v>
      </c>
    </row>
    <row r="10" spans="1:27" x14ac:dyDescent="0.25">
      <c r="A10" s="1459" t="s">
        <v>921</v>
      </c>
      <c r="B10" s="1460"/>
      <c r="C10" s="1460"/>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1"/>
      <c r="Z10" s="1462">
        <f t="shared" si="0"/>
        <v>0</v>
      </c>
      <c r="AA10" s="1463">
        <f t="shared" si="1"/>
        <v>0</v>
      </c>
    </row>
    <row r="11" spans="1:27" x14ac:dyDescent="0.25">
      <c r="A11" s="1459" t="s">
        <v>1365</v>
      </c>
      <c r="B11" s="1460"/>
      <c r="C11" s="1460"/>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1"/>
      <c r="Z11" s="1462">
        <f t="shared" si="0"/>
        <v>0</v>
      </c>
      <c r="AA11" s="1463">
        <f t="shared" si="1"/>
        <v>0</v>
      </c>
    </row>
    <row r="12" spans="1:27" x14ac:dyDescent="0.25">
      <c r="A12" s="1459" t="s">
        <v>883</v>
      </c>
      <c r="B12" s="1460"/>
      <c r="C12" s="1460"/>
      <c r="D12" s="1460"/>
      <c r="E12" s="1460"/>
      <c r="F12" s="1460"/>
      <c r="G12" s="1460"/>
      <c r="H12" s="1460">
        <v>2</v>
      </c>
      <c r="I12" s="1460">
        <v>15.03</v>
      </c>
      <c r="J12" s="1460"/>
      <c r="K12" s="1460"/>
      <c r="L12" s="1460"/>
      <c r="M12" s="1460"/>
      <c r="N12" s="1460">
        <v>15</v>
      </c>
      <c r="O12" s="1460">
        <v>15.03</v>
      </c>
      <c r="P12" s="1460">
        <v>3</v>
      </c>
      <c r="Q12" s="1460">
        <v>15.03</v>
      </c>
      <c r="R12" s="1460">
        <v>2</v>
      </c>
      <c r="S12" s="1460">
        <v>15.03</v>
      </c>
      <c r="T12" s="1460"/>
      <c r="U12" s="1460"/>
      <c r="V12" s="1460"/>
      <c r="W12" s="1460"/>
      <c r="X12" s="1460"/>
      <c r="Y12" s="1461"/>
      <c r="Z12" s="1462">
        <f t="shared" si="0"/>
        <v>22</v>
      </c>
      <c r="AA12" s="1463">
        <f t="shared" si="1"/>
        <v>330.66</v>
      </c>
    </row>
    <row r="13" spans="1:27" x14ac:dyDescent="0.25">
      <c r="A13" s="1459" t="s">
        <v>996</v>
      </c>
      <c r="B13" s="1460"/>
      <c r="C13" s="1460"/>
      <c r="D13" s="1460"/>
      <c r="E13" s="1460"/>
      <c r="F13" s="1460"/>
      <c r="G13" s="1460"/>
      <c r="H13" s="1460"/>
      <c r="I13" s="1460"/>
      <c r="J13" s="1460">
        <v>2</v>
      </c>
      <c r="K13" s="1460">
        <v>15.03</v>
      </c>
      <c r="L13" s="1460"/>
      <c r="M13" s="1460"/>
      <c r="N13" s="1460"/>
      <c r="O13" s="1460"/>
      <c r="P13" s="1460"/>
      <c r="Q13" s="1460"/>
      <c r="R13" s="1460">
        <v>17</v>
      </c>
      <c r="S13" s="1460">
        <v>15.03</v>
      </c>
      <c r="T13" s="1460">
        <v>42</v>
      </c>
      <c r="U13" s="1460">
        <v>15.03</v>
      </c>
      <c r="V13" s="1460">
        <v>31</v>
      </c>
      <c r="W13" s="1460">
        <v>15.84</v>
      </c>
      <c r="X13" s="1460"/>
      <c r="Y13" s="1461"/>
      <c r="Z13" s="1462">
        <f t="shared" si="0"/>
        <v>92</v>
      </c>
      <c r="AA13" s="1463">
        <f t="shared" si="1"/>
        <v>1407.87</v>
      </c>
    </row>
    <row r="14" spans="1:27" x14ac:dyDescent="0.25">
      <c r="A14" s="1464" t="s">
        <v>1876</v>
      </c>
      <c r="B14" s="1465">
        <v>8</v>
      </c>
      <c r="C14" s="1465">
        <v>15.03</v>
      </c>
      <c r="D14" s="1465">
        <v>20</v>
      </c>
      <c r="E14" s="1465">
        <v>15.03</v>
      </c>
      <c r="F14" s="1465">
        <v>22</v>
      </c>
      <c r="G14" s="1465">
        <v>15.03</v>
      </c>
      <c r="H14" s="1465">
        <v>42</v>
      </c>
      <c r="I14" s="1465">
        <v>15.03</v>
      </c>
      <c r="J14" s="1465">
        <v>38</v>
      </c>
      <c r="K14" s="1465">
        <v>15.03</v>
      </c>
      <c r="L14" s="1465">
        <v>40</v>
      </c>
      <c r="M14" s="1465">
        <v>18.04</v>
      </c>
      <c r="N14" s="1465">
        <v>41</v>
      </c>
      <c r="O14" s="1465">
        <v>15.03</v>
      </c>
      <c r="P14" s="1465"/>
      <c r="Q14" s="1465"/>
      <c r="R14" s="1465"/>
      <c r="S14" s="1465"/>
      <c r="T14" s="1465"/>
      <c r="U14" s="1465"/>
      <c r="V14" s="1465"/>
      <c r="W14" s="1465"/>
      <c r="X14" s="1465">
        <v>44</v>
      </c>
      <c r="Y14" s="1466">
        <v>12.97</v>
      </c>
      <c r="Z14" s="1467">
        <f t="shared" si="0"/>
        <v>255</v>
      </c>
      <c r="AA14" s="1468">
        <f t="shared" si="1"/>
        <v>3862.41</v>
      </c>
    </row>
    <row r="15" spans="1:27" x14ac:dyDescent="0.25">
      <c r="A15" s="1048"/>
      <c r="B15" s="841"/>
      <c r="C15" s="841"/>
      <c r="D15" s="841"/>
      <c r="E15" s="841"/>
      <c r="F15" s="841"/>
      <c r="G15" s="841"/>
      <c r="H15" s="841"/>
      <c r="I15" s="841"/>
      <c r="J15" s="841"/>
      <c r="K15" s="841"/>
      <c r="L15" s="841"/>
      <c r="M15" s="841"/>
      <c r="N15" s="841"/>
      <c r="O15" s="841"/>
      <c r="P15" s="841"/>
      <c r="Q15" s="841"/>
      <c r="R15" s="841"/>
      <c r="S15" s="841"/>
      <c r="T15" s="841"/>
      <c r="U15" s="841"/>
      <c r="V15" s="841"/>
      <c r="W15" s="841"/>
      <c r="X15" s="841"/>
      <c r="Y15" s="841"/>
      <c r="Z15" s="841">
        <f t="shared" ref="Z15:Z24" si="2">B15+D15+F15+H15+J15+L15+N15+P15+R15+T15+V15+X15</f>
        <v>0</v>
      </c>
      <c r="AA15" s="845">
        <f t="shared" ref="AA15:AA24" si="3">B15*C15+D15*E15+F15*G15+H15*I15+J15*K15+L15*M15+N15*O15+P15*Q15+R15*S15+T15*U15+V15*W15+X15*Y15</f>
        <v>0</v>
      </c>
    </row>
    <row r="16" spans="1:27" x14ac:dyDescent="0.25">
      <c r="A16" s="841"/>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f t="shared" si="2"/>
        <v>0</v>
      </c>
      <c r="AA16" s="845">
        <f t="shared" si="3"/>
        <v>0</v>
      </c>
    </row>
    <row r="17" spans="1:27" x14ac:dyDescent="0.25">
      <c r="A17" s="841"/>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f t="shared" si="2"/>
        <v>0</v>
      </c>
      <c r="AA17" s="845">
        <f t="shared" si="3"/>
        <v>0</v>
      </c>
    </row>
    <row r="18" spans="1:27" x14ac:dyDescent="0.25">
      <c r="A18" s="841"/>
      <c r="B18" s="841"/>
      <c r="C18" s="841"/>
      <c r="D18" s="841"/>
      <c r="E18" s="841"/>
      <c r="F18" s="841"/>
      <c r="G18" s="841"/>
      <c r="H18" s="841"/>
      <c r="I18" s="841"/>
      <c r="J18" s="841"/>
      <c r="K18" s="841"/>
      <c r="L18" s="841"/>
      <c r="M18" s="841"/>
      <c r="N18" s="841"/>
      <c r="O18" s="841"/>
      <c r="P18" s="841"/>
      <c r="Q18" s="841"/>
      <c r="R18" s="841"/>
      <c r="S18" s="841"/>
      <c r="T18" s="841"/>
      <c r="U18" s="841"/>
      <c r="V18" s="841"/>
      <c r="W18" s="841"/>
      <c r="X18" s="841"/>
      <c r="Y18" s="841"/>
      <c r="Z18" s="841">
        <f t="shared" si="2"/>
        <v>0</v>
      </c>
      <c r="AA18" s="845">
        <f t="shared" si="3"/>
        <v>0</v>
      </c>
    </row>
    <row r="19" spans="1:27" x14ac:dyDescent="0.25">
      <c r="A19" s="841"/>
      <c r="B19" s="841"/>
      <c r="C19" s="841"/>
      <c r="D19" s="841"/>
      <c r="E19" s="841"/>
      <c r="F19" s="841"/>
      <c r="G19" s="841"/>
      <c r="H19" s="841"/>
      <c r="I19" s="841"/>
      <c r="J19" s="841"/>
      <c r="K19" s="841"/>
      <c r="L19" s="841"/>
      <c r="M19" s="841"/>
      <c r="N19" s="841"/>
      <c r="O19" s="841"/>
      <c r="P19" s="841"/>
      <c r="Q19" s="841"/>
      <c r="R19" s="841"/>
      <c r="S19" s="841"/>
      <c r="T19" s="841"/>
      <c r="U19" s="841"/>
      <c r="V19" s="841"/>
      <c r="W19" s="841"/>
      <c r="X19" s="841"/>
      <c r="Y19" s="841"/>
      <c r="Z19" s="841">
        <f t="shared" si="2"/>
        <v>0</v>
      </c>
      <c r="AA19" s="845">
        <f t="shared" si="3"/>
        <v>0</v>
      </c>
    </row>
    <row r="20" spans="1:27" x14ac:dyDescent="0.25">
      <c r="A20" s="841"/>
      <c r="B20" s="841"/>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f t="shared" si="2"/>
        <v>0</v>
      </c>
      <c r="AA20" s="845">
        <f t="shared" si="3"/>
        <v>0</v>
      </c>
    </row>
    <row r="21" spans="1:27" x14ac:dyDescent="0.25">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f t="shared" si="2"/>
        <v>0</v>
      </c>
      <c r="AA21" s="845">
        <f t="shared" si="3"/>
        <v>0</v>
      </c>
    </row>
    <row r="22" spans="1:27" x14ac:dyDescent="0.25">
      <c r="A22" s="841"/>
      <c r="B22" s="841"/>
      <c r="C22" s="841"/>
      <c r="D22" s="841"/>
      <c r="E22" s="841"/>
      <c r="F22" s="841"/>
      <c r="G22" s="841"/>
      <c r="H22" s="841"/>
      <c r="I22" s="841"/>
      <c r="J22" s="841"/>
      <c r="K22" s="841"/>
      <c r="L22" s="841"/>
      <c r="M22" s="841"/>
      <c r="N22" s="841"/>
      <c r="O22" s="841"/>
      <c r="P22" s="841"/>
      <c r="Q22" s="841"/>
      <c r="R22" s="841"/>
      <c r="S22" s="841"/>
      <c r="T22" s="841"/>
      <c r="U22" s="841"/>
      <c r="V22" s="841"/>
      <c r="W22" s="841"/>
      <c r="X22" s="841"/>
      <c r="Y22" s="841"/>
      <c r="Z22" s="841">
        <f t="shared" si="2"/>
        <v>0</v>
      </c>
      <c r="AA22" s="845">
        <f t="shared" si="3"/>
        <v>0</v>
      </c>
    </row>
    <row r="23" spans="1:27" x14ac:dyDescent="0.25">
      <c r="A23" s="841"/>
      <c r="B23" s="841"/>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f t="shared" si="2"/>
        <v>0</v>
      </c>
      <c r="AA23" s="845">
        <f t="shared" si="3"/>
        <v>0</v>
      </c>
    </row>
    <row r="24" spans="1:27" x14ac:dyDescent="0.25">
      <c r="A24" s="841"/>
      <c r="B24" s="841"/>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f t="shared" si="2"/>
        <v>0</v>
      </c>
      <c r="AA24" s="845">
        <f t="shared" si="3"/>
        <v>0</v>
      </c>
    </row>
    <row r="25" spans="1:27" x14ac:dyDescent="0.25">
      <c r="A25" s="841"/>
      <c r="B25" s="841">
        <f>SUM(B7:B24)</f>
        <v>79</v>
      </c>
      <c r="C25" s="841"/>
      <c r="D25" s="841">
        <f>SUM(D7:D24)</f>
        <v>180</v>
      </c>
      <c r="E25" s="841"/>
      <c r="F25" s="841">
        <f>SUM(F7:F24)</f>
        <v>130</v>
      </c>
      <c r="G25" s="841"/>
      <c r="H25" s="841">
        <f>SUM(H7:H24)</f>
        <v>190</v>
      </c>
      <c r="I25" s="841"/>
      <c r="J25" s="841">
        <f>SUM(J7:J24)</f>
        <v>424</v>
      </c>
      <c r="K25" s="841"/>
      <c r="L25" s="841">
        <f>SUM(L7:L24)</f>
        <v>342</v>
      </c>
      <c r="M25" s="841"/>
      <c r="N25" s="841">
        <f>SUM(N7:N24)</f>
        <v>345</v>
      </c>
      <c r="O25" s="841"/>
      <c r="P25" s="841">
        <f>SUM(P7:P24)</f>
        <v>299</v>
      </c>
      <c r="Q25" s="841"/>
      <c r="R25" s="841">
        <f>SUM(R7:R24)</f>
        <v>345</v>
      </c>
      <c r="S25" s="841"/>
      <c r="T25" s="841">
        <f>SUM(T7:T24)</f>
        <v>370</v>
      </c>
      <c r="U25" s="841"/>
      <c r="V25" s="841">
        <f>SUM(V7:V24)</f>
        <v>272</v>
      </c>
      <c r="W25" s="841"/>
      <c r="X25" s="841">
        <f>SUM(X7:X24)</f>
        <v>183</v>
      </c>
      <c r="Y25" s="841"/>
      <c r="Z25" s="841">
        <f>SUM(Z7:Z24)</f>
        <v>3159</v>
      </c>
      <c r="AA25" s="841">
        <f>SUM(AA7:AA24)</f>
        <v>48563.32</v>
      </c>
    </row>
    <row r="26" spans="1:27" x14ac:dyDescent="0.25">
      <c r="Z26" s="846">
        <f>Z25-Z21-Z22+1</f>
        <v>3160</v>
      </c>
    </row>
    <row r="28" spans="1:27" ht="15.75" x14ac:dyDescent="0.25">
      <c r="A28" s="836" t="s">
        <v>1881</v>
      </c>
      <c r="C28" s="1024" t="str">
        <f>'Вхідні дані'!F5</f>
        <v>ЧФ ДП "АМПУ"</v>
      </c>
      <c r="D28" s="1024"/>
      <c r="E28" s="1024"/>
      <c r="F28" s="1024"/>
      <c r="G28" s="1057"/>
      <c r="H28" s="836" t="s">
        <v>460</v>
      </c>
      <c r="I28" s="1024" t="str">
        <f>'Вхідні дані'!F6</f>
        <v>2022-2023</v>
      </c>
      <c r="J28" s="1024"/>
      <c r="K28" s="837" t="s">
        <v>647</v>
      </c>
      <c r="Y28" s="847" t="s">
        <v>2310</v>
      </c>
      <c r="Z28" s="847"/>
      <c r="AA28" s="847">
        <f>AA25/Z25</f>
        <v>15.3730041152263</v>
      </c>
    </row>
    <row r="29" spans="1:27" ht="15.75" thickBot="1" x14ac:dyDescent="0.3"/>
    <row r="30" spans="1:27" ht="15.75" thickBot="1" x14ac:dyDescent="0.3">
      <c r="A30" s="1047" t="s">
        <v>1877</v>
      </c>
      <c r="B30" s="851" t="s">
        <v>880</v>
      </c>
      <c r="C30" s="852"/>
      <c r="D30" s="853" t="s">
        <v>954</v>
      </c>
      <c r="E30" s="851"/>
      <c r="F30" s="1473" t="s">
        <v>1932</v>
      </c>
      <c r="G30" s="1080"/>
      <c r="H30" s="851" t="s">
        <v>921</v>
      </c>
      <c r="I30" s="852"/>
      <c r="J30" s="853" t="s">
        <v>1878</v>
      </c>
      <c r="K30" s="852"/>
      <c r="L30" s="853" t="s">
        <v>883</v>
      </c>
      <c r="M30" s="852"/>
      <c r="N30" s="853" t="s">
        <v>1076</v>
      </c>
      <c r="O30" s="852"/>
      <c r="P30" s="853" t="s">
        <v>997</v>
      </c>
      <c r="Q30" s="851"/>
      <c r="R30" s="1474" t="s">
        <v>766</v>
      </c>
      <c r="S30" s="1080"/>
    </row>
    <row r="31" spans="1:27" x14ac:dyDescent="0.25">
      <c r="A31" s="854" t="s">
        <v>1879</v>
      </c>
      <c r="B31" s="1469">
        <f>Z7</f>
        <v>1596</v>
      </c>
      <c r="C31" s="1050"/>
      <c r="D31" s="1470">
        <f>Z8+Z9</f>
        <v>1194</v>
      </c>
      <c r="E31" s="1049"/>
      <c r="F31" s="1471">
        <f>Z9</f>
        <v>95</v>
      </c>
      <c r="G31" s="1082"/>
      <c r="H31" s="1469">
        <f>Z10</f>
        <v>0</v>
      </c>
      <c r="I31" s="1050"/>
      <c r="J31" s="1470">
        <f>Z11</f>
        <v>0</v>
      </c>
      <c r="K31" s="1050"/>
      <c r="L31" s="1470">
        <f>Z12</f>
        <v>22</v>
      </c>
      <c r="M31" s="1050"/>
      <c r="N31" s="1470">
        <f>Z13+Z14</f>
        <v>347</v>
      </c>
      <c r="O31" s="1050"/>
      <c r="P31" s="1470">
        <f>Z14-Z14</f>
        <v>0</v>
      </c>
      <c r="Q31" s="1049"/>
      <c r="R31" s="1472">
        <f>B31+D31+H31+J31+L31+N31+P31</f>
        <v>3159</v>
      </c>
      <c r="S31" s="1051"/>
    </row>
    <row r="32" spans="1:27" ht="15.75" thickBot="1" x14ac:dyDescent="0.3">
      <c r="A32" s="1045" t="s">
        <v>1882</v>
      </c>
      <c r="B32" s="1052">
        <f>'Вхідні дані'!D42</f>
        <v>0</v>
      </c>
      <c r="C32" s="1053"/>
      <c r="D32" s="1054">
        <f>B32</f>
        <v>0</v>
      </c>
      <c r="E32" s="1052"/>
      <c r="F32" s="1083">
        <f>D32</f>
        <v>0</v>
      </c>
      <c r="G32" s="1081"/>
      <c r="H32" s="1052">
        <f>B32</f>
        <v>0</v>
      </c>
      <c r="I32" s="1053"/>
      <c r="J32" s="1054">
        <f>B32</f>
        <v>0</v>
      </c>
      <c r="K32" s="1053"/>
      <c r="L32" s="1054">
        <f>B32</f>
        <v>0</v>
      </c>
      <c r="M32" s="1053"/>
      <c r="N32" s="1054">
        <f>B32</f>
        <v>0</v>
      </c>
      <c r="O32" s="1053"/>
      <c r="P32" s="1054">
        <f>B32</f>
        <v>0</v>
      </c>
      <c r="Q32" s="1052"/>
      <c r="R32" s="1055">
        <f>B32</f>
        <v>0</v>
      </c>
      <c r="S32" s="1056"/>
    </row>
    <row r="33" spans="1:19" ht="15.75" thickBot="1" x14ac:dyDescent="0.3">
      <c r="A33" s="1046" t="s">
        <v>1021</v>
      </c>
      <c r="B33" s="4483">
        <f>B31*B32</f>
        <v>0</v>
      </c>
      <c r="C33" s="4481"/>
      <c r="D33" s="4480">
        <f>D31*D32</f>
        <v>0</v>
      </c>
      <c r="E33" s="4481"/>
      <c r="F33" s="4480">
        <f>F31*F32</f>
        <v>0</v>
      </c>
      <c r="G33" s="4482"/>
      <c r="H33" s="4483">
        <f>H31*H32</f>
        <v>0</v>
      </c>
      <c r="I33" s="4481"/>
      <c r="J33" s="4480">
        <f>J31*J32</f>
        <v>0</v>
      </c>
      <c r="K33" s="4481"/>
      <c r="L33" s="4480">
        <f>L31*L32</f>
        <v>0</v>
      </c>
      <c r="M33" s="4481"/>
      <c r="N33" s="4480">
        <f>N31*N32</f>
        <v>0</v>
      </c>
      <c r="O33" s="4481"/>
      <c r="P33" s="4480">
        <f>P31*P32</f>
        <v>0</v>
      </c>
      <c r="Q33" s="4482"/>
      <c r="R33" s="4483">
        <f>R31*R32</f>
        <v>0</v>
      </c>
      <c r="S33" s="4482"/>
    </row>
  </sheetData>
  <mergeCells count="23">
    <mergeCell ref="L33:M33"/>
    <mergeCell ref="N33:O33"/>
    <mergeCell ref="P33:Q33"/>
    <mergeCell ref="R33:S33"/>
    <mergeCell ref="B33:C33"/>
    <mergeCell ref="D33:E33"/>
    <mergeCell ref="F33:G33"/>
    <mergeCell ref="H33:I33"/>
    <mergeCell ref="J33:K33"/>
    <mergeCell ref="T5:U5"/>
    <mergeCell ref="V5:W5"/>
    <mergeCell ref="X5:Y5"/>
    <mergeCell ref="Z5:AA5"/>
    <mergeCell ref="A3:AA3"/>
    <mergeCell ref="B5:C5"/>
    <mergeCell ref="D5:E5"/>
    <mergeCell ref="F5:G5"/>
    <mergeCell ref="H5:I5"/>
    <mergeCell ref="J5:K5"/>
    <mergeCell ref="L5:M5"/>
    <mergeCell ref="N5:O5"/>
    <mergeCell ref="P5:Q5"/>
    <mergeCell ref="R5:S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2" tint="-0.499984740745262"/>
    <pageSetUpPr fitToPage="1"/>
  </sheetPr>
  <dimension ref="B1:Q28"/>
  <sheetViews>
    <sheetView workbookViewId="0">
      <pane xSplit="1" ySplit="3" topLeftCell="B4" activePane="bottomRight" state="frozen"/>
      <selection pane="topRight" activeCell="B1" sqref="B1"/>
      <selection pane="bottomLeft" activeCell="A4" sqref="A4"/>
      <selection pane="bottomRight" activeCell="E15" sqref="E15:E16"/>
    </sheetView>
  </sheetViews>
  <sheetFormatPr defaultColWidth="8.85546875" defaultRowHeight="15.75" x14ac:dyDescent="0.25"/>
  <cols>
    <col min="1" max="1" width="4.28515625" style="58" customWidth="1"/>
    <col min="2" max="2" width="28.28515625" style="1838" customWidth="1"/>
    <col min="3" max="3" width="11.5703125" style="58" customWidth="1"/>
    <col min="4" max="4" width="22" style="1838" customWidth="1"/>
    <col min="5" max="7" width="12.85546875" style="58" customWidth="1"/>
    <col min="8" max="8" width="8" style="58" customWidth="1"/>
    <col min="9" max="10" width="6.140625" style="58" customWidth="1"/>
    <col min="11" max="11" width="5.7109375" style="58" customWidth="1"/>
    <col min="12" max="12" width="6.140625" style="58" customWidth="1"/>
    <col min="13" max="13" width="5.7109375" style="58" customWidth="1"/>
    <col min="14" max="14" width="10" style="58" customWidth="1"/>
    <col min="15" max="15" width="11.28515625" style="58" customWidth="1"/>
    <col min="16" max="16" width="16.140625" style="58" customWidth="1"/>
    <col min="17" max="17" width="11.85546875" style="58" customWidth="1"/>
    <col min="18" max="16384" width="8.85546875" style="58"/>
  </cols>
  <sheetData>
    <row r="1" spans="2:17" x14ac:dyDescent="0.25">
      <c r="O1" s="58" t="s">
        <v>2543</v>
      </c>
    </row>
    <row r="2" spans="2:17" ht="17.45" customHeight="1" x14ac:dyDescent="0.25">
      <c r="B2" s="4485" t="s">
        <v>2323</v>
      </c>
      <c r="C2" s="4485"/>
      <c r="D2" s="4485"/>
      <c r="E2" s="4485"/>
      <c r="F2" s="1913"/>
      <c r="G2" s="1913"/>
      <c r="H2" s="4484">
        <f>C5+E5+I5+K5+M5+O5+Q5</f>
        <v>2157571.33</v>
      </c>
      <c r="I2" s="4484"/>
      <c r="J2" s="4484"/>
      <c r="O2" s="58" t="s">
        <v>2544</v>
      </c>
    </row>
    <row r="3" spans="2:17" x14ac:dyDescent="0.25">
      <c r="B3" s="4384" t="s">
        <v>880</v>
      </c>
      <c r="C3" s="4384"/>
      <c r="D3" s="4486" t="s">
        <v>954</v>
      </c>
      <c r="E3" s="4487"/>
      <c r="F3" s="4487"/>
      <c r="G3" s="4488"/>
      <c r="H3" s="4384" t="s">
        <v>921</v>
      </c>
      <c r="I3" s="4384"/>
      <c r="J3" s="4384" t="s">
        <v>1365</v>
      </c>
      <c r="K3" s="4384"/>
      <c r="L3" s="4384" t="s">
        <v>883</v>
      </c>
      <c r="M3" s="4384"/>
      <c r="N3" s="4384" t="s">
        <v>996</v>
      </c>
      <c r="O3" s="4384"/>
      <c r="P3" s="4384" t="s">
        <v>2324</v>
      </c>
      <c r="Q3" s="4384"/>
    </row>
    <row r="4" spans="2:17" ht="28.15" customHeight="1" x14ac:dyDescent="0.25">
      <c r="B4" s="15" t="s">
        <v>2321</v>
      </c>
      <c r="C4" s="842" t="s">
        <v>2322</v>
      </c>
      <c r="D4" s="15" t="s">
        <v>2321</v>
      </c>
      <c r="E4" s="1926" t="s">
        <v>2575</v>
      </c>
      <c r="F4" s="1926" t="s">
        <v>2576</v>
      </c>
      <c r="G4" s="1926" t="s">
        <v>2577</v>
      </c>
      <c r="H4" s="1524" t="s">
        <v>2321</v>
      </c>
      <c r="I4" s="842" t="s">
        <v>2322</v>
      </c>
      <c r="J4" s="1524" t="s">
        <v>2321</v>
      </c>
      <c r="K4" s="842" t="s">
        <v>2322</v>
      </c>
      <c r="L4" s="1524" t="s">
        <v>2321</v>
      </c>
      <c r="M4" s="842" t="s">
        <v>2322</v>
      </c>
      <c r="N4" s="1524" t="s">
        <v>2321</v>
      </c>
      <c r="O4" s="842" t="s">
        <v>2322</v>
      </c>
      <c r="P4" s="1524" t="s">
        <v>2321</v>
      </c>
      <c r="Q4" s="842" t="s">
        <v>2322</v>
      </c>
    </row>
    <row r="5" spans="2:17" s="57" customFormat="1" x14ac:dyDescent="0.25">
      <c r="B5" s="1850" t="s">
        <v>1872</v>
      </c>
      <c r="C5" s="1544">
        <f>SUM(C6:C28)</f>
        <v>823657.33</v>
      </c>
      <c r="D5" s="1850"/>
      <c r="E5" s="1544">
        <f>SUM(E6:E28)</f>
        <v>1103314</v>
      </c>
      <c r="F5" s="1544">
        <f>SUM(F6:F28)</f>
        <v>385323.44</v>
      </c>
      <c r="G5" s="1544">
        <f>SUM(G6:G28)</f>
        <v>37527.120000000003</v>
      </c>
      <c r="H5" s="1290"/>
      <c r="I5" s="1544">
        <f>SUM(I6:I28)</f>
        <v>0</v>
      </c>
      <c r="J5" s="1290"/>
      <c r="K5" s="1544">
        <f>SUM(K6:K28)</f>
        <v>0</v>
      </c>
      <c r="L5" s="1290"/>
      <c r="M5" s="1544">
        <f>SUM(M6:M28)</f>
        <v>0</v>
      </c>
      <c r="N5" s="1290"/>
      <c r="O5" s="1544">
        <f>SUM(O6:O28)</f>
        <v>168100</v>
      </c>
      <c r="P5" s="1290"/>
      <c r="Q5" s="1544">
        <f>SUM(Q6:Q28)</f>
        <v>62500</v>
      </c>
    </row>
    <row r="6" spans="2:17" ht="30.6" customHeight="1" x14ac:dyDescent="0.25">
      <c r="B6" s="1854" t="s">
        <v>2325</v>
      </c>
      <c r="C6" s="1911"/>
      <c r="D6" s="842" t="s">
        <v>2420</v>
      </c>
      <c r="E6" s="921"/>
      <c r="F6" s="921"/>
      <c r="G6" s="921">
        <f>720/1.2+12000+9000+10000</f>
        <v>31600</v>
      </c>
      <c r="H6" s="921"/>
      <c r="I6" s="921"/>
      <c r="J6" s="921"/>
      <c r="K6" s="921"/>
      <c r="L6" s="921"/>
      <c r="M6" s="921"/>
      <c r="N6" s="1854" t="s">
        <v>2325</v>
      </c>
      <c r="O6" s="1910">
        <f>'Д 9_ЕЕ'!D168*1000</f>
        <v>0</v>
      </c>
      <c r="P6" s="1907" t="s">
        <v>2542</v>
      </c>
      <c r="Q6" s="1842">
        <f>75000/1.2</f>
        <v>62500</v>
      </c>
    </row>
    <row r="7" spans="2:17" ht="31.5" x14ac:dyDescent="0.25">
      <c r="B7" s="842"/>
      <c r="C7" s="921"/>
      <c r="D7" s="842" t="s">
        <v>2445</v>
      </c>
      <c r="E7" s="921"/>
      <c r="F7" s="1812"/>
      <c r="G7" s="1812">
        <f>7112.54/1.2</f>
        <v>5927.12</v>
      </c>
      <c r="H7" s="921"/>
      <c r="I7" s="921"/>
      <c r="J7" s="921"/>
      <c r="K7" s="921"/>
      <c r="L7" s="921"/>
      <c r="M7" s="921"/>
      <c r="N7" s="842" t="s">
        <v>2445</v>
      </c>
      <c r="O7" s="1812">
        <f>168100-O20</f>
        <v>148942.76999999999</v>
      </c>
      <c r="P7" s="921"/>
      <c r="Q7" s="921"/>
    </row>
    <row r="8" spans="2:17" hidden="1" x14ac:dyDescent="0.25">
      <c r="B8" s="842"/>
      <c r="C8" s="921"/>
      <c r="D8" s="842"/>
      <c r="E8" s="921"/>
      <c r="F8" s="921"/>
      <c r="G8" s="921"/>
      <c r="H8" s="921"/>
      <c r="I8" s="921"/>
      <c r="J8" s="921"/>
      <c r="K8" s="921"/>
      <c r="L8" s="921"/>
      <c r="M8" s="921"/>
      <c r="N8" s="921"/>
      <c r="O8" s="921"/>
      <c r="P8" s="921"/>
      <c r="Q8" s="921"/>
    </row>
    <row r="9" spans="2:17" hidden="1" x14ac:dyDescent="0.25">
      <c r="B9" s="842"/>
      <c r="C9" s="921"/>
      <c r="D9" s="842"/>
      <c r="E9" s="921"/>
      <c r="F9" s="921"/>
      <c r="G9" s="921"/>
      <c r="H9" s="921"/>
      <c r="I9" s="921"/>
      <c r="J9" s="921"/>
      <c r="K9" s="921"/>
      <c r="L9" s="921"/>
      <c r="M9" s="921"/>
      <c r="N9" s="921"/>
      <c r="O9" s="921"/>
      <c r="P9" s="921"/>
      <c r="Q9" s="921"/>
    </row>
    <row r="10" spans="2:17" hidden="1" x14ac:dyDescent="0.25">
      <c r="B10" s="842"/>
      <c r="C10" s="921"/>
      <c r="D10" s="842"/>
      <c r="E10" s="921"/>
      <c r="F10" s="921"/>
      <c r="G10" s="921"/>
      <c r="H10" s="921"/>
      <c r="I10" s="921"/>
      <c r="J10" s="921"/>
      <c r="K10" s="921"/>
      <c r="L10" s="921"/>
      <c r="M10" s="921"/>
      <c r="N10" s="921"/>
      <c r="O10" s="921"/>
      <c r="P10" s="921"/>
      <c r="Q10" s="921"/>
    </row>
    <row r="11" spans="2:17" hidden="1" x14ac:dyDescent="0.25">
      <c r="B11" s="842"/>
      <c r="C11" s="921"/>
      <c r="D11" s="842"/>
      <c r="E11" s="921"/>
      <c r="F11" s="921"/>
      <c r="G11" s="921"/>
      <c r="H11" s="921"/>
      <c r="I11" s="921"/>
      <c r="J11" s="921"/>
      <c r="K11" s="921"/>
      <c r="L11" s="921"/>
      <c r="M11" s="921"/>
      <c r="N11" s="921"/>
      <c r="O11" s="921"/>
      <c r="P11" s="921"/>
      <c r="Q11" s="921"/>
    </row>
    <row r="12" spans="2:17" hidden="1" x14ac:dyDescent="0.25">
      <c r="B12" s="842"/>
      <c r="C12" s="921"/>
      <c r="D12" s="842"/>
      <c r="E12" s="1812"/>
      <c r="F12" s="1812"/>
      <c r="G12" s="1812"/>
      <c r="H12" s="921"/>
      <c r="I12" s="921"/>
      <c r="J12" s="921"/>
      <c r="K12" s="921"/>
      <c r="L12" s="921"/>
      <c r="M12" s="921"/>
      <c r="N12" s="921"/>
      <c r="O12" s="921"/>
      <c r="P12" s="921"/>
      <c r="Q12" s="921"/>
    </row>
    <row r="13" spans="2:17" s="57" customFormat="1" ht="33.6" customHeight="1" x14ac:dyDescent="0.25">
      <c r="B13" s="1850" t="s">
        <v>2453</v>
      </c>
      <c r="C13" s="1290"/>
      <c r="D13" s="1850"/>
      <c r="E13" s="1290"/>
      <c r="F13" s="1290"/>
      <c r="G13" s="1290"/>
      <c r="H13" s="1290"/>
      <c r="I13" s="1290"/>
      <c r="J13" s="1290"/>
      <c r="K13" s="1290"/>
      <c r="L13" s="1290"/>
      <c r="M13" s="1290"/>
      <c r="N13" s="1290"/>
      <c r="O13" s="1290"/>
      <c r="P13" s="1290"/>
      <c r="Q13" s="1290"/>
    </row>
    <row r="14" spans="2:17" ht="63" x14ac:dyDescent="0.25">
      <c r="B14" s="842" t="s">
        <v>2447</v>
      </c>
      <c r="C14" s="921">
        <v>502824</v>
      </c>
      <c r="D14" s="842" t="s">
        <v>2448</v>
      </c>
      <c r="E14" s="921"/>
      <c r="F14" s="921">
        <v>297314</v>
      </c>
      <c r="G14" s="921"/>
      <c r="H14" s="921"/>
      <c r="I14" s="921"/>
      <c r="J14" s="921"/>
      <c r="K14" s="921"/>
      <c r="L14" s="921"/>
      <c r="M14" s="921"/>
      <c r="N14" s="921"/>
      <c r="O14" s="921"/>
      <c r="P14" s="921"/>
      <c r="Q14" s="921"/>
    </row>
    <row r="15" spans="2:17" ht="94.5" x14ac:dyDescent="0.25">
      <c r="B15" s="1907" t="s">
        <v>2540</v>
      </c>
      <c r="C15" s="1842">
        <f>285000/1.2</f>
        <v>237500</v>
      </c>
      <c r="D15" s="842" t="s">
        <v>2449</v>
      </c>
      <c r="E15" s="921">
        <v>306215</v>
      </c>
      <c r="F15" s="921"/>
      <c r="G15" s="921"/>
      <c r="H15" s="921"/>
      <c r="I15" s="921"/>
      <c r="J15" s="921"/>
      <c r="K15" s="921"/>
      <c r="L15" s="921"/>
      <c r="M15" s="921"/>
      <c r="N15" s="921"/>
      <c r="O15" s="921"/>
      <c r="P15" s="921"/>
      <c r="Q15" s="921"/>
    </row>
    <row r="16" spans="2:17" ht="31.5" x14ac:dyDescent="0.25">
      <c r="B16" s="1907" t="s">
        <v>2541</v>
      </c>
      <c r="C16" s="1908">
        <f>100000/1.2</f>
        <v>83333.33</v>
      </c>
      <c r="D16" s="842" t="s">
        <v>2450</v>
      </c>
      <c r="E16" s="921">
        <v>240032</v>
      </c>
      <c r="F16" s="921"/>
      <c r="G16" s="921"/>
      <c r="H16" s="921"/>
      <c r="I16" s="921"/>
      <c r="J16" s="921"/>
      <c r="K16" s="921"/>
      <c r="L16" s="921"/>
      <c r="M16" s="921"/>
      <c r="N16" s="921"/>
      <c r="O16" s="921"/>
      <c r="P16" s="921"/>
      <c r="Q16" s="921"/>
    </row>
    <row r="17" spans="2:17" ht="31.5" x14ac:dyDescent="0.25">
      <c r="B17" s="842"/>
      <c r="C17" s="921"/>
      <c r="D17" s="842" t="s">
        <v>2451</v>
      </c>
      <c r="E17" s="921">
        <v>77026</v>
      </c>
      <c r="F17" s="921"/>
      <c r="G17" s="921"/>
      <c r="H17" s="921"/>
      <c r="I17" s="921"/>
      <c r="J17" s="921"/>
      <c r="K17" s="921"/>
      <c r="L17" s="921"/>
      <c r="M17" s="921"/>
      <c r="N17" s="921"/>
      <c r="O17" s="921"/>
      <c r="P17" s="921"/>
      <c r="Q17" s="921"/>
    </row>
    <row r="18" spans="2:17" ht="47.25" x14ac:dyDescent="0.25">
      <c r="B18" s="842"/>
      <c r="C18" s="921"/>
      <c r="D18" s="842" t="s">
        <v>2452</v>
      </c>
      <c r="E18" s="921">
        <v>181041</v>
      </c>
      <c r="F18" s="921"/>
      <c r="G18" s="921"/>
      <c r="H18" s="921"/>
      <c r="I18" s="921"/>
      <c r="J18" s="921"/>
      <c r="K18" s="921"/>
      <c r="L18" s="921"/>
      <c r="M18" s="921"/>
      <c r="N18" s="921"/>
      <c r="O18" s="921"/>
      <c r="P18" s="921"/>
      <c r="Q18" s="921"/>
    </row>
    <row r="19" spans="2:17" ht="47.25" x14ac:dyDescent="0.25">
      <c r="B19" s="842"/>
      <c r="C19" s="921"/>
      <c r="D19" s="842" t="s">
        <v>2421</v>
      </c>
      <c r="E19" s="921">
        <v>299000</v>
      </c>
      <c r="F19" s="921"/>
      <c r="G19" s="921"/>
      <c r="H19" s="921"/>
      <c r="I19" s="921"/>
      <c r="J19" s="921"/>
      <c r="K19" s="921"/>
      <c r="L19" s="921"/>
      <c r="M19" s="921"/>
      <c r="N19" s="921"/>
      <c r="O19" s="921"/>
      <c r="P19" s="921"/>
      <c r="Q19" s="921"/>
    </row>
    <row r="20" spans="2:17" ht="53.45" customHeight="1" x14ac:dyDescent="0.25">
      <c r="B20" s="842"/>
      <c r="C20" s="921"/>
      <c r="D20" s="1907" t="s">
        <v>2538</v>
      </c>
      <c r="E20" s="1908"/>
      <c r="F20" s="1908">
        <f>128.6/169.5*139.2/1.2*1000</f>
        <v>88009.44</v>
      </c>
      <c r="G20" s="1908"/>
      <c r="H20" s="1842"/>
      <c r="I20" s="1842"/>
      <c r="J20" s="1842"/>
      <c r="K20" s="1842"/>
      <c r="L20" s="1842"/>
      <c r="M20" s="1842"/>
      <c r="N20" s="1909" t="s">
        <v>2539</v>
      </c>
      <c r="O20" s="1908">
        <f>128.6/169.5*30.3/1.2*1000</f>
        <v>19157.23</v>
      </c>
      <c r="P20" s="921"/>
      <c r="Q20" s="921"/>
    </row>
    <row r="21" spans="2:17" x14ac:dyDescent="0.25">
      <c r="B21" s="842"/>
      <c r="C21" s="921"/>
      <c r="D21" s="842"/>
      <c r="E21" s="921"/>
      <c r="F21" s="921"/>
      <c r="G21" s="921"/>
      <c r="H21" s="921"/>
      <c r="I21" s="921"/>
      <c r="J21" s="921"/>
      <c r="K21" s="921"/>
      <c r="L21" s="921"/>
      <c r="M21" s="921"/>
      <c r="N21" s="921"/>
      <c r="O21" s="921"/>
      <c r="P21" s="921"/>
      <c r="Q21" s="921"/>
    </row>
    <row r="22" spans="2:17" x14ac:dyDescent="0.25">
      <c r="B22" s="842"/>
      <c r="C22" s="921"/>
      <c r="D22" s="842"/>
      <c r="E22" s="921"/>
      <c r="F22" s="921"/>
      <c r="G22" s="921"/>
      <c r="H22" s="921"/>
      <c r="I22" s="921"/>
      <c r="J22" s="921"/>
      <c r="K22" s="921"/>
      <c r="L22" s="921"/>
      <c r="M22" s="921"/>
      <c r="N22" s="921"/>
      <c r="O22" s="921"/>
      <c r="P22" s="921"/>
      <c r="Q22" s="921"/>
    </row>
    <row r="23" spans="2:17" x14ac:dyDescent="0.25">
      <c r="B23" s="842"/>
      <c r="C23" s="921"/>
      <c r="D23" s="842"/>
      <c r="E23" s="921"/>
      <c r="F23" s="921"/>
      <c r="G23" s="921"/>
      <c r="H23" s="921"/>
      <c r="I23" s="921"/>
      <c r="J23" s="921"/>
      <c r="K23" s="921"/>
      <c r="L23" s="921"/>
      <c r="M23" s="921"/>
      <c r="N23" s="921"/>
      <c r="O23" s="921"/>
      <c r="P23" s="921"/>
      <c r="Q23" s="921"/>
    </row>
    <row r="24" spans="2:17" x14ac:dyDescent="0.25">
      <c r="B24" s="842"/>
      <c r="C24" s="921"/>
      <c r="D24" s="842"/>
      <c r="E24" s="921"/>
      <c r="F24" s="921"/>
      <c r="G24" s="921"/>
      <c r="H24" s="921"/>
      <c r="I24" s="921"/>
      <c r="J24" s="921"/>
      <c r="K24" s="921"/>
      <c r="L24" s="921"/>
      <c r="M24" s="921"/>
      <c r="N24" s="921"/>
      <c r="O24" s="921"/>
      <c r="P24" s="921"/>
      <c r="Q24" s="921"/>
    </row>
    <row r="25" spans="2:17" x14ac:dyDescent="0.25">
      <c r="B25" s="842"/>
      <c r="C25" s="921"/>
      <c r="D25" s="842"/>
      <c r="E25" s="921"/>
      <c r="F25" s="921"/>
      <c r="G25" s="921"/>
      <c r="H25" s="921"/>
      <c r="I25" s="921"/>
      <c r="J25" s="921"/>
      <c r="K25" s="921"/>
      <c r="L25" s="921"/>
      <c r="M25" s="921"/>
      <c r="N25" s="921"/>
      <c r="O25" s="921"/>
      <c r="P25" s="921"/>
      <c r="Q25" s="921"/>
    </row>
    <row r="26" spans="2:17" x14ac:dyDescent="0.25">
      <c r="B26" s="842"/>
      <c r="C26" s="921"/>
      <c r="D26" s="842"/>
      <c r="E26" s="921"/>
      <c r="F26" s="921"/>
      <c r="G26" s="921"/>
      <c r="H26" s="921"/>
      <c r="I26" s="921"/>
      <c r="J26" s="921"/>
      <c r="K26" s="921"/>
      <c r="L26" s="921"/>
      <c r="M26" s="921"/>
      <c r="N26" s="921"/>
      <c r="O26" s="921"/>
      <c r="P26" s="921"/>
      <c r="Q26" s="921"/>
    </row>
    <row r="27" spans="2:17" x14ac:dyDescent="0.25">
      <c r="B27" s="842"/>
      <c r="C27" s="921"/>
      <c r="D27" s="842"/>
      <c r="E27" s="921"/>
      <c r="F27" s="921"/>
      <c r="G27" s="921"/>
      <c r="H27" s="921"/>
      <c r="I27" s="921"/>
      <c r="J27" s="921"/>
      <c r="K27" s="921"/>
      <c r="L27" s="921"/>
      <c r="M27" s="921"/>
      <c r="N27" s="921"/>
      <c r="O27" s="921"/>
      <c r="P27" s="921"/>
      <c r="Q27" s="921"/>
    </row>
    <row r="28" spans="2:17" x14ac:dyDescent="0.25">
      <c r="B28" s="842"/>
      <c r="C28" s="921"/>
      <c r="D28" s="842"/>
      <c r="E28" s="921"/>
      <c r="F28" s="921"/>
      <c r="G28" s="921"/>
      <c r="H28" s="921"/>
      <c r="I28" s="921"/>
      <c r="J28" s="921"/>
      <c r="K28" s="921"/>
      <c r="L28" s="921"/>
      <c r="M28" s="921"/>
      <c r="N28" s="921"/>
      <c r="O28" s="921"/>
      <c r="P28" s="921"/>
      <c r="Q28" s="921"/>
    </row>
  </sheetData>
  <mergeCells count="9">
    <mergeCell ref="P3:Q3"/>
    <mergeCell ref="H2:J2"/>
    <mergeCell ref="B3:C3"/>
    <mergeCell ref="H3:I3"/>
    <mergeCell ref="J3:K3"/>
    <mergeCell ref="L3:M3"/>
    <mergeCell ref="N3:O3"/>
    <mergeCell ref="B2:E2"/>
    <mergeCell ref="D3:G3"/>
  </mergeCells>
  <pageMargins left="0.18" right="0.16" top="0.53" bottom="0.19" header="0.31496062992125984" footer="0.21"/>
  <pageSetup paperSize="9" scale="89" orientation="landscape"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2" tint="-0.499984740745262"/>
  </sheetPr>
  <dimension ref="B1:M60"/>
  <sheetViews>
    <sheetView topLeftCell="C13" workbookViewId="0">
      <selection activeCell="F28" sqref="C27:F28"/>
    </sheetView>
  </sheetViews>
  <sheetFormatPr defaultColWidth="8.85546875" defaultRowHeight="15.75" x14ac:dyDescent="0.25"/>
  <cols>
    <col min="1" max="1" width="4.28515625" style="542" customWidth="1"/>
    <col min="2" max="2" width="4.42578125" style="542" customWidth="1"/>
    <col min="3" max="3" width="39.28515625" style="542" customWidth="1"/>
    <col min="4" max="4" width="40.42578125" style="542" customWidth="1"/>
    <col min="5" max="5" width="11.42578125" style="542" customWidth="1"/>
    <col min="6" max="8" width="11.85546875" style="542" customWidth="1"/>
    <col min="9" max="9" width="3.28515625" style="542" customWidth="1"/>
    <col min="10" max="10" width="11" style="542" customWidth="1"/>
    <col min="11" max="11" width="11.140625" style="542" customWidth="1"/>
    <col min="12" max="12" width="13.7109375" style="542" customWidth="1"/>
    <col min="13" max="13" width="11.28515625" style="542" customWidth="1"/>
    <col min="14" max="16384" width="8.85546875" style="542"/>
  </cols>
  <sheetData>
    <row r="1" spans="2:13" x14ac:dyDescent="0.25">
      <c r="H1" s="542" t="s">
        <v>951</v>
      </c>
    </row>
    <row r="3" spans="2:13" x14ac:dyDescent="0.25">
      <c r="B3" s="4253" t="s">
        <v>1808</v>
      </c>
      <c r="C3" s="4253"/>
      <c r="D3" s="4253"/>
      <c r="E3" s="4253"/>
      <c r="F3" s="4490" t="str">
        <f>'Вхідні дані'!F5</f>
        <v>ЧФ ДП "АМПУ"</v>
      </c>
      <c r="G3" s="4490"/>
      <c r="H3" s="4490"/>
    </row>
    <row r="4" spans="2:13" x14ac:dyDescent="0.25">
      <c r="B4" s="764"/>
      <c r="C4" s="1032" t="s">
        <v>460</v>
      </c>
      <c r="D4" s="1033" t="str">
        <f>'Вхідні дані'!F6</f>
        <v>2022-2023</v>
      </c>
      <c r="E4" s="764" t="s">
        <v>647</v>
      </c>
      <c r="G4" s="764"/>
      <c r="H4" s="764"/>
    </row>
    <row r="5" spans="2:13" ht="16.5" thickBot="1" x14ac:dyDescent="0.3"/>
    <row r="6" spans="2:13" x14ac:dyDescent="0.25">
      <c r="B6" s="4491" t="s">
        <v>1009</v>
      </c>
      <c r="C6" s="4493" t="s">
        <v>1481</v>
      </c>
      <c r="D6" s="4493" t="s">
        <v>1482</v>
      </c>
      <c r="E6" s="4495" t="s">
        <v>2250</v>
      </c>
      <c r="F6" s="995" t="s">
        <v>959</v>
      </c>
      <c r="G6" s="765" t="s">
        <v>460</v>
      </c>
      <c r="H6" s="766" t="str">
        <f>'Вхідні дані'!F6</f>
        <v>2022-2023</v>
      </c>
      <c r="J6" s="4489" t="s">
        <v>2262</v>
      </c>
      <c r="K6" s="1420" t="s">
        <v>959</v>
      </c>
      <c r="L6" s="1420" t="s">
        <v>460</v>
      </c>
      <c r="M6" s="1420" t="s">
        <v>669</v>
      </c>
    </row>
    <row r="7" spans="2:13" ht="32.25" thickBot="1" x14ac:dyDescent="0.3">
      <c r="B7" s="4492"/>
      <c r="C7" s="4494"/>
      <c r="D7" s="4494"/>
      <c r="E7" s="4496"/>
      <c r="F7" s="996" t="s">
        <v>1076</v>
      </c>
      <c r="G7" s="776" t="s">
        <v>997</v>
      </c>
      <c r="H7" s="777" t="s">
        <v>998</v>
      </c>
      <c r="J7" s="4489"/>
      <c r="K7" s="1417" t="s">
        <v>1076</v>
      </c>
      <c r="L7" s="1417" t="s">
        <v>997</v>
      </c>
      <c r="M7" s="1418" t="s">
        <v>998</v>
      </c>
    </row>
    <row r="8" spans="2:13" x14ac:dyDescent="0.25">
      <c r="B8" s="772">
        <v>1</v>
      </c>
      <c r="C8" s="773" t="s">
        <v>2464</v>
      </c>
      <c r="D8" s="773" t="s">
        <v>1483</v>
      </c>
      <c r="E8" s="993">
        <v>2290</v>
      </c>
      <c r="F8" s="997"/>
      <c r="G8" s="774">
        <v>2190</v>
      </c>
      <c r="H8" s="775">
        <f t="shared" ref="H8:H32" si="0">SUM(F8:G8)</f>
        <v>2190</v>
      </c>
      <c r="J8" s="544">
        <v>7900</v>
      </c>
      <c r="K8" s="544"/>
      <c r="L8" s="544"/>
      <c r="M8" s="544">
        <v>0</v>
      </c>
    </row>
    <row r="9" spans="2:13" x14ac:dyDescent="0.25">
      <c r="B9" s="767">
        <f>B8+1</f>
        <v>2</v>
      </c>
      <c r="C9" s="773" t="s">
        <v>2464</v>
      </c>
      <c r="D9" s="567" t="s">
        <v>1484</v>
      </c>
      <c r="E9" s="994">
        <v>45000</v>
      </c>
      <c r="F9" s="998"/>
      <c r="G9" s="568">
        <f>850</f>
        <v>850</v>
      </c>
      <c r="H9" s="775">
        <f t="shared" si="0"/>
        <v>850</v>
      </c>
      <c r="J9" s="544">
        <v>4500</v>
      </c>
      <c r="K9" s="544"/>
      <c r="L9" s="544">
        <v>1575</v>
      </c>
      <c r="M9" s="544">
        <v>1575</v>
      </c>
    </row>
    <row r="10" spans="2:13" ht="31.5" x14ac:dyDescent="0.25">
      <c r="B10" s="767">
        <f>B9+1</f>
        <v>3</v>
      </c>
      <c r="C10" s="569" t="s">
        <v>1485</v>
      </c>
      <c r="D10" s="569" t="s">
        <v>1486</v>
      </c>
      <c r="E10" s="994"/>
      <c r="F10" s="998"/>
      <c r="G10" s="568">
        <f>4000/1.2</f>
        <v>3333.33</v>
      </c>
      <c r="H10" s="775">
        <f t="shared" si="0"/>
        <v>3333.33</v>
      </c>
      <c r="J10" s="544">
        <v>3333.33</v>
      </c>
      <c r="K10" s="544"/>
      <c r="L10" s="544"/>
      <c r="M10" s="544">
        <v>0</v>
      </c>
    </row>
    <row r="11" spans="2:13" x14ac:dyDescent="0.25">
      <c r="B11" s="767">
        <f t="shared" ref="B11:B30" si="1">B10+1</f>
        <v>4</v>
      </c>
      <c r="C11" s="567" t="s">
        <v>1487</v>
      </c>
      <c r="D11" s="569" t="s">
        <v>1488</v>
      </c>
      <c r="E11" s="994">
        <v>81950</v>
      </c>
      <c r="F11" s="998"/>
      <c r="G11" s="568">
        <v>79900</v>
      </c>
      <c r="H11" s="775">
        <f t="shared" si="0"/>
        <v>79900</v>
      </c>
      <c r="I11" s="542" t="s">
        <v>1875</v>
      </c>
      <c r="J11" s="544">
        <v>107265</v>
      </c>
      <c r="K11" s="544"/>
      <c r="L11" s="544">
        <v>81950</v>
      </c>
      <c r="M11" s="544">
        <v>81950</v>
      </c>
    </row>
    <row r="12" spans="2:13" x14ac:dyDescent="0.25">
      <c r="B12" s="767"/>
      <c r="C12" s="1423" t="s">
        <v>2264</v>
      </c>
      <c r="D12" s="1423" t="s">
        <v>2263</v>
      </c>
      <c r="E12" s="994">
        <f>4590</f>
        <v>4590</v>
      </c>
      <c r="F12" s="998"/>
      <c r="G12" s="568"/>
      <c r="H12" s="775">
        <f t="shared" si="0"/>
        <v>0</v>
      </c>
      <c r="J12" s="544"/>
      <c r="K12" s="544"/>
      <c r="L12" s="544"/>
      <c r="M12" s="544"/>
    </row>
    <row r="13" spans="2:13" ht="18.75" customHeight="1" x14ac:dyDescent="0.25">
      <c r="B13" s="767">
        <f>B11+1</f>
        <v>5</v>
      </c>
      <c r="C13" s="569" t="s">
        <v>1489</v>
      </c>
      <c r="D13" s="1421" t="s">
        <v>2503</v>
      </c>
      <c r="E13" s="994">
        <v>5200</v>
      </c>
      <c r="F13" s="568">
        <f>4500/3*1</f>
        <v>1500</v>
      </c>
      <c r="G13" s="568">
        <f>4500/3*2</f>
        <v>3000</v>
      </c>
      <c r="H13" s="775">
        <f t="shared" si="0"/>
        <v>4500</v>
      </c>
      <c r="J13" s="544">
        <v>1200</v>
      </c>
      <c r="K13" s="544">
        <v>1300</v>
      </c>
      <c r="L13" s="544">
        <v>3900</v>
      </c>
      <c r="M13" s="544">
        <v>5200</v>
      </c>
    </row>
    <row r="14" spans="2:13" x14ac:dyDescent="0.25">
      <c r="B14" s="767">
        <f t="shared" si="1"/>
        <v>6</v>
      </c>
      <c r="C14" s="567" t="s">
        <v>1490</v>
      </c>
      <c r="D14" s="567" t="s">
        <v>1491</v>
      </c>
      <c r="E14" s="994">
        <v>1840</v>
      </c>
      <c r="F14" s="998">
        <v>2120</v>
      </c>
      <c r="G14" s="768"/>
      <c r="H14" s="775">
        <f t="shared" si="0"/>
        <v>2120</v>
      </c>
      <c r="J14" s="544">
        <v>1680</v>
      </c>
      <c r="K14" s="544">
        <v>1840</v>
      </c>
      <c r="L14" s="544"/>
      <c r="M14" s="544">
        <v>1840</v>
      </c>
    </row>
    <row r="15" spans="2:13" x14ac:dyDescent="0.25">
      <c r="B15" s="767">
        <f t="shared" si="1"/>
        <v>7</v>
      </c>
      <c r="C15" s="569" t="s">
        <v>1492</v>
      </c>
      <c r="D15" s="567" t="s">
        <v>1491</v>
      </c>
      <c r="E15" s="994">
        <v>1760</v>
      </c>
      <c r="F15" s="998">
        <f t="shared" ref="F15:F16" si="2">E15</f>
        <v>1760</v>
      </c>
      <c r="G15" s="568"/>
      <c r="H15" s="775">
        <f t="shared" si="0"/>
        <v>1760</v>
      </c>
      <c r="J15" s="544">
        <v>1470</v>
      </c>
      <c r="K15" s="544">
        <v>1470</v>
      </c>
      <c r="L15" s="544"/>
      <c r="M15" s="544">
        <v>1470</v>
      </c>
    </row>
    <row r="16" spans="2:13" x14ac:dyDescent="0.25">
      <c r="B16" s="767">
        <f t="shared" si="1"/>
        <v>8</v>
      </c>
      <c r="C16" s="569" t="s">
        <v>1493</v>
      </c>
      <c r="D16" s="567" t="s">
        <v>1491</v>
      </c>
      <c r="E16" s="994">
        <v>3532</v>
      </c>
      <c r="F16" s="998">
        <f t="shared" si="2"/>
        <v>3532</v>
      </c>
      <c r="G16" s="568"/>
      <c r="H16" s="775">
        <f t="shared" si="0"/>
        <v>3532</v>
      </c>
      <c r="J16" s="544">
        <v>2825</v>
      </c>
      <c r="K16" s="544">
        <v>2825</v>
      </c>
      <c r="L16" s="544"/>
      <c r="M16" s="544">
        <v>2825</v>
      </c>
    </row>
    <row r="17" spans="2:13" x14ac:dyDescent="0.25">
      <c r="B17" s="767">
        <f t="shared" si="1"/>
        <v>9</v>
      </c>
      <c r="C17" s="567" t="s">
        <v>2427</v>
      </c>
      <c r="D17" s="569" t="s">
        <v>1488</v>
      </c>
      <c r="E17" s="994">
        <v>61000</v>
      </c>
      <c r="F17" s="998"/>
      <c r="G17" s="568"/>
      <c r="H17" s="775">
        <f t="shared" si="0"/>
        <v>0</v>
      </c>
      <c r="J17" s="544"/>
      <c r="K17" s="544"/>
      <c r="L17" s="544">
        <v>61000</v>
      </c>
      <c r="M17" s="544">
        <v>61000</v>
      </c>
    </row>
    <row r="18" spans="2:13" x14ac:dyDescent="0.25">
      <c r="B18" s="767">
        <f>B17+1</f>
        <v>10</v>
      </c>
      <c r="C18" s="567" t="s">
        <v>2428</v>
      </c>
      <c r="D18" s="567" t="s">
        <v>2429</v>
      </c>
      <c r="E18" s="994">
        <v>0</v>
      </c>
      <c r="F18" s="998"/>
      <c r="G18" s="568">
        <f>2800</f>
        <v>2800</v>
      </c>
      <c r="H18" s="775">
        <f t="shared" si="0"/>
        <v>2800</v>
      </c>
      <c r="J18" s="544"/>
      <c r="K18" s="544"/>
      <c r="L18" s="544">
        <v>45000</v>
      </c>
      <c r="M18" s="544">
        <v>45000</v>
      </c>
    </row>
    <row r="19" spans="2:13" x14ac:dyDescent="0.25">
      <c r="B19" s="767">
        <f t="shared" si="1"/>
        <v>11</v>
      </c>
      <c r="C19" s="567" t="s">
        <v>1494</v>
      </c>
      <c r="D19" s="567" t="s">
        <v>1484</v>
      </c>
      <c r="E19" s="994">
        <f>350+175</f>
        <v>525</v>
      </c>
      <c r="F19" s="998"/>
      <c r="G19" s="568"/>
      <c r="H19" s="775">
        <f t="shared" si="0"/>
        <v>0</v>
      </c>
      <c r="J19" s="544">
        <v>4500</v>
      </c>
      <c r="K19" s="544"/>
      <c r="L19" s="544"/>
      <c r="M19" s="544">
        <v>0</v>
      </c>
    </row>
    <row r="20" spans="2:13" ht="18.600000000000001" customHeight="1" x14ac:dyDescent="0.25">
      <c r="B20" s="767">
        <f t="shared" si="1"/>
        <v>12</v>
      </c>
      <c r="C20" s="569" t="s">
        <v>2533</v>
      </c>
      <c r="D20" s="567" t="s">
        <v>1495</v>
      </c>
      <c r="E20" s="1422">
        <v>112100</v>
      </c>
      <c r="F20" s="998"/>
      <c r="G20" s="568">
        <f>70000-G21-G25</f>
        <v>55900</v>
      </c>
      <c r="H20" s="775">
        <f t="shared" si="0"/>
        <v>55900</v>
      </c>
      <c r="J20" s="544">
        <v>33300</v>
      </c>
      <c r="K20" s="544"/>
      <c r="L20" s="544">
        <v>48000</v>
      </c>
      <c r="M20" s="544">
        <v>48000</v>
      </c>
    </row>
    <row r="21" spans="2:13" ht="18.600000000000001" customHeight="1" x14ac:dyDescent="0.25">
      <c r="B21" s="767"/>
      <c r="C21" s="569" t="s">
        <v>2269</v>
      </c>
      <c r="D21" s="1430" t="s">
        <v>2270</v>
      </c>
      <c r="E21" s="1424">
        <v>5400</v>
      </c>
      <c r="F21" s="998"/>
      <c r="G21" s="568">
        <f>E21</f>
        <v>5400</v>
      </c>
      <c r="H21" s="775">
        <f t="shared" si="0"/>
        <v>5400</v>
      </c>
      <c r="J21" s="544"/>
      <c r="K21" s="544"/>
      <c r="L21" s="544"/>
      <c r="M21" s="544"/>
    </row>
    <row r="22" spans="2:13" s="1428" customFormat="1" ht="32.450000000000003" customHeight="1" x14ac:dyDescent="0.25">
      <c r="B22" s="767"/>
      <c r="C22" s="1425" t="s">
        <v>2266</v>
      </c>
      <c r="D22" s="1426" t="s">
        <v>2265</v>
      </c>
      <c r="E22" s="1427">
        <v>117</v>
      </c>
      <c r="F22" s="998"/>
      <c r="G22" s="568"/>
      <c r="H22" s="775">
        <f t="shared" si="0"/>
        <v>0</v>
      </c>
      <c r="J22" s="1429"/>
      <c r="K22" s="1429"/>
      <c r="L22" s="1429"/>
      <c r="M22" s="1429"/>
    </row>
    <row r="23" spans="2:13" s="1428" customFormat="1" ht="16.899999999999999" customHeight="1" x14ac:dyDescent="0.25">
      <c r="B23" s="767"/>
      <c r="C23" s="1425" t="s">
        <v>2271</v>
      </c>
      <c r="D23" s="1426" t="s">
        <v>2272</v>
      </c>
      <c r="E23" s="1427">
        <v>3420</v>
      </c>
      <c r="F23" s="998"/>
      <c r="G23" s="568"/>
      <c r="H23" s="775">
        <f t="shared" si="0"/>
        <v>0</v>
      </c>
      <c r="J23" s="1429"/>
      <c r="K23" s="1429"/>
      <c r="L23" s="1429"/>
      <c r="M23" s="1429"/>
    </row>
    <row r="24" spans="2:13" s="1428" customFormat="1" ht="33" customHeight="1" x14ac:dyDescent="0.25">
      <c r="B24" s="767"/>
      <c r="C24" s="1425" t="s">
        <v>2268</v>
      </c>
      <c r="D24" s="1426" t="s">
        <v>2267</v>
      </c>
      <c r="E24" s="1427">
        <v>1380</v>
      </c>
      <c r="F24" s="998"/>
      <c r="G24" s="568"/>
      <c r="H24" s="775">
        <f t="shared" si="0"/>
        <v>0</v>
      </c>
      <c r="J24" s="1429"/>
      <c r="K24" s="1429"/>
      <c r="L24" s="1429"/>
      <c r="M24" s="1429"/>
    </row>
    <row r="25" spans="2:13" ht="31.5" x14ac:dyDescent="0.25">
      <c r="B25" s="767">
        <f>B20+1</f>
        <v>13</v>
      </c>
      <c r="C25" s="569" t="s">
        <v>1809</v>
      </c>
      <c r="D25" s="567" t="s">
        <v>1496</v>
      </c>
      <c r="E25" s="994"/>
      <c r="F25" s="998"/>
      <c r="G25" s="568">
        <v>8700</v>
      </c>
      <c r="H25" s="775">
        <f t="shared" si="0"/>
        <v>8700</v>
      </c>
      <c r="J25" s="544">
        <v>7062</v>
      </c>
      <c r="K25" s="544"/>
      <c r="L25" s="544">
        <v>7062</v>
      </c>
      <c r="M25" s="544">
        <v>7062</v>
      </c>
    </row>
    <row r="26" spans="2:13" x14ac:dyDescent="0.25">
      <c r="B26" s="767"/>
      <c r="C26" s="569" t="s">
        <v>2273</v>
      </c>
      <c r="D26" s="567" t="s">
        <v>2274</v>
      </c>
      <c r="E26" s="994">
        <v>1005</v>
      </c>
      <c r="F26" s="998"/>
      <c r="G26" s="568"/>
      <c r="H26" s="775">
        <f t="shared" si="0"/>
        <v>0</v>
      </c>
      <c r="J26" s="544"/>
      <c r="K26" s="544"/>
      <c r="L26" s="544"/>
      <c r="M26" s="544"/>
    </row>
    <row r="27" spans="2:13" x14ac:dyDescent="0.25">
      <c r="B27" s="767">
        <f>B25+1</f>
        <v>14</v>
      </c>
      <c r="C27" s="2039" t="s">
        <v>1497</v>
      </c>
      <c r="D27" s="2040" t="s">
        <v>1498</v>
      </c>
      <c r="E27" s="2041">
        <v>22320</v>
      </c>
      <c r="F27" s="2042"/>
      <c r="G27" s="568">
        <f>E27</f>
        <v>22320</v>
      </c>
      <c r="H27" s="775">
        <f t="shared" si="0"/>
        <v>22320</v>
      </c>
      <c r="J27" s="544">
        <v>19790</v>
      </c>
      <c r="K27" s="544"/>
      <c r="L27" s="544">
        <v>22320</v>
      </c>
      <c r="M27" s="544">
        <v>22320</v>
      </c>
    </row>
    <row r="28" spans="2:13" x14ac:dyDescent="0.25">
      <c r="B28" s="767">
        <f t="shared" si="1"/>
        <v>15</v>
      </c>
      <c r="C28" s="1786" t="s">
        <v>2416</v>
      </c>
      <c r="D28" s="1786" t="s">
        <v>2416</v>
      </c>
      <c r="E28" s="2041"/>
      <c r="F28" s="1865">
        <v>2564</v>
      </c>
      <c r="G28" s="568"/>
      <c r="H28" s="775">
        <f t="shared" si="0"/>
        <v>2564</v>
      </c>
      <c r="I28" s="542" t="s">
        <v>2424</v>
      </c>
      <c r="J28" s="544">
        <v>615.02</v>
      </c>
      <c r="K28" s="544"/>
      <c r="L28" s="544"/>
      <c r="M28" s="544">
        <v>0</v>
      </c>
    </row>
    <row r="29" spans="2:13" x14ac:dyDescent="0.25">
      <c r="B29" s="767">
        <f t="shared" si="1"/>
        <v>16</v>
      </c>
      <c r="C29" s="569" t="s">
        <v>1499</v>
      </c>
      <c r="D29" s="569" t="s">
        <v>1500</v>
      </c>
      <c r="E29" s="994"/>
      <c r="F29" s="998"/>
      <c r="G29" s="568"/>
      <c r="H29" s="775">
        <f t="shared" si="0"/>
        <v>0</v>
      </c>
      <c r="J29" s="544">
        <v>2488</v>
      </c>
      <c r="K29" s="544"/>
      <c r="L29" s="544">
        <v>2488</v>
      </c>
      <c r="M29" s="544">
        <v>2488</v>
      </c>
    </row>
    <row r="30" spans="2:13" x14ac:dyDescent="0.25">
      <c r="B30" s="767">
        <f t="shared" si="1"/>
        <v>17</v>
      </c>
      <c r="C30" s="569" t="s">
        <v>1501</v>
      </c>
      <c r="D30" s="569" t="s">
        <v>1502</v>
      </c>
      <c r="E30" s="994"/>
      <c r="F30" s="998"/>
      <c r="G30" s="568"/>
      <c r="H30" s="775">
        <f t="shared" si="0"/>
        <v>0</v>
      </c>
      <c r="J30" s="544">
        <v>13121.48</v>
      </c>
      <c r="K30" s="544">
        <v>10000</v>
      </c>
      <c r="L30" s="544"/>
      <c r="M30" s="544">
        <v>10000</v>
      </c>
    </row>
    <row r="31" spans="2:13" x14ac:dyDescent="0.25">
      <c r="B31" s="767"/>
      <c r="C31" s="569" t="s">
        <v>2595</v>
      </c>
      <c r="D31" s="569" t="s">
        <v>2596</v>
      </c>
      <c r="E31" s="994">
        <v>750</v>
      </c>
      <c r="F31" s="998"/>
      <c r="G31" s="568">
        <v>750</v>
      </c>
      <c r="H31" s="775">
        <f t="shared" si="0"/>
        <v>750</v>
      </c>
      <c r="J31" s="544"/>
      <c r="K31" s="544"/>
      <c r="L31" s="544"/>
      <c r="M31" s="544"/>
    </row>
    <row r="32" spans="2:13" x14ac:dyDescent="0.25">
      <c r="B32" s="767">
        <f>B30+1</f>
        <v>18</v>
      </c>
      <c r="C32" s="569" t="s">
        <v>1503</v>
      </c>
      <c r="D32" s="569" t="s">
        <v>1504</v>
      </c>
      <c r="E32" s="994"/>
      <c r="F32" s="998"/>
      <c r="G32" s="568"/>
      <c r="H32" s="775">
        <f t="shared" si="0"/>
        <v>0</v>
      </c>
      <c r="J32" s="544">
        <v>1234</v>
      </c>
      <c r="K32" s="544"/>
      <c r="L32" s="544"/>
      <c r="M32" s="544">
        <v>0</v>
      </c>
    </row>
    <row r="33" spans="2:13" ht="16.5" thickBot="1" x14ac:dyDescent="0.3">
      <c r="B33" s="769"/>
      <c r="C33" s="770" t="s">
        <v>1475</v>
      </c>
      <c r="D33" s="770"/>
      <c r="E33" s="771">
        <f>SUM(E8:E32)</f>
        <v>354179</v>
      </c>
      <c r="F33" s="771">
        <f>SUM(F8:F32)</f>
        <v>11476</v>
      </c>
      <c r="G33" s="771">
        <f>SUM(G8:G32)</f>
        <v>185143.33</v>
      </c>
      <c r="H33" s="771">
        <f>SUM(H8:H32)</f>
        <v>196619.33</v>
      </c>
      <c r="J33" s="1419">
        <v>212283.83</v>
      </c>
      <c r="K33" s="1419">
        <v>17435</v>
      </c>
      <c r="L33" s="1419">
        <v>273295</v>
      </c>
      <c r="M33" s="1419">
        <v>290730</v>
      </c>
    </row>
    <row r="60" spans="3:3" x14ac:dyDescent="0.25">
      <c r="C60" s="542">
        <v>4.68</v>
      </c>
    </row>
  </sheetData>
  <mergeCells count="7">
    <mergeCell ref="J6:J7"/>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2" tint="-0.499984740745262"/>
  </sheetPr>
  <dimension ref="A2:K67"/>
  <sheetViews>
    <sheetView topLeftCell="A49" workbookViewId="0">
      <selection activeCell="D67" sqref="D67"/>
    </sheetView>
  </sheetViews>
  <sheetFormatPr defaultColWidth="9.140625" defaultRowHeight="13.9" customHeight="1" x14ac:dyDescent="0.25"/>
  <cols>
    <col min="1" max="1" width="6.28515625" style="561" customWidth="1"/>
    <col min="2" max="2" width="26.140625" style="561" customWidth="1"/>
    <col min="3" max="3" width="19.7109375" style="561" customWidth="1"/>
    <col min="4" max="4" width="21.140625" style="561" customWidth="1"/>
    <col min="5" max="5" width="20.42578125" style="561" customWidth="1"/>
    <col min="6" max="6" width="21.85546875" style="561" customWidth="1"/>
    <col min="7" max="7" width="9.140625" style="561" customWidth="1"/>
    <col min="8" max="8" width="16" style="561" customWidth="1"/>
    <col min="9" max="16384" width="9.140625" style="561"/>
  </cols>
  <sheetData>
    <row r="2" spans="1:11" ht="14.25" customHeight="1" thickBot="1" x14ac:dyDescent="0.3">
      <c r="A2" s="4497"/>
      <c r="B2" s="4497"/>
      <c r="C2" s="4497"/>
      <c r="D2" s="4497"/>
      <c r="E2" s="4497"/>
      <c r="F2" s="4497"/>
      <c r="G2" s="4497"/>
      <c r="H2" s="4497"/>
    </row>
    <row r="3" spans="1:11" ht="13.9" customHeight="1" x14ac:dyDescent="0.25">
      <c r="A3" s="564" t="s">
        <v>1379</v>
      </c>
      <c r="B3" s="565" t="s">
        <v>1380</v>
      </c>
      <c r="C3" s="565" t="s">
        <v>1360</v>
      </c>
      <c r="D3" s="565" t="s">
        <v>1381</v>
      </c>
      <c r="E3" s="565" t="s">
        <v>1382</v>
      </c>
      <c r="F3" s="565" t="s">
        <v>1354</v>
      </c>
      <c r="G3" s="565" t="s">
        <v>1383</v>
      </c>
      <c r="H3" s="566" t="s">
        <v>1384</v>
      </c>
    </row>
    <row r="4" spans="1:11" ht="13.9" customHeight="1" x14ac:dyDescent="0.25">
      <c r="A4" s="718">
        <v>1</v>
      </c>
      <c r="B4" s="719" t="s">
        <v>603</v>
      </c>
      <c r="C4" s="720"/>
      <c r="D4" s="720"/>
      <c r="E4" s="720"/>
      <c r="F4" s="721"/>
      <c r="G4" s="719"/>
      <c r="H4" s="722">
        <v>192</v>
      </c>
    </row>
    <row r="5" spans="1:11" ht="13.9" customHeight="1" x14ac:dyDescent="0.25">
      <c r="A5" s="723">
        <v>2</v>
      </c>
      <c r="B5" s="724" t="s">
        <v>1385</v>
      </c>
      <c r="C5" s="725">
        <v>3403</v>
      </c>
      <c r="D5" s="726" t="s">
        <v>1386</v>
      </c>
      <c r="E5" s="725">
        <v>3399</v>
      </c>
      <c r="F5" s="727"/>
      <c r="G5" s="724">
        <v>93</v>
      </c>
      <c r="H5" s="728"/>
      <c r="J5" s="563" t="s">
        <v>1387</v>
      </c>
      <c r="K5" s="563"/>
    </row>
    <row r="6" spans="1:11" ht="13.9" customHeight="1" x14ac:dyDescent="0.25">
      <c r="A6" s="718">
        <v>3</v>
      </c>
      <c r="B6" s="719" t="s">
        <v>1388</v>
      </c>
      <c r="C6" s="720">
        <v>3125</v>
      </c>
      <c r="D6" s="720" t="s">
        <v>1389</v>
      </c>
      <c r="E6" s="720"/>
      <c r="F6" s="721" t="s">
        <v>1390</v>
      </c>
      <c r="G6" s="719"/>
      <c r="H6" s="722"/>
    </row>
    <row r="7" spans="1:11" ht="13.9" customHeight="1" x14ac:dyDescent="0.25">
      <c r="A7" s="723">
        <v>4</v>
      </c>
      <c r="B7" s="729" t="s">
        <v>1391</v>
      </c>
      <c r="C7" s="725" t="s">
        <v>1392</v>
      </c>
      <c r="D7" s="725" t="s">
        <v>1393</v>
      </c>
      <c r="E7" s="725" t="s">
        <v>1394</v>
      </c>
      <c r="F7" s="727"/>
      <c r="G7" s="724"/>
      <c r="H7" s="728"/>
      <c r="J7" s="562" t="s">
        <v>1387</v>
      </c>
      <c r="K7" s="750" t="s">
        <v>1375</v>
      </c>
    </row>
    <row r="8" spans="1:11" ht="13.9" customHeight="1" x14ac:dyDescent="0.25">
      <c r="A8" s="718">
        <v>5</v>
      </c>
      <c r="B8" s="719" t="s">
        <v>1395</v>
      </c>
      <c r="C8" s="720">
        <v>3366</v>
      </c>
      <c r="D8" s="720" t="s">
        <v>1396</v>
      </c>
      <c r="E8" s="720"/>
      <c r="F8" s="721" t="s">
        <v>1397</v>
      </c>
      <c r="G8" s="719"/>
      <c r="H8" s="722"/>
    </row>
    <row r="9" spans="1:11" ht="13.9" customHeight="1" x14ac:dyDescent="0.25">
      <c r="A9" s="723">
        <v>6</v>
      </c>
      <c r="B9" s="724" t="s">
        <v>1398</v>
      </c>
      <c r="C9" s="725">
        <v>3130</v>
      </c>
      <c r="D9" s="725" t="s">
        <v>1399</v>
      </c>
      <c r="E9" s="725"/>
      <c r="F9" s="727" t="s">
        <v>1400</v>
      </c>
      <c r="G9" s="724"/>
      <c r="H9" s="728"/>
    </row>
    <row r="10" spans="1:11" ht="13.9" customHeight="1" x14ac:dyDescent="0.25">
      <c r="A10" s="718">
        <v>7</v>
      </c>
      <c r="B10" s="719" t="s">
        <v>1401</v>
      </c>
      <c r="C10" s="720">
        <v>3431</v>
      </c>
      <c r="D10" s="720">
        <v>3007</v>
      </c>
      <c r="E10" s="720" t="s">
        <v>1402</v>
      </c>
      <c r="F10" s="721"/>
      <c r="G10" s="719"/>
      <c r="H10" s="722"/>
      <c r="J10" s="563" t="s">
        <v>1387</v>
      </c>
      <c r="K10" s="563"/>
    </row>
    <row r="11" spans="1:11" ht="13.9" customHeight="1" x14ac:dyDescent="0.25">
      <c r="A11" s="723">
        <v>8</v>
      </c>
      <c r="B11" s="724" t="s">
        <v>1403</v>
      </c>
      <c r="C11" s="725" t="s">
        <v>1404</v>
      </c>
      <c r="D11" s="725">
        <v>191</v>
      </c>
      <c r="E11" s="725"/>
      <c r="F11" s="727"/>
      <c r="G11" s="724"/>
      <c r="H11" s="728"/>
    </row>
    <row r="12" spans="1:11" ht="13.9" customHeight="1" x14ac:dyDescent="0.25">
      <c r="A12" s="718">
        <v>9</v>
      </c>
      <c r="B12" s="729" t="s">
        <v>1405</v>
      </c>
      <c r="C12" s="720">
        <v>200</v>
      </c>
      <c r="D12" s="720" t="s">
        <v>1406</v>
      </c>
      <c r="E12" s="720" t="s">
        <v>1407</v>
      </c>
      <c r="F12" s="721"/>
      <c r="G12" s="719"/>
      <c r="H12" s="722"/>
      <c r="J12" s="562" t="s">
        <v>1387</v>
      </c>
      <c r="K12" s="750" t="s">
        <v>1375</v>
      </c>
    </row>
    <row r="13" spans="1:11" ht="13.9" customHeight="1" x14ac:dyDescent="0.25">
      <c r="A13" s="723">
        <v>10</v>
      </c>
      <c r="B13" s="724" t="s">
        <v>1408</v>
      </c>
      <c r="C13" s="725">
        <v>207</v>
      </c>
      <c r="D13" s="725">
        <v>201</v>
      </c>
      <c r="E13" s="727" t="s">
        <v>1409</v>
      </c>
      <c r="F13" s="727" t="s">
        <v>1410</v>
      </c>
      <c r="G13" s="724"/>
      <c r="H13" s="728"/>
      <c r="J13" s="563" t="s">
        <v>1387</v>
      </c>
      <c r="K13" s="563"/>
    </row>
    <row r="14" spans="1:11" ht="13.9" customHeight="1" x14ac:dyDescent="0.25">
      <c r="A14" s="718">
        <v>11</v>
      </c>
      <c r="B14" s="729" t="s">
        <v>1411</v>
      </c>
      <c r="C14" s="720">
        <v>3074</v>
      </c>
      <c r="D14" s="720" t="s">
        <v>1412</v>
      </c>
      <c r="E14" s="720">
        <v>3352</v>
      </c>
      <c r="F14" s="721"/>
      <c r="G14" s="719"/>
      <c r="H14" s="722" t="s">
        <v>1413</v>
      </c>
      <c r="J14" s="562" t="s">
        <v>1387</v>
      </c>
      <c r="K14" s="562" t="s">
        <v>1375</v>
      </c>
    </row>
    <row r="15" spans="1:11" ht="13.9" customHeight="1" x14ac:dyDescent="0.25">
      <c r="A15" s="723">
        <v>12</v>
      </c>
      <c r="B15" s="724" t="s">
        <v>1414</v>
      </c>
      <c r="C15" s="725">
        <v>3442</v>
      </c>
      <c r="D15" s="725" t="s">
        <v>1415</v>
      </c>
      <c r="E15" s="725"/>
      <c r="F15" s="727"/>
      <c r="G15" s="724"/>
      <c r="H15" s="728"/>
    </row>
    <row r="16" spans="1:11" ht="13.9" customHeight="1" x14ac:dyDescent="0.25">
      <c r="A16" s="718">
        <v>13</v>
      </c>
      <c r="B16" s="729" t="s">
        <v>1416</v>
      </c>
      <c r="C16" s="720">
        <v>3176</v>
      </c>
      <c r="D16" s="720">
        <v>3171</v>
      </c>
      <c r="E16" s="720" t="s">
        <v>1417</v>
      </c>
      <c r="F16" s="721"/>
      <c r="G16" s="719"/>
      <c r="H16" s="722"/>
      <c r="J16" s="562" t="s">
        <v>1387</v>
      </c>
      <c r="K16" s="750" t="s">
        <v>1375</v>
      </c>
    </row>
    <row r="17" spans="1:11" ht="13.9" customHeight="1" x14ac:dyDescent="0.25">
      <c r="A17" s="723">
        <v>14</v>
      </c>
      <c r="B17" s="729" t="s">
        <v>1418</v>
      </c>
      <c r="C17" s="725">
        <v>215</v>
      </c>
      <c r="D17" s="725">
        <v>189</v>
      </c>
      <c r="E17" s="725" t="s">
        <v>1419</v>
      </c>
      <c r="F17" s="727"/>
      <c r="G17" s="724"/>
      <c r="H17" s="728"/>
      <c r="J17" s="562" t="s">
        <v>1387</v>
      </c>
      <c r="K17" s="562" t="s">
        <v>1375</v>
      </c>
    </row>
    <row r="18" spans="1:11" ht="13.9" customHeight="1" x14ac:dyDescent="0.25">
      <c r="A18" s="718">
        <v>15</v>
      </c>
      <c r="B18" s="719" t="s">
        <v>1420</v>
      </c>
      <c r="C18" s="720"/>
      <c r="D18" s="720" t="s">
        <v>1421</v>
      </c>
      <c r="E18" s="720" t="s">
        <v>1422</v>
      </c>
      <c r="F18" s="720" t="s">
        <v>1423</v>
      </c>
      <c r="G18" s="719"/>
      <c r="H18" s="722">
        <v>3400</v>
      </c>
      <c r="J18" s="563" t="s">
        <v>1387</v>
      </c>
      <c r="K18" s="563"/>
    </row>
    <row r="19" spans="1:11" ht="13.9" customHeight="1" x14ac:dyDescent="0.25">
      <c r="A19" s="723">
        <v>16</v>
      </c>
      <c r="B19" s="724" t="s">
        <v>1424</v>
      </c>
      <c r="C19" s="725">
        <v>3379</v>
      </c>
      <c r="D19" s="725" t="s">
        <v>1425</v>
      </c>
      <c r="E19" s="725"/>
      <c r="F19" s="727"/>
      <c r="G19" s="724"/>
      <c r="H19" s="728"/>
    </row>
    <row r="20" spans="1:11" ht="13.9" customHeight="1" x14ac:dyDescent="0.25">
      <c r="A20" s="718">
        <v>17</v>
      </c>
      <c r="B20" s="729" t="s">
        <v>1426</v>
      </c>
      <c r="C20" s="720">
        <v>3129</v>
      </c>
      <c r="D20" s="719"/>
      <c r="E20" s="719">
        <v>3144</v>
      </c>
      <c r="F20" s="719">
        <v>3131</v>
      </c>
      <c r="G20" s="719"/>
      <c r="H20" s="722"/>
      <c r="J20" s="562" t="s">
        <v>1387</v>
      </c>
      <c r="K20" s="750" t="s">
        <v>1375</v>
      </c>
    </row>
    <row r="21" spans="1:11" ht="13.9" customHeight="1" x14ac:dyDescent="0.25">
      <c r="A21" s="723">
        <v>18</v>
      </c>
      <c r="B21" s="729" t="s">
        <v>1427</v>
      </c>
      <c r="C21" s="725">
        <v>3065</v>
      </c>
      <c r="D21" s="725">
        <v>3067</v>
      </c>
      <c r="E21" s="725" t="s">
        <v>1428</v>
      </c>
      <c r="F21" s="727"/>
      <c r="G21" s="724"/>
      <c r="H21" s="728"/>
      <c r="J21" s="562" t="s">
        <v>1375</v>
      </c>
      <c r="K21" s="562" t="s">
        <v>1375</v>
      </c>
    </row>
    <row r="22" spans="1:11" ht="13.9" customHeight="1" x14ac:dyDescent="0.25">
      <c r="A22" s="718">
        <v>19</v>
      </c>
      <c r="B22" s="719" t="s">
        <v>1429</v>
      </c>
      <c r="C22" s="720">
        <v>3184</v>
      </c>
      <c r="D22" s="720">
        <v>3175</v>
      </c>
      <c r="E22" s="720"/>
      <c r="F22" s="721"/>
      <c r="G22" s="719"/>
      <c r="H22" s="722"/>
    </row>
    <row r="23" spans="1:11" ht="13.9" customHeight="1" x14ac:dyDescent="0.25">
      <c r="A23" s="723">
        <v>20</v>
      </c>
      <c r="B23" s="724" t="s">
        <v>1430</v>
      </c>
      <c r="C23" s="725">
        <v>3006</v>
      </c>
      <c r="D23" s="725">
        <v>206</v>
      </c>
      <c r="E23" s="725"/>
      <c r="F23" s="727"/>
      <c r="G23" s="724"/>
      <c r="H23" s="728"/>
    </row>
    <row r="24" spans="1:11" ht="13.9" customHeight="1" x14ac:dyDescent="0.25">
      <c r="A24" s="718">
        <v>21</v>
      </c>
      <c r="B24" s="719" t="s">
        <v>1431</v>
      </c>
      <c r="C24" s="720">
        <v>3017</v>
      </c>
      <c r="D24" s="720" t="s">
        <v>1432</v>
      </c>
      <c r="E24" s="720"/>
      <c r="F24" s="721"/>
      <c r="G24" s="719"/>
      <c r="H24" s="722"/>
    </row>
    <row r="25" spans="1:11" ht="13.9" customHeight="1" x14ac:dyDescent="0.25">
      <c r="A25" s="723">
        <v>22</v>
      </c>
      <c r="B25" s="729" t="s">
        <v>1433</v>
      </c>
      <c r="C25" s="725">
        <f>SUM(C26:C36)</f>
        <v>36142</v>
      </c>
      <c r="D25" s="725">
        <v>991</v>
      </c>
      <c r="E25" s="725">
        <v>3204</v>
      </c>
      <c r="F25" s="730"/>
      <c r="G25" s="724"/>
      <c r="H25" s="728"/>
      <c r="J25" s="562" t="s">
        <v>1375</v>
      </c>
      <c r="K25" s="750" t="s">
        <v>1375</v>
      </c>
    </row>
    <row r="26" spans="1:11" ht="13.9" customHeight="1" x14ac:dyDescent="0.25">
      <c r="A26" s="718">
        <v>23</v>
      </c>
      <c r="B26" s="719" t="s">
        <v>1434</v>
      </c>
      <c r="C26" s="720">
        <v>3356</v>
      </c>
      <c r="D26" s="720" t="s">
        <v>1435</v>
      </c>
      <c r="E26" s="720"/>
      <c r="F26" s="721" t="s">
        <v>1436</v>
      </c>
      <c r="G26" s="719"/>
      <c r="H26" s="722"/>
    </row>
    <row r="27" spans="1:11" ht="13.9" customHeight="1" x14ac:dyDescent="0.25">
      <c r="A27" s="723">
        <v>24</v>
      </c>
      <c r="B27" s="724" t="s">
        <v>1437</v>
      </c>
      <c r="C27" s="725">
        <v>3096</v>
      </c>
      <c r="D27" s="727" t="s">
        <v>1438</v>
      </c>
      <c r="E27" s="725"/>
      <c r="F27" s="727" t="s">
        <v>1439</v>
      </c>
      <c r="G27" s="724"/>
      <c r="H27" s="728"/>
    </row>
    <row r="28" spans="1:11" ht="13.9" customHeight="1" x14ac:dyDescent="0.25">
      <c r="A28" s="718">
        <v>25</v>
      </c>
      <c r="B28" s="719" t="s">
        <v>1440</v>
      </c>
      <c r="C28" s="720">
        <v>3109</v>
      </c>
      <c r="D28" s="720">
        <v>196</v>
      </c>
      <c r="E28" s="720"/>
      <c r="F28" s="721"/>
      <c r="G28" s="719"/>
      <c r="H28" s="722"/>
    </row>
    <row r="29" spans="1:11" ht="13.9" customHeight="1" x14ac:dyDescent="0.25">
      <c r="A29" s="723">
        <v>26</v>
      </c>
      <c r="B29" s="724" t="s">
        <v>1441</v>
      </c>
      <c r="C29" s="725">
        <v>3439</v>
      </c>
      <c r="D29" s="725" t="s">
        <v>1442</v>
      </c>
      <c r="E29" s="725" t="s">
        <v>1419</v>
      </c>
      <c r="F29" s="727"/>
      <c r="G29" s="724"/>
      <c r="H29" s="728"/>
      <c r="J29" s="561" t="s">
        <v>1443</v>
      </c>
    </row>
    <row r="30" spans="1:11" ht="13.9" customHeight="1" x14ac:dyDescent="0.25">
      <c r="A30" s="718">
        <v>27</v>
      </c>
      <c r="B30" s="719" t="s">
        <v>1444</v>
      </c>
      <c r="C30" s="720">
        <v>3418</v>
      </c>
      <c r="D30" s="720">
        <v>992</v>
      </c>
      <c r="E30" s="720"/>
      <c r="F30" s="721"/>
      <c r="G30" s="719"/>
      <c r="H30" s="722"/>
    </row>
    <row r="31" spans="1:11" ht="13.9" customHeight="1" x14ac:dyDescent="0.25">
      <c r="A31" s="723">
        <v>28</v>
      </c>
      <c r="B31" s="724" t="s">
        <v>1445</v>
      </c>
      <c r="C31" s="725">
        <v>3367</v>
      </c>
      <c r="D31" s="725" t="s">
        <v>1446</v>
      </c>
      <c r="E31" s="725"/>
      <c r="F31" s="727"/>
      <c r="G31" s="724"/>
      <c r="H31" s="728"/>
    </row>
    <row r="32" spans="1:11" ht="13.9" customHeight="1" x14ac:dyDescent="0.25">
      <c r="A32" s="718">
        <v>29</v>
      </c>
      <c r="B32" s="719" t="s">
        <v>1447</v>
      </c>
      <c r="C32" s="720">
        <v>3426</v>
      </c>
      <c r="D32" s="720" t="s">
        <v>1448</v>
      </c>
      <c r="E32" s="720">
        <v>3420</v>
      </c>
      <c r="F32" s="721"/>
      <c r="G32" s="719"/>
      <c r="H32" s="722"/>
      <c r="J32" s="561" t="s">
        <v>1374</v>
      </c>
    </row>
    <row r="33" spans="1:10" ht="13.9" customHeight="1" x14ac:dyDescent="0.25">
      <c r="A33" s="723">
        <v>30</v>
      </c>
      <c r="B33" s="724" t="s">
        <v>1449</v>
      </c>
      <c r="C33" s="725">
        <v>3425</v>
      </c>
      <c r="D33" s="725" t="s">
        <v>1450</v>
      </c>
      <c r="E33" s="725"/>
      <c r="F33" s="727"/>
      <c r="G33" s="724"/>
      <c r="H33" s="728"/>
    </row>
    <row r="34" spans="1:10" ht="13.9" customHeight="1" x14ac:dyDescent="0.25">
      <c r="A34" s="718">
        <v>31</v>
      </c>
      <c r="B34" s="719" t="s">
        <v>1451</v>
      </c>
      <c r="C34" s="720">
        <v>3016</v>
      </c>
      <c r="D34" s="720" t="s">
        <v>1452</v>
      </c>
      <c r="E34" s="720"/>
      <c r="F34" s="721"/>
      <c r="G34" s="719"/>
      <c r="H34" s="722"/>
    </row>
    <row r="35" spans="1:10" ht="13.9" customHeight="1" x14ac:dyDescent="0.25">
      <c r="A35" s="723">
        <v>32</v>
      </c>
      <c r="B35" s="724" t="s">
        <v>1453</v>
      </c>
      <c r="C35" s="725">
        <v>3380</v>
      </c>
      <c r="D35" s="725" t="s">
        <v>1454</v>
      </c>
      <c r="E35" s="727" t="s">
        <v>1455</v>
      </c>
      <c r="F35" s="727" t="s">
        <v>1456</v>
      </c>
      <c r="G35" s="724"/>
      <c r="H35" s="728"/>
      <c r="J35" s="561" t="s">
        <v>1373</v>
      </c>
    </row>
    <row r="36" spans="1:10" ht="13.9" customHeight="1" x14ac:dyDescent="0.25">
      <c r="A36" s="718">
        <v>33</v>
      </c>
      <c r="B36" s="719" t="s">
        <v>1457</v>
      </c>
      <c r="C36" s="720">
        <v>3110</v>
      </c>
      <c r="D36" s="720" t="s">
        <v>1458</v>
      </c>
      <c r="E36" s="720">
        <v>3419</v>
      </c>
      <c r="F36" s="721"/>
      <c r="G36" s="719"/>
      <c r="H36" s="722"/>
      <c r="J36" s="561" t="s">
        <v>1373</v>
      </c>
    </row>
    <row r="37" spans="1:10" ht="13.9" customHeight="1" x14ac:dyDescent="0.25">
      <c r="A37" s="723">
        <v>34</v>
      </c>
      <c r="B37" s="724" t="s">
        <v>1459</v>
      </c>
      <c r="C37" s="725">
        <v>3111</v>
      </c>
      <c r="D37" s="725">
        <v>984</v>
      </c>
      <c r="E37" s="725"/>
      <c r="F37" s="727"/>
      <c r="G37" s="724"/>
      <c r="H37" s="728"/>
    </row>
    <row r="38" spans="1:10" ht="13.9" customHeight="1" x14ac:dyDescent="0.25">
      <c r="A38" s="718">
        <v>35</v>
      </c>
      <c r="B38" s="719" t="s">
        <v>1460</v>
      </c>
      <c r="C38" s="720">
        <v>3257</v>
      </c>
      <c r="D38" s="720" t="s">
        <v>1461</v>
      </c>
      <c r="E38" s="720"/>
      <c r="F38" s="721"/>
      <c r="G38" s="719"/>
      <c r="H38" s="722"/>
    </row>
    <row r="39" spans="1:10" ht="13.9" customHeight="1" x14ac:dyDescent="0.25">
      <c r="A39" s="723">
        <v>36</v>
      </c>
      <c r="B39" s="724" t="s">
        <v>1462</v>
      </c>
      <c r="C39" s="725">
        <v>3064</v>
      </c>
      <c r="D39" s="725"/>
      <c r="E39" s="725"/>
      <c r="F39" s="727"/>
      <c r="G39" s="724"/>
      <c r="H39" s="728"/>
    </row>
    <row r="40" spans="1:10" ht="13.9" customHeight="1" x14ac:dyDescent="0.25">
      <c r="A40" s="718">
        <v>37</v>
      </c>
      <c r="B40" s="719" t="s">
        <v>1463</v>
      </c>
      <c r="C40" s="720" t="s">
        <v>1464</v>
      </c>
      <c r="D40" s="720">
        <v>208</v>
      </c>
      <c r="E40" s="720">
        <v>3126</v>
      </c>
      <c r="F40" s="721"/>
      <c r="G40" s="719"/>
      <c r="H40" s="722"/>
      <c r="J40" s="561" t="s">
        <v>1371</v>
      </c>
    </row>
    <row r="41" spans="1:10" ht="13.9" customHeight="1" x14ac:dyDescent="0.25">
      <c r="A41" s="723">
        <v>38</v>
      </c>
      <c r="B41" s="724" t="s">
        <v>1465</v>
      </c>
      <c r="C41" s="725">
        <v>213</v>
      </c>
      <c r="D41" s="725"/>
      <c r="E41" s="725"/>
      <c r="F41" s="727"/>
      <c r="G41" s="724"/>
      <c r="H41" s="728"/>
    </row>
    <row r="42" spans="1:10" ht="13.9" customHeight="1" x14ac:dyDescent="0.25">
      <c r="A42" s="718">
        <v>39</v>
      </c>
      <c r="B42" s="719" t="s">
        <v>1466</v>
      </c>
      <c r="C42" s="720">
        <v>185</v>
      </c>
      <c r="D42" s="720" t="s">
        <v>1467</v>
      </c>
      <c r="E42" s="720"/>
      <c r="F42" s="721"/>
      <c r="G42" s="719"/>
      <c r="H42" s="722"/>
    </row>
    <row r="43" spans="1:10" ht="13.9" customHeight="1" x14ac:dyDescent="0.25">
      <c r="A43" s="723">
        <v>40</v>
      </c>
      <c r="B43" s="724" t="s">
        <v>1468</v>
      </c>
      <c r="C43" s="725">
        <v>3099</v>
      </c>
      <c r="D43" s="725"/>
      <c r="E43" s="725" t="s">
        <v>1469</v>
      </c>
      <c r="F43" s="727"/>
      <c r="G43" s="724"/>
      <c r="H43" s="728"/>
      <c r="J43" s="561" t="s">
        <v>1372</v>
      </c>
    </row>
    <row r="44" spans="1:10" ht="13.9" customHeight="1" x14ac:dyDescent="0.25">
      <c r="A44" s="718">
        <v>41</v>
      </c>
      <c r="B44" s="719" t="s">
        <v>1470</v>
      </c>
      <c r="C44" s="720">
        <v>212</v>
      </c>
      <c r="D44" s="720"/>
      <c r="E44" s="720"/>
      <c r="F44" s="721"/>
      <c r="G44" s="719"/>
      <c r="H44" s="722"/>
    </row>
    <row r="45" spans="1:10" ht="13.9" customHeight="1" x14ac:dyDescent="0.25">
      <c r="A45" s="723">
        <v>42</v>
      </c>
      <c r="B45" s="724" t="s">
        <v>1471</v>
      </c>
      <c r="C45" s="719">
        <v>3018</v>
      </c>
      <c r="D45" s="724"/>
      <c r="E45" s="724"/>
      <c r="F45" s="724"/>
      <c r="G45" s="724"/>
      <c r="H45" s="728"/>
    </row>
    <row r="46" spans="1:10" ht="13.9" customHeight="1" x14ac:dyDescent="0.25">
      <c r="A46" s="718">
        <v>43</v>
      </c>
      <c r="B46" s="719" t="s">
        <v>1472</v>
      </c>
      <c r="C46" s="719">
        <v>3438</v>
      </c>
      <c r="D46" s="720" t="s">
        <v>1442</v>
      </c>
      <c r="E46" s="719"/>
      <c r="F46" s="719"/>
      <c r="G46" s="719"/>
      <c r="H46" s="722"/>
    </row>
    <row r="47" spans="1:10" ht="13.9" customHeight="1" thickBot="1" x14ac:dyDescent="0.3">
      <c r="A47" s="731"/>
      <c r="B47" s="732" t="s">
        <v>1475</v>
      </c>
      <c r="C47" s="732"/>
      <c r="D47" s="732"/>
      <c r="E47" s="733" t="s">
        <v>1473</v>
      </c>
      <c r="F47" s="732"/>
      <c r="G47" s="732"/>
      <c r="H47" s="734"/>
    </row>
    <row r="48" spans="1:10" ht="13.9" customHeight="1" x14ac:dyDescent="0.25">
      <c r="E48" s="735"/>
    </row>
    <row r="49" spans="2:8" ht="13.9" customHeight="1" x14ac:dyDescent="0.25">
      <c r="E49" s="735"/>
    </row>
    <row r="50" spans="2:8" ht="13.9" customHeight="1" x14ac:dyDescent="0.25">
      <c r="E50" s="999" t="s">
        <v>1079</v>
      </c>
    </row>
    <row r="51" spans="2:8" s="739" customFormat="1" ht="13.9" customHeight="1" x14ac:dyDescent="0.25">
      <c r="E51" s="999"/>
    </row>
    <row r="52" spans="2:8" ht="13.9" customHeight="1" x14ac:dyDescent="0.25">
      <c r="B52" s="4498" t="s">
        <v>1919</v>
      </c>
      <c r="C52" s="4498"/>
      <c r="D52" s="4498"/>
      <c r="E52" s="4498"/>
    </row>
    <row r="53" spans="2:8" s="739" customFormat="1" ht="13.9" customHeight="1" x14ac:dyDescent="0.25">
      <c r="B53" s="1034" t="str">
        <f>'Вхідні дані'!F5</f>
        <v>ЧФ ДП "АМПУ"</v>
      </c>
      <c r="C53" s="1035"/>
      <c r="D53" s="999" t="s">
        <v>460</v>
      </c>
      <c r="E53" s="1036" t="str">
        <f>'Вхідні дані'!F6</f>
        <v>2022-2023</v>
      </c>
      <c r="F53" s="739" t="s">
        <v>647</v>
      </c>
    </row>
    <row r="54" spans="2:8" ht="13.9" customHeight="1" thickBot="1" x14ac:dyDescent="0.3">
      <c r="E54" s="735"/>
    </row>
    <row r="55" spans="2:8" ht="44.25" thickBot="1" x14ac:dyDescent="0.3">
      <c r="B55" s="736" t="s">
        <v>1804</v>
      </c>
      <c r="C55" s="737" t="s">
        <v>1805</v>
      </c>
      <c r="D55" s="738" t="s">
        <v>1806</v>
      </c>
      <c r="E55" s="737" t="s">
        <v>1807</v>
      </c>
      <c r="F55" s="739"/>
      <c r="G55" s="739"/>
    </row>
    <row r="56" spans="2:8" ht="13.9" customHeight="1" x14ac:dyDescent="0.25">
      <c r="B56" s="740"/>
      <c r="C56" s="741"/>
      <c r="D56" s="741"/>
      <c r="E56" s="742"/>
      <c r="F56" s="739"/>
      <c r="G56" s="739"/>
    </row>
    <row r="57" spans="2:8" ht="15" x14ac:dyDescent="0.25">
      <c r="B57" s="743" t="s">
        <v>880</v>
      </c>
      <c r="C57" s="746">
        <v>2</v>
      </c>
      <c r="D57" s="744">
        <v>300</v>
      </c>
      <c r="E57" s="744">
        <f>C57*D57</f>
        <v>600</v>
      </c>
      <c r="F57" s="739"/>
      <c r="G57" s="739"/>
    </row>
    <row r="58" spans="2:8" ht="15" x14ac:dyDescent="0.25">
      <c r="B58" s="743" t="s">
        <v>954</v>
      </c>
      <c r="C58" s="746">
        <v>6</v>
      </c>
      <c r="D58" s="744">
        <v>300</v>
      </c>
      <c r="E58" s="744">
        <f t="shared" ref="E58:E63" si="0">C58*D58</f>
        <v>1800</v>
      </c>
      <c r="F58" s="739"/>
      <c r="G58" s="739"/>
    </row>
    <row r="59" spans="2:8" ht="15" x14ac:dyDescent="0.25">
      <c r="B59" s="743" t="s">
        <v>921</v>
      </c>
      <c r="C59" s="746">
        <v>22</v>
      </c>
      <c r="D59" s="744">
        <v>300</v>
      </c>
      <c r="E59" s="744">
        <f t="shared" si="0"/>
        <v>6600</v>
      </c>
      <c r="F59" s="739"/>
      <c r="G59" s="739"/>
    </row>
    <row r="60" spans="2:8" ht="15" x14ac:dyDescent="0.25">
      <c r="B60" s="743" t="s">
        <v>1803</v>
      </c>
      <c r="C60" s="746">
        <v>45</v>
      </c>
      <c r="D60" s="744">
        <v>300</v>
      </c>
      <c r="E60" s="744">
        <f t="shared" si="0"/>
        <v>13500</v>
      </c>
      <c r="F60" s="739"/>
      <c r="G60" s="739"/>
    </row>
    <row r="61" spans="2:8" ht="15" x14ac:dyDescent="0.25">
      <c r="B61" s="743" t="s">
        <v>1363</v>
      </c>
      <c r="C61" s="746">
        <v>6</v>
      </c>
      <c r="D61" s="744">
        <v>300</v>
      </c>
      <c r="E61" s="744">
        <f t="shared" si="0"/>
        <v>1800</v>
      </c>
      <c r="F61" s="739"/>
      <c r="G61" s="739"/>
    </row>
    <row r="62" spans="2:8" ht="15" x14ac:dyDescent="0.25">
      <c r="B62" s="743" t="s">
        <v>1506</v>
      </c>
      <c r="C62" s="746">
        <v>26</v>
      </c>
      <c r="D62" s="744">
        <v>300</v>
      </c>
      <c r="E62" s="744">
        <f t="shared" si="0"/>
        <v>7800</v>
      </c>
      <c r="F62" s="739"/>
      <c r="G62" s="739"/>
    </row>
    <row r="63" spans="2:8" ht="15.75" thickBot="1" x14ac:dyDescent="0.3">
      <c r="B63" s="745" t="s">
        <v>955</v>
      </c>
      <c r="C63" s="747">
        <v>6</v>
      </c>
      <c r="D63" s="2045">
        <v>300</v>
      </c>
      <c r="E63" s="2045">
        <f t="shared" si="0"/>
        <v>1800</v>
      </c>
      <c r="F63" s="739"/>
      <c r="G63" s="739"/>
    </row>
    <row r="64" spans="2:8" ht="15.75" thickBot="1" x14ac:dyDescent="0.3">
      <c r="B64" s="748" t="s">
        <v>1475</v>
      </c>
      <c r="C64" s="749">
        <f>SUM(C57:C63)</f>
        <v>113</v>
      </c>
      <c r="D64" s="2046"/>
      <c r="E64" s="2046">
        <f>SUM(E57:E63)</f>
        <v>33900</v>
      </c>
      <c r="G64" s="739"/>
      <c r="H64" s="739"/>
    </row>
    <row r="65" spans="2:7" ht="13.9" customHeight="1" x14ac:dyDescent="0.25">
      <c r="B65" s="739"/>
      <c r="C65" s="739"/>
      <c r="D65" s="739"/>
      <c r="E65" s="739"/>
      <c r="F65" s="739"/>
      <c r="G65" s="739"/>
    </row>
    <row r="66" spans="2:7" ht="13.9" customHeight="1" x14ac:dyDescent="0.25">
      <c r="B66" s="739"/>
      <c r="C66" s="739"/>
      <c r="D66" s="739"/>
      <c r="E66" s="739"/>
      <c r="F66" s="739"/>
      <c r="G66" s="739"/>
    </row>
    <row r="67" spans="2:7" s="542" customFormat="1" ht="13.9" customHeight="1" x14ac:dyDescent="0.25">
      <c r="B67" s="542" t="s">
        <v>928</v>
      </c>
      <c r="E67" s="542" t="s">
        <v>2245</v>
      </c>
    </row>
  </sheetData>
  <mergeCells count="2">
    <mergeCell ref="A2:H2"/>
    <mergeCell ref="B52:E52"/>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2:I30"/>
  <sheetViews>
    <sheetView zoomScaleNormal="100" workbookViewId="0">
      <selection activeCell="B23" sqref="B23"/>
    </sheetView>
  </sheetViews>
  <sheetFormatPr defaultRowHeight="15" x14ac:dyDescent="0.25"/>
  <cols>
    <col min="1" max="1" width="5.7109375" customWidth="1"/>
    <col min="2" max="2" width="16.7109375" customWidth="1"/>
    <col min="3" max="3" width="19.85546875" customWidth="1"/>
    <col min="4" max="4" width="16.28515625" customWidth="1"/>
    <col min="5" max="7" width="16.7109375" customWidth="1"/>
    <col min="9" max="9" width="9.140625" bestFit="1" customWidth="1"/>
  </cols>
  <sheetData>
    <row r="2" spans="1:9" x14ac:dyDescent="0.25">
      <c r="I2" s="1935"/>
    </row>
    <row r="3" spans="1:9" s="169" customFormat="1" ht="36" customHeight="1" x14ac:dyDescent="0.25">
      <c r="A3" s="4457" t="s">
        <v>3417</v>
      </c>
      <c r="B3" s="4457"/>
      <c r="C3" s="4457"/>
      <c r="D3" s="4457"/>
      <c r="E3" s="4457"/>
      <c r="F3" s="4457"/>
      <c r="G3" s="4457"/>
    </row>
    <row r="4" spans="1:9" ht="15.75" x14ac:dyDescent="0.25">
      <c r="A4" s="58"/>
      <c r="B4" s="58"/>
      <c r="C4" s="58"/>
      <c r="D4" s="58"/>
      <c r="E4" s="58"/>
      <c r="F4" s="58"/>
    </row>
    <row r="5" spans="1:9" ht="15.75" x14ac:dyDescent="0.25">
      <c r="A5" s="58" t="s">
        <v>3137</v>
      </c>
      <c r="B5" s="58"/>
      <c r="C5" s="58"/>
      <c r="D5" s="4499"/>
      <c r="E5" s="4499"/>
      <c r="F5" s="4499"/>
      <c r="G5" s="2399" t="s">
        <v>2338</v>
      </c>
      <c r="H5" s="2400"/>
    </row>
    <row r="6" spans="1:9" ht="110.45" customHeight="1" x14ac:dyDescent="0.25">
      <c r="A6" s="1536" t="s">
        <v>1009</v>
      </c>
      <c r="B6" s="1536" t="s">
        <v>2339</v>
      </c>
      <c r="C6" s="1536" t="s">
        <v>2340</v>
      </c>
      <c r="D6" s="1537" t="s">
        <v>2341</v>
      </c>
      <c r="E6" s="1537" t="s">
        <v>2342</v>
      </c>
      <c r="F6" s="1537" t="s">
        <v>2343</v>
      </c>
      <c r="G6" s="1536" t="s">
        <v>2344</v>
      </c>
    </row>
    <row r="7" spans="1:9" s="2398" customFormat="1" ht="12.75" x14ac:dyDescent="0.25">
      <c r="A7" s="2395">
        <v>1</v>
      </c>
      <c r="B7" s="2396">
        <v>2</v>
      </c>
      <c r="C7" s="2396">
        <v>3</v>
      </c>
      <c r="D7" s="2396">
        <v>4</v>
      </c>
      <c r="E7" s="2397">
        <v>5</v>
      </c>
      <c r="F7" s="2397">
        <v>6</v>
      </c>
      <c r="G7" s="2395">
        <v>7</v>
      </c>
    </row>
    <row r="8" spans="1:9" ht="15.75" x14ac:dyDescent="0.25">
      <c r="A8" s="1523">
        <v>1</v>
      </c>
      <c r="B8" s="1538" t="s">
        <v>3133</v>
      </c>
      <c r="C8" s="2508">
        <v>1.91238</v>
      </c>
      <c r="D8" s="2500">
        <v>0.89027999999999996</v>
      </c>
      <c r="E8" s="2500">
        <v>8.5236000000000006E-2</v>
      </c>
      <c r="F8" s="2500" t="s">
        <v>3136</v>
      </c>
      <c r="G8" s="2501">
        <f t="shared" ref="G8" si="0">C8+D8</f>
        <v>2.8026599999999999</v>
      </c>
    </row>
    <row r="9" spans="1:9" ht="15.75" x14ac:dyDescent="0.25">
      <c r="A9" s="1523">
        <v>2</v>
      </c>
      <c r="B9" s="1538" t="s">
        <v>3134</v>
      </c>
      <c r="C9" s="2499">
        <v>1.9640899999999999</v>
      </c>
      <c r="D9" s="2505">
        <v>1.02695</v>
      </c>
      <c r="E9" s="2500">
        <f>(0.0445156+0.09997)/2</f>
        <v>7.2243000000000002E-2</v>
      </c>
      <c r="F9" s="2500" t="s">
        <v>3136</v>
      </c>
      <c r="G9" s="2501">
        <f>C9+D9</f>
        <v>2.9910399999999999</v>
      </c>
      <c r="H9" s="176"/>
    </row>
    <row r="10" spans="1:9" ht="15.75" x14ac:dyDescent="0.25">
      <c r="A10" s="1523">
        <v>3</v>
      </c>
      <c r="B10" s="1538" t="s">
        <v>3135</v>
      </c>
      <c r="C10" s="2499">
        <v>1.9640899999999999</v>
      </c>
      <c r="D10" s="2505">
        <v>1.02695</v>
      </c>
      <c r="E10" s="2500">
        <v>7.2243000000000002E-2</v>
      </c>
      <c r="F10" s="2500" t="s">
        <v>3136</v>
      </c>
      <c r="G10" s="2501">
        <f t="shared" ref="G10:G13" si="1">C10+D10</f>
        <v>2.9910399999999999</v>
      </c>
      <c r="I10" s="176"/>
    </row>
    <row r="11" spans="1:9" ht="15.75" x14ac:dyDescent="0.25">
      <c r="A11" s="1523">
        <v>4</v>
      </c>
      <c r="B11" s="1538" t="s">
        <v>3141</v>
      </c>
      <c r="C11" s="2499">
        <v>1.9640899999999999</v>
      </c>
      <c r="D11" s="2505">
        <v>1.02695</v>
      </c>
      <c r="E11" s="2500">
        <v>4.5339999999999998E-2</v>
      </c>
      <c r="F11" s="2500" t="s">
        <v>3136</v>
      </c>
      <c r="G11" s="2501">
        <f t="shared" si="1"/>
        <v>2.9910399999999999</v>
      </c>
    </row>
    <row r="12" spans="1:9" ht="15.75" x14ac:dyDescent="0.25">
      <c r="A12" s="1523">
        <v>5</v>
      </c>
      <c r="B12" s="1538" t="s">
        <v>3142</v>
      </c>
      <c r="C12" s="2499">
        <v>2.7050000000000001</v>
      </c>
      <c r="D12" s="2505">
        <v>1.02695</v>
      </c>
      <c r="E12" s="2500">
        <v>4.5339999999999998E-2</v>
      </c>
      <c r="F12" s="2500" t="s">
        <v>3136</v>
      </c>
      <c r="G12" s="2501">
        <f t="shared" si="1"/>
        <v>3.7319499999999999</v>
      </c>
    </row>
    <row r="13" spans="1:9" ht="15.75" x14ac:dyDescent="0.25">
      <c r="A13" s="1523">
        <v>6</v>
      </c>
      <c r="B13" s="1538" t="s">
        <v>3143</v>
      </c>
      <c r="C13" s="2499">
        <v>2.7050000000000001</v>
      </c>
      <c r="D13" s="2505">
        <v>1.02695</v>
      </c>
      <c r="E13" s="2500">
        <v>4.5339999999999998E-2</v>
      </c>
      <c r="F13" s="2500" t="s">
        <v>3136</v>
      </c>
      <c r="G13" s="2501">
        <f t="shared" si="1"/>
        <v>3.7319499999999999</v>
      </c>
      <c r="I13" s="176"/>
    </row>
    <row r="14" spans="1:9" ht="15.75" x14ac:dyDescent="0.25">
      <c r="A14" s="921"/>
      <c r="B14" s="921" t="s">
        <v>2350</v>
      </c>
      <c r="C14" s="2502">
        <f>AVERAGE(C13,C8,C9,C10,C11,C12)</f>
        <v>2.2024400000000002</v>
      </c>
      <c r="D14" s="2503">
        <f>D13</f>
        <v>1.02695</v>
      </c>
      <c r="E14" s="2504">
        <f t="shared" ref="E14" si="2">SUM(E8:E13)/6</f>
        <v>6.0956999999999997E-2</v>
      </c>
      <c r="F14" s="2500" t="s">
        <v>3136</v>
      </c>
      <c r="G14" s="2501">
        <f t="shared" ref="G14" si="3">C14+D14</f>
        <v>3.22939</v>
      </c>
      <c r="I14" s="2424">
        <f>G14/2.2-1</f>
        <v>0.47</v>
      </c>
    </row>
    <row r="17" spans="2:7" s="542" customFormat="1" ht="13.9" customHeight="1" x14ac:dyDescent="0.25">
      <c r="B17" s="542" t="s">
        <v>3410</v>
      </c>
      <c r="F17" s="4500" t="s">
        <v>3248</v>
      </c>
      <c r="G17" s="4500"/>
    </row>
    <row r="22" spans="2:7" x14ac:dyDescent="0.25">
      <c r="B22" s="155" t="s">
        <v>3450</v>
      </c>
      <c r="C22" s="18"/>
      <c r="D22" s="18"/>
      <c r="E22" s="18"/>
      <c r="F22" s="18"/>
      <c r="G22" s="18"/>
    </row>
    <row r="30" spans="2:7" x14ac:dyDescent="0.25">
      <c r="D30" s="166"/>
    </row>
  </sheetData>
  <mergeCells count="3">
    <mergeCell ref="D5:F5"/>
    <mergeCell ref="A3:G3"/>
    <mergeCell ref="F17:G17"/>
  </mergeCells>
  <pageMargins left="1.2204724409448819" right="0.5118110236220472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F60"/>
  <sheetViews>
    <sheetView view="pageBreakPreview" zoomScaleNormal="100" zoomScaleSheetLayoutView="100" workbookViewId="0">
      <selection activeCell="AA47" sqref="AA47"/>
    </sheetView>
  </sheetViews>
  <sheetFormatPr defaultColWidth="9.140625" defaultRowHeight="15" x14ac:dyDescent="0.25"/>
  <cols>
    <col min="1" max="1" width="5.42578125" style="116" customWidth="1"/>
    <col min="2" max="2" width="51.28515625" style="116" customWidth="1"/>
    <col min="3" max="3" width="7.5703125" style="116" customWidth="1"/>
    <col min="4" max="4" width="12.7109375" style="116" customWidth="1"/>
    <col min="5" max="5" width="10.140625" style="116" customWidth="1"/>
    <col min="6" max="6" width="14.7109375" style="116" customWidth="1"/>
    <col min="7" max="7" width="15.5703125" style="116" customWidth="1"/>
    <col min="8" max="8" width="8.85546875" style="116" hidden="1" customWidth="1"/>
    <col min="9" max="11" width="7.140625" style="116" hidden="1" customWidth="1"/>
    <col min="12" max="12" width="9.140625" style="116" hidden="1" customWidth="1"/>
    <col min="13" max="15" width="7.140625" style="116" hidden="1" customWidth="1"/>
    <col min="16" max="16" width="9.85546875" style="116" hidden="1" customWidth="1"/>
    <col min="17" max="19" width="7.140625" style="116" hidden="1" customWidth="1"/>
    <col min="20" max="20" width="9.28515625" style="116" hidden="1" customWidth="1"/>
    <col min="21" max="23" width="7.140625" style="116" hidden="1" customWidth="1"/>
    <col min="24" max="24" width="11.7109375" style="153" bestFit="1" customWidth="1"/>
    <col min="25" max="16384" width="9.140625" style="116"/>
  </cols>
  <sheetData>
    <row r="1" spans="1:32" ht="12.75" customHeight="1" x14ac:dyDescent="0.25">
      <c r="A1" s="2825"/>
      <c r="B1" s="2826"/>
      <c r="C1" s="2823"/>
      <c r="D1" s="3004"/>
      <c r="E1" s="3734" t="s">
        <v>3255</v>
      </c>
      <c r="F1" s="3734"/>
      <c r="G1" s="3734"/>
      <c r="H1" s="3004"/>
      <c r="I1" s="2793"/>
      <c r="J1" s="2793"/>
      <c r="K1" s="2793"/>
      <c r="X1" s="153" t="s">
        <v>643</v>
      </c>
    </row>
    <row r="2" spans="1:32" ht="15" customHeight="1" x14ac:dyDescent="0.25">
      <c r="A2" s="2825"/>
      <c r="B2" s="2826"/>
      <c r="C2" s="2823"/>
      <c r="E2" s="3735"/>
      <c r="F2" s="3735"/>
      <c r="G2" s="3735"/>
      <c r="H2" s="2860"/>
      <c r="I2" s="2793"/>
      <c r="J2" s="2793"/>
      <c r="K2" s="2793"/>
    </row>
    <row r="3" spans="1:32" ht="15" customHeight="1" x14ac:dyDescent="0.25">
      <c r="A3" s="2825"/>
      <c r="B3" s="2826"/>
      <c r="C3" s="2823"/>
      <c r="D3" s="2986"/>
      <c r="E3" s="3736"/>
      <c r="F3" s="3736"/>
      <c r="G3" s="2936"/>
      <c r="H3" s="2860"/>
      <c r="I3" s="2793"/>
      <c r="J3" s="2793"/>
      <c r="K3" s="2793"/>
    </row>
    <row r="4" spans="1:32" ht="15" customHeight="1" x14ac:dyDescent="0.25">
      <c r="A4" s="2825"/>
      <c r="B4" s="2826"/>
      <c r="C4" s="2823"/>
      <c r="D4" s="2986"/>
      <c r="E4" s="2936"/>
      <c r="F4" s="2936"/>
      <c r="G4" s="2936"/>
      <c r="H4" s="2860"/>
      <c r="I4" s="2793"/>
      <c r="J4" s="2793"/>
      <c r="K4" s="2793"/>
    </row>
    <row r="5" spans="1:32" ht="15.75" customHeight="1" x14ac:dyDescent="0.25">
      <c r="A5" s="3678" t="s">
        <v>450</v>
      </c>
      <c r="B5" s="3678"/>
      <c r="C5" s="3678"/>
      <c r="D5" s="3678"/>
      <c r="E5" s="3678"/>
      <c r="F5" s="3678"/>
      <c r="G5" s="3678"/>
      <c r="H5" s="2860"/>
      <c r="I5" s="2793"/>
      <c r="J5" s="2793"/>
      <c r="K5" s="2793"/>
      <c r="X5" s="153" t="s">
        <v>643</v>
      </c>
    </row>
    <row r="6" spans="1:32" x14ac:dyDescent="0.25">
      <c r="A6" s="3731" t="s">
        <v>1595</v>
      </c>
      <c r="B6" s="3731"/>
      <c r="C6" s="3731"/>
      <c r="D6" s="3731"/>
      <c r="E6" s="3731"/>
      <c r="F6" s="3731"/>
      <c r="G6" s="3731"/>
      <c r="H6" s="2793"/>
      <c r="I6" s="2793"/>
      <c r="J6" s="2793"/>
      <c r="K6" s="2793"/>
    </row>
    <row r="7" spans="1:32" x14ac:dyDescent="0.25">
      <c r="A7" s="3737" t="s">
        <v>1596</v>
      </c>
      <c r="B7" s="3737"/>
      <c r="C7" s="3737"/>
      <c r="D7" s="3737"/>
      <c r="E7" s="3737"/>
      <c r="F7" s="3737"/>
      <c r="G7" s="3737"/>
      <c r="H7" s="2793"/>
      <c r="I7" s="2793"/>
      <c r="J7" s="2793"/>
      <c r="K7" s="2793"/>
      <c r="X7" s="153" t="s">
        <v>644</v>
      </c>
    </row>
    <row r="8" spans="1:32" x14ac:dyDescent="0.25">
      <c r="A8" s="3727" t="s">
        <v>220</v>
      </c>
      <c r="B8" s="3732"/>
      <c r="C8" s="3732"/>
      <c r="D8" s="3732"/>
      <c r="E8" s="3732"/>
      <c r="F8" s="3732"/>
      <c r="G8" s="3732"/>
      <c r="H8" s="2793"/>
      <c r="I8" s="2793"/>
      <c r="J8" s="2793"/>
      <c r="K8" s="2793"/>
    </row>
    <row r="9" spans="1:32" ht="15" customHeight="1" x14ac:dyDescent="0.25">
      <c r="A9" s="3706" t="s">
        <v>7</v>
      </c>
      <c r="B9" s="3709" t="s">
        <v>8</v>
      </c>
      <c r="C9" s="3712" t="s">
        <v>35</v>
      </c>
      <c r="D9" s="3733" t="s">
        <v>80</v>
      </c>
      <c r="E9" s="3733"/>
      <c r="F9" s="3733"/>
      <c r="G9" s="3733"/>
      <c r="H9" s="3733" t="s">
        <v>126</v>
      </c>
      <c r="I9" s="3733"/>
      <c r="J9" s="3733"/>
      <c r="K9" s="3733"/>
      <c r="L9" s="3729" t="s">
        <v>171</v>
      </c>
      <c r="M9" s="3729"/>
      <c r="N9" s="3729"/>
      <c r="O9" s="3729"/>
      <c r="P9" s="3729" t="s">
        <v>127</v>
      </c>
      <c r="Q9" s="3729"/>
      <c r="R9" s="3729"/>
      <c r="S9" s="3729"/>
      <c r="T9" s="3729" t="s">
        <v>128</v>
      </c>
      <c r="U9" s="3729"/>
      <c r="V9" s="3729"/>
      <c r="W9" s="3729"/>
    </row>
    <row r="10" spans="1:32" ht="35.25" customHeight="1" x14ac:dyDescent="0.25">
      <c r="A10" s="3707"/>
      <c r="B10" s="3710"/>
      <c r="C10" s="3713"/>
      <c r="D10" s="2241" t="s">
        <v>250</v>
      </c>
      <c r="E10" s="2241" t="s">
        <v>222</v>
      </c>
      <c r="F10" s="2241" t="s">
        <v>223</v>
      </c>
      <c r="G10" s="2241" t="s">
        <v>458</v>
      </c>
      <c r="H10" s="2241" t="s">
        <v>206</v>
      </c>
      <c r="I10" s="2241" t="s">
        <v>203</v>
      </c>
      <c r="J10" s="2241" t="s">
        <v>81</v>
      </c>
      <c r="K10" s="2241" t="s">
        <v>207</v>
      </c>
      <c r="L10" s="125" t="s">
        <v>206</v>
      </c>
      <c r="M10" s="125" t="s">
        <v>203</v>
      </c>
      <c r="N10" s="125" t="s">
        <v>81</v>
      </c>
      <c r="O10" s="125" t="s">
        <v>207</v>
      </c>
      <c r="P10" s="125" t="s">
        <v>206</v>
      </c>
      <c r="Q10" s="125" t="s">
        <v>203</v>
      </c>
      <c r="R10" s="125" t="s">
        <v>81</v>
      </c>
      <c r="S10" s="125" t="s">
        <v>207</v>
      </c>
      <c r="T10" s="125" t="s">
        <v>206</v>
      </c>
      <c r="U10" s="125" t="s">
        <v>203</v>
      </c>
      <c r="V10" s="125" t="s">
        <v>81</v>
      </c>
      <c r="W10" s="125" t="s">
        <v>207</v>
      </c>
    </row>
    <row r="11" spans="1:32" ht="39" customHeight="1" x14ac:dyDescent="0.25">
      <c r="A11" s="3708"/>
      <c r="B11" s="3711"/>
      <c r="C11" s="3714"/>
      <c r="D11" s="2241">
        <f>'Вхідні дані'!$F$8</f>
        <v>2020</v>
      </c>
      <c r="E11" s="2241">
        <f>'Вхідні дані'!$F$7</f>
        <v>2021</v>
      </c>
      <c r="F11" s="3573" t="str">
        <f>'Вхідні дані'!$F$9</f>
        <v xml:space="preserve">Рішення виконавчого комітету Чорноморської міської ради Одеського району Одеської області № 381 від 27.12.2018 </v>
      </c>
      <c r="G11" s="2241" t="str">
        <f>'Вхідні дані'!$F$6</f>
        <v>2022-2023</v>
      </c>
      <c r="H11" s="2241"/>
      <c r="I11" s="2241"/>
      <c r="J11" s="2241"/>
      <c r="K11" s="2241"/>
      <c r="L11" s="125"/>
      <c r="M11" s="125"/>
      <c r="N11" s="125"/>
      <c r="O11" s="125"/>
      <c r="P11" s="125"/>
      <c r="Q11" s="125"/>
      <c r="R11" s="125"/>
      <c r="S11" s="125"/>
      <c r="T11" s="125"/>
      <c r="U11" s="125"/>
      <c r="V11" s="125"/>
      <c r="W11" s="125"/>
      <c r="X11" s="153" t="s">
        <v>644</v>
      </c>
    </row>
    <row r="12" spans="1:32" x14ac:dyDescent="0.25">
      <c r="A12" s="1369">
        <v>1</v>
      </c>
      <c r="B12" s="1369">
        <v>2</v>
      </c>
      <c r="C12" s="1369">
        <v>3</v>
      </c>
      <c r="D12" s="1369">
        <v>4</v>
      </c>
      <c r="E12" s="1369">
        <v>5</v>
      </c>
      <c r="F12" s="1369">
        <v>6</v>
      </c>
      <c r="G12" s="1369">
        <v>7</v>
      </c>
      <c r="H12" s="1369">
        <v>8</v>
      </c>
      <c r="I12" s="1369">
        <v>9</v>
      </c>
      <c r="J12" s="1369">
        <v>10</v>
      </c>
      <c r="K12" s="1369">
        <v>11</v>
      </c>
      <c r="L12" s="146">
        <v>12</v>
      </c>
      <c r="M12" s="146">
        <v>13</v>
      </c>
      <c r="N12" s="146">
        <v>14</v>
      </c>
      <c r="O12" s="146">
        <v>15</v>
      </c>
      <c r="P12" s="146">
        <v>16</v>
      </c>
      <c r="Q12" s="146">
        <v>17</v>
      </c>
      <c r="R12" s="146">
        <v>18</v>
      </c>
      <c r="S12" s="146">
        <v>19</v>
      </c>
      <c r="T12" s="146">
        <v>20</v>
      </c>
      <c r="U12" s="146">
        <v>21</v>
      </c>
      <c r="V12" s="146">
        <v>22</v>
      </c>
      <c r="W12" s="146">
        <v>23</v>
      </c>
    </row>
    <row r="13" spans="1:32" s="121" customFormat="1" x14ac:dyDescent="0.25">
      <c r="A13" s="2861">
        <v>1</v>
      </c>
      <c r="B13" s="2862" t="s">
        <v>224</v>
      </c>
      <c r="C13" s="2842" t="s">
        <v>40</v>
      </c>
      <c r="D13" s="2816">
        <f>D14+D15+D16+D20</f>
        <v>885.86</v>
      </c>
      <c r="E13" s="2816">
        <f t="shared" ref="E13:W13" si="0">E14+E15+E16+E20</f>
        <v>1022.91</v>
      </c>
      <c r="F13" s="2816">
        <f t="shared" si="0"/>
        <v>396.4</v>
      </c>
      <c r="G13" s="2816">
        <f t="shared" si="0"/>
        <v>960.53</v>
      </c>
      <c r="H13" s="2816">
        <f t="shared" si="0"/>
        <v>0</v>
      </c>
      <c r="I13" s="2816">
        <f t="shared" si="0"/>
        <v>0</v>
      </c>
      <c r="J13" s="2816">
        <f t="shared" si="0"/>
        <v>0</v>
      </c>
      <c r="K13" s="2816">
        <f t="shared" si="0"/>
        <v>0</v>
      </c>
      <c r="L13" s="137">
        <f t="shared" si="0"/>
        <v>0</v>
      </c>
      <c r="M13" s="137">
        <f t="shared" si="0"/>
        <v>0</v>
      </c>
      <c r="N13" s="137">
        <f t="shared" si="0"/>
        <v>0</v>
      </c>
      <c r="O13" s="137">
        <f t="shared" si="0"/>
        <v>0</v>
      </c>
      <c r="P13" s="137">
        <f t="shared" si="0"/>
        <v>0</v>
      </c>
      <c r="Q13" s="137">
        <f t="shared" si="0"/>
        <v>0</v>
      </c>
      <c r="R13" s="137">
        <f t="shared" si="0"/>
        <v>0</v>
      </c>
      <c r="S13" s="137">
        <f t="shared" si="0"/>
        <v>0</v>
      </c>
      <c r="T13" s="137">
        <f t="shared" si="0"/>
        <v>0</v>
      </c>
      <c r="U13" s="137">
        <f t="shared" si="0"/>
        <v>0</v>
      </c>
      <c r="V13" s="137">
        <f t="shared" si="0"/>
        <v>0</v>
      </c>
      <c r="W13" s="137">
        <f t="shared" si="0"/>
        <v>0</v>
      </c>
      <c r="X13" s="896"/>
      <c r="AF13" s="919">
        <f>G13/$AF$44</f>
        <v>101.54</v>
      </c>
    </row>
    <row r="14" spans="1:32" x14ac:dyDescent="0.25">
      <c r="A14" s="2863" t="s">
        <v>23</v>
      </c>
      <c r="B14" s="2864" t="s">
        <v>103</v>
      </c>
      <c r="C14" s="2241" t="s">
        <v>40</v>
      </c>
      <c r="D14" s="2817">
        <f>Постачання_1ст!C10</f>
        <v>5.3</v>
      </c>
      <c r="E14" s="2817">
        <f>Постачання_1ст!D10</f>
        <v>9.15</v>
      </c>
      <c r="F14" s="2817">
        <f>Постачання_1ст!E10</f>
        <v>1.4</v>
      </c>
      <c r="G14" s="2817">
        <f>Постачання_1ст!F10</f>
        <v>9.7100000000000009</v>
      </c>
      <c r="H14" s="2817"/>
      <c r="I14" s="2817"/>
      <c r="J14" s="2818"/>
      <c r="K14" s="2817"/>
      <c r="L14" s="139"/>
      <c r="M14" s="139"/>
      <c r="N14" s="140"/>
      <c r="O14" s="139"/>
      <c r="P14" s="139"/>
      <c r="Q14" s="139"/>
      <c r="R14" s="140"/>
      <c r="S14" s="139"/>
      <c r="T14" s="139"/>
      <c r="U14" s="139"/>
      <c r="V14" s="140"/>
      <c r="W14" s="139"/>
      <c r="AF14" s="919">
        <f t="shared" ref="AF14:AF43" si="1">G14/$AF$44</f>
        <v>1.03</v>
      </c>
    </row>
    <row r="15" spans="1:32" x14ac:dyDescent="0.25">
      <c r="A15" s="2863" t="s">
        <v>24</v>
      </c>
      <c r="B15" s="2864" t="s">
        <v>104</v>
      </c>
      <c r="C15" s="2241" t="s">
        <v>40</v>
      </c>
      <c r="D15" s="2817">
        <f>Постачання_1ст!C21</f>
        <v>553.54</v>
      </c>
      <c r="E15" s="2817">
        <f>Постачання_1ст!D21</f>
        <v>630.42999999999995</v>
      </c>
      <c r="F15" s="2817">
        <f>Постачання_1ст!E21</f>
        <v>285.60000000000002</v>
      </c>
      <c r="G15" s="2817">
        <f>Постачання_1ст!F21</f>
        <v>612.30999999999995</v>
      </c>
      <c r="H15" s="2817"/>
      <c r="I15" s="2817"/>
      <c r="J15" s="2818"/>
      <c r="K15" s="2817"/>
      <c r="L15" s="139"/>
      <c r="M15" s="139"/>
      <c r="N15" s="140"/>
      <c r="O15" s="139"/>
      <c r="P15" s="139"/>
      <c r="Q15" s="139"/>
      <c r="R15" s="140"/>
      <c r="S15" s="139"/>
      <c r="T15" s="139"/>
      <c r="U15" s="139"/>
      <c r="V15" s="140"/>
      <c r="W15" s="139"/>
      <c r="AF15" s="919">
        <f t="shared" si="1"/>
        <v>64.73</v>
      </c>
    </row>
    <row r="16" spans="1:32" x14ac:dyDescent="0.25">
      <c r="A16" s="2863" t="s">
        <v>48</v>
      </c>
      <c r="B16" s="2864" t="s">
        <v>226</v>
      </c>
      <c r="C16" s="2241" t="s">
        <v>40</v>
      </c>
      <c r="D16" s="2817">
        <f>Постачання_1ст!C23</f>
        <v>236.24</v>
      </c>
      <c r="E16" s="2817">
        <f>Постачання_1ст!D23</f>
        <v>283.08</v>
      </c>
      <c r="F16" s="2817">
        <f>Постачання_1ст!E23</f>
        <v>75.599999999999994</v>
      </c>
      <c r="G16" s="2817">
        <f>Постачання_1ст!F23</f>
        <v>292.10000000000002</v>
      </c>
      <c r="H16" s="2817"/>
      <c r="I16" s="2817"/>
      <c r="J16" s="2817"/>
      <c r="K16" s="2817"/>
      <c r="L16" s="139"/>
      <c r="M16" s="139"/>
      <c r="N16" s="139"/>
      <c r="O16" s="139"/>
      <c r="P16" s="139"/>
      <c r="Q16" s="139"/>
      <c r="R16" s="139"/>
      <c r="S16" s="139"/>
      <c r="T16" s="139"/>
      <c r="U16" s="139"/>
      <c r="V16" s="139"/>
      <c r="W16" s="139"/>
      <c r="AF16" s="919">
        <f t="shared" si="1"/>
        <v>30.88</v>
      </c>
    </row>
    <row r="17" spans="1:32" ht="25.5" x14ac:dyDescent="0.25">
      <c r="A17" s="2863" t="s">
        <v>49</v>
      </c>
      <c r="B17" s="2864" t="s">
        <v>451</v>
      </c>
      <c r="C17" s="2241" t="s">
        <v>40</v>
      </c>
      <c r="D17" s="2817">
        <f>Постачання_1ст!C24</f>
        <v>107.94</v>
      </c>
      <c r="E17" s="2817">
        <f>Постачання_1ст!D24</f>
        <v>125.51</v>
      </c>
      <c r="F17" s="2817">
        <f>Постачання_1ст!E24</f>
        <v>62.8</v>
      </c>
      <c r="G17" s="2817">
        <f>Постачання_1ст!F24</f>
        <v>134.71</v>
      </c>
      <c r="H17" s="2817"/>
      <c r="I17" s="2817"/>
      <c r="J17" s="2818"/>
      <c r="K17" s="2817"/>
      <c r="L17" s="139"/>
      <c r="M17" s="139"/>
      <c r="N17" s="140"/>
      <c r="O17" s="139"/>
      <c r="P17" s="139"/>
      <c r="Q17" s="139"/>
      <c r="R17" s="140"/>
      <c r="S17" s="139"/>
      <c r="T17" s="139"/>
      <c r="U17" s="139"/>
      <c r="V17" s="140"/>
      <c r="W17" s="139"/>
      <c r="X17" s="153" t="s">
        <v>594</v>
      </c>
      <c r="Y17" s="153"/>
      <c r="Z17" s="153"/>
      <c r="AA17" s="153"/>
      <c r="AB17" s="153"/>
      <c r="AC17" s="153"/>
      <c r="AF17" s="919">
        <f t="shared" si="1"/>
        <v>14.24</v>
      </c>
    </row>
    <row r="18" spans="1:32" x14ac:dyDescent="0.25">
      <c r="A18" s="2863" t="s">
        <v>50</v>
      </c>
      <c r="B18" s="2864" t="s">
        <v>459</v>
      </c>
      <c r="C18" s="2241" t="s">
        <v>40</v>
      </c>
      <c r="D18" s="2817">
        <f>Постачання_1ст!C25+Постачання_1ст!C26</f>
        <v>0</v>
      </c>
      <c r="E18" s="2817">
        <f>Постачання_1ст!D25+Постачання_1ст!D26</f>
        <v>7.51</v>
      </c>
      <c r="F18" s="2817">
        <f>Постачання_1ст!E25+Постачання_1ст!E26</f>
        <v>12.8</v>
      </c>
      <c r="G18" s="2817">
        <f>Постачання_1ст!F25+Постачання_1ст!F26</f>
        <v>0</v>
      </c>
      <c r="H18" s="2817"/>
      <c r="I18" s="2817"/>
      <c r="J18" s="2818"/>
      <c r="K18" s="2817"/>
      <c r="L18" s="139"/>
      <c r="M18" s="139"/>
      <c r="N18" s="140"/>
      <c r="O18" s="139"/>
      <c r="P18" s="139"/>
      <c r="Q18" s="139"/>
      <c r="R18" s="140"/>
      <c r="S18" s="139"/>
      <c r="T18" s="139"/>
      <c r="U18" s="139"/>
      <c r="V18" s="140"/>
      <c r="W18" s="139"/>
      <c r="X18" s="153" t="s">
        <v>593</v>
      </c>
      <c r="Y18" s="153"/>
      <c r="Z18" s="153"/>
      <c r="AA18" s="153"/>
      <c r="AB18" s="153"/>
      <c r="AC18" s="153"/>
      <c r="AF18" s="919">
        <f t="shared" si="1"/>
        <v>0</v>
      </c>
    </row>
    <row r="19" spans="1:32" x14ac:dyDescent="0.25">
      <c r="A19" s="2863" t="s">
        <v>51</v>
      </c>
      <c r="B19" s="2864" t="s">
        <v>52</v>
      </c>
      <c r="C19" s="2241" t="s">
        <v>40</v>
      </c>
      <c r="D19" s="2817">
        <f>D16-D17-D18</f>
        <v>128.30000000000001</v>
      </c>
      <c r="E19" s="2817">
        <f>E16-E17-E18</f>
        <v>150.06</v>
      </c>
      <c r="F19" s="2817">
        <f>F16-F17-F18</f>
        <v>0</v>
      </c>
      <c r="G19" s="2817">
        <f>G16-G17-G18</f>
        <v>157.38999999999999</v>
      </c>
      <c r="H19" s="2817"/>
      <c r="I19" s="2817"/>
      <c r="J19" s="2818"/>
      <c r="K19" s="2817"/>
      <c r="L19" s="139"/>
      <c r="M19" s="139"/>
      <c r="N19" s="140"/>
      <c r="O19" s="139"/>
      <c r="P19" s="139"/>
      <c r="Q19" s="139"/>
      <c r="R19" s="140"/>
      <c r="S19" s="139"/>
      <c r="T19" s="139"/>
      <c r="U19" s="139"/>
      <c r="V19" s="140"/>
      <c r="W19" s="139"/>
      <c r="AF19" s="919">
        <f t="shared" si="1"/>
        <v>16.64</v>
      </c>
    </row>
    <row r="20" spans="1:32" x14ac:dyDescent="0.25">
      <c r="A20" s="2863" t="s">
        <v>53</v>
      </c>
      <c r="B20" s="2864" t="s">
        <v>227</v>
      </c>
      <c r="C20" s="2241" t="s">
        <v>40</v>
      </c>
      <c r="D20" s="2817">
        <f>D21+D22+D23</f>
        <v>90.78</v>
      </c>
      <c r="E20" s="2817">
        <f>E21+E22+E23</f>
        <v>100.25</v>
      </c>
      <c r="F20" s="2817">
        <f>F21+F22+F23</f>
        <v>33.799999999999997</v>
      </c>
      <c r="G20" s="2817">
        <f>ЗВВ_1ст!K8</f>
        <v>46.41</v>
      </c>
      <c r="H20" s="2817"/>
      <c r="I20" s="2817"/>
      <c r="J20" s="2817"/>
      <c r="K20" s="2817"/>
      <c r="L20" s="139"/>
      <c r="M20" s="139"/>
      <c r="N20" s="139"/>
      <c r="O20" s="139"/>
      <c r="P20" s="139"/>
      <c r="Q20" s="139"/>
      <c r="R20" s="139"/>
      <c r="S20" s="139"/>
      <c r="T20" s="139"/>
      <c r="U20" s="139"/>
      <c r="V20" s="139"/>
      <c r="W20" s="139"/>
      <c r="AF20" s="919">
        <f t="shared" si="1"/>
        <v>4.91</v>
      </c>
    </row>
    <row r="21" spans="1:32" x14ac:dyDescent="0.25">
      <c r="A21" s="2863" t="s">
        <v>54</v>
      </c>
      <c r="B21" s="2864" t="s">
        <v>105</v>
      </c>
      <c r="C21" s="2241" t="s">
        <v>40</v>
      </c>
      <c r="D21" s="2817">
        <v>56.56</v>
      </c>
      <c r="E21" s="2817">
        <v>59.36</v>
      </c>
      <c r="F21" s="2818">
        <v>23.5</v>
      </c>
      <c r="G21" s="2817">
        <f>ЗВВ_1ст!K21</f>
        <v>30.91</v>
      </c>
      <c r="H21" s="2817"/>
      <c r="I21" s="2817"/>
      <c r="J21" s="2818"/>
      <c r="K21" s="2817"/>
      <c r="L21" s="139"/>
      <c r="M21" s="139"/>
      <c r="N21" s="140"/>
      <c r="O21" s="139"/>
      <c r="P21" s="139"/>
      <c r="Q21" s="139"/>
      <c r="R21" s="140"/>
      <c r="S21" s="139"/>
      <c r="T21" s="139"/>
      <c r="U21" s="139"/>
      <c r="V21" s="140"/>
      <c r="W21" s="139"/>
      <c r="AF21" s="919">
        <f t="shared" si="1"/>
        <v>3.27</v>
      </c>
    </row>
    <row r="22" spans="1:32" ht="25.5" x14ac:dyDescent="0.25">
      <c r="A22" s="2863" t="s">
        <v>56</v>
      </c>
      <c r="B22" s="2864" t="s">
        <v>451</v>
      </c>
      <c r="C22" s="2241" t="s">
        <v>40</v>
      </c>
      <c r="D22" s="2817">
        <v>11.43</v>
      </c>
      <c r="E22" s="2817">
        <v>12.51</v>
      </c>
      <c r="F22" s="2818">
        <v>4.5999999999999996</v>
      </c>
      <c r="G22" s="2817">
        <f>ЗВВ_1ст!K23</f>
        <v>6.8</v>
      </c>
      <c r="H22" s="2817"/>
      <c r="I22" s="2817"/>
      <c r="J22" s="2818"/>
      <c r="K22" s="2817"/>
      <c r="L22" s="139"/>
      <c r="M22" s="139"/>
      <c r="N22" s="140"/>
      <c r="O22" s="139"/>
      <c r="P22" s="139"/>
      <c r="Q22" s="139"/>
      <c r="R22" s="140"/>
      <c r="S22" s="139"/>
      <c r="T22" s="139"/>
      <c r="U22" s="139"/>
      <c r="V22" s="140"/>
      <c r="W22" s="139"/>
      <c r="X22" s="153" t="s">
        <v>594</v>
      </c>
      <c r="AF22" s="919">
        <f t="shared" si="1"/>
        <v>0.72</v>
      </c>
    </row>
    <row r="23" spans="1:32" x14ac:dyDescent="0.25">
      <c r="A23" s="2863" t="s">
        <v>57</v>
      </c>
      <c r="B23" s="2864" t="s">
        <v>58</v>
      </c>
      <c r="C23" s="2241" t="s">
        <v>40</v>
      </c>
      <c r="D23" s="2817">
        <v>22.79</v>
      </c>
      <c r="E23" s="2817">
        <v>28.38</v>
      </c>
      <c r="F23" s="2818">
        <v>5.7</v>
      </c>
      <c r="G23" s="2816">
        <f>G20-G21-G22</f>
        <v>8.6999999999999993</v>
      </c>
      <c r="H23" s="2817"/>
      <c r="I23" s="2817"/>
      <c r="J23" s="2818"/>
      <c r="K23" s="2817"/>
      <c r="L23" s="139"/>
      <c r="M23" s="139"/>
      <c r="N23" s="140"/>
      <c r="O23" s="139"/>
      <c r="P23" s="139"/>
      <c r="Q23" s="139"/>
      <c r="R23" s="140"/>
      <c r="S23" s="139"/>
      <c r="T23" s="139"/>
      <c r="U23" s="139"/>
      <c r="V23" s="140"/>
      <c r="W23" s="139"/>
      <c r="AF23" s="919">
        <f t="shared" si="1"/>
        <v>0.92</v>
      </c>
    </row>
    <row r="24" spans="1:32" s="121" customFormat="1" x14ac:dyDescent="0.25">
      <c r="A24" s="2861">
        <v>2</v>
      </c>
      <c r="B24" s="2862" t="s">
        <v>228</v>
      </c>
      <c r="C24" s="2842" t="s">
        <v>40</v>
      </c>
      <c r="D24" s="2816">
        <f>D25+D26+D27</f>
        <v>92.99</v>
      </c>
      <c r="E24" s="2816">
        <f>E25+E26+E27</f>
        <v>106.54</v>
      </c>
      <c r="F24" s="2816">
        <f>F25+F26+F27</f>
        <v>38.6</v>
      </c>
      <c r="G24" s="2816">
        <f>Адміністративні_1ст!K8</f>
        <v>18.510000000000002</v>
      </c>
      <c r="H24" s="2816"/>
      <c r="I24" s="2816"/>
      <c r="J24" s="2816"/>
      <c r="K24" s="2816"/>
      <c r="L24" s="137"/>
      <c r="M24" s="137"/>
      <c r="N24" s="137"/>
      <c r="O24" s="137"/>
      <c r="P24" s="137"/>
      <c r="Q24" s="137"/>
      <c r="R24" s="137"/>
      <c r="S24" s="137"/>
      <c r="T24" s="137"/>
      <c r="U24" s="137"/>
      <c r="V24" s="137"/>
      <c r="W24" s="137"/>
      <c r="X24" s="896"/>
      <c r="AF24" s="919">
        <f t="shared" si="1"/>
        <v>1.96</v>
      </c>
    </row>
    <row r="25" spans="1:32" x14ac:dyDescent="0.25">
      <c r="A25" s="2863" t="s">
        <v>25</v>
      </c>
      <c r="B25" s="2864" t="s">
        <v>55</v>
      </c>
      <c r="C25" s="2241" t="s">
        <v>40</v>
      </c>
      <c r="D25" s="2817">
        <v>59.95</v>
      </c>
      <c r="E25" s="2817">
        <v>64.34</v>
      </c>
      <c r="F25" s="2818">
        <v>27.9</v>
      </c>
      <c r="G25" s="2817">
        <f>Адміністративні_1ст!K21</f>
        <v>11.52</v>
      </c>
      <c r="H25" s="2817"/>
      <c r="I25" s="2817"/>
      <c r="J25" s="2818"/>
      <c r="K25" s="2817"/>
      <c r="L25" s="139"/>
      <c r="M25" s="139"/>
      <c r="N25" s="140"/>
      <c r="O25" s="139"/>
      <c r="P25" s="139"/>
      <c r="Q25" s="139"/>
      <c r="R25" s="140"/>
      <c r="S25" s="139"/>
      <c r="T25" s="139"/>
      <c r="U25" s="139"/>
      <c r="V25" s="140"/>
      <c r="W25" s="139"/>
      <c r="AF25" s="919">
        <f t="shared" si="1"/>
        <v>1.22</v>
      </c>
    </row>
    <row r="26" spans="1:32" ht="25.5" x14ac:dyDescent="0.25">
      <c r="A26" s="2863" t="s">
        <v>26</v>
      </c>
      <c r="B26" s="2864" t="s">
        <v>451</v>
      </c>
      <c r="C26" s="2241" t="s">
        <v>40</v>
      </c>
      <c r="D26" s="2817">
        <v>12.96</v>
      </c>
      <c r="E26" s="2817">
        <v>14.39</v>
      </c>
      <c r="F26" s="2818">
        <v>6.9</v>
      </c>
      <c r="G26" s="2817">
        <f>Адміністративні_1ст!K23</f>
        <v>2.54</v>
      </c>
      <c r="H26" s="2817"/>
      <c r="I26" s="2817"/>
      <c r="J26" s="2818"/>
      <c r="K26" s="2817"/>
      <c r="L26" s="139"/>
      <c r="M26" s="139"/>
      <c r="N26" s="140"/>
      <c r="O26" s="139"/>
      <c r="P26" s="139"/>
      <c r="Q26" s="139"/>
      <c r="R26" s="140"/>
      <c r="S26" s="139"/>
      <c r="T26" s="139"/>
      <c r="U26" s="139"/>
      <c r="V26" s="140"/>
      <c r="W26" s="139"/>
      <c r="X26" s="153" t="s">
        <v>594</v>
      </c>
      <c r="AF26" s="919">
        <f t="shared" si="1"/>
        <v>0.27</v>
      </c>
    </row>
    <row r="27" spans="1:32" x14ac:dyDescent="0.25">
      <c r="A27" s="2863" t="s">
        <v>59</v>
      </c>
      <c r="B27" s="2864" t="s">
        <v>58</v>
      </c>
      <c r="C27" s="2241" t="s">
        <v>40</v>
      </c>
      <c r="D27" s="2817">
        <v>20.079999999999998</v>
      </c>
      <c r="E27" s="2817">
        <v>27.81</v>
      </c>
      <c r="F27" s="2818">
        <v>3.8</v>
      </c>
      <c r="G27" s="2817">
        <f>G24-G25-G26</f>
        <v>4.45</v>
      </c>
      <c r="H27" s="2817"/>
      <c r="I27" s="2817"/>
      <c r="J27" s="2818"/>
      <c r="K27" s="2817"/>
      <c r="L27" s="139"/>
      <c r="M27" s="139"/>
      <c r="N27" s="140"/>
      <c r="O27" s="139"/>
      <c r="P27" s="139"/>
      <c r="Q27" s="139"/>
      <c r="R27" s="140"/>
      <c r="S27" s="139"/>
      <c r="T27" s="139"/>
      <c r="U27" s="139"/>
      <c r="V27" s="140"/>
      <c r="W27" s="139"/>
      <c r="AF27" s="919">
        <f t="shared" si="1"/>
        <v>0.47</v>
      </c>
    </row>
    <row r="28" spans="1:32" s="121" customFormat="1" x14ac:dyDescent="0.25">
      <c r="A28" s="2831" t="s">
        <v>180</v>
      </c>
      <c r="B28" s="2865" t="s">
        <v>229</v>
      </c>
      <c r="C28" s="2842" t="s">
        <v>40</v>
      </c>
      <c r="D28" s="2816">
        <f>D29+D30+D31</f>
        <v>0</v>
      </c>
      <c r="E28" s="2816">
        <f>E29+E30+E31</f>
        <v>0</v>
      </c>
      <c r="F28" s="2816">
        <f>F29+F30+F31</f>
        <v>0</v>
      </c>
      <c r="G28" s="2816">
        <f>G29+G30+G31</f>
        <v>0</v>
      </c>
      <c r="H28" s="2816"/>
      <c r="I28" s="2816"/>
      <c r="J28" s="2819"/>
      <c r="K28" s="2816"/>
      <c r="L28" s="137"/>
      <c r="M28" s="137"/>
      <c r="N28" s="141"/>
      <c r="O28" s="137"/>
      <c r="P28" s="137"/>
      <c r="Q28" s="137"/>
      <c r="R28" s="141"/>
      <c r="S28" s="137"/>
      <c r="T28" s="137"/>
      <c r="U28" s="137"/>
      <c r="V28" s="141"/>
      <c r="W28" s="137"/>
      <c r="X28" s="896"/>
      <c r="AF28" s="919">
        <f t="shared" si="1"/>
        <v>0</v>
      </c>
    </row>
    <row r="29" spans="1:32" x14ac:dyDescent="0.25">
      <c r="A29" s="2835" t="s">
        <v>60</v>
      </c>
      <c r="B29" s="2609" t="s">
        <v>55</v>
      </c>
      <c r="C29" s="2241" t="s">
        <v>40</v>
      </c>
      <c r="D29" s="2817">
        <v>0</v>
      </c>
      <c r="E29" s="2817">
        <v>0</v>
      </c>
      <c r="F29" s="2817">
        <v>0</v>
      </c>
      <c r="G29" s="2817">
        <v>0</v>
      </c>
      <c r="H29" s="2817"/>
      <c r="I29" s="2817"/>
      <c r="J29" s="2818"/>
      <c r="K29" s="2817"/>
      <c r="L29" s="139"/>
      <c r="M29" s="139"/>
      <c r="N29" s="140"/>
      <c r="O29" s="139"/>
      <c r="P29" s="139"/>
      <c r="Q29" s="139"/>
      <c r="R29" s="140"/>
      <c r="S29" s="139"/>
      <c r="T29" s="139"/>
      <c r="U29" s="139"/>
      <c r="V29" s="140"/>
      <c r="W29" s="139"/>
      <c r="AF29" s="919">
        <f t="shared" si="1"/>
        <v>0</v>
      </c>
    </row>
    <row r="30" spans="1:32" ht="24" x14ac:dyDescent="0.25">
      <c r="A30" s="2835" t="s">
        <v>61</v>
      </c>
      <c r="B30" s="2609" t="s">
        <v>451</v>
      </c>
      <c r="C30" s="2241" t="s">
        <v>40</v>
      </c>
      <c r="D30" s="2817">
        <v>0</v>
      </c>
      <c r="E30" s="2817">
        <v>0</v>
      </c>
      <c r="F30" s="2817">
        <v>0</v>
      </c>
      <c r="G30" s="2817">
        <v>0</v>
      </c>
      <c r="H30" s="2817"/>
      <c r="I30" s="2817"/>
      <c r="J30" s="2818"/>
      <c r="K30" s="2817"/>
      <c r="L30" s="139"/>
      <c r="M30" s="139"/>
      <c r="N30" s="140"/>
      <c r="O30" s="139"/>
      <c r="P30" s="139"/>
      <c r="Q30" s="139"/>
      <c r="R30" s="140"/>
      <c r="S30" s="139"/>
      <c r="T30" s="139"/>
      <c r="U30" s="139"/>
      <c r="V30" s="140"/>
      <c r="W30" s="139"/>
      <c r="X30" s="153" t="s">
        <v>594</v>
      </c>
      <c r="AF30" s="919">
        <f t="shared" si="1"/>
        <v>0</v>
      </c>
    </row>
    <row r="31" spans="1:32" x14ac:dyDescent="0.25">
      <c r="A31" s="2843" t="s">
        <v>62</v>
      </c>
      <c r="B31" s="2866" t="s">
        <v>242</v>
      </c>
      <c r="C31" s="2241" t="s">
        <v>40</v>
      </c>
      <c r="D31" s="2817">
        <v>0</v>
      </c>
      <c r="E31" s="2817">
        <v>0</v>
      </c>
      <c r="F31" s="2817">
        <v>0</v>
      </c>
      <c r="G31" s="2817">
        <v>0</v>
      </c>
      <c r="H31" s="2817"/>
      <c r="I31" s="2817"/>
      <c r="J31" s="2818"/>
      <c r="K31" s="2817"/>
      <c r="L31" s="139"/>
      <c r="M31" s="139"/>
      <c r="N31" s="140"/>
      <c r="O31" s="139"/>
      <c r="P31" s="139"/>
      <c r="Q31" s="139"/>
      <c r="R31" s="140"/>
      <c r="S31" s="139"/>
      <c r="T31" s="139"/>
      <c r="U31" s="139"/>
      <c r="V31" s="140"/>
      <c r="W31" s="139"/>
      <c r="AF31" s="919">
        <f t="shared" si="1"/>
        <v>0</v>
      </c>
    </row>
    <row r="32" spans="1:32" s="121" customFormat="1" x14ac:dyDescent="0.25">
      <c r="A32" s="2861" t="s">
        <v>181</v>
      </c>
      <c r="B32" s="2862" t="s">
        <v>106</v>
      </c>
      <c r="C32" s="2842" t="s">
        <v>40</v>
      </c>
      <c r="D32" s="2817">
        <v>0</v>
      </c>
      <c r="E32" s="2817">
        <v>0</v>
      </c>
      <c r="F32" s="2817">
        <v>0</v>
      </c>
      <c r="G32" s="2817">
        <v>0</v>
      </c>
      <c r="H32" s="2819"/>
      <c r="I32" s="2819"/>
      <c r="J32" s="2819"/>
      <c r="K32" s="2816"/>
      <c r="L32" s="141"/>
      <c r="M32" s="141"/>
      <c r="N32" s="141"/>
      <c r="O32" s="137"/>
      <c r="P32" s="141"/>
      <c r="Q32" s="141"/>
      <c r="R32" s="141"/>
      <c r="S32" s="137"/>
      <c r="T32" s="141"/>
      <c r="U32" s="141"/>
      <c r="V32" s="141"/>
      <c r="W32" s="137"/>
      <c r="X32" s="896"/>
      <c r="AF32" s="919">
        <f t="shared" si="1"/>
        <v>0</v>
      </c>
    </row>
    <row r="33" spans="1:32" s="121" customFormat="1" x14ac:dyDescent="0.25">
      <c r="A33" s="2861" t="s">
        <v>176</v>
      </c>
      <c r="B33" s="2862" t="s">
        <v>5</v>
      </c>
      <c r="C33" s="2842" t="s">
        <v>40</v>
      </c>
      <c r="D33" s="2817">
        <v>0</v>
      </c>
      <c r="E33" s="2817">
        <v>0</v>
      </c>
      <c r="F33" s="2817">
        <v>0</v>
      </c>
      <c r="G33" s="2817">
        <v>0</v>
      </c>
      <c r="H33" s="2819"/>
      <c r="I33" s="2819"/>
      <c r="J33" s="2819"/>
      <c r="K33" s="2816"/>
      <c r="L33" s="141"/>
      <c r="M33" s="141"/>
      <c r="N33" s="141"/>
      <c r="O33" s="137"/>
      <c r="P33" s="141"/>
      <c r="Q33" s="141"/>
      <c r="R33" s="141"/>
      <c r="S33" s="137"/>
      <c r="T33" s="141"/>
      <c r="U33" s="141"/>
      <c r="V33" s="141"/>
      <c r="W33" s="137"/>
      <c r="X33" s="896">
        <f>G34/G44*1000</f>
        <v>103.49938368053699</v>
      </c>
      <c r="AF33" s="919">
        <f t="shared" si="1"/>
        <v>0</v>
      </c>
    </row>
    <row r="34" spans="1:32" s="121" customFormat="1" x14ac:dyDescent="0.25">
      <c r="A34" s="2861" t="s">
        <v>177</v>
      </c>
      <c r="B34" s="2862" t="s">
        <v>63</v>
      </c>
      <c r="C34" s="2842" t="s">
        <v>40</v>
      </c>
      <c r="D34" s="2816">
        <f>D33+D32+D28+D24+D13</f>
        <v>978.85</v>
      </c>
      <c r="E34" s="2816">
        <f>E33+E32+E28+E24+E13</f>
        <v>1129.45</v>
      </c>
      <c r="F34" s="2816">
        <f>F33+F32+F28+F24+F13</f>
        <v>435</v>
      </c>
      <c r="G34" s="2816">
        <f>G33+G32+G28+G24+G13</f>
        <v>979.04</v>
      </c>
      <c r="H34" s="2816"/>
      <c r="I34" s="2816"/>
      <c r="J34" s="2816"/>
      <c r="K34" s="2816"/>
      <c r="L34" s="137"/>
      <c r="M34" s="137"/>
      <c r="N34" s="137"/>
      <c r="O34" s="137"/>
      <c r="P34" s="137"/>
      <c r="Q34" s="137"/>
      <c r="R34" s="137"/>
      <c r="S34" s="137"/>
      <c r="T34" s="137"/>
      <c r="U34" s="137"/>
      <c r="V34" s="137"/>
      <c r="W34" s="137"/>
      <c r="X34" s="917">
        <f>Постачання_1ст!F9+ЗВВ_1ст!K8+Адміністративні_1ст!K8</f>
        <v>979.04</v>
      </c>
      <c r="Y34" s="918">
        <f>G34-X34</f>
        <v>0</v>
      </c>
      <c r="AF34" s="919">
        <f t="shared" si="1"/>
        <v>103.5</v>
      </c>
    </row>
    <row r="35" spans="1:32" s="121" customFormat="1" x14ac:dyDescent="0.25">
      <c r="A35" s="2861" t="s">
        <v>178</v>
      </c>
      <c r="B35" s="2862" t="s">
        <v>230</v>
      </c>
      <c r="C35" s="2842" t="s">
        <v>40</v>
      </c>
      <c r="D35" s="2816">
        <v>0</v>
      </c>
      <c r="E35" s="2816">
        <v>0</v>
      </c>
      <c r="F35" s="2816">
        <v>0</v>
      </c>
      <c r="G35" s="2817">
        <v>0</v>
      </c>
      <c r="H35" s="2816"/>
      <c r="I35" s="2816"/>
      <c r="J35" s="2816"/>
      <c r="K35" s="2816"/>
      <c r="L35" s="137"/>
      <c r="M35" s="137"/>
      <c r="N35" s="137"/>
      <c r="O35" s="137"/>
      <c r="P35" s="137"/>
      <c r="Q35" s="137"/>
      <c r="R35" s="137"/>
      <c r="S35" s="137"/>
      <c r="T35" s="137"/>
      <c r="U35" s="137"/>
      <c r="V35" s="137"/>
      <c r="W35" s="137"/>
      <c r="X35" s="896"/>
      <c r="AF35" s="919">
        <f t="shared" si="1"/>
        <v>0</v>
      </c>
    </row>
    <row r="36" spans="1:32" s="121" customFormat="1" x14ac:dyDescent="0.25">
      <c r="A36" s="2861" t="s">
        <v>179</v>
      </c>
      <c r="B36" s="2862" t="s">
        <v>251</v>
      </c>
      <c r="C36" s="2842" t="s">
        <v>40</v>
      </c>
      <c r="D36" s="2819">
        <f>D37+D38+D39+D40+D41</f>
        <v>0</v>
      </c>
      <c r="E36" s="2819">
        <f>E37+E38+E39+E40+E41</f>
        <v>0</v>
      </c>
      <c r="F36" s="2819">
        <f>F37+F38+F39+F40+F41</f>
        <v>0</v>
      </c>
      <c r="G36" s="2867">
        <f>SUM(G37:G41)</f>
        <v>55.84</v>
      </c>
      <c r="H36" s="2868"/>
      <c r="I36" s="2868"/>
      <c r="J36" s="2868"/>
      <c r="K36" s="2869"/>
      <c r="L36" s="883"/>
      <c r="M36" s="883"/>
      <c r="N36" s="883"/>
      <c r="O36" s="884"/>
      <c r="P36" s="883"/>
      <c r="Q36" s="883"/>
      <c r="R36" s="883"/>
      <c r="S36" s="884"/>
      <c r="T36" s="883"/>
      <c r="U36" s="883"/>
      <c r="V36" s="883"/>
      <c r="W36" s="884"/>
      <c r="X36" s="899">
        <f>G36/G44*1000</f>
        <v>5.9031000000000002</v>
      </c>
      <c r="AF36" s="919">
        <f t="shared" si="1"/>
        <v>5.9</v>
      </c>
    </row>
    <row r="37" spans="1:32" x14ac:dyDescent="0.25">
      <c r="A37" s="2863" t="s">
        <v>116</v>
      </c>
      <c r="B37" s="2864" t="s">
        <v>65</v>
      </c>
      <c r="C37" s="2241" t="s">
        <v>84</v>
      </c>
      <c r="D37" s="2817">
        <v>0</v>
      </c>
      <c r="E37" s="2817">
        <v>0</v>
      </c>
      <c r="F37" s="2818">
        <v>0</v>
      </c>
      <c r="G37" s="2820">
        <f>G41*'Вхідні дані'!D47</f>
        <v>7.05</v>
      </c>
      <c r="H37" s="2870"/>
      <c r="I37" s="2870"/>
      <c r="J37" s="2871"/>
      <c r="K37" s="2870"/>
      <c r="L37" s="885"/>
      <c r="M37" s="885"/>
      <c r="N37" s="886"/>
      <c r="O37" s="885"/>
      <c r="P37" s="885"/>
      <c r="Q37" s="885"/>
      <c r="R37" s="886"/>
      <c r="S37" s="885"/>
      <c r="T37" s="885"/>
      <c r="U37" s="885"/>
      <c r="V37" s="886"/>
      <c r="W37" s="885"/>
      <c r="X37" s="900">
        <f>G43-X36</f>
        <v>103.4969</v>
      </c>
      <c r="Y37" s="121"/>
      <c r="AF37" s="919">
        <f t="shared" si="1"/>
        <v>0.75</v>
      </c>
    </row>
    <row r="38" spans="1:32" x14ac:dyDescent="0.25">
      <c r="A38" s="2863" t="s">
        <v>118</v>
      </c>
      <c r="B38" s="2864" t="s">
        <v>85</v>
      </c>
      <c r="C38" s="2241" t="s">
        <v>40</v>
      </c>
      <c r="D38" s="2817">
        <v>0</v>
      </c>
      <c r="E38" s="2817">
        <v>0</v>
      </c>
      <c r="F38" s="2818">
        <v>0</v>
      </c>
      <c r="G38" s="2820">
        <f>(G41-G37)*'Вхідні дані'!D48</f>
        <v>9.6300000000000008</v>
      </c>
      <c r="H38" s="2870"/>
      <c r="I38" s="2870"/>
      <c r="J38" s="2871"/>
      <c r="K38" s="2871"/>
      <c r="L38" s="885"/>
      <c r="M38" s="885"/>
      <c r="N38" s="886"/>
      <c r="O38" s="886"/>
      <c r="P38" s="885"/>
      <c r="Q38" s="885"/>
      <c r="R38" s="886"/>
      <c r="S38" s="886"/>
      <c r="T38" s="885"/>
      <c r="U38" s="885"/>
      <c r="V38" s="886"/>
      <c r="W38" s="886"/>
      <c r="X38" s="900"/>
      <c r="AF38" s="919">
        <f t="shared" si="1"/>
        <v>1.02</v>
      </c>
    </row>
    <row r="39" spans="1:32" x14ac:dyDescent="0.25">
      <c r="A39" s="2863" t="s">
        <v>120</v>
      </c>
      <c r="B39" s="2864" t="s">
        <v>86</v>
      </c>
      <c r="C39" s="2241" t="s">
        <v>40</v>
      </c>
      <c r="D39" s="2817">
        <v>0</v>
      </c>
      <c r="E39" s="2817">
        <v>0</v>
      </c>
      <c r="F39" s="2818">
        <v>0</v>
      </c>
      <c r="G39" s="2820">
        <v>0</v>
      </c>
      <c r="H39" s="2870"/>
      <c r="I39" s="2870"/>
      <c r="J39" s="2871"/>
      <c r="K39" s="2871"/>
      <c r="L39" s="885"/>
      <c r="M39" s="885"/>
      <c r="N39" s="886"/>
      <c r="O39" s="886"/>
      <c r="P39" s="885"/>
      <c r="Q39" s="885"/>
      <c r="R39" s="886"/>
      <c r="S39" s="886"/>
      <c r="T39" s="885"/>
      <c r="U39" s="885"/>
      <c r="V39" s="886"/>
      <c r="W39" s="886"/>
      <c r="X39" s="900"/>
      <c r="AF39" s="919">
        <f t="shared" si="1"/>
        <v>0</v>
      </c>
    </row>
    <row r="40" spans="1:32" x14ac:dyDescent="0.25">
      <c r="A40" s="2863" t="s">
        <v>122</v>
      </c>
      <c r="B40" s="2864" t="s">
        <v>71</v>
      </c>
      <c r="C40" s="2241" t="s">
        <v>40</v>
      </c>
      <c r="D40" s="2817">
        <v>0</v>
      </c>
      <c r="E40" s="2817">
        <v>0</v>
      </c>
      <c r="F40" s="2818">
        <v>0</v>
      </c>
      <c r="G40" s="2820">
        <v>0</v>
      </c>
      <c r="H40" s="2870"/>
      <c r="I40" s="2870"/>
      <c r="J40" s="2871"/>
      <c r="K40" s="2870"/>
      <c r="L40" s="885"/>
      <c r="M40" s="885"/>
      <c r="N40" s="886"/>
      <c r="O40" s="885"/>
      <c r="P40" s="885"/>
      <c r="Q40" s="885"/>
      <c r="R40" s="886"/>
      <c r="S40" s="885"/>
      <c r="T40" s="885"/>
      <c r="U40" s="885"/>
      <c r="V40" s="886"/>
      <c r="W40" s="885"/>
      <c r="X40" s="900"/>
      <c r="AF40" s="919">
        <f t="shared" si="1"/>
        <v>0</v>
      </c>
    </row>
    <row r="41" spans="1:32" x14ac:dyDescent="0.25">
      <c r="A41" s="2863" t="s">
        <v>232</v>
      </c>
      <c r="B41" s="2864" t="s">
        <v>87</v>
      </c>
      <c r="C41" s="2241" t="s">
        <v>40</v>
      </c>
      <c r="D41" s="2817">
        <v>0</v>
      </c>
      <c r="E41" s="2817">
        <v>0</v>
      </c>
      <c r="F41" s="2818">
        <v>0</v>
      </c>
      <c r="G41" s="2820">
        <f>G34*'Вхідні дані'!D46</f>
        <v>39.159999999999997</v>
      </c>
      <c r="H41" s="2870"/>
      <c r="I41" s="2870"/>
      <c r="J41" s="2871"/>
      <c r="K41" s="2871"/>
      <c r="L41" s="885"/>
      <c r="M41" s="885"/>
      <c r="N41" s="886"/>
      <c r="O41" s="886"/>
      <c r="P41" s="885"/>
      <c r="Q41" s="885"/>
      <c r="R41" s="886"/>
      <c r="S41" s="886"/>
      <c r="T41" s="885"/>
      <c r="U41" s="885"/>
      <c r="V41" s="886"/>
      <c r="W41" s="886"/>
      <c r="X41" s="900"/>
      <c r="AF41" s="919">
        <f t="shared" si="1"/>
        <v>4.1399999999999997</v>
      </c>
    </row>
    <row r="42" spans="1:32" s="121" customFormat="1" ht="25.5" customHeight="1" x14ac:dyDescent="0.25">
      <c r="A42" s="2861" t="s">
        <v>194</v>
      </c>
      <c r="B42" s="2862" t="s">
        <v>107</v>
      </c>
      <c r="C42" s="2842" t="s">
        <v>40</v>
      </c>
      <c r="D42" s="2816">
        <f>D34+D35+D36</f>
        <v>978.85</v>
      </c>
      <c r="E42" s="2816">
        <f>E34+E35+E36</f>
        <v>1129.45</v>
      </c>
      <c r="F42" s="2816">
        <f>F34+F35+F36</f>
        <v>435</v>
      </c>
      <c r="G42" s="2816">
        <f>G34+G35+G36</f>
        <v>1034.8800000000001</v>
      </c>
      <c r="H42" s="2816"/>
      <c r="I42" s="2816"/>
      <c r="J42" s="2816"/>
      <c r="K42" s="2816"/>
      <c r="L42" s="137"/>
      <c r="M42" s="137"/>
      <c r="N42" s="137"/>
      <c r="O42" s="137"/>
      <c r="P42" s="137"/>
      <c r="Q42" s="137"/>
      <c r="R42" s="137"/>
      <c r="S42" s="137"/>
      <c r="T42" s="137"/>
      <c r="U42" s="137"/>
      <c r="V42" s="137"/>
      <c r="W42" s="137"/>
      <c r="X42" s="2559"/>
      <c r="Y42" s="2560"/>
      <c r="AF42" s="919">
        <f t="shared" si="1"/>
        <v>109.4</v>
      </c>
    </row>
    <row r="43" spans="1:32" s="121" customFormat="1" ht="29.25" customHeight="1" x14ac:dyDescent="0.25">
      <c r="A43" s="2861" t="s">
        <v>195</v>
      </c>
      <c r="B43" s="2862" t="s">
        <v>108</v>
      </c>
      <c r="C43" s="2842" t="s">
        <v>74</v>
      </c>
      <c r="D43" s="2816">
        <f>D42/D44*1000</f>
        <v>102.12</v>
      </c>
      <c r="E43" s="2816">
        <f>E42/E44*1000</f>
        <v>127.57</v>
      </c>
      <c r="F43" s="2816">
        <f>F42/F44*1000</f>
        <v>28.52</v>
      </c>
      <c r="G43" s="2816">
        <f>G42/G44*1000</f>
        <v>109.4</v>
      </c>
      <c r="H43" s="2816"/>
      <c r="I43" s="2816"/>
      <c r="J43" s="2816"/>
      <c r="K43" s="2816"/>
      <c r="L43" s="137"/>
      <c r="M43" s="137"/>
      <c r="N43" s="137"/>
      <c r="O43" s="137"/>
      <c r="P43" s="137"/>
      <c r="Q43" s="137"/>
      <c r="R43" s="137"/>
      <c r="S43" s="137"/>
      <c r="T43" s="137"/>
      <c r="U43" s="137"/>
      <c r="V43" s="137"/>
      <c r="W43" s="137"/>
      <c r="X43" s="901">
        <f>(G43-F43)/F43</f>
        <v>2.8359999999999999</v>
      </c>
      <c r="AF43" s="919">
        <f t="shared" si="1"/>
        <v>11.57</v>
      </c>
    </row>
    <row r="44" spans="1:32" s="121" customFormat="1" ht="25.5" x14ac:dyDescent="0.25">
      <c r="A44" s="2861" t="s">
        <v>196</v>
      </c>
      <c r="B44" s="2862" t="s">
        <v>576</v>
      </c>
      <c r="C44" s="2842" t="s">
        <v>22</v>
      </c>
      <c r="D44" s="2872">
        <f>D45+D46+D47+D48</f>
        <v>9585.7199999999993</v>
      </c>
      <c r="E44" s="2872">
        <f>E45+E46+E47+E48</f>
        <v>8853.31</v>
      </c>
      <c r="F44" s="2872">
        <f>F45+F46+F47+F48</f>
        <v>15252.76</v>
      </c>
      <c r="G44" s="2872">
        <f>G45+G46+G47+G48</f>
        <v>9459.3799999999992</v>
      </c>
      <c r="H44" s="2842"/>
      <c r="I44" s="2842"/>
      <c r="J44" s="2873"/>
      <c r="K44" s="2842"/>
      <c r="L44" s="127"/>
      <c r="M44" s="127"/>
      <c r="N44" s="147"/>
      <c r="O44" s="127"/>
      <c r="P44" s="127"/>
      <c r="Q44" s="127"/>
      <c r="R44" s="147"/>
      <c r="S44" s="148"/>
      <c r="T44" s="127"/>
      <c r="U44" s="127"/>
      <c r="V44" s="147"/>
      <c r="W44" s="127"/>
      <c r="X44" s="153" t="s">
        <v>595</v>
      </c>
      <c r="AF44" s="121">
        <f>G44/1000</f>
        <v>9.4593799999999995</v>
      </c>
    </row>
    <row r="45" spans="1:32" x14ac:dyDescent="0.25">
      <c r="A45" s="2863" t="s">
        <v>92</v>
      </c>
      <c r="B45" s="2864" t="s">
        <v>3</v>
      </c>
      <c r="C45" s="2241" t="s">
        <v>22</v>
      </c>
      <c r="D45" s="2820">
        <f>'Д 7_РП'!$E$75</f>
        <v>0</v>
      </c>
      <c r="E45" s="2820">
        <f>'Д 7_РП'!$F$75</f>
        <v>0</v>
      </c>
      <c r="F45" s="2820">
        <v>0</v>
      </c>
      <c r="G45" s="2820">
        <f>'Д 7_РП'!$G$75</f>
        <v>0</v>
      </c>
      <c r="H45" s="2851"/>
      <c r="I45" s="2851"/>
      <c r="J45" s="2851"/>
      <c r="K45" s="2851"/>
      <c r="L45" s="142"/>
      <c r="M45" s="142"/>
      <c r="N45" s="142"/>
      <c r="O45" s="142"/>
      <c r="P45" s="142"/>
      <c r="Q45" s="142"/>
      <c r="R45" s="142"/>
      <c r="S45" s="142"/>
      <c r="T45" s="142"/>
      <c r="U45" s="142"/>
      <c r="V45" s="142"/>
      <c r="W45" s="142"/>
    </row>
    <row r="46" spans="1:32" x14ac:dyDescent="0.25">
      <c r="A46" s="2863" t="s">
        <v>93</v>
      </c>
      <c r="B46" s="2864" t="s">
        <v>173</v>
      </c>
      <c r="C46" s="2241" t="s">
        <v>22</v>
      </c>
      <c r="D46" s="2820">
        <f>'Д 7_РП'!$E$83</f>
        <v>0</v>
      </c>
      <c r="E46" s="2820">
        <f>'Д 7_РП'!$F$83</f>
        <v>0</v>
      </c>
      <c r="F46" s="2820">
        <v>0</v>
      </c>
      <c r="G46" s="2820">
        <f>'Д 7_РП'!$G$83</f>
        <v>0</v>
      </c>
      <c r="H46" s="2851"/>
      <c r="I46" s="2851"/>
      <c r="J46" s="2851"/>
      <c r="K46" s="2851"/>
      <c r="L46" s="142"/>
      <c r="M46" s="142"/>
      <c r="N46" s="142"/>
      <c r="O46" s="142"/>
      <c r="P46" s="142"/>
      <c r="Q46" s="142"/>
      <c r="R46" s="142"/>
      <c r="S46" s="142"/>
      <c r="T46" s="142"/>
      <c r="U46" s="142"/>
      <c r="V46" s="142"/>
      <c r="W46" s="142"/>
    </row>
    <row r="47" spans="1:32" x14ac:dyDescent="0.25">
      <c r="A47" s="2863" t="s">
        <v>252</v>
      </c>
      <c r="B47" s="2864" t="s">
        <v>98</v>
      </c>
      <c r="C47" s="2241" t="s">
        <v>22</v>
      </c>
      <c r="D47" s="2820">
        <f>'Д 7_РП'!$E$87</f>
        <v>0</v>
      </c>
      <c r="E47" s="2820">
        <f>'Д 7_РП'!$F$87</f>
        <v>198.47</v>
      </c>
      <c r="F47" s="2820">
        <v>0</v>
      </c>
      <c r="G47" s="2820">
        <f>'Д 7_РП'!$G$87</f>
        <v>0</v>
      </c>
      <c r="H47" s="2851"/>
      <c r="I47" s="2851"/>
      <c r="J47" s="2851"/>
      <c r="K47" s="2851"/>
      <c r="L47" s="142"/>
      <c r="M47" s="142"/>
      <c r="N47" s="142"/>
      <c r="O47" s="142"/>
      <c r="P47" s="142"/>
      <c r="Q47" s="142"/>
      <c r="R47" s="142"/>
      <c r="S47" s="142"/>
      <c r="T47" s="142"/>
      <c r="U47" s="142"/>
      <c r="V47" s="142"/>
      <c r="W47" s="142"/>
    </row>
    <row r="48" spans="1:32" x14ac:dyDescent="0.25">
      <c r="A48" s="2863" t="s">
        <v>253</v>
      </c>
      <c r="B48" s="2864" t="s">
        <v>110</v>
      </c>
      <c r="C48" s="2241" t="s">
        <v>22</v>
      </c>
      <c r="D48" s="2820">
        <f>'Д 7_РП'!$E$91</f>
        <v>9585.7199999999993</v>
      </c>
      <c r="E48" s="2820">
        <f>'Д 7_РП'!$F$91</f>
        <v>8654.84</v>
      </c>
      <c r="F48" s="2820">
        <v>15252.76</v>
      </c>
      <c r="G48" s="2820">
        <f>'Д 7_РП'!$G$91</f>
        <v>9459.3799999999992</v>
      </c>
      <c r="H48" s="2851"/>
      <c r="I48" s="2851"/>
      <c r="J48" s="2851"/>
      <c r="K48" s="2851"/>
      <c r="L48" s="142"/>
      <c r="M48" s="142"/>
      <c r="N48" s="142"/>
      <c r="O48" s="142"/>
      <c r="P48" s="142"/>
      <c r="Q48" s="142"/>
      <c r="R48" s="142"/>
      <c r="S48" s="142"/>
      <c r="T48" s="142"/>
      <c r="U48" s="142"/>
      <c r="V48" s="142"/>
      <c r="W48" s="142"/>
    </row>
    <row r="49" spans="1:24" x14ac:dyDescent="0.25">
      <c r="A49" s="2874"/>
      <c r="B49" s="2829"/>
      <c r="C49" s="2855"/>
      <c r="D49" s="2855"/>
      <c r="E49" s="2855"/>
      <c r="F49" s="2875"/>
      <c r="G49" s="2855"/>
      <c r="H49" s="2875"/>
      <c r="I49" s="2875"/>
      <c r="J49" s="2875"/>
      <c r="K49" s="2875"/>
      <c r="L49" s="149"/>
      <c r="M49" s="149"/>
      <c r="N49" s="149"/>
      <c r="O49" s="149"/>
      <c r="P49" s="149"/>
      <c r="Q49" s="149"/>
      <c r="R49" s="149"/>
      <c r="S49" s="149"/>
      <c r="T49" s="149"/>
      <c r="U49" s="149"/>
      <c r="V49" s="149"/>
      <c r="W49" s="149"/>
    </row>
    <row r="50" spans="1:24" s="143" customFormat="1" ht="12" x14ac:dyDescent="0.2">
      <c r="A50" s="2857" t="s">
        <v>79</v>
      </c>
      <c r="B50" s="2827"/>
      <c r="C50" s="2827"/>
      <c r="D50" s="2827"/>
      <c r="E50" s="2827"/>
      <c r="F50" s="2827"/>
      <c r="G50" s="2827"/>
      <c r="H50" s="2827"/>
      <c r="I50" s="2827"/>
      <c r="J50" s="2827"/>
      <c r="K50" s="2827"/>
      <c r="X50" s="902"/>
    </row>
    <row r="51" spans="1:24" s="143" customFormat="1" ht="12" x14ac:dyDescent="0.2">
      <c r="A51" s="2857"/>
      <c r="B51" s="2827"/>
      <c r="C51" s="2827"/>
      <c r="D51" s="2827"/>
      <c r="E51" s="2827"/>
      <c r="F51" s="2827"/>
      <c r="G51" s="2827"/>
      <c r="H51" s="2827"/>
      <c r="I51" s="2827"/>
      <c r="J51" s="2827"/>
      <c r="K51" s="2827"/>
      <c r="X51" s="902"/>
    </row>
    <row r="52" spans="1:24" s="143" customFormat="1" ht="12" x14ac:dyDescent="0.2">
      <c r="A52" s="2857"/>
      <c r="B52" s="2827"/>
      <c r="C52" s="2827"/>
      <c r="D52" s="2827"/>
      <c r="E52" s="2827"/>
      <c r="F52" s="2827"/>
      <c r="G52" s="2827"/>
      <c r="H52" s="2827"/>
      <c r="I52" s="2827"/>
      <c r="J52" s="2827"/>
      <c r="K52" s="2827"/>
      <c r="X52" s="902"/>
    </row>
    <row r="53" spans="1:24" s="143" customFormat="1" ht="12" x14ac:dyDescent="0.2">
      <c r="A53" s="2876"/>
      <c r="B53" s="2827"/>
      <c r="C53" s="2827"/>
      <c r="D53" s="2827"/>
      <c r="E53" s="2827"/>
      <c r="F53" s="2827"/>
      <c r="G53" s="2827"/>
      <c r="H53" s="2827"/>
      <c r="I53" s="2827"/>
      <c r="J53" s="2827"/>
      <c r="K53" s="2827"/>
      <c r="X53" s="902"/>
    </row>
    <row r="54" spans="1:24" s="143" customFormat="1" ht="30" x14ac:dyDescent="0.25">
      <c r="A54" s="2876"/>
      <c r="B54" s="2822" t="str">
        <f>'Вхідні дані'!B13</f>
        <v>Начальник Адміністрації морського порту Чорноморськ</v>
      </c>
      <c r="C54" s="3730" t="s">
        <v>100</v>
      </c>
      <c r="D54" s="3730"/>
      <c r="E54" s="3730"/>
      <c r="F54" s="3722" t="str">
        <f>'Вхідні дані'!F13</f>
        <v>Максим ШИРОКОВ</v>
      </c>
      <c r="G54" s="3722"/>
      <c r="H54" s="2827"/>
      <c r="I54" s="2827"/>
      <c r="J54" s="2827"/>
      <c r="K54" s="2827"/>
      <c r="X54" s="902"/>
    </row>
    <row r="55" spans="1:24" s="143" customFormat="1" ht="12" x14ac:dyDescent="0.2">
      <c r="A55" s="2876"/>
      <c r="B55" s="2877" t="s">
        <v>241</v>
      </c>
      <c r="C55" s="3728" t="s">
        <v>101</v>
      </c>
      <c r="D55" s="3728"/>
      <c r="E55" s="3728"/>
      <c r="F55" s="3728" t="s">
        <v>102</v>
      </c>
      <c r="G55" s="3728"/>
      <c r="H55" s="2827"/>
      <c r="I55" s="2827"/>
      <c r="J55" s="2827"/>
      <c r="K55" s="2827"/>
      <c r="X55" s="902"/>
    </row>
    <row r="57" spans="1:24" x14ac:dyDescent="0.25">
      <c r="F57" s="887"/>
    </row>
    <row r="58" spans="1:24" x14ac:dyDescent="0.25">
      <c r="B58" s="1134" t="s">
        <v>1956</v>
      </c>
      <c r="D58" s="888">
        <f>D43*1.2</f>
        <v>122.54</v>
      </c>
      <c r="E58" s="888">
        <f>E43*1.2</f>
        <v>153.08000000000001</v>
      </c>
      <c r="F58" s="888">
        <f>F43*1.2</f>
        <v>34.22</v>
      </c>
      <c r="G58" s="888">
        <f>G43*1.2</f>
        <v>131.28</v>
      </c>
    </row>
    <row r="60" spans="1:24" x14ac:dyDescent="0.25">
      <c r="D60" s="887"/>
      <c r="E60" s="887"/>
      <c r="F60" s="887"/>
      <c r="G60" s="887"/>
    </row>
  </sheetData>
  <mergeCells count="19">
    <mergeCell ref="E1:G1"/>
    <mergeCell ref="E2:G2"/>
    <mergeCell ref="E3:F3"/>
    <mergeCell ref="C55:E55"/>
    <mergeCell ref="F55:G55"/>
    <mergeCell ref="A7:G7"/>
    <mergeCell ref="T9:W9"/>
    <mergeCell ref="C54:E54"/>
    <mergeCell ref="F54:G54"/>
    <mergeCell ref="A5:G5"/>
    <mergeCell ref="A6:G6"/>
    <mergeCell ref="A8:G8"/>
    <mergeCell ref="A9:A11"/>
    <mergeCell ref="B9:B11"/>
    <mergeCell ref="C9:C11"/>
    <mergeCell ref="D9:G9"/>
    <mergeCell ref="H9:K9"/>
    <mergeCell ref="L9:O9"/>
    <mergeCell ref="P9:S9"/>
  </mergeCells>
  <conditionalFormatting sqref="B1:B4">
    <cfRule type="containsText" dxfId="43" priority="1" operator="containsText" text="Для корек">
      <formula>NOT(ISERROR(SEARCH("Для корек",B1)))</formula>
    </cfRule>
  </conditionalFormatting>
  <pageMargins left="0.78740157480314965" right="0.27559055118110237" top="0.49" bottom="0.16" header="0" footer="0"/>
  <pageSetup paperSize="9" scale="7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2" tint="-0.499984740745262"/>
  </sheetPr>
  <dimension ref="A2:E15"/>
  <sheetViews>
    <sheetView workbookViewId="0">
      <selection activeCell="D12" sqref="D12"/>
    </sheetView>
  </sheetViews>
  <sheetFormatPr defaultRowHeight="15" x14ac:dyDescent="0.25"/>
  <cols>
    <col min="2" max="5" width="17.85546875" customWidth="1"/>
  </cols>
  <sheetData>
    <row r="2" spans="1:5" ht="30" customHeight="1" x14ac:dyDescent="0.25">
      <c r="A2" s="4457" t="s">
        <v>2355</v>
      </c>
      <c r="B2" s="4457"/>
      <c r="C2" s="4457"/>
      <c r="D2" s="4457"/>
      <c r="E2" s="4457"/>
    </row>
    <row r="3" spans="1:5" x14ac:dyDescent="0.25">
      <c r="E3" s="166" t="s">
        <v>2338</v>
      </c>
    </row>
    <row r="4" spans="1:5" ht="63" x14ac:dyDescent="0.25">
      <c r="A4" s="1536" t="s">
        <v>1009</v>
      </c>
      <c r="B4" s="1536" t="s">
        <v>2339</v>
      </c>
      <c r="C4" s="1536" t="s">
        <v>2352</v>
      </c>
      <c r="D4" s="1536" t="s">
        <v>2353</v>
      </c>
      <c r="E4" s="1536" t="s">
        <v>2354</v>
      </c>
    </row>
    <row r="5" spans="1:5" ht="15.75" x14ac:dyDescent="0.25">
      <c r="A5" s="1523"/>
      <c r="B5" s="1538"/>
      <c r="C5" s="1538"/>
      <c r="D5" s="1538"/>
      <c r="E5" s="1539"/>
    </row>
    <row r="6" spans="1:5" ht="15.75" x14ac:dyDescent="0.25">
      <c r="A6" s="1523">
        <v>1</v>
      </c>
      <c r="B6" s="1538" t="s">
        <v>2351</v>
      </c>
      <c r="C6" s="1525">
        <v>5375.37</v>
      </c>
      <c r="D6" s="1525">
        <v>124.16</v>
      </c>
      <c r="E6" s="1525">
        <v>790</v>
      </c>
    </row>
    <row r="7" spans="1:5" ht="15.75" x14ac:dyDescent="0.25">
      <c r="A7" s="1523">
        <f>A6+1</f>
        <v>2</v>
      </c>
      <c r="B7" s="1538" t="s">
        <v>2345</v>
      </c>
      <c r="C7" s="1542">
        <v>6103.1</v>
      </c>
      <c r="D7" s="1542">
        <v>124.16</v>
      </c>
      <c r="E7" s="1543">
        <v>790</v>
      </c>
    </row>
    <row r="8" spans="1:5" ht="15.75" x14ac:dyDescent="0.25">
      <c r="A8" s="1523">
        <f t="shared" ref="A8:A11" si="0">A7+1</f>
        <v>3</v>
      </c>
      <c r="B8" s="1538" t="s">
        <v>2346</v>
      </c>
      <c r="C8" s="1542">
        <v>7331.45</v>
      </c>
      <c r="D8" s="1542">
        <v>124.16</v>
      </c>
      <c r="E8" s="1543">
        <v>840</v>
      </c>
    </row>
    <row r="9" spans="1:5" ht="15.75" x14ac:dyDescent="0.25">
      <c r="A9" s="1523">
        <f t="shared" si="0"/>
        <v>4</v>
      </c>
      <c r="B9" s="1538" t="s">
        <v>2347</v>
      </c>
      <c r="C9" s="1542">
        <v>6841.15</v>
      </c>
      <c r="D9" s="1542">
        <v>124.16</v>
      </c>
      <c r="E9" s="1543">
        <v>840</v>
      </c>
    </row>
    <row r="10" spans="1:5" ht="15.75" x14ac:dyDescent="0.25">
      <c r="A10" s="1523">
        <f t="shared" si="0"/>
        <v>5</v>
      </c>
      <c r="B10" s="1538" t="s">
        <v>2348</v>
      </c>
      <c r="C10" s="1542">
        <v>6279.77</v>
      </c>
      <c r="D10" s="1542">
        <v>124.16</v>
      </c>
      <c r="E10" s="1543">
        <v>840</v>
      </c>
    </row>
    <row r="11" spans="1:5" ht="15.75" x14ac:dyDescent="0.25">
      <c r="A11" s="1523">
        <f t="shared" si="0"/>
        <v>6</v>
      </c>
      <c r="B11" s="1538" t="s">
        <v>2349</v>
      </c>
      <c r="C11" s="1542">
        <v>6522.86</v>
      </c>
      <c r="D11" s="1542">
        <v>124.16</v>
      </c>
      <c r="E11" s="1543">
        <v>840</v>
      </c>
    </row>
    <row r="12" spans="1:5" ht="15.75" x14ac:dyDescent="0.25">
      <c r="A12" s="921"/>
      <c r="B12" s="921" t="s">
        <v>2350</v>
      </c>
      <c r="C12" s="1544">
        <f>AVERAGE(C6,C7,C8,C9,C10,C11)</f>
        <v>6408.95</v>
      </c>
      <c r="D12" s="1544">
        <f t="shared" ref="D12:E12" si="1">AVERAGE(D6,D7,D8,D9,D10,D11)</f>
        <v>124.16</v>
      </c>
      <c r="E12" s="1544">
        <f t="shared" si="1"/>
        <v>823.33</v>
      </c>
    </row>
    <row r="15" spans="1:5" s="542" customFormat="1" ht="13.9" customHeight="1" x14ac:dyDescent="0.25">
      <c r="B15" s="542" t="s">
        <v>928</v>
      </c>
      <c r="E15" s="542" t="s">
        <v>2245</v>
      </c>
    </row>
  </sheetData>
  <mergeCells count="1">
    <mergeCell ref="A2:E2"/>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tint="-0.499984740745262"/>
  </sheetPr>
  <dimension ref="A1:H16"/>
  <sheetViews>
    <sheetView workbookViewId="0">
      <selection activeCell="E16" sqref="E16"/>
    </sheetView>
  </sheetViews>
  <sheetFormatPr defaultRowHeight="15" x14ac:dyDescent="0.25"/>
  <cols>
    <col min="2" max="2" width="10.28515625" customWidth="1"/>
    <col min="3" max="3" width="11.140625" customWidth="1"/>
    <col min="4" max="4" width="10.28515625" customWidth="1"/>
    <col min="5" max="5" width="15.5703125" customWidth="1"/>
  </cols>
  <sheetData>
    <row r="1" spans="1:8" x14ac:dyDescent="0.25">
      <c r="A1" s="18" t="s">
        <v>3095</v>
      </c>
      <c r="B1" s="18"/>
      <c r="C1" s="18"/>
      <c r="D1" s="18"/>
      <c r="E1" s="18" t="s">
        <v>992</v>
      </c>
    </row>
    <row r="2" spans="1:8" ht="60" x14ac:dyDescent="0.25">
      <c r="A2" s="17" t="s">
        <v>3096</v>
      </c>
      <c r="B2" s="17" t="s">
        <v>3097</v>
      </c>
      <c r="C2" s="2373" t="s">
        <v>3098</v>
      </c>
      <c r="D2" s="17" t="s">
        <v>3099</v>
      </c>
      <c r="E2" s="17" t="s">
        <v>3100</v>
      </c>
    </row>
    <row r="3" spans="1:8" x14ac:dyDescent="0.25">
      <c r="A3" s="1882">
        <v>1</v>
      </c>
      <c r="B3" s="1882">
        <v>2</v>
      </c>
      <c r="C3" s="1366">
        <v>3</v>
      </c>
      <c r="D3" s="1882">
        <v>4</v>
      </c>
      <c r="E3" s="1882">
        <v>5</v>
      </c>
    </row>
    <row r="4" spans="1:8" x14ac:dyDescent="0.25">
      <c r="A4" s="20" t="s">
        <v>10</v>
      </c>
      <c r="B4" s="20">
        <v>179.32900000000001</v>
      </c>
      <c r="C4" s="1514">
        <f>B4*7331.45/1000</f>
        <v>1314.74</v>
      </c>
      <c r="D4" s="1365">
        <f>B4*4011.12/1000</f>
        <v>719.31</v>
      </c>
      <c r="E4" s="1365">
        <f>C4-D4</f>
        <v>595.42999999999995</v>
      </c>
    </row>
    <row r="5" spans="1:8" x14ac:dyDescent="0.25">
      <c r="A5" s="20" t="s">
        <v>11</v>
      </c>
      <c r="B5" s="20">
        <v>172.30599999999899</v>
      </c>
      <c r="C5" s="1514">
        <f>B5*6841.15/1000</f>
        <v>1178.77</v>
      </c>
      <c r="D5" s="1365">
        <f t="shared" ref="D5:D7" si="0">B5*4011.12/1000</f>
        <v>691.14</v>
      </c>
      <c r="E5" s="1365">
        <f t="shared" ref="E5:E7" si="1">C5-D5</f>
        <v>487.63</v>
      </c>
    </row>
    <row r="6" spans="1:8" x14ac:dyDescent="0.25">
      <c r="A6" s="20" t="s">
        <v>12</v>
      </c>
      <c r="B6" s="20">
        <v>152.255</v>
      </c>
      <c r="C6" s="1514">
        <f>B6*6279.77/1000</f>
        <v>956.13</v>
      </c>
      <c r="D6" s="1365">
        <f t="shared" si="0"/>
        <v>610.71</v>
      </c>
      <c r="E6" s="1365">
        <f t="shared" si="1"/>
        <v>345.42</v>
      </c>
    </row>
    <row r="7" spans="1:8" x14ac:dyDescent="0.25">
      <c r="A7" s="20" t="s">
        <v>13</v>
      </c>
      <c r="B7" s="20">
        <v>49.244999999999997</v>
      </c>
      <c r="C7" s="1514">
        <f>B7*6279.77/1000</f>
        <v>309.25</v>
      </c>
      <c r="D7" s="1365">
        <f t="shared" si="0"/>
        <v>197.53</v>
      </c>
      <c r="E7" s="1365">
        <f t="shared" si="1"/>
        <v>111.72</v>
      </c>
    </row>
    <row r="8" spans="1:8" x14ac:dyDescent="0.25">
      <c r="A8" s="1363" t="s">
        <v>998</v>
      </c>
      <c r="B8" s="1514">
        <f>SUM(B4:B7)</f>
        <v>553.13</v>
      </c>
      <c r="C8" s="1514">
        <f>SUM(C4:C7)</f>
        <v>3758.89</v>
      </c>
      <c r="D8" s="1514">
        <f>SUM(D4:D7)</f>
        <v>2218.69</v>
      </c>
      <c r="E8" s="1514">
        <f>SUM(E4:E7)</f>
        <v>1540.2</v>
      </c>
    </row>
    <row r="9" spans="1:8" x14ac:dyDescent="0.25">
      <c r="A9" s="23" t="s">
        <v>1956</v>
      </c>
      <c r="B9" s="2145"/>
      <c r="C9" s="2145">
        <f>C8*1.2</f>
        <v>4510.67</v>
      </c>
      <c r="D9" s="2145">
        <f t="shared" ref="D9:E9" si="2">D8*1.2</f>
        <v>2662.43</v>
      </c>
      <c r="E9" s="2145">
        <f t="shared" si="2"/>
        <v>1848.24</v>
      </c>
    </row>
    <row r="11" spans="1:8" ht="41.45" customHeight="1" x14ac:dyDescent="0.25">
      <c r="A11" s="4501" t="s">
        <v>3101</v>
      </c>
      <c r="B11" s="4501"/>
      <c r="C11" s="4501"/>
      <c r="D11" s="4501"/>
      <c r="E11" s="4501"/>
    </row>
    <row r="12" spans="1:8" x14ac:dyDescent="0.25">
      <c r="A12" s="35" t="s">
        <v>1371</v>
      </c>
      <c r="B12" s="35">
        <v>171.41</v>
      </c>
      <c r="C12" s="35"/>
      <c r="D12" s="35"/>
      <c r="E12" s="35"/>
    </row>
    <row r="13" spans="1:8" x14ac:dyDescent="0.25">
      <c r="A13" s="35" t="s">
        <v>3102</v>
      </c>
      <c r="B13" s="35">
        <v>10.5</v>
      </c>
      <c r="C13" s="35"/>
      <c r="D13" s="35"/>
      <c r="E13" s="35"/>
    </row>
    <row r="14" spans="1:8" x14ac:dyDescent="0.25">
      <c r="A14" s="35" t="s">
        <v>3103</v>
      </c>
      <c r="B14" s="35">
        <v>46.34</v>
      </c>
      <c r="C14" s="35"/>
      <c r="D14" s="35"/>
      <c r="E14" s="35"/>
    </row>
    <row r="15" spans="1:8" x14ac:dyDescent="0.25">
      <c r="A15" s="35" t="s">
        <v>3104</v>
      </c>
      <c r="B15" s="35">
        <v>1.08</v>
      </c>
      <c r="C15" s="35"/>
      <c r="D15" s="35"/>
      <c r="E15" s="35"/>
      <c r="F15" t="s">
        <v>3105</v>
      </c>
    </row>
    <row r="16" spans="1:8" x14ac:dyDescent="0.25">
      <c r="A16" s="35" t="s">
        <v>1376</v>
      </c>
      <c r="B16" s="35">
        <f>SUM(B12:B15)</f>
        <v>229.33</v>
      </c>
      <c r="C16" s="35">
        <f>B16/12</f>
        <v>19.1108333333333</v>
      </c>
      <c r="D16" s="35">
        <f>C16*10</f>
        <v>191.10833333333301</v>
      </c>
      <c r="E16" s="1372">
        <f>(E8-D16)/2.57142</f>
        <v>524.65</v>
      </c>
      <c r="G16">
        <v>524.65</v>
      </c>
      <c r="H16">
        <f>E16/G16</f>
        <v>1</v>
      </c>
    </row>
  </sheetData>
  <mergeCells count="1">
    <mergeCell ref="A11:E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2" tint="-0.499984740745262"/>
    <pageSetUpPr fitToPage="1"/>
  </sheetPr>
  <dimension ref="A1:IV110"/>
  <sheetViews>
    <sheetView topLeftCell="A3" zoomScale="85" zoomScaleNormal="85" zoomScaleSheetLayoutView="80" workbookViewId="0">
      <pane ySplit="11" topLeftCell="A20" activePane="bottomLeft" state="frozen"/>
      <selection activeCell="G8" sqref="G8"/>
      <selection pane="bottomLeft" activeCell="H33" sqref="H33:I33"/>
    </sheetView>
  </sheetViews>
  <sheetFormatPr defaultColWidth="8.85546875" defaultRowHeight="12.75" outlineLevelRow="1" x14ac:dyDescent="0.2"/>
  <cols>
    <col min="1" max="1" width="5.140625" style="1749" customWidth="1"/>
    <col min="2" max="2" width="31.28515625" style="1653" customWidth="1"/>
    <col min="3" max="3" width="7.42578125" style="1654" customWidth="1"/>
    <col min="4" max="4" width="9.85546875" style="1653" customWidth="1"/>
    <col min="5" max="5" width="10" style="1653" customWidth="1"/>
    <col min="6" max="6" width="9.28515625" style="1653" customWidth="1"/>
    <col min="7" max="7" width="8.7109375" style="1653" customWidth="1"/>
    <col min="8" max="8" width="10.28515625" style="1653" customWidth="1"/>
    <col min="9" max="10" width="8.7109375" style="1653" customWidth="1"/>
    <col min="11" max="11" width="8.28515625" style="1653" customWidth="1"/>
    <col min="12" max="13" width="8.7109375" style="1653" customWidth="1"/>
    <col min="14" max="19" width="9.140625" style="1653" customWidth="1"/>
    <col min="20" max="20" width="9" style="1653" customWidth="1"/>
    <col min="21" max="26" width="9.140625" style="1653" customWidth="1"/>
    <col min="27" max="27" width="11" style="1653" customWidth="1"/>
    <col min="28" max="28" width="17.140625" style="1653" customWidth="1"/>
    <col min="29" max="29" width="9.140625" style="1653" customWidth="1"/>
    <col min="30" max="30" width="10.7109375" style="1653" customWidth="1"/>
    <col min="31" max="31" width="9.140625" style="1653" customWidth="1"/>
    <col min="32" max="32" width="10.7109375" style="1653" customWidth="1"/>
    <col min="33" max="33" width="9.140625" style="1653" customWidth="1"/>
    <col min="34" max="34" width="10.42578125" style="1653" customWidth="1"/>
    <col min="35" max="252" width="9.140625" style="1653" customWidth="1"/>
    <col min="253" max="253" width="5.140625" style="1653" customWidth="1"/>
    <col min="254" max="254" width="29.42578125" style="1653" customWidth="1"/>
    <col min="255" max="255" width="6" style="1653" customWidth="1"/>
    <col min="256" max="16384" width="8.85546875" style="1653"/>
  </cols>
  <sheetData>
    <row r="1" spans="1:41" ht="12.75" hidden="1" customHeight="1" x14ac:dyDescent="0.2">
      <c r="J1" s="1655"/>
    </row>
    <row r="2" spans="1:41" ht="12.75" hidden="1" customHeight="1" x14ac:dyDescent="0.2">
      <c r="J2" s="1655"/>
    </row>
    <row r="3" spans="1:41" ht="12.75" hidden="1" customHeight="1" x14ac:dyDescent="0.2">
      <c r="J3" s="1655"/>
      <c r="U3" s="4503" t="s">
        <v>1646</v>
      </c>
      <c r="V3" s="4503"/>
      <c r="W3" s="4503"/>
    </row>
    <row r="4" spans="1:41" ht="12.75" hidden="1" customHeight="1" x14ac:dyDescent="0.2">
      <c r="J4" s="1656"/>
      <c r="U4" s="4502" t="s">
        <v>602</v>
      </c>
      <c r="V4" s="4502"/>
      <c r="W4" s="4502"/>
    </row>
    <row r="5" spans="1:41" ht="12.75" customHeight="1" x14ac:dyDescent="0.2">
      <c r="B5" s="1657"/>
      <c r="F5" s="4504"/>
      <c r="G5" s="4504"/>
      <c r="H5" s="1658"/>
      <c r="J5" s="1659"/>
      <c r="M5" s="4504"/>
      <c r="N5" s="4504"/>
      <c r="U5" s="4502"/>
      <c r="V5" s="4502"/>
      <c r="W5" s="4502"/>
    </row>
    <row r="6" spans="1:41" ht="12.75" hidden="1" customHeight="1" x14ac:dyDescent="0.2">
      <c r="H6" s="1660"/>
      <c r="J6" s="1661"/>
      <c r="U6" s="4502" t="s">
        <v>1647</v>
      </c>
      <c r="V6" s="4502"/>
      <c r="W6" s="4502"/>
    </row>
    <row r="7" spans="1:41" ht="12.75" hidden="1" customHeight="1" thickBot="1" x14ac:dyDescent="0.25">
      <c r="J7" s="1655"/>
    </row>
    <row r="8" spans="1:41" hidden="1" x14ac:dyDescent="0.2">
      <c r="B8" s="1660"/>
      <c r="J8" s="1655"/>
      <c r="Y8" s="1662" t="str">
        <f>D11</f>
        <v>Факт 2019 року</v>
      </c>
      <c r="Z8" s="1663"/>
      <c r="AA8" s="1663" t="str">
        <f>F11</f>
        <v>Факт 2020 року</v>
      </c>
      <c r="AB8" s="1664" t="str">
        <f>H11</f>
        <v>План</v>
      </c>
      <c r="AC8" s="1663"/>
      <c r="AD8" s="1663"/>
      <c r="AE8" s="1663"/>
      <c r="AF8" s="1665"/>
    </row>
    <row r="9" spans="1:41" x14ac:dyDescent="0.2">
      <c r="A9" s="1750" t="s">
        <v>1800</v>
      </c>
      <c r="B9" s="1655"/>
      <c r="C9" s="1655"/>
      <c r="D9" s="1655"/>
      <c r="E9" s="1655"/>
      <c r="F9" s="1655"/>
      <c r="G9" s="1655"/>
      <c r="H9" s="1655"/>
      <c r="I9" s="1655"/>
      <c r="J9" s="1655"/>
      <c r="K9" s="1655"/>
      <c r="L9" s="1655"/>
      <c r="M9" s="1666" t="str">
        <f>'Вхідні дані'!F5</f>
        <v>ЧФ ДП "АМПУ"</v>
      </c>
      <c r="N9" s="1666"/>
      <c r="O9" s="1666"/>
      <c r="P9" s="1666"/>
      <c r="Q9" s="1655" t="s">
        <v>460</v>
      </c>
      <c r="R9" s="1666" t="str">
        <f>'Вхідні дані'!F6</f>
        <v>2022-2023</v>
      </c>
      <c r="S9" s="1655"/>
      <c r="T9" s="1655"/>
      <c r="U9" s="1655"/>
      <c r="V9" s="1655"/>
      <c r="W9" s="1655"/>
      <c r="Y9" s="1667"/>
      <c r="AF9" s="1668"/>
    </row>
    <row r="10" spans="1:41" ht="13.5" thickBot="1" x14ac:dyDescent="0.25">
      <c r="N10" s="1669" t="s">
        <v>1648</v>
      </c>
      <c r="W10" s="1669" t="s">
        <v>1649</v>
      </c>
      <c r="Y10" s="1670">
        <f>D18/D29</f>
        <v>5.8099999999999999E-2</v>
      </c>
      <c r="AA10" s="1671">
        <f>F18/F29</f>
        <v>4.36E-2</v>
      </c>
      <c r="AB10" s="1671">
        <f>H18/H29</f>
        <v>4.7399999999999998E-2</v>
      </c>
      <c r="AC10" s="1653" t="s">
        <v>1650</v>
      </c>
      <c r="AF10" s="1668"/>
    </row>
    <row r="11" spans="1:41" ht="20.25" customHeight="1" thickBot="1" x14ac:dyDescent="0.25">
      <c r="A11" s="4512" t="s">
        <v>1651</v>
      </c>
      <c r="B11" s="4515" t="s">
        <v>355</v>
      </c>
      <c r="C11" s="4518" t="s">
        <v>1652</v>
      </c>
      <c r="D11" s="4521" t="s">
        <v>1653</v>
      </c>
      <c r="E11" s="4522"/>
      <c r="F11" s="4521" t="s">
        <v>2252</v>
      </c>
      <c r="G11" s="4522"/>
      <c r="H11" s="4523" t="s">
        <v>959</v>
      </c>
      <c r="I11" s="4524"/>
      <c r="J11" s="4524"/>
      <c r="K11" s="4524"/>
      <c r="L11" s="4524"/>
      <c r="M11" s="4524"/>
      <c r="N11" s="4524"/>
      <c r="O11" s="4524"/>
      <c r="P11" s="4524"/>
      <c r="Q11" s="4524"/>
      <c r="R11" s="4524"/>
      <c r="S11" s="4524"/>
      <c r="T11" s="4524"/>
      <c r="U11" s="4524"/>
      <c r="V11" s="4524"/>
      <c r="W11" s="4525"/>
      <c r="Y11" s="1672">
        <f>E16/D16</f>
        <v>0.3054</v>
      </c>
      <c r="Z11" s="1673"/>
      <c r="AA11" s="1674">
        <f>G16/F16</f>
        <v>0.30780000000000002</v>
      </c>
      <c r="AB11" s="1674">
        <f>I16/H16</f>
        <v>0.30359999999999998</v>
      </c>
      <c r="AC11" s="1673" t="s">
        <v>1654</v>
      </c>
      <c r="AD11" s="1673"/>
      <c r="AE11" s="1673"/>
      <c r="AF11" s="1675"/>
    </row>
    <row r="12" spans="1:41" ht="63" customHeight="1" x14ac:dyDescent="0.2">
      <c r="A12" s="4513"/>
      <c r="B12" s="4516"/>
      <c r="C12" s="4519"/>
      <c r="D12" s="4526" t="s">
        <v>1655</v>
      </c>
      <c r="E12" s="4527"/>
      <c r="F12" s="4526" t="s">
        <v>1655</v>
      </c>
      <c r="G12" s="4527"/>
      <c r="H12" s="4528" t="s">
        <v>766</v>
      </c>
      <c r="I12" s="4529"/>
      <c r="J12" s="4508" t="s">
        <v>1656</v>
      </c>
      <c r="K12" s="4509"/>
      <c r="L12" s="4508" t="s">
        <v>1657</v>
      </c>
      <c r="M12" s="4509"/>
      <c r="N12" s="4510" t="s">
        <v>2</v>
      </c>
      <c r="O12" s="4511"/>
      <c r="P12" s="4510" t="s">
        <v>1076</v>
      </c>
      <c r="Q12" s="4511"/>
      <c r="R12" s="4510" t="s">
        <v>997</v>
      </c>
      <c r="S12" s="4511"/>
      <c r="T12" s="4510" t="s">
        <v>1658</v>
      </c>
      <c r="U12" s="4511"/>
      <c r="V12" s="4510" t="s">
        <v>1659</v>
      </c>
      <c r="W12" s="4511"/>
      <c r="X12" s="1708" t="s">
        <v>1660</v>
      </c>
      <c r="Y12" s="1676" t="s">
        <v>1661</v>
      </c>
      <c r="Z12" s="1676" t="s">
        <v>1662</v>
      </c>
      <c r="AA12" s="1676" t="s">
        <v>1663</v>
      </c>
      <c r="AC12" s="4532" t="s">
        <v>1664</v>
      </c>
      <c r="AD12" s="4533"/>
      <c r="AE12" s="4533"/>
      <c r="AF12" s="4533"/>
      <c r="AG12" s="4534"/>
      <c r="AH12" s="4535"/>
      <c r="AJ12" s="4536" t="s">
        <v>1664</v>
      </c>
      <c r="AK12" s="4534"/>
      <c r="AL12" s="4534"/>
      <c r="AM12" s="4534"/>
      <c r="AN12" s="4534"/>
      <c r="AO12" s="4535"/>
    </row>
    <row r="13" spans="1:41" ht="24.75" thickBot="1" x14ac:dyDescent="0.25">
      <c r="A13" s="4514"/>
      <c r="B13" s="4517"/>
      <c r="C13" s="4520"/>
      <c r="D13" s="1711" t="s">
        <v>1665</v>
      </c>
      <c r="E13" s="1712" t="s">
        <v>1666</v>
      </c>
      <c r="F13" s="1711" t="s">
        <v>1665</v>
      </c>
      <c r="G13" s="1712" t="s">
        <v>1666</v>
      </c>
      <c r="H13" s="1711" t="s">
        <v>1665</v>
      </c>
      <c r="I13" s="1712" t="s">
        <v>1666</v>
      </c>
      <c r="J13" s="1711" t="s">
        <v>1665</v>
      </c>
      <c r="K13" s="1712" t="s">
        <v>1666</v>
      </c>
      <c r="L13" s="1711" t="s">
        <v>1665</v>
      </c>
      <c r="M13" s="1712" t="s">
        <v>1666</v>
      </c>
      <c r="N13" s="1711" t="s">
        <v>1665</v>
      </c>
      <c r="O13" s="1712" t="s">
        <v>1666</v>
      </c>
      <c r="P13" s="1711" t="s">
        <v>1665</v>
      </c>
      <c r="Q13" s="1712" t="s">
        <v>1666</v>
      </c>
      <c r="R13" s="1711" t="s">
        <v>1665</v>
      </c>
      <c r="S13" s="1712" t="s">
        <v>1666</v>
      </c>
      <c r="T13" s="1711" t="s">
        <v>1665</v>
      </c>
      <c r="U13" s="1712" t="s">
        <v>1666</v>
      </c>
      <c r="V13" s="1711" t="s">
        <v>1665</v>
      </c>
      <c r="W13" s="1712" t="s">
        <v>1666</v>
      </c>
      <c r="X13" s="1709" t="s">
        <v>1665</v>
      </c>
      <c r="Y13" s="688" t="s">
        <v>1666</v>
      </c>
      <c r="Z13" s="688" t="s">
        <v>1665</v>
      </c>
      <c r="AA13" s="688" t="s">
        <v>1666</v>
      </c>
      <c r="AC13" s="688" t="s">
        <v>1665</v>
      </c>
      <c r="AD13" s="1677"/>
      <c r="AE13" s="688" t="s">
        <v>1665</v>
      </c>
      <c r="AF13" s="1677"/>
      <c r="AG13" s="688" t="s">
        <v>1665</v>
      </c>
      <c r="AH13" s="1677"/>
      <c r="AJ13" s="688" t="s">
        <v>1666</v>
      </c>
      <c r="AK13" s="1677"/>
      <c r="AL13" s="688" t="s">
        <v>1666</v>
      </c>
      <c r="AM13" s="1677"/>
      <c r="AN13" s="688" t="s">
        <v>1666</v>
      </c>
      <c r="AO13" s="1677"/>
    </row>
    <row r="14" spans="1:41" ht="12" customHeight="1" thickBot="1" x14ac:dyDescent="0.25">
      <c r="A14" s="1949">
        <v>1</v>
      </c>
      <c r="B14" s="1950">
        <v>2</v>
      </c>
      <c r="C14" s="1951">
        <v>3</v>
      </c>
      <c r="D14" s="1715">
        <v>4</v>
      </c>
      <c r="E14" s="1714">
        <v>5</v>
      </c>
      <c r="F14" s="1715">
        <v>6</v>
      </c>
      <c r="G14" s="1714">
        <v>7</v>
      </c>
      <c r="H14" s="1715">
        <v>8</v>
      </c>
      <c r="I14" s="1714">
        <v>9</v>
      </c>
      <c r="J14" s="1715">
        <v>10</v>
      </c>
      <c r="K14" s="1714">
        <v>11</v>
      </c>
      <c r="L14" s="1715">
        <v>12</v>
      </c>
      <c r="M14" s="1714">
        <v>13</v>
      </c>
      <c r="N14" s="1715">
        <v>14</v>
      </c>
      <c r="O14" s="1714">
        <v>15</v>
      </c>
      <c r="P14" s="1715">
        <v>16</v>
      </c>
      <c r="Q14" s="1714">
        <v>17</v>
      </c>
      <c r="R14" s="1715">
        <v>18</v>
      </c>
      <c r="S14" s="1714">
        <v>19</v>
      </c>
      <c r="T14" s="1713">
        <v>20</v>
      </c>
      <c r="U14" s="1714">
        <v>21</v>
      </c>
      <c r="V14" s="1713">
        <v>22</v>
      </c>
      <c r="W14" s="1714">
        <v>23</v>
      </c>
      <c r="X14" s="1710"/>
      <c r="Y14" s="1677"/>
      <c r="Z14" s="1677"/>
      <c r="AA14" s="1677"/>
      <c r="AC14" s="1677"/>
      <c r="AD14" s="1677"/>
      <c r="AE14" s="1677"/>
      <c r="AF14" s="1677"/>
      <c r="AG14" s="1677"/>
      <c r="AH14" s="1677"/>
      <c r="AJ14" s="1677"/>
      <c r="AK14" s="1677"/>
      <c r="AL14" s="1677"/>
      <c r="AM14" s="1677"/>
      <c r="AN14" s="1677"/>
      <c r="AO14" s="1677"/>
    </row>
    <row r="15" spans="1:41" ht="15.75" customHeight="1" thickBot="1" x14ac:dyDescent="0.25">
      <c r="A15" s="4537" t="s">
        <v>1667</v>
      </c>
      <c r="B15" s="4538"/>
      <c r="C15" s="4538"/>
      <c r="D15" s="4539"/>
      <c r="E15" s="4539"/>
      <c r="F15" s="4539"/>
      <c r="G15" s="4539"/>
      <c r="H15" s="4539"/>
      <c r="I15" s="4539"/>
      <c r="J15" s="4539"/>
      <c r="K15" s="4539"/>
      <c r="L15" s="4539"/>
      <c r="M15" s="4539"/>
      <c r="N15" s="4539"/>
      <c r="O15" s="4539"/>
      <c r="P15" s="4539"/>
      <c r="Q15" s="4539"/>
      <c r="R15" s="4539"/>
      <c r="S15" s="4539"/>
      <c r="T15" s="4539"/>
      <c r="U15" s="4539"/>
      <c r="V15" s="4539"/>
      <c r="W15" s="4539"/>
      <c r="X15" s="1677"/>
      <c r="Y15" s="1677"/>
      <c r="Z15" s="1677"/>
      <c r="AA15" s="1677"/>
      <c r="AC15" s="1677"/>
      <c r="AD15" s="1677"/>
      <c r="AE15" s="1677"/>
      <c r="AF15" s="1677"/>
      <c r="AG15" s="1677"/>
      <c r="AH15" s="1677"/>
      <c r="AJ15" s="1677"/>
      <c r="AK15" s="1677"/>
      <c r="AL15" s="1677"/>
      <c r="AM15" s="1677"/>
      <c r="AN15" s="1677"/>
      <c r="AO15" s="1677"/>
    </row>
    <row r="16" spans="1:41" ht="24.75" thickBot="1" x14ac:dyDescent="0.25">
      <c r="A16" s="1751"/>
      <c r="B16" s="1733" t="s">
        <v>1668</v>
      </c>
      <c r="C16" s="1619" t="s">
        <v>1669</v>
      </c>
      <c r="D16" s="1620">
        <f t="shared" ref="D16:W16" si="0">D17+D28</f>
        <v>34847</v>
      </c>
      <c r="E16" s="1944">
        <f t="shared" si="0"/>
        <v>10641</v>
      </c>
      <c r="F16" s="1941">
        <f t="shared" si="0"/>
        <v>31524</v>
      </c>
      <c r="G16" s="1716">
        <f t="shared" si="0"/>
        <v>9704</v>
      </c>
      <c r="H16" s="1585">
        <f t="shared" si="0"/>
        <v>37013.19</v>
      </c>
      <c r="I16" s="1626">
        <f t="shared" si="0"/>
        <v>11236.32</v>
      </c>
      <c r="J16" s="1597">
        <f t="shared" si="0"/>
        <v>2187.23</v>
      </c>
      <c r="K16" s="1626">
        <f t="shared" si="0"/>
        <v>636.48</v>
      </c>
      <c r="L16" s="1597">
        <f t="shared" si="0"/>
        <v>34579.33</v>
      </c>
      <c r="M16" s="1626">
        <f t="shared" si="0"/>
        <v>10353.209999999999</v>
      </c>
      <c r="N16" s="1597">
        <f t="shared" si="0"/>
        <v>6.81</v>
      </c>
      <c r="O16" s="1626">
        <f t="shared" si="0"/>
        <v>6.81</v>
      </c>
      <c r="P16" s="1597">
        <f t="shared" si="0"/>
        <v>86.1</v>
      </c>
      <c r="Q16" s="1626">
        <f t="shared" si="0"/>
        <v>86.1</v>
      </c>
      <c r="R16" s="1599">
        <f t="shared" si="0"/>
        <v>51.08</v>
      </c>
      <c r="S16" s="1586">
        <f t="shared" si="0"/>
        <v>51.08</v>
      </c>
      <c r="T16" s="1586">
        <f t="shared" si="0"/>
        <v>61.03</v>
      </c>
      <c r="U16" s="1586">
        <f t="shared" si="0"/>
        <v>61.03</v>
      </c>
      <c r="V16" s="1586">
        <f t="shared" si="0"/>
        <v>41.61</v>
      </c>
      <c r="W16" s="1626">
        <f t="shared" si="0"/>
        <v>41.61</v>
      </c>
      <c r="X16" s="1599">
        <f>H16-D16</f>
        <v>2166.19</v>
      </c>
      <c r="Y16" s="1586">
        <f>I16-E16</f>
        <v>595.32000000000005</v>
      </c>
      <c r="Z16" s="1678">
        <f>H16-F16</f>
        <v>5489.19</v>
      </c>
      <c r="AA16" s="1678">
        <f>I16-G16</f>
        <v>1532.32</v>
      </c>
      <c r="AC16" s="1677"/>
      <c r="AD16" s="1677"/>
      <c r="AE16" s="1677"/>
      <c r="AF16" s="1677"/>
      <c r="AG16" s="1677"/>
      <c r="AH16" s="1677"/>
      <c r="AJ16" s="1679">
        <f>IF(D16=0,,E16/D16)</f>
        <v>0.3054</v>
      </c>
      <c r="AK16" s="1677"/>
      <c r="AL16" s="1679">
        <f>IF(F16=0,,G16/F16)</f>
        <v>0.30780000000000002</v>
      </c>
      <c r="AM16" s="1677"/>
      <c r="AN16" s="1679">
        <f>IF(H16=0,,I16/H16)</f>
        <v>0.30359999999999998</v>
      </c>
      <c r="AO16" s="1677"/>
    </row>
    <row r="17" spans="1:256" ht="36" x14ac:dyDescent="0.2">
      <c r="A17" s="1752" t="s">
        <v>1670</v>
      </c>
      <c r="B17" s="1734" t="s">
        <v>1671</v>
      </c>
      <c r="C17" s="1621" t="s">
        <v>1669</v>
      </c>
      <c r="D17" s="1616">
        <f t="shared" ref="D17:J17" si="1">D18+D19+D20+D22+D23+D24</f>
        <v>33859</v>
      </c>
      <c r="E17" s="1945">
        <f t="shared" si="1"/>
        <v>9850.98</v>
      </c>
      <c r="F17" s="1617">
        <f t="shared" si="1"/>
        <v>30518.05</v>
      </c>
      <c r="G17" s="1717">
        <f t="shared" si="1"/>
        <v>8880.76</v>
      </c>
      <c r="H17" s="1718">
        <f t="shared" si="1"/>
        <v>35909.9</v>
      </c>
      <c r="I17" s="1719">
        <f t="shared" si="1"/>
        <v>10449.77</v>
      </c>
      <c r="J17" s="1718">
        <f t="shared" si="1"/>
        <v>1740.49</v>
      </c>
      <c r="K17" s="1952">
        <f>K18+K19+K20+K22+K23+K24+K21</f>
        <v>506.48</v>
      </c>
      <c r="L17" s="1718">
        <f>L18+L19+L20+L21+L22+L23+L24</f>
        <v>34169.410000000003</v>
      </c>
      <c r="M17" s="1952">
        <f>M18+M19+M20+M22+M23+M24+M21</f>
        <v>9943.2900000000009</v>
      </c>
      <c r="N17" s="1718"/>
      <c r="O17" s="1952"/>
      <c r="P17" s="1718"/>
      <c r="Q17" s="1952"/>
      <c r="R17" s="1587"/>
      <c r="S17" s="1588"/>
      <c r="T17" s="1588"/>
      <c r="U17" s="1588"/>
      <c r="V17" s="1588"/>
      <c r="W17" s="1589"/>
      <c r="X17" s="1701">
        <f t="shared" ref="X17:X28" si="2">H17-D17</f>
        <v>2050.9</v>
      </c>
      <c r="Y17" s="1701">
        <f t="shared" ref="Y17:Y28" si="3">I17-E17</f>
        <v>598.79</v>
      </c>
      <c r="Z17" s="1702">
        <f t="shared" ref="Z17:Z28" si="4">H17-F17</f>
        <v>5391.85</v>
      </c>
      <c r="AA17" s="1702">
        <f t="shared" ref="AA17:AA27" si="5">I17-G17</f>
        <v>1569.01</v>
      </c>
      <c r="AC17" s="1677"/>
      <c r="AD17" s="1677"/>
      <c r="AE17" s="1677"/>
      <c r="AF17" s="1677"/>
      <c r="AG17" s="1677"/>
      <c r="AH17" s="1677"/>
      <c r="AJ17" s="1679">
        <f t="shared" ref="AJ17:AJ29" si="6">IF(D17=0,,E17/D17)</f>
        <v>0.29089999999999999</v>
      </c>
      <c r="AK17" s="1677"/>
      <c r="AL17" s="1679">
        <f t="shared" ref="AL17:AL29" si="7">IF(F17=0,,G17/F17)</f>
        <v>0.29099999999999998</v>
      </c>
      <c r="AM17" s="1677"/>
      <c r="AN17" s="1679">
        <f t="shared" ref="AN17:AN29" si="8">IF(H17=0,,I17/H17)</f>
        <v>0.29099999999999998</v>
      </c>
      <c r="AO17" s="1677"/>
    </row>
    <row r="18" spans="1:256" x14ac:dyDescent="0.2">
      <c r="A18" s="1753" t="s">
        <v>1672</v>
      </c>
      <c r="B18" s="1735" t="s">
        <v>1673</v>
      </c>
      <c r="C18" s="1622" t="s">
        <v>1669</v>
      </c>
      <c r="D18" s="1646">
        <f>1487+366</f>
        <v>1853</v>
      </c>
      <c r="E18" s="1946">
        <f>D18*0.291-0.67</f>
        <v>538.54999999999995</v>
      </c>
      <c r="F18" s="1942">
        <v>1269</v>
      </c>
      <c r="G18" s="1618">
        <f>F18*0.291</f>
        <v>369.28</v>
      </c>
      <c r="H18" s="1720">
        <f t="shared" ref="H18:I27" si="9">J18+L18</f>
        <v>1618.39</v>
      </c>
      <c r="I18" s="698">
        <f t="shared" si="9"/>
        <v>470.95</v>
      </c>
      <c r="J18" s="1720">
        <f>'[55]7. Вода та сіль Свод'!AR9</f>
        <v>1618.39</v>
      </c>
      <c r="K18" s="698">
        <f>J18*0.291</f>
        <v>470.95</v>
      </c>
      <c r="L18" s="1720"/>
      <c r="M18" s="698"/>
      <c r="N18" s="1955" t="s">
        <v>326</v>
      </c>
      <c r="O18" s="1956" t="s">
        <v>326</v>
      </c>
      <c r="P18" s="1955" t="s">
        <v>326</v>
      </c>
      <c r="Q18" s="1956" t="s">
        <v>326</v>
      </c>
      <c r="R18" s="1948" t="s">
        <v>326</v>
      </c>
      <c r="S18" s="690" t="s">
        <v>326</v>
      </c>
      <c r="T18" s="690" t="s">
        <v>326</v>
      </c>
      <c r="U18" s="690" t="s">
        <v>326</v>
      </c>
      <c r="V18" s="690" t="s">
        <v>326</v>
      </c>
      <c r="W18" s="1592" t="s">
        <v>326</v>
      </c>
      <c r="X18" s="689">
        <f t="shared" si="2"/>
        <v>-234.61</v>
      </c>
      <c r="Y18" s="689">
        <f t="shared" si="3"/>
        <v>-67.599999999999994</v>
      </c>
      <c r="Z18" s="1678">
        <f t="shared" si="4"/>
        <v>349.39</v>
      </c>
      <c r="AA18" s="1678">
        <f t="shared" si="5"/>
        <v>101.67</v>
      </c>
      <c r="AC18" s="1677"/>
      <c r="AD18" s="1677"/>
      <c r="AE18" s="1677"/>
      <c r="AF18" s="1677"/>
      <c r="AG18" s="1677"/>
      <c r="AH18" s="1677"/>
      <c r="AJ18" s="1679">
        <f t="shared" si="6"/>
        <v>0.29060000000000002</v>
      </c>
      <c r="AK18" s="1677"/>
      <c r="AL18" s="1679">
        <f t="shared" si="7"/>
        <v>0.29099999999999998</v>
      </c>
      <c r="AM18" s="1677"/>
      <c r="AN18" s="1679">
        <f t="shared" si="8"/>
        <v>0.29099999999999998</v>
      </c>
      <c r="AO18" s="1677"/>
    </row>
    <row r="19" spans="1:256" x14ac:dyDescent="0.2">
      <c r="A19" s="1753" t="s">
        <v>1674</v>
      </c>
      <c r="B19" s="1735" t="s">
        <v>1675</v>
      </c>
      <c r="C19" s="1622" t="s">
        <v>1669</v>
      </c>
      <c r="D19" s="1646">
        <f>4194</f>
        <v>4194</v>
      </c>
      <c r="E19" s="1946">
        <f>D19*0.291</f>
        <v>1220.45</v>
      </c>
      <c r="F19" s="1943">
        <f>2720.29+1466.36</f>
        <v>4186.6499999999996</v>
      </c>
      <c r="G19" s="1618">
        <f>F19*0.291</f>
        <v>1218.32</v>
      </c>
      <c r="H19" s="1720">
        <f t="shared" si="9"/>
        <v>4185.2299999999996</v>
      </c>
      <c r="I19" s="698">
        <f t="shared" si="9"/>
        <v>1217.9000000000001</v>
      </c>
      <c r="J19" s="1720"/>
      <c r="K19" s="698"/>
      <c r="L19" s="1720">
        <f>'[55]7. Вода та сіль Свод'!Q9+'[55]7. Вода та сіль Свод'!Q10</f>
        <v>4185.2299999999996</v>
      </c>
      <c r="M19" s="698">
        <f>L19*0.291</f>
        <v>1217.9000000000001</v>
      </c>
      <c r="N19" s="1955" t="s">
        <v>326</v>
      </c>
      <c r="O19" s="1956" t="s">
        <v>326</v>
      </c>
      <c r="P19" s="1955" t="s">
        <v>326</v>
      </c>
      <c r="Q19" s="1956" t="s">
        <v>326</v>
      </c>
      <c r="R19" s="1948" t="s">
        <v>326</v>
      </c>
      <c r="S19" s="690" t="s">
        <v>326</v>
      </c>
      <c r="T19" s="690" t="s">
        <v>326</v>
      </c>
      <c r="U19" s="690" t="s">
        <v>326</v>
      </c>
      <c r="V19" s="690" t="s">
        <v>326</v>
      </c>
      <c r="W19" s="1592" t="s">
        <v>326</v>
      </c>
      <c r="X19" s="689">
        <f t="shared" si="2"/>
        <v>-8.77</v>
      </c>
      <c r="Y19" s="689">
        <f t="shared" si="3"/>
        <v>-2.5499999999999998</v>
      </c>
      <c r="Z19" s="1678">
        <f t="shared" si="4"/>
        <v>-1.42</v>
      </c>
      <c r="AA19" s="1678">
        <f t="shared" si="5"/>
        <v>-0.42</v>
      </c>
      <c r="AB19" s="1653" t="s">
        <v>1676</v>
      </c>
      <c r="AC19" s="1681"/>
      <c r="AD19" s="1682">
        <f>D19+D22-AC19</f>
        <v>4878</v>
      </c>
      <c r="AE19" s="1681"/>
      <c r="AF19" s="1682">
        <f>F19+F22-AE19</f>
        <v>4335.8500000000004</v>
      </c>
      <c r="AG19" s="1677"/>
      <c r="AH19" s="1677"/>
      <c r="AJ19" s="1679">
        <f t="shared" si="6"/>
        <v>0.29099999999999998</v>
      </c>
      <c r="AK19" s="1677"/>
      <c r="AL19" s="1679">
        <f t="shared" si="7"/>
        <v>0.29099999999999998</v>
      </c>
      <c r="AM19" s="1677"/>
      <c r="AN19" s="1679">
        <f t="shared" si="8"/>
        <v>0.29099999999999998</v>
      </c>
      <c r="AO19" s="1677"/>
    </row>
    <row r="20" spans="1:256" s="1683" customFormat="1" ht="13.5" customHeight="1" x14ac:dyDescent="0.2">
      <c r="A20" s="1753" t="s">
        <v>1677</v>
      </c>
      <c r="B20" s="1735" t="s">
        <v>1678</v>
      </c>
      <c r="C20" s="1622" t="s">
        <v>1669</v>
      </c>
      <c r="D20" s="1646">
        <f>9472.1+17531.9+2</f>
        <v>27006</v>
      </c>
      <c r="E20" s="1946">
        <f>D20*0.291-1.31</f>
        <v>7857.44</v>
      </c>
      <c r="F20" s="1942">
        <f>8390.4+16399.8+1</f>
        <v>24791.200000000001</v>
      </c>
      <c r="G20" s="1618">
        <f>F20*0.291</f>
        <v>7214.24</v>
      </c>
      <c r="H20" s="1720">
        <f t="shared" si="9"/>
        <v>27885.17</v>
      </c>
      <c r="I20" s="698">
        <f t="shared" si="9"/>
        <v>8114.58</v>
      </c>
      <c r="J20" s="1720"/>
      <c r="K20" s="698">
        <f>J20*0.291</f>
        <v>0</v>
      </c>
      <c r="L20" s="1720">
        <f>'[55]7. Вода та сіль Свод'!N9+'[55]7. Вода та сіль Свод'!N10</f>
        <v>27885.17</v>
      </c>
      <c r="M20" s="698">
        <f>L20*0.291</f>
        <v>8114.58</v>
      </c>
      <c r="N20" s="1955" t="s">
        <v>326</v>
      </c>
      <c r="O20" s="1956" t="s">
        <v>326</v>
      </c>
      <c r="P20" s="1955" t="s">
        <v>326</v>
      </c>
      <c r="Q20" s="1956" t="s">
        <v>326</v>
      </c>
      <c r="R20" s="1948" t="s">
        <v>326</v>
      </c>
      <c r="S20" s="690" t="s">
        <v>326</v>
      </c>
      <c r="T20" s="690" t="s">
        <v>326</v>
      </c>
      <c r="U20" s="690" t="s">
        <v>326</v>
      </c>
      <c r="V20" s="690" t="s">
        <v>326</v>
      </c>
      <c r="W20" s="1592" t="s">
        <v>326</v>
      </c>
      <c r="X20" s="689">
        <f t="shared" si="2"/>
        <v>879.17</v>
      </c>
      <c r="Y20" s="689">
        <f t="shared" si="3"/>
        <v>257.14</v>
      </c>
      <c r="Z20" s="1678">
        <f t="shared" si="4"/>
        <v>3093.97</v>
      </c>
      <c r="AA20" s="1678">
        <f t="shared" si="5"/>
        <v>900.34</v>
      </c>
      <c r="AB20" s="1653"/>
      <c r="AC20" s="1681"/>
      <c r="AD20" s="1682">
        <f>D20-AC20</f>
        <v>27006</v>
      </c>
      <c r="AE20" s="1681"/>
      <c r="AF20" s="1682">
        <f>F20-AE20</f>
        <v>24791.200000000001</v>
      </c>
      <c r="AG20" s="1677"/>
      <c r="AH20" s="1677"/>
      <c r="AI20" s="1653"/>
      <c r="AJ20" s="1679">
        <f t="shared" si="6"/>
        <v>0.29099999999999998</v>
      </c>
      <c r="AK20" s="1677"/>
      <c r="AL20" s="1679">
        <f t="shared" si="7"/>
        <v>0.29099999999999998</v>
      </c>
      <c r="AM20" s="1677"/>
      <c r="AN20" s="1679">
        <f t="shared" si="8"/>
        <v>0.29099999999999998</v>
      </c>
      <c r="AO20" s="1677"/>
      <c r="AP20" s="1653"/>
      <c r="AQ20" s="1653"/>
      <c r="AR20" s="1653"/>
      <c r="AS20" s="1653"/>
      <c r="AT20" s="1653"/>
      <c r="AU20" s="1653"/>
      <c r="AV20" s="1653"/>
      <c r="AW20" s="1653"/>
      <c r="AX20" s="1653"/>
      <c r="AY20" s="1653"/>
      <c r="AZ20" s="1653"/>
      <c r="BA20" s="1653"/>
      <c r="BB20" s="1653"/>
      <c r="BC20" s="1653"/>
      <c r="BD20" s="1653"/>
      <c r="BE20" s="1653"/>
      <c r="BF20" s="1653"/>
      <c r="BG20" s="1653"/>
      <c r="BH20" s="1653"/>
      <c r="BI20" s="1653"/>
      <c r="BJ20" s="1653"/>
      <c r="BK20" s="1653"/>
      <c r="BL20" s="1653"/>
      <c r="BM20" s="1653"/>
      <c r="BN20" s="1653"/>
      <c r="BO20" s="1653"/>
      <c r="BP20" s="1653"/>
      <c r="BQ20" s="1653"/>
      <c r="BR20" s="1653"/>
      <c r="BS20" s="1653"/>
      <c r="BT20" s="1653"/>
      <c r="BU20" s="1653"/>
      <c r="BV20" s="1653"/>
      <c r="BW20" s="1653"/>
      <c r="BX20" s="1653"/>
      <c r="BY20" s="1653"/>
      <c r="BZ20" s="1653"/>
      <c r="CA20" s="1653"/>
      <c r="CB20" s="1653"/>
      <c r="CC20" s="1653"/>
      <c r="CD20" s="1653"/>
      <c r="CE20" s="1653"/>
      <c r="CF20" s="1653"/>
      <c r="CG20" s="1653"/>
      <c r="CH20" s="1653"/>
      <c r="CI20" s="1653"/>
      <c r="CJ20" s="1653"/>
      <c r="CK20" s="1653"/>
      <c r="CL20" s="1653"/>
      <c r="CM20" s="1653"/>
      <c r="CN20" s="1653"/>
      <c r="CO20" s="1653"/>
      <c r="CP20" s="1653"/>
      <c r="CQ20" s="1653"/>
      <c r="CR20" s="1653"/>
      <c r="CS20" s="1653"/>
      <c r="CT20" s="1653"/>
      <c r="CU20" s="1653"/>
      <c r="CV20" s="1653"/>
      <c r="CW20" s="1653"/>
      <c r="CX20" s="1653"/>
      <c r="CY20" s="1653"/>
      <c r="CZ20" s="1653"/>
      <c r="DA20" s="1653"/>
      <c r="DB20" s="1653"/>
      <c r="DC20" s="1653"/>
      <c r="DD20" s="1653"/>
      <c r="DE20" s="1653"/>
      <c r="DF20" s="1653"/>
      <c r="DG20" s="1653"/>
      <c r="DH20" s="1653"/>
      <c r="DI20" s="1653"/>
      <c r="DJ20" s="1653"/>
      <c r="DK20" s="1653"/>
      <c r="DL20" s="1653"/>
      <c r="DM20" s="1653"/>
      <c r="DN20" s="1653"/>
      <c r="DO20" s="1653"/>
      <c r="DP20" s="1653"/>
      <c r="DQ20" s="1653"/>
      <c r="DR20" s="1653"/>
      <c r="DS20" s="1653"/>
      <c r="DT20" s="1653"/>
      <c r="DU20" s="1653"/>
      <c r="DV20" s="1653"/>
      <c r="DW20" s="1653"/>
      <c r="DX20" s="1653"/>
      <c r="DY20" s="1653"/>
      <c r="DZ20" s="1653"/>
      <c r="EA20" s="1653"/>
      <c r="EB20" s="1653"/>
      <c r="EC20" s="1653"/>
      <c r="ED20" s="1653"/>
      <c r="EE20" s="1653"/>
      <c r="EF20" s="1653"/>
      <c r="EG20" s="1653"/>
      <c r="EH20" s="1653"/>
      <c r="EI20" s="1653"/>
      <c r="EJ20" s="1653"/>
      <c r="EK20" s="1653"/>
      <c r="EL20" s="1653"/>
      <c r="EM20" s="1653"/>
      <c r="EN20" s="1653"/>
      <c r="EO20" s="1653"/>
      <c r="EP20" s="1653"/>
      <c r="EQ20" s="1653"/>
      <c r="ER20" s="1653"/>
      <c r="ES20" s="1653"/>
      <c r="ET20" s="1653"/>
      <c r="EU20" s="1653"/>
      <c r="EV20" s="1653"/>
      <c r="EW20" s="1653"/>
      <c r="EX20" s="1653"/>
      <c r="EY20" s="1653"/>
      <c r="EZ20" s="1653"/>
      <c r="FA20" s="1653"/>
      <c r="FB20" s="1653"/>
      <c r="FC20" s="1653"/>
      <c r="FD20" s="1653"/>
      <c r="FE20" s="1653"/>
      <c r="FF20" s="1653"/>
      <c r="FG20" s="1653"/>
      <c r="FH20" s="1653"/>
      <c r="FI20" s="1653"/>
      <c r="FJ20" s="1653"/>
      <c r="FK20" s="1653"/>
      <c r="FL20" s="1653"/>
      <c r="FM20" s="1653"/>
      <c r="FN20" s="1653"/>
      <c r="FO20" s="1653"/>
      <c r="FP20" s="1653"/>
      <c r="FQ20" s="1653"/>
      <c r="FR20" s="1653"/>
      <c r="FS20" s="1653"/>
      <c r="FT20" s="1653"/>
      <c r="FU20" s="1653"/>
      <c r="FV20" s="1653"/>
      <c r="FW20" s="1653"/>
      <c r="FX20" s="1653"/>
      <c r="FY20" s="1653"/>
      <c r="FZ20" s="1653"/>
      <c r="GA20" s="1653"/>
      <c r="GB20" s="1653"/>
      <c r="GC20" s="1653"/>
      <c r="GD20" s="1653"/>
      <c r="GE20" s="1653"/>
      <c r="GF20" s="1653"/>
      <c r="GG20" s="1653"/>
      <c r="GH20" s="1653"/>
      <c r="GI20" s="1653"/>
      <c r="GJ20" s="1653"/>
      <c r="GK20" s="1653"/>
      <c r="GL20" s="1653"/>
      <c r="GM20" s="1653"/>
      <c r="GN20" s="1653"/>
      <c r="GO20" s="1653"/>
      <c r="GP20" s="1653"/>
      <c r="GQ20" s="1653"/>
      <c r="GR20" s="1653"/>
      <c r="GS20" s="1653"/>
      <c r="GT20" s="1653"/>
      <c r="GU20" s="1653"/>
      <c r="GV20" s="1653"/>
      <c r="GW20" s="1653"/>
      <c r="GX20" s="1653"/>
      <c r="GY20" s="1653"/>
      <c r="GZ20" s="1653"/>
      <c r="HA20" s="1653"/>
      <c r="HB20" s="1653"/>
      <c r="HC20" s="1653"/>
      <c r="HD20" s="1653"/>
      <c r="HE20" s="1653"/>
      <c r="HF20" s="1653"/>
      <c r="HG20" s="1653"/>
      <c r="HH20" s="1653"/>
      <c r="HI20" s="1653"/>
      <c r="HJ20" s="1653"/>
      <c r="HK20" s="1653"/>
      <c r="HL20" s="1653"/>
      <c r="HM20" s="1653"/>
      <c r="HN20" s="1653"/>
      <c r="HO20" s="1653"/>
      <c r="HP20" s="1653"/>
      <c r="HQ20" s="1653"/>
      <c r="HR20" s="1653"/>
      <c r="HS20" s="1653"/>
      <c r="HT20" s="1653"/>
      <c r="HU20" s="1653"/>
      <c r="HV20" s="1653"/>
      <c r="HW20" s="1653"/>
      <c r="HX20" s="1653"/>
      <c r="HY20" s="1653"/>
      <c r="HZ20" s="1653"/>
      <c r="IA20" s="1653"/>
      <c r="IB20" s="1653"/>
      <c r="IC20" s="1653"/>
      <c r="ID20" s="1653"/>
      <c r="IE20" s="1653"/>
      <c r="IF20" s="1653"/>
      <c r="IG20" s="1653"/>
      <c r="IH20" s="1653"/>
      <c r="II20" s="1653"/>
      <c r="IJ20" s="1653"/>
      <c r="IK20" s="1653"/>
      <c r="IL20" s="1653"/>
      <c r="IM20" s="1653"/>
      <c r="IN20" s="1653"/>
      <c r="IO20" s="1653"/>
      <c r="IP20" s="1653"/>
      <c r="IQ20" s="1653"/>
      <c r="IR20" s="1653"/>
      <c r="IS20" s="1653"/>
      <c r="IT20" s="1653"/>
      <c r="IU20" s="1653"/>
      <c r="IV20" s="1653"/>
    </row>
    <row r="21" spans="1:256" ht="36" x14ac:dyDescent="0.2">
      <c r="A21" s="1753" t="s">
        <v>1679</v>
      </c>
      <c r="B21" s="1735" t="s">
        <v>2362</v>
      </c>
      <c r="C21" s="1622" t="s">
        <v>1669</v>
      </c>
      <c r="D21" s="1646">
        <f>D92*0.0025*D93*24</f>
        <v>37492.93</v>
      </c>
      <c r="E21" s="1946">
        <f>D21*0.291</f>
        <v>10910.44</v>
      </c>
      <c r="F21" s="1942">
        <f>F92*0.0025*F93*24</f>
        <v>39259.800000000003</v>
      </c>
      <c r="G21" s="1618">
        <f>F21*0.291</f>
        <v>11424.6</v>
      </c>
      <c r="H21" s="1590">
        <f>H92*0.0025*H93*24</f>
        <v>0</v>
      </c>
      <c r="I21" s="1721">
        <f>H21*0.291</f>
        <v>0</v>
      </c>
      <c r="J21" s="1720"/>
      <c r="K21" s="698"/>
      <c r="L21" s="1720"/>
      <c r="M21" s="698">
        <f>L21*0.291</f>
        <v>0</v>
      </c>
      <c r="N21" s="1955" t="s">
        <v>326</v>
      </c>
      <c r="O21" s="1956" t="s">
        <v>326</v>
      </c>
      <c r="P21" s="1955" t="s">
        <v>326</v>
      </c>
      <c r="Q21" s="1956" t="s">
        <v>326</v>
      </c>
      <c r="R21" s="1948" t="s">
        <v>326</v>
      </c>
      <c r="S21" s="690" t="s">
        <v>326</v>
      </c>
      <c r="T21" s="690" t="s">
        <v>326</v>
      </c>
      <c r="U21" s="690" t="s">
        <v>326</v>
      </c>
      <c r="V21" s="690" t="s">
        <v>326</v>
      </c>
      <c r="W21" s="1592" t="s">
        <v>326</v>
      </c>
      <c r="X21" s="689">
        <f t="shared" si="2"/>
        <v>-37492.93</v>
      </c>
      <c r="Y21" s="689">
        <f t="shared" si="3"/>
        <v>-10910.44</v>
      </c>
      <c r="Z21" s="1678">
        <f t="shared" si="4"/>
        <v>-39259.800000000003</v>
      </c>
      <c r="AA21" s="1678">
        <f t="shared" si="5"/>
        <v>-11424.6</v>
      </c>
      <c r="AC21" s="1681"/>
      <c r="AD21" s="1682">
        <f>D21-AC21</f>
        <v>37492.93</v>
      </c>
      <c r="AE21" s="1681"/>
      <c r="AF21" s="1682">
        <f>F21-AE21</f>
        <v>39259.800000000003</v>
      </c>
      <c r="AG21" s="1681"/>
      <c r="AH21" s="1682">
        <f>H21-AG21</f>
        <v>0</v>
      </c>
      <c r="AJ21" s="1679">
        <f t="shared" si="6"/>
        <v>0.29099999999999998</v>
      </c>
      <c r="AK21" s="1677"/>
      <c r="AL21" s="1679">
        <f t="shared" si="7"/>
        <v>0.29099999999999998</v>
      </c>
      <c r="AM21" s="1677"/>
      <c r="AN21" s="1679">
        <f t="shared" si="8"/>
        <v>0</v>
      </c>
      <c r="AO21" s="1677"/>
    </row>
    <row r="22" spans="1:256" ht="24" x14ac:dyDescent="0.2">
      <c r="A22" s="1753" t="s">
        <v>1680</v>
      </c>
      <c r="B22" s="1735" t="s">
        <v>1681</v>
      </c>
      <c r="C22" s="1622" t="s">
        <v>1669</v>
      </c>
      <c r="D22" s="1646">
        <v>684</v>
      </c>
      <c r="E22" s="1946">
        <f>D22*0.291</f>
        <v>199.04</v>
      </c>
      <c r="F22" s="1942">
        <f>149.2</f>
        <v>149.19999999999999</v>
      </c>
      <c r="G22" s="1618">
        <f>F22*0.291</f>
        <v>43.42</v>
      </c>
      <c r="H22" s="1720">
        <f t="shared" si="9"/>
        <v>2099.0100000000002</v>
      </c>
      <c r="I22" s="698">
        <f t="shared" si="9"/>
        <v>610.80999999999995</v>
      </c>
      <c r="J22" s="1720"/>
      <c r="K22" s="698"/>
      <c r="L22" s="1720">
        <f>'[55]7. Вода та сіль Свод'!AY9</f>
        <v>2099.0100000000002</v>
      </c>
      <c r="M22" s="698">
        <f>L22*0.291</f>
        <v>610.80999999999995</v>
      </c>
      <c r="N22" s="1955" t="s">
        <v>326</v>
      </c>
      <c r="O22" s="1956" t="s">
        <v>326</v>
      </c>
      <c r="P22" s="1955" t="s">
        <v>326</v>
      </c>
      <c r="Q22" s="1956" t="s">
        <v>326</v>
      </c>
      <c r="R22" s="1948" t="s">
        <v>326</v>
      </c>
      <c r="S22" s="690" t="s">
        <v>326</v>
      </c>
      <c r="T22" s="690" t="s">
        <v>326</v>
      </c>
      <c r="U22" s="690" t="s">
        <v>326</v>
      </c>
      <c r="V22" s="690" t="s">
        <v>326</v>
      </c>
      <c r="W22" s="1592" t="s">
        <v>326</v>
      </c>
      <c r="X22" s="689">
        <f t="shared" si="2"/>
        <v>1415.01</v>
      </c>
      <c r="Y22" s="689">
        <f t="shared" si="3"/>
        <v>411.77</v>
      </c>
      <c r="Z22" s="1678">
        <f t="shared" si="4"/>
        <v>1949.81</v>
      </c>
      <c r="AA22" s="1678">
        <f t="shared" si="5"/>
        <v>567.39</v>
      </c>
      <c r="AC22" s="1677"/>
      <c r="AD22" s="1677"/>
      <c r="AE22" s="1677"/>
      <c r="AF22" s="1677"/>
      <c r="AG22" s="1677"/>
      <c r="AH22" s="1677"/>
      <c r="AJ22" s="1679">
        <f t="shared" si="6"/>
        <v>0.29099999999999998</v>
      </c>
      <c r="AK22" s="1677"/>
      <c r="AL22" s="1679">
        <f t="shared" si="7"/>
        <v>0.29099999999999998</v>
      </c>
      <c r="AM22" s="1677"/>
      <c r="AN22" s="1679">
        <f t="shared" si="8"/>
        <v>0.29099999999999998</v>
      </c>
      <c r="AO22" s="1677"/>
    </row>
    <row r="23" spans="1:256" ht="15.6" customHeight="1" x14ac:dyDescent="0.2">
      <c r="A23" s="1753" t="s">
        <v>1682</v>
      </c>
      <c r="B23" s="1735" t="s">
        <v>1683</v>
      </c>
      <c r="C23" s="1622" t="s">
        <v>1669</v>
      </c>
      <c r="D23" s="1646"/>
      <c r="E23" s="1946"/>
      <c r="F23" s="1942"/>
      <c r="G23" s="1618"/>
      <c r="H23" s="1720">
        <f t="shared" si="9"/>
        <v>0</v>
      </c>
      <c r="I23" s="698">
        <f t="shared" si="9"/>
        <v>0</v>
      </c>
      <c r="J23" s="1720"/>
      <c r="K23" s="698"/>
      <c r="L23" s="1720"/>
      <c r="M23" s="698"/>
      <c r="N23" s="1955" t="s">
        <v>326</v>
      </c>
      <c r="O23" s="1956" t="s">
        <v>326</v>
      </c>
      <c r="P23" s="1955" t="s">
        <v>326</v>
      </c>
      <c r="Q23" s="1956" t="s">
        <v>326</v>
      </c>
      <c r="R23" s="1948" t="s">
        <v>326</v>
      </c>
      <c r="S23" s="690" t="s">
        <v>326</v>
      </c>
      <c r="T23" s="690" t="s">
        <v>326</v>
      </c>
      <c r="U23" s="690" t="s">
        <v>326</v>
      </c>
      <c r="V23" s="690" t="s">
        <v>326</v>
      </c>
      <c r="W23" s="1592" t="s">
        <v>326</v>
      </c>
      <c r="X23" s="689">
        <f t="shared" si="2"/>
        <v>0</v>
      </c>
      <c r="Y23" s="689">
        <f t="shared" si="3"/>
        <v>0</v>
      </c>
      <c r="Z23" s="1678">
        <f t="shared" si="4"/>
        <v>0</v>
      </c>
      <c r="AA23" s="1678">
        <f t="shared" si="5"/>
        <v>0</v>
      </c>
      <c r="AC23" s="1677"/>
      <c r="AD23" s="1677"/>
      <c r="AE23" s="1677"/>
      <c r="AF23" s="1677"/>
      <c r="AG23" s="1677"/>
      <c r="AH23" s="1677"/>
      <c r="AJ23" s="1679">
        <f t="shared" si="6"/>
        <v>0</v>
      </c>
      <c r="AK23" s="1677"/>
      <c r="AL23" s="1679">
        <f t="shared" si="7"/>
        <v>0</v>
      </c>
      <c r="AM23" s="1677"/>
      <c r="AN23" s="1679">
        <f t="shared" si="8"/>
        <v>0</v>
      </c>
      <c r="AO23" s="1677"/>
    </row>
    <row r="24" spans="1:256" ht="36" customHeight="1" x14ac:dyDescent="0.2">
      <c r="A24" s="1753" t="s">
        <v>1684</v>
      </c>
      <c r="B24" s="1735" t="s">
        <v>1685</v>
      </c>
      <c r="C24" s="1622" t="s">
        <v>1669</v>
      </c>
      <c r="D24" s="1646">
        <f t="shared" ref="D24:G24" si="10">D25+D26+D27</f>
        <v>122</v>
      </c>
      <c r="E24" s="1946">
        <f t="shared" si="10"/>
        <v>35.5</v>
      </c>
      <c r="F24" s="1942">
        <f t="shared" si="10"/>
        <v>122</v>
      </c>
      <c r="G24" s="1618">
        <f t="shared" si="10"/>
        <v>35.5</v>
      </c>
      <c r="H24" s="1720">
        <f t="shared" si="9"/>
        <v>122.1</v>
      </c>
      <c r="I24" s="698">
        <f t="shared" si="9"/>
        <v>35.53</v>
      </c>
      <c r="J24" s="1720">
        <f>J25+J26+J27</f>
        <v>122.1</v>
      </c>
      <c r="K24" s="698">
        <f>K25+K26+K27</f>
        <v>35.53</v>
      </c>
      <c r="L24" s="1720">
        <f>L25+L26+L27</f>
        <v>0</v>
      </c>
      <c r="M24" s="698">
        <f>M25+M26+M27</f>
        <v>0</v>
      </c>
      <c r="N24" s="1955" t="s">
        <v>326</v>
      </c>
      <c r="O24" s="1956" t="s">
        <v>326</v>
      </c>
      <c r="P24" s="1955" t="s">
        <v>326</v>
      </c>
      <c r="Q24" s="1956" t="s">
        <v>326</v>
      </c>
      <c r="R24" s="1948" t="s">
        <v>326</v>
      </c>
      <c r="S24" s="690" t="s">
        <v>326</v>
      </c>
      <c r="T24" s="690" t="s">
        <v>326</v>
      </c>
      <c r="U24" s="690" t="s">
        <v>326</v>
      </c>
      <c r="V24" s="690" t="s">
        <v>326</v>
      </c>
      <c r="W24" s="1592" t="s">
        <v>326</v>
      </c>
      <c r="X24" s="689">
        <f t="shared" si="2"/>
        <v>0.1</v>
      </c>
      <c r="Y24" s="689">
        <f t="shared" si="3"/>
        <v>0.03</v>
      </c>
      <c r="Z24" s="1678">
        <f t="shared" si="4"/>
        <v>0.1</v>
      </c>
      <c r="AA24" s="1678">
        <f t="shared" si="5"/>
        <v>0.03</v>
      </c>
      <c r="AC24" s="1677"/>
      <c r="AD24" s="1677"/>
      <c r="AE24" s="1677"/>
      <c r="AF24" s="1677"/>
      <c r="AG24" s="1677"/>
      <c r="AH24" s="1677"/>
      <c r="AJ24" s="1679">
        <f t="shared" si="6"/>
        <v>0.29099999999999998</v>
      </c>
      <c r="AK24" s="1677"/>
      <c r="AL24" s="1679">
        <f t="shared" si="7"/>
        <v>0.29099999999999998</v>
      </c>
      <c r="AM24" s="1677"/>
      <c r="AN24" s="1679">
        <f t="shared" si="8"/>
        <v>0.29099999999999998</v>
      </c>
      <c r="AO24" s="1677"/>
    </row>
    <row r="25" spans="1:256" x14ac:dyDescent="0.2">
      <c r="A25" s="1754" t="s">
        <v>1686</v>
      </c>
      <c r="B25" s="1736" t="s">
        <v>1687</v>
      </c>
      <c r="C25" s="1622" t="s">
        <v>1669</v>
      </c>
      <c r="D25" s="1646">
        <v>122</v>
      </c>
      <c r="E25" s="1946">
        <f>D25*0.291</f>
        <v>35.5</v>
      </c>
      <c r="F25" s="1942">
        <v>122</v>
      </c>
      <c r="G25" s="1618">
        <f>F25*0.291</f>
        <v>35.5</v>
      </c>
      <c r="H25" s="1720">
        <f t="shared" si="9"/>
        <v>122.1</v>
      </c>
      <c r="I25" s="698">
        <f t="shared" si="9"/>
        <v>35.53</v>
      </c>
      <c r="J25" s="1720">
        <f>'[55]7. Вода та сіль Свод'!V75</f>
        <v>122.1</v>
      </c>
      <c r="K25" s="698">
        <f>J25*0.291</f>
        <v>35.53</v>
      </c>
      <c r="L25" s="1720"/>
      <c r="M25" s="698"/>
      <c r="N25" s="1955" t="s">
        <v>326</v>
      </c>
      <c r="O25" s="1956" t="s">
        <v>326</v>
      </c>
      <c r="P25" s="1955" t="s">
        <v>326</v>
      </c>
      <c r="Q25" s="1956" t="s">
        <v>326</v>
      </c>
      <c r="R25" s="1948" t="s">
        <v>326</v>
      </c>
      <c r="S25" s="690" t="s">
        <v>326</v>
      </c>
      <c r="T25" s="690" t="s">
        <v>326</v>
      </c>
      <c r="U25" s="690" t="s">
        <v>326</v>
      </c>
      <c r="V25" s="690" t="s">
        <v>326</v>
      </c>
      <c r="W25" s="1592" t="s">
        <v>326</v>
      </c>
      <c r="X25" s="689">
        <f t="shared" si="2"/>
        <v>0.1</v>
      </c>
      <c r="Y25" s="689">
        <f t="shared" si="3"/>
        <v>0.03</v>
      </c>
      <c r="Z25" s="1678">
        <f t="shared" si="4"/>
        <v>0.1</v>
      </c>
      <c r="AA25" s="1678">
        <f t="shared" si="5"/>
        <v>0.03</v>
      </c>
      <c r="AC25" s="1677"/>
      <c r="AD25" s="1677"/>
      <c r="AE25" s="1677"/>
      <c r="AF25" s="1677"/>
      <c r="AG25" s="1677"/>
      <c r="AH25" s="1677"/>
      <c r="AJ25" s="1679"/>
      <c r="AK25" s="1677"/>
      <c r="AL25" s="1679"/>
      <c r="AM25" s="1677"/>
      <c r="AN25" s="1679"/>
      <c r="AO25" s="1677"/>
    </row>
    <row r="26" spans="1:256" x14ac:dyDescent="0.2">
      <c r="A26" s="1754" t="s">
        <v>1688</v>
      </c>
      <c r="B26" s="1736" t="s">
        <v>1689</v>
      </c>
      <c r="C26" s="1622" t="s">
        <v>1669</v>
      </c>
      <c r="D26" s="1646"/>
      <c r="E26" s="1946"/>
      <c r="F26" s="1942"/>
      <c r="G26" s="1618"/>
      <c r="H26" s="1720">
        <f t="shared" si="9"/>
        <v>0</v>
      </c>
      <c r="I26" s="698">
        <f t="shared" si="9"/>
        <v>0</v>
      </c>
      <c r="J26" s="1720"/>
      <c r="K26" s="698"/>
      <c r="L26" s="1720"/>
      <c r="M26" s="698"/>
      <c r="N26" s="1955" t="s">
        <v>326</v>
      </c>
      <c r="O26" s="1956" t="s">
        <v>326</v>
      </c>
      <c r="P26" s="1955" t="s">
        <v>326</v>
      </c>
      <c r="Q26" s="1956" t="s">
        <v>326</v>
      </c>
      <c r="R26" s="1948" t="s">
        <v>326</v>
      </c>
      <c r="S26" s="690" t="s">
        <v>326</v>
      </c>
      <c r="T26" s="690" t="s">
        <v>326</v>
      </c>
      <c r="U26" s="690" t="s">
        <v>326</v>
      </c>
      <c r="V26" s="690" t="s">
        <v>326</v>
      </c>
      <c r="W26" s="1592" t="s">
        <v>326</v>
      </c>
      <c r="X26" s="689">
        <f t="shared" si="2"/>
        <v>0</v>
      </c>
      <c r="Y26" s="689">
        <f t="shared" si="3"/>
        <v>0</v>
      </c>
      <c r="Z26" s="1678">
        <f t="shared" si="4"/>
        <v>0</v>
      </c>
      <c r="AA26" s="1678">
        <f t="shared" si="5"/>
        <v>0</v>
      </c>
      <c r="AC26" s="1677"/>
      <c r="AD26" s="1677"/>
      <c r="AE26" s="1677"/>
      <c r="AF26" s="1677"/>
      <c r="AG26" s="1677"/>
      <c r="AH26" s="1677"/>
      <c r="AJ26" s="1679"/>
      <c r="AK26" s="1677"/>
      <c r="AL26" s="1679"/>
      <c r="AM26" s="1677"/>
      <c r="AN26" s="1679"/>
      <c r="AO26" s="1677"/>
    </row>
    <row r="27" spans="1:256" ht="13.15" customHeight="1" thickBot="1" x14ac:dyDescent="0.25">
      <c r="A27" s="1754" t="s">
        <v>1690</v>
      </c>
      <c r="B27" s="1736" t="s">
        <v>1691</v>
      </c>
      <c r="C27" s="1622" t="s">
        <v>1669</v>
      </c>
      <c r="D27" s="1646"/>
      <c r="E27" s="1946"/>
      <c r="F27" s="1942"/>
      <c r="G27" s="1618"/>
      <c r="H27" s="1720">
        <f t="shared" si="9"/>
        <v>0</v>
      </c>
      <c r="I27" s="698">
        <f t="shared" si="9"/>
        <v>0</v>
      </c>
      <c r="J27" s="1720"/>
      <c r="K27" s="698"/>
      <c r="L27" s="1720"/>
      <c r="M27" s="698"/>
      <c r="N27" s="1955" t="s">
        <v>326</v>
      </c>
      <c r="O27" s="1956" t="s">
        <v>326</v>
      </c>
      <c r="P27" s="1955" t="s">
        <v>326</v>
      </c>
      <c r="Q27" s="1956" t="s">
        <v>326</v>
      </c>
      <c r="R27" s="1948" t="s">
        <v>326</v>
      </c>
      <c r="S27" s="690" t="s">
        <v>326</v>
      </c>
      <c r="T27" s="690" t="s">
        <v>326</v>
      </c>
      <c r="U27" s="690" t="s">
        <v>326</v>
      </c>
      <c r="V27" s="690" t="s">
        <v>326</v>
      </c>
      <c r="W27" s="1592" t="s">
        <v>326</v>
      </c>
      <c r="X27" s="1703">
        <f t="shared" si="2"/>
        <v>0</v>
      </c>
      <c r="Y27" s="1703">
        <f t="shared" si="3"/>
        <v>0</v>
      </c>
      <c r="Z27" s="1704">
        <f t="shared" si="4"/>
        <v>0</v>
      </c>
      <c r="AA27" s="1704">
        <f t="shared" si="5"/>
        <v>0</v>
      </c>
      <c r="AC27" s="1677"/>
      <c r="AD27" s="1677"/>
      <c r="AE27" s="1677"/>
      <c r="AF27" s="1677"/>
      <c r="AG27" s="1677"/>
      <c r="AH27" s="1677"/>
      <c r="AJ27" s="1679"/>
      <c r="AK27" s="1677"/>
      <c r="AL27" s="1679"/>
      <c r="AM27" s="1677"/>
      <c r="AN27" s="1679"/>
      <c r="AO27" s="1677"/>
    </row>
    <row r="28" spans="1:256" ht="39" customHeight="1" thickBot="1" x14ac:dyDescent="0.25">
      <c r="A28" s="1755" t="s">
        <v>1692</v>
      </c>
      <c r="B28" s="1736" t="s">
        <v>1693</v>
      </c>
      <c r="C28" s="1624" t="s">
        <v>1669</v>
      </c>
      <c r="D28" s="1595">
        <f>279+443.6+9.49+37.58+131.89+86.47</f>
        <v>988.03</v>
      </c>
      <c r="E28" s="1947">
        <f>81.18+443.41+9.49+86.47+37.58+131.9</f>
        <v>790.03</v>
      </c>
      <c r="F28" s="1591">
        <f>259.8+468.1+9.2+59.1+107.5+83.1+19.1</f>
        <v>1005.9</v>
      </c>
      <c r="G28" s="1623">
        <v>823.38</v>
      </c>
      <c r="H28" s="1593">
        <f>J28+L28+N28+P28+R28+T28+V28</f>
        <v>1103.29</v>
      </c>
      <c r="I28" s="1722">
        <f>K28+M28+O28+Q28+S28+U28+W28</f>
        <v>786.55</v>
      </c>
      <c r="J28" s="1720">
        <f>'[55]2. вода ГП'!E92+'[55]Душові сітки'!E47</f>
        <v>446.74</v>
      </c>
      <c r="K28" s="698">
        <f>J28*0.291</f>
        <v>130</v>
      </c>
      <c r="L28" s="1720">
        <f>'[55]2. вода ГП'!F92+'[55]Душові сітки'!F47</f>
        <v>409.92</v>
      </c>
      <c r="M28" s="698">
        <f>L28</f>
        <v>409.92</v>
      </c>
      <c r="N28" s="1593">
        <f>'[55]2. вода ГП'!G92</f>
        <v>6.81</v>
      </c>
      <c r="O28" s="1722">
        <f>N28</f>
        <v>6.81</v>
      </c>
      <c r="P28" s="1593">
        <f>'[55]2. вода ГП'!H92</f>
        <v>86.1</v>
      </c>
      <c r="Q28" s="1722">
        <f>P28</f>
        <v>86.1</v>
      </c>
      <c r="R28" s="1953">
        <f>'[55]2. вода ГП'!I92</f>
        <v>51.08</v>
      </c>
      <c r="S28" s="1596">
        <f>R28</f>
        <v>51.08</v>
      </c>
      <c r="T28" s="1596">
        <f>'[55]2. вода ГП'!J92</f>
        <v>61.03</v>
      </c>
      <c r="U28" s="1596">
        <f>T28</f>
        <v>61.03</v>
      </c>
      <c r="V28" s="1596">
        <f>'[55]2. вода ГП'!K92</f>
        <v>41.61</v>
      </c>
      <c r="W28" s="1594">
        <f>V28</f>
        <v>41.61</v>
      </c>
      <c r="X28" s="1586">
        <f t="shared" si="2"/>
        <v>115.26</v>
      </c>
      <c r="Y28" s="1586">
        <f t="shared" si="3"/>
        <v>-3.48</v>
      </c>
      <c r="Z28" s="1678">
        <f t="shared" si="4"/>
        <v>97.39</v>
      </c>
      <c r="AA28" s="1678">
        <f t="shared" ref="Z28:AA29" si="11">IF(I28=0,0,(I28-G28)/G28*100)</f>
        <v>-4.47</v>
      </c>
      <c r="AC28" s="1677"/>
      <c r="AD28" s="1677"/>
      <c r="AE28" s="1677"/>
      <c r="AF28" s="1677"/>
      <c r="AG28" s="1677"/>
      <c r="AH28" s="1677"/>
      <c r="AJ28" s="1679">
        <f t="shared" si="6"/>
        <v>0.79959999999999998</v>
      </c>
      <c r="AK28" s="1677"/>
      <c r="AL28" s="1679">
        <f t="shared" si="7"/>
        <v>0.81859999999999999</v>
      </c>
      <c r="AM28" s="1677"/>
      <c r="AN28" s="1679">
        <f t="shared" si="8"/>
        <v>0.71289999999999998</v>
      </c>
      <c r="AO28" s="1677"/>
    </row>
    <row r="29" spans="1:256" ht="38.450000000000003" customHeight="1" thickBot="1" x14ac:dyDescent="0.25">
      <c r="A29" s="1756" t="s">
        <v>1694</v>
      </c>
      <c r="B29" s="1737" t="s">
        <v>1695</v>
      </c>
      <c r="C29" s="1625" t="s">
        <v>1669</v>
      </c>
      <c r="D29" s="1597">
        <f>D19+D20+D22</f>
        <v>31884</v>
      </c>
      <c r="E29" s="1598" t="s">
        <v>326</v>
      </c>
      <c r="F29" s="1948">
        <f>F19+F20+F22</f>
        <v>29127.05</v>
      </c>
      <c r="G29" s="1592"/>
      <c r="H29" s="1597">
        <f>J29+L29</f>
        <v>34169.410000000003</v>
      </c>
      <c r="I29" s="1598" t="s">
        <v>326</v>
      </c>
      <c r="J29" s="1597">
        <v>0</v>
      </c>
      <c r="K29" s="1598" t="s">
        <v>326</v>
      </c>
      <c r="L29" s="1597">
        <f>L19+L20+L22</f>
        <v>34169.410000000003</v>
      </c>
      <c r="M29" s="1598" t="s">
        <v>326</v>
      </c>
      <c r="N29" s="1585" t="s">
        <v>326</v>
      </c>
      <c r="O29" s="1598" t="s">
        <v>326</v>
      </c>
      <c r="P29" s="1585" t="s">
        <v>326</v>
      </c>
      <c r="Q29" s="1598" t="s">
        <v>326</v>
      </c>
      <c r="R29" s="1954" t="s">
        <v>326</v>
      </c>
      <c r="S29" s="1601" t="s">
        <v>326</v>
      </c>
      <c r="T29" s="1601" t="s">
        <v>326</v>
      </c>
      <c r="U29" s="1601" t="s">
        <v>326</v>
      </c>
      <c r="V29" s="1601" t="s">
        <v>326</v>
      </c>
      <c r="W29" s="1600" t="s">
        <v>326</v>
      </c>
      <c r="X29" s="1631" t="s">
        <v>326</v>
      </c>
      <c r="Y29" s="1632" t="s">
        <v>326</v>
      </c>
      <c r="Z29" s="1680">
        <f t="shared" si="11"/>
        <v>17.309999999999999</v>
      </c>
      <c r="AA29" s="1680"/>
      <c r="AC29" s="1677"/>
      <c r="AD29" s="1677"/>
      <c r="AE29" s="1677"/>
      <c r="AF29" s="1677"/>
      <c r="AG29" s="1677"/>
      <c r="AH29" s="1677"/>
      <c r="AJ29" s="1679" t="e">
        <f t="shared" si="6"/>
        <v>#VALUE!</v>
      </c>
      <c r="AK29" s="1677"/>
      <c r="AL29" s="1679">
        <f t="shared" si="7"/>
        <v>0</v>
      </c>
      <c r="AM29" s="1677"/>
      <c r="AN29" s="1679" t="e">
        <f t="shared" si="8"/>
        <v>#VALUE!</v>
      </c>
      <c r="AO29" s="1677"/>
    </row>
    <row r="30" spans="1:256" ht="13.5" thickBot="1" x14ac:dyDescent="0.25">
      <c r="A30" s="4530" t="s">
        <v>1696</v>
      </c>
      <c r="B30" s="4531"/>
      <c r="C30" s="4531"/>
      <c r="D30" s="4531"/>
      <c r="E30" s="4531"/>
      <c r="F30" s="4531"/>
      <c r="G30" s="4531"/>
      <c r="H30" s="4531"/>
      <c r="I30" s="4531"/>
      <c r="J30" s="4531"/>
      <c r="K30" s="4531"/>
      <c r="L30" s="4531"/>
      <c r="M30" s="4531"/>
      <c r="N30" s="4531"/>
      <c r="O30" s="4531"/>
      <c r="P30" s="4531"/>
      <c r="Q30" s="4531"/>
      <c r="R30" s="4531"/>
      <c r="S30" s="4531"/>
      <c r="T30" s="4531"/>
      <c r="U30" s="4531"/>
      <c r="V30" s="4531"/>
      <c r="W30" s="4531"/>
      <c r="X30" s="4531"/>
      <c r="Y30" s="4531"/>
      <c r="Z30" s="1684"/>
      <c r="AA30" s="1684"/>
      <c r="AC30" s="1677"/>
      <c r="AD30" s="1677"/>
      <c r="AE30" s="1677"/>
      <c r="AF30" s="1677"/>
      <c r="AG30" s="1677"/>
      <c r="AH30" s="1677"/>
      <c r="AJ30" s="1677"/>
      <c r="AK30" s="1677"/>
      <c r="AL30" s="1677"/>
      <c r="AM30" s="1677"/>
      <c r="AN30" s="1677"/>
      <c r="AO30" s="1677"/>
    </row>
    <row r="31" spans="1:256" ht="24" x14ac:dyDescent="0.2">
      <c r="A31" s="1757" t="s">
        <v>1697</v>
      </c>
      <c r="B31" s="1738" t="s">
        <v>1698</v>
      </c>
      <c r="C31" s="1627" t="s">
        <v>1669</v>
      </c>
      <c r="D31" s="1607">
        <f>SUMIF($C$34:$C$81,$C$34,D$34:D$81)</f>
        <v>34847</v>
      </c>
      <c r="E31" s="1608">
        <f>SUMIF($C$34:$C$81,$C$34,E$34:E$81)</f>
        <v>10641</v>
      </c>
      <c r="F31" s="1607">
        <f>SUMIF($C$34:$C$81,$C$34,F$34:F$81)</f>
        <v>31524</v>
      </c>
      <c r="G31" s="1608">
        <f>SUMIF($C$34:$C$81,$C$34,G$34:G$81)</f>
        <v>9704</v>
      </c>
      <c r="H31" s="1607">
        <f t="shared" ref="H31:W31" si="12">SUMIF($C$34:$C$81,$C$34,H$34:H$81)</f>
        <v>37013.19</v>
      </c>
      <c r="I31" s="1608">
        <f t="shared" si="12"/>
        <v>11236.32</v>
      </c>
      <c r="J31" s="1607">
        <f t="shared" si="12"/>
        <v>2187.23</v>
      </c>
      <c r="K31" s="1608">
        <f t="shared" si="12"/>
        <v>636.48</v>
      </c>
      <c r="L31" s="1607">
        <f t="shared" si="12"/>
        <v>34579.33</v>
      </c>
      <c r="M31" s="1608">
        <f t="shared" si="12"/>
        <v>10353.209999999999</v>
      </c>
      <c r="N31" s="1607">
        <f t="shared" si="12"/>
        <v>6.81</v>
      </c>
      <c r="O31" s="1608">
        <f t="shared" si="12"/>
        <v>6.81</v>
      </c>
      <c r="P31" s="1607">
        <f t="shared" si="12"/>
        <v>86.1</v>
      </c>
      <c r="Q31" s="1608">
        <f t="shared" si="12"/>
        <v>86.1</v>
      </c>
      <c r="R31" s="1607">
        <f t="shared" si="12"/>
        <v>51.08</v>
      </c>
      <c r="S31" s="1608">
        <f t="shared" si="12"/>
        <v>51.08</v>
      </c>
      <c r="T31" s="1607">
        <f t="shared" si="12"/>
        <v>61.03</v>
      </c>
      <c r="U31" s="1608">
        <f t="shared" si="12"/>
        <v>61.03</v>
      </c>
      <c r="V31" s="1607">
        <f t="shared" si="12"/>
        <v>41.61</v>
      </c>
      <c r="W31" s="1608">
        <f t="shared" si="12"/>
        <v>41.61</v>
      </c>
      <c r="X31" s="1634">
        <f t="shared" ref="X31:Y31" si="13">SUMIF($C$34:$C$81,$C$34,X$34:X$81)</f>
        <v>2166.19</v>
      </c>
      <c r="Y31" s="1633">
        <f t="shared" si="13"/>
        <v>595.32000000000005</v>
      </c>
      <c r="Z31" s="1685"/>
      <c r="AA31" s="1685"/>
      <c r="AC31" s="1677"/>
      <c r="AD31" s="1677"/>
      <c r="AE31" s="1677"/>
      <c r="AF31" s="1677"/>
      <c r="AG31" s="1677"/>
      <c r="AH31" s="1677"/>
      <c r="AJ31" s="1677"/>
      <c r="AK31" s="1677"/>
      <c r="AL31" s="1677"/>
      <c r="AM31" s="1677"/>
      <c r="AN31" s="1677"/>
      <c r="AO31" s="1677"/>
    </row>
    <row r="32" spans="1:256" s="1686" customFormat="1" ht="24" x14ac:dyDescent="0.2">
      <c r="A32" s="1753" t="s">
        <v>1699</v>
      </c>
      <c r="B32" s="691" t="s">
        <v>1700</v>
      </c>
      <c r="C32" s="1628" t="s">
        <v>1701</v>
      </c>
      <c r="D32" s="1610">
        <f t="shared" ref="D32:U32" si="14">IF(D31=0,,D33*1000/D31)</f>
        <v>12.4</v>
      </c>
      <c r="E32" s="1609">
        <f t="shared" si="14"/>
        <v>9.2200000000000006</v>
      </c>
      <c r="F32" s="1610">
        <f>F33*1000/F31</f>
        <v>13.84</v>
      </c>
      <c r="G32" s="1609">
        <f>G33*1000/G31</f>
        <v>10.67</v>
      </c>
      <c r="H32" s="1611">
        <f>'Вхідні дані'!D37</f>
        <v>18.45</v>
      </c>
      <c r="I32" s="1609">
        <f>'Вхідні дані'!D38</f>
        <v>16.38</v>
      </c>
      <c r="J32" s="1610">
        <f t="shared" si="14"/>
        <v>18.45</v>
      </c>
      <c r="K32" s="1609">
        <f t="shared" si="14"/>
        <v>16.39</v>
      </c>
      <c r="L32" s="1610">
        <f t="shared" si="14"/>
        <v>18.45</v>
      </c>
      <c r="M32" s="1609">
        <f t="shared" si="14"/>
        <v>16.38</v>
      </c>
      <c r="N32" s="1610">
        <f t="shared" si="14"/>
        <v>19.09</v>
      </c>
      <c r="O32" s="1609">
        <f t="shared" si="14"/>
        <v>16.149999999999999</v>
      </c>
      <c r="P32" s="1610">
        <f t="shared" si="14"/>
        <v>18.47</v>
      </c>
      <c r="Q32" s="1609">
        <f t="shared" si="14"/>
        <v>16.38</v>
      </c>
      <c r="R32" s="1610">
        <f t="shared" si="14"/>
        <v>18.399999999999999</v>
      </c>
      <c r="S32" s="1609">
        <f t="shared" si="14"/>
        <v>16.440000000000001</v>
      </c>
      <c r="T32" s="1610">
        <f t="shared" si="14"/>
        <v>18.52</v>
      </c>
      <c r="U32" s="1609">
        <f t="shared" si="14"/>
        <v>16.39</v>
      </c>
      <c r="V32" s="1610">
        <f>IF(V31=0,,V33/1000/V31)</f>
        <v>0</v>
      </c>
      <c r="W32" s="1609">
        <f>IF(W31=0,,W33/1000/W31)</f>
        <v>0</v>
      </c>
      <c r="X32" s="1637">
        <f>IF(X31=0,,X33/1000/X31)</f>
        <v>0</v>
      </c>
      <c r="Y32" s="1636">
        <f>IF(Y31=0,,Y33/1000/Y31)</f>
        <v>0</v>
      </c>
      <c r="Z32" s="1685"/>
      <c r="AA32" s="1685"/>
      <c r="AB32" s="1653"/>
      <c r="AC32" s="1677"/>
      <c r="AD32" s="1677"/>
      <c r="AE32" s="1677"/>
      <c r="AF32" s="1677"/>
      <c r="AG32" s="1677"/>
      <c r="AH32" s="1677"/>
      <c r="AI32" s="1653"/>
      <c r="AJ32" s="1677"/>
      <c r="AK32" s="1677"/>
      <c r="AL32" s="1677"/>
      <c r="AM32" s="1677"/>
      <c r="AN32" s="1677"/>
      <c r="AO32" s="1677"/>
      <c r="AP32" s="1653"/>
      <c r="AQ32" s="1653"/>
      <c r="AR32" s="1653"/>
      <c r="AS32" s="1653"/>
      <c r="AT32" s="1653"/>
      <c r="AU32" s="1653"/>
      <c r="AV32" s="1653"/>
      <c r="AW32" s="1653"/>
      <c r="AX32" s="1653"/>
      <c r="AY32" s="1653"/>
      <c r="AZ32" s="1653"/>
      <c r="BA32" s="1653"/>
      <c r="BB32" s="1653"/>
      <c r="BC32" s="1653"/>
      <c r="BD32" s="1653"/>
      <c r="BE32" s="1653"/>
      <c r="BF32" s="1653"/>
      <c r="BG32" s="1653"/>
      <c r="BH32" s="1653"/>
      <c r="BI32" s="1653"/>
      <c r="BJ32" s="1653"/>
      <c r="BK32" s="1653"/>
      <c r="BL32" s="1653"/>
      <c r="BM32" s="1653"/>
      <c r="BN32" s="1653"/>
      <c r="BO32" s="1653"/>
      <c r="BP32" s="1653"/>
      <c r="BQ32" s="1653"/>
      <c r="BR32" s="1653"/>
      <c r="BS32" s="1653"/>
      <c r="BT32" s="1653"/>
      <c r="BU32" s="1653"/>
      <c r="BV32" s="1653"/>
      <c r="BW32" s="1653"/>
      <c r="BX32" s="1653"/>
      <c r="BY32" s="1653"/>
      <c r="BZ32" s="1653"/>
      <c r="CA32" s="1653"/>
      <c r="CB32" s="1653"/>
      <c r="CC32" s="1653"/>
      <c r="CD32" s="1653"/>
      <c r="CE32" s="1653"/>
      <c r="CF32" s="1653"/>
      <c r="CG32" s="1653"/>
      <c r="CH32" s="1653"/>
      <c r="CI32" s="1653"/>
      <c r="CJ32" s="1653"/>
      <c r="CK32" s="1653"/>
      <c r="CL32" s="1653"/>
      <c r="CM32" s="1653"/>
      <c r="CN32" s="1653"/>
      <c r="CO32" s="1653"/>
      <c r="CP32" s="1653"/>
      <c r="CQ32" s="1653"/>
      <c r="CR32" s="1653"/>
      <c r="CS32" s="1653"/>
      <c r="CT32" s="1653"/>
      <c r="CU32" s="1653"/>
      <c r="CV32" s="1653"/>
      <c r="CW32" s="1653"/>
      <c r="CX32" s="1653"/>
      <c r="CY32" s="1653"/>
      <c r="CZ32" s="1653"/>
      <c r="DA32" s="1653"/>
      <c r="DB32" s="1653"/>
      <c r="DC32" s="1653"/>
      <c r="DD32" s="1653"/>
      <c r="DE32" s="1653"/>
      <c r="DF32" s="1653"/>
      <c r="DG32" s="1653"/>
      <c r="DH32" s="1653"/>
      <c r="DI32" s="1653"/>
      <c r="DJ32" s="1653"/>
      <c r="DK32" s="1653"/>
      <c r="DL32" s="1653"/>
      <c r="DM32" s="1653"/>
      <c r="DN32" s="1653"/>
      <c r="DO32" s="1653"/>
      <c r="DP32" s="1653"/>
      <c r="DQ32" s="1653"/>
      <c r="DR32" s="1653"/>
      <c r="DS32" s="1653"/>
      <c r="DT32" s="1653"/>
      <c r="DU32" s="1653"/>
      <c r="DV32" s="1653"/>
      <c r="DW32" s="1653"/>
      <c r="DX32" s="1653"/>
      <c r="DY32" s="1653"/>
      <c r="DZ32" s="1653"/>
      <c r="EA32" s="1653"/>
      <c r="EB32" s="1653"/>
      <c r="EC32" s="1653"/>
      <c r="ED32" s="1653"/>
      <c r="EE32" s="1653"/>
      <c r="EF32" s="1653"/>
      <c r="EG32" s="1653"/>
      <c r="EH32" s="1653"/>
      <c r="EI32" s="1653"/>
      <c r="EJ32" s="1653"/>
      <c r="EK32" s="1653"/>
      <c r="EL32" s="1653"/>
      <c r="EM32" s="1653"/>
      <c r="EN32" s="1653"/>
      <c r="EO32" s="1653"/>
      <c r="EP32" s="1653"/>
      <c r="EQ32" s="1653"/>
      <c r="ER32" s="1653"/>
      <c r="ES32" s="1653"/>
      <c r="ET32" s="1653"/>
      <c r="EU32" s="1653"/>
      <c r="EV32" s="1653"/>
      <c r="EW32" s="1653"/>
      <c r="EX32" s="1653"/>
      <c r="EY32" s="1653"/>
      <c r="EZ32" s="1653"/>
      <c r="FA32" s="1653"/>
      <c r="FB32" s="1653"/>
      <c r="FC32" s="1653"/>
      <c r="FD32" s="1653"/>
      <c r="FE32" s="1653"/>
      <c r="FF32" s="1653"/>
      <c r="FG32" s="1653"/>
      <c r="FH32" s="1653"/>
      <c r="FI32" s="1653"/>
      <c r="FJ32" s="1653"/>
      <c r="FK32" s="1653"/>
      <c r="FL32" s="1653"/>
      <c r="FM32" s="1653"/>
      <c r="FN32" s="1653"/>
      <c r="FO32" s="1653"/>
      <c r="FP32" s="1653"/>
      <c r="FQ32" s="1653"/>
      <c r="FR32" s="1653"/>
      <c r="FS32" s="1653"/>
      <c r="FT32" s="1653"/>
      <c r="FU32" s="1653"/>
      <c r="FV32" s="1653"/>
      <c r="FW32" s="1653"/>
      <c r="FX32" s="1653"/>
      <c r="FY32" s="1653"/>
      <c r="FZ32" s="1653"/>
      <c r="GA32" s="1653"/>
      <c r="GB32" s="1653"/>
      <c r="GC32" s="1653"/>
      <c r="GD32" s="1653"/>
      <c r="GE32" s="1653"/>
      <c r="GF32" s="1653"/>
      <c r="GG32" s="1653"/>
      <c r="GH32" s="1653"/>
      <c r="GI32" s="1653"/>
      <c r="GJ32" s="1653"/>
      <c r="GK32" s="1653"/>
      <c r="GL32" s="1653"/>
      <c r="GM32" s="1653"/>
      <c r="GN32" s="1653"/>
      <c r="GO32" s="1653"/>
      <c r="GP32" s="1653"/>
      <c r="GQ32" s="1653"/>
      <c r="GR32" s="1653"/>
      <c r="GS32" s="1653"/>
      <c r="GT32" s="1653"/>
      <c r="GU32" s="1653"/>
      <c r="GV32" s="1653"/>
      <c r="GW32" s="1653"/>
      <c r="GX32" s="1653"/>
      <c r="GY32" s="1653"/>
      <c r="GZ32" s="1653"/>
      <c r="HA32" s="1653"/>
      <c r="HB32" s="1653"/>
      <c r="HC32" s="1653"/>
      <c r="HD32" s="1653"/>
      <c r="HE32" s="1653"/>
      <c r="HF32" s="1653"/>
      <c r="HG32" s="1653"/>
      <c r="HH32" s="1653"/>
      <c r="HI32" s="1653"/>
      <c r="HJ32" s="1653"/>
      <c r="HK32" s="1653"/>
      <c r="HL32" s="1653"/>
      <c r="HM32" s="1653"/>
      <c r="HN32" s="1653"/>
      <c r="HO32" s="1653"/>
      <c r="HP32" s="1653"/>
      <c r="HQ32" s="1653"/>
      <c r="HR32" s="1653"/>
      <c r="HS32" s="1653"/>
      <c r="HT32" s="1653"/>
      <c r="HU32" s="1653"/>
      <c r="HV32" s="1653"/>
      <c r="HW32" s="1653"/>
      <c r="HX32" s="1653"/>
      <c r="HY32" s="1653"/>
      <c r="HZ32" s="1653"/>
      <c r="IA32" s="1653"/>
      <c r="IB32" s="1653"/>
      <c r="IC32" s="1653"/>
      <c r="ID32" s="1653"/>
      <c r="IE32" s="1653"/>
      <c r="IF32" s="1653"/>
      <c r="IG32" s="1653"/>
      <c r="IH32" s="1653"/>
      <c r="II32" s="1653"/>
      <c r="IJ32" s="1653"/>
      <c r="IK32" s="1653"/>
      <c r="IL32" s="1653"/>
      <c r="IM32" s="1653"/>
      <c r="IN32" s="1653"/>
      <c r="IO32" s="1653"/>
      <c r="IP32" s="1653"/>
      <c r="IQ32" s="1653"/>
      <c r="IR32" s="1653"/>
      <c r="IS32" s="1653"/>
      <c r="IT32" s="1653"/>
      <c r="IU32" s="1653"/>
      <c r="IV32" s="1653"/>
    </row>
    <row r="33" spans="1:256" ht="24" x14ac:dyDescent="0.2">
      <c r="A33" s="1758" t="s">
        <v>1702</v>
      </c>
      <c r="B33" s="1739" t="s">
        <v>1703</v>
      </c>
      <c r="C33" s="1629" t="s">
        <v>1704</v>
      </c>
      <c r="D33" s="1610">
        <f>SUMIF($C$34:$C$81,$C$36,D$34:D$81)</f>
        <v>432.04</v>
      </c>
      <c r="E33" s="1609">
        <f t="shared" ref="E33:W33" si="15">SUMIF($C$34:$C$81,$C$36,E$34:E$81)</f>
        <v>98.06</v>
      </c>
      <c r="F33" s="1610">
        <f>SUMIF($C$34:$C$81,$C$36,F$34:F$81)</f>
        <v>436.43</v>
      </c>
      <c r="G33" s="1609">
        <f>SUMIF($C$34:$C$81,$C$36,G$34:G$81)</f>
        <v>103.54</v>
      </c>
      <c r="H33" s="1611">
        <f t="shared" si="15"/>
        <v>682.9</v>
      </c>
      <c r="I33" s="1609">
        <f t="shared" si="15"/>
        <v>184.06</v>
      </c>
      <c r="J33" s="1610">
        <f t="shared" si="15"/>
        <v>40.35</v>
      </c>
      <c r="K33" s="1609">
        <f t="shared" si="15"/>
        <v>10.43</v>
      </c>
      <c r="L33" s="1610">
        <f t="shared" si="15"/>
        <v>637.99</v>
      </c>
      <c r="M33" s="1609">
        <f t="shared" si="15"/>
        <v>169.59</v>
      </c>
      <c r="N33" s="1610">
        <f t="shared" si="15"/>
        <v>0.13</v>
      </c>
      <c r="O33" s="1609">
        <f t="shared" si="15"/>
        <v>0.11</v>
      </c>
      <c r="P33" s="1610">
        <f t="shared" si="15"/>
        <v>1.59</v>
      </c>
      <c r="Q33" s="1609">
        <f t="shared" si="15"/>
        <v>1.41</v>
      </c>
      <c r="R33" s="1610">
        <f t="shared" si="15"/>
        <v>0.94</v>
      </c>
      <c r="S33" s="1609">
        <f t="shared" si="15"/>
        <v>0.84</v>
      </c>
      <c r="T33" s="1610">
        <f t="shared" si="15"/>
        <v>1.1299999999999999</v>
      </c>
      <c r="U33" s="1609">
        <f t="shared" si="15"/>
        <v>1</v>
      </c>
      <c r="V33" s="1610">
        <f t="shared" si="15"/>
        <v>0.77</v>
      </c>
      <c r="W33" s="1609">
        <f t="shared" si="15"/>
        <v>0.68</v>
      </c>
      <c r="X33" s="1637">
        <f t="shared" ref="X33:Y33" si="16">SUMIF($C$34:$C$81,$C$36,X$34:X$81)</f>
        <v>39.97</v>
      </c>
      <c r="Y33" s="1636">
        <f t="shared" si="16"/>
        <v>9.75</v>
      </c>
      <c r="Z33" s="1687"/>
      <c r="AA33" s="1687"/>
      <c r="AB33" s="1686"/>
      <c r="AC33" s="1677"/>
      <c r="AD33" s="1677"/>
      <c r="AE33" s="1677"/>
      <c r="AF33" s="1677"/>
      <c r="AG33" s="1677"/>
      <c r="AH33" s="1677"/>
      <c r="AI33" s="1686"/>
      <c r="AJ33" s="1688"/>
      <c r="AK33" s="1688"/>
      <c r="AL33" s="1688"/>
      <c r="AM33" s="1688"/>
      <c r="AN33" s="1688"/>
      <c r="AO33" s="1688"/>
      <c r="AP33" s="1686"/>
      <c r="AQ33" s="1686"/>
      <c r="AR33" s="1686"/>
      <c r="AS33" s="1686"/>
      <c r="AT33" s="1686"/>
      <c r="AU33" s="1686"/>
      <c r="AV33" s="1686"/>
      <c r="AW33" s="1686"/>
      <c r="AX33" s="1686"/>
      <c r="AY33" s="1686"/>
      <c r="AZ33" s="1686"/>
      <c r="BA33" s="1686"/>
      <c r="BB33" s="1686"/>
      <c r="BC33" s="1686"/>
      <c r="BD33" s="1686"/>
      <c r="BE33" s="1686"/>
      <c r="BF33" s="1686"/>
      <c r="BG33" s="1686"/>
      <c r="BH33" s="1686"/>
      <c r="BI33" s="1686"/>
      <c r="BJ33" s="1686"/>
      <c r="BK33" s="1686"/>
      <c r="BL33" s="1686"/>
      <c r="BM33" s="1686"/>
      <c r="BN33" s="1686"/>
      <c r="BO33" s="1686"/>
      <c r="BP33" s="1686"/>
      <c r="BQ33" s="1686"/>
      <c r="BR33" s="1686"/>
      <c r="BS33" s="1686"/>
      <c r="BT33" s="1686"/>
      <c r="BU33" s="1686"/>
      <c r="BV33" s="1686"/>
      <c r="BW33" s="1686"/>
      <c r="BX33" s="1686"/>
      <c r="BY33" s="1686"/>
      <c r="BZ33" s="1686"/>
      <c r="CA33" s="1686"/>
      <c r="CB33" s="1686"/>
      <c r="CC33" s="1686"/>
      <c r="CD33" s="1686"/>
      <c r="CE33" s="1686"/>
      <c r="CF33" s="1686"/>
      <c r="CG33" s="1686"/>
      <c r="CH33" s="1686"/>
      <c r="CI33" s="1686"/>
      <c r="CJ33" s="1686"/>
      <c r="CK33" s="1686"/>
      <c r="CL33" s="1686"/>
      <c r="CM33" s="1686"/>
      <c r="CN33" s="1686"/>
      <c r="CO33" s="1686"/>
      <c r="CP33" s="1686"/>
      <c r="CQ33" s="1686"/>
      <c r="CR33" s="1686"/>
      <c r="CS33" s="1686"/>
      <c r="CT33" s="1686"/>
      <c r="CU33" s="1686"/>
      <c r="CV33" s="1686"/>
      <c r="CW33" s="1686"/>
      <c r="CX33" s="1686"/>
      <c r="CY33" s="1686"/>
      <c r="CZ33" s="1686"/>
      <c r="DA33" s="1686"/>
      <c r="DB33" s="1686"/>
      <c r="DC33" s="1686"/>
      <c r="DD33" s="1686"/>
      <c r="DE33" s="1686"/>
      <c r="DF33" s="1686"/>
      <c r="DG33" s="1686"/>
      <c r="DH33" s="1686"/>
      <c r="DI33" s="1686"/>
      <c r="DJ33" s="1686"/>
      <c r="DK33" s="1686"/>
      <c r="DL33" s="1686"/>
      <c r="DM33" s="1686"/>
      <c r="DN33" s="1686"/>
      <c r="DO33" s="1686"/>
      <c r="DP33" s="1686"/>
      <c r="DQ33" s="1686"/>
      <c r="DR33" s="1686"/>
      <c r="DS33" s="1686"/>
      <c r="DT33" s="1686"/>
      <c r="DU33" s="1686"/>
      <c r="DV33" s="1686"/>
      <c r="DW33" s="1686"/>
      <c r="DX33" s="1686"/>
      <c r="DY33" s="1686"/>
      <c r="DZ33" s="1686"/>
      <c r="EA33" s="1686"/>
      <c r="EB33" s="1686"/>
      <c r="EC33" s="1686"/>
      <c r="ED33" s="1686"/>
      <c r="EE33" s="1686"/>
      <c r="EF33" s="1686"/>
      <c r="EG33" s="1686"/>
      <c r="EH33" s="1686"/>
      <c r="EI33" s="1686"/>
      <c r="EJ33" s="1686"/>
      <c r="EK33" s="1686"/>
      <c r="EL33" s="1686"/>
      <c r="EM33" s="1686"/>
      <c r="EN33" s="1686"/>
      <c r="EO33" s="1686"/>
      <c r="EP33" s="1686"/>
      <c r="EQ33" s="1686"/>
      <c r="ER33" s="1686"/>
      <c r="ES33" s="1686"/>
      <c r="ET33" s="1686"/>
      <c r="EU33" s="1686"/>
      <c r="EV33" s="1686"/>
      <c r="EW33" s="1686"/>
      <c r="EX33" s="1686"/>
      <c r="EY33" s="1686"/>
      <c r="EZ33" s="1686"/>
      <c r="FA33" s="1686"/>
      <c r="FB33" s="1686"/>
      <c r="FC33" s="1686"/>
      <c r="FD33" s="1686"/>
      <c r="FE33" s="1686"/>
      <c r="FF33" s="1686"/>
      <c r="FG33" s="1686"/>
      <c r="FH33" s="1686"/>
      <c r="FI33" s="1686"/>
      <c r="FJ33" s="1686"/>
      <c r="FK33" s="1686"/>
      <c r="FL33" s="1686"/>
      <c r="FM33" s="1686"/>
      <c r="FN33" s="1686"/>
      <c r="FO33" s="1686"/>
      <c r="FP33" s="1686"/>
      <c r="FQ33" s="1686"/>
      <c r="FR33" s="1686"/>
      <c r="FS33" s="1686"/>
      <c r="FT33" s="1686"/>
      <c r="FU33" s="1686"/>
      <c r="FV33" s="1686"/>
      <c r="FW33" s="1686"/>
      <c r="FX33" s="1686"/>
      <c r="FY33" s="1686"/>
      <c r="FZ33" s="1686"/>
      <c r="GA33" s="1686"/>
      <c r="GB33" s="1686"/>
      <c r="GC33" s="1686"/>
      <c r="GD33" s="1686"/>
      <c r="GE33" s="1686"/>
      <c r="GF33" s="1686"/>
      <c r="GG33" s="1686"/>
      <c r="GH33" s="1686"/>
      <c r="GI33" s="1686"/>
      <c r="GJ33" s="1686"/>
      <c r="GK33" s="1686"/>
      <c r="GL33" s="1686"/>
      <c r="GM33" s="1686"/>
      <c r="GN33" s="1686"/>
      <c r="GO33" s="1686"/>
      <c r="GP33" s="1686"/>
      <c r="GQ33" s="1686"/>
      <c r="GR33" s="1686"/>
      <c r="GS33" s="1686"/>
      <c r="GT33" s="1686"/>
      <c r="GU33" s="1686"/>
      <c r="GV33" s="1686"/>
      <c r="GW33" s="1686"/>
      <c r="GX33" s="1686"/>
      <c r="GY33" s="1686"/>
      <c r="GZ33" s="1686"/>
      <c r="HA33" s="1686"/>
      <c r="HB33" s="1686"/>
      <c r="HC33" s="1686"/>
      <c r="HD33" s="1686"/>
      <c r="HE33" s="1686"/>
      <c r="HF33" s="1686"/>
      <c r="HG33" s="1686"/>
      <c r="HH33" s="1686"/>
      <c r="HI33" s="1686"/>
      <c r="HJ33" s="1686"/>
      <c r="HK33" s="1686"/>
      <c r="HL33" s="1686"/>
      <c r="HM33" s="1686"/>
      <c r="HN33" s="1686"/>
      <c r="HO33" s="1686"/>
      <c r="HP33" s="1686"/>
      <c r="HQ33" s="1686"/>
      <c r="HR33" s="1686"/>
      <c r="HS33" s="1686"/>
      <c r="HT33" s="1686"/>
      <c r="HU33" s="1686"/>
      <c r="HV33" s="1686"/>
      <c r="HW33" s="1686"/>
      <c r="HX33" s="1686"/>
      <c r="HY33" s="1686"/>
      <c r="HZ33" s="1686"/>
      <c r="IA33" s="1686"/>
      <c r="IB33" s="1686"/>
      <c r="IC33" s="1686"/>
      <c r="ID33" s="1686"/>
      <c r="IE33" s="1686"/>
      <c r="IF33" s="1686"/>
      <c r="IG33" s="1686"/>
      <c r="IH33" s="1686"/>
      <c r="II33" s="1686"/>
      <c r="IJ33" s="1686"/>
      <c r="IK33" s="1686"/>
      <c r="IL33" s="1686"/>
      <c r="IM33" s="1686"/>
      <c r="IN33" s="1686"/>
      <c r="IO33" s="1686"/>
      <c r="IP33" s="1686"/>
      <c r="IQ33" s="1686"/>
      <c r="IR33" s="1686"/>
      <c r="IS33" s="1686"/>
      <c r="IT33" s="1686"/>
      <c r="IU33" s="1686"/>
      <c r="IV33" s="1686"/>
    </row>
    <row r="34" spans="1:256" x14ac:dyDescent="0.2">
      <c r="A34" s="4505" t="s">
        <v>1705</v>
      </c>
      <c r="B34" s="1740" t="s">
        <v>1706</v>
      </c>
      <c r="C34" s="1628" t="s">
        <v>1669</v>
      </c>
      <c r="D34" s="1610">
        <f t="shared" ref="D34:I34" si="17">D16-D37</f>
        <v>34845</v>
      </c>
      <c r="E34" s="1723">
        <f t="shared" si="17"/>
        <v>10640.42</v>
      </c>
      <c r="F34" s="1610">
        <f>F16-F37</f>
        <v>31523</v>
      </c>
      <c r="G34" s="1609">
        <f>G16-G37</f>
        <v>9703.7099999999991</v>
      </c>
      <c r="H34" s="1611">
        <f t="shared" si="17"/>
        <v>37004.74</v>
      </c>
      <c r="I34" s="1609">
        <f t="shared" si="17"/>
        <v>11233.86</v>
      </c>
      <c r="J34" s="1610">
        <f t="shared" ref="J34:W34" si="18">J16</f>
        <v>2187.23</v>
      </c>
      <c r="K34" s="1609">
        <f t="shared" si="18"/>
        <v>636.48</v>
      </c>
      <c r="L34" s="1610">
        <f>L16-L37</f>
        <v>34570.879999999997</v>
      </c>
      <c r="M34" s="1609">
        <f>M16-M37</f>
        <v>10350.75</v>
      </c>
      <c r="N34" s="1610">
        <f t="shared" si="18"/>
        <v>6.81</v>
      </c>
      <c r="O34" s="1609">
        <f t="shared" si="18"/>
        <v>6.81</v>
      </c>
      <c r="P34" s="1610">
        <f t="shared" si="18"/>
        <v>86.1</v>
      </c>
      <c r="Q34" s="1609">
        <f t="shared" si="18"/>
        <v>86.1</v>
      </c>
      <c r="R34" s="1610">
        <f t="shared" si="18"/>
        <v>51.08</v>
      </c>
      <c r="S34" s="1609">
        <f t="shared" si="18"/>
        <v>51.08</v>
      </c>
      <c r="T34" s="1610">
        <f t="shared" si="18"/>
        <v>61.03</v>
      </c>
      <c r="U34" s="1609">
        <f t="shared" si="18"/>
        <v>61.03</v>
      </c>
      <c r="V34" s="1610">
        <f t="shared" si="18"/>
        <v>41.61</v>
      </c>
      <c r="W34" s="1609">
        <f t="shared" si="18"/>
        <v>41.61</v>
      </c>
      <c r="X34" s="1637">
        <f t="shared" ref="X34:Y34" si="19">X16</f>
        <v>2166.19</v>
      </c>
      <c r="Y34" s="1635">
        <f t="shared" si="19"/>
        <v>595.32000000000005</v>
      </c>
      <c r="Z34" s="1687"/>
      <c r="AA34" s="1687"/>
      <c r="AB34" s="1686"/>
      <c r="AC34" s="1677"/>
      <c r="AD34" s="1677"/>
      <c r="AE34" s="1677"/>
      <c r="AF34" s="1677"/>
      <c r="AG34" s="1677"/>
      <c r="AH34" s="1677"/>
      <c r="AI34" s="1686"/>
      <c r="AJ34" s="1688"/>
      <c r="AK34" s="1688"/>
      <c r="AL34" s="1688"/>
      <c r="AM34" s="1688"/>
      <c r="AN34" s="1688"/>
      <c r="AO34" s="1688"/>
      <c r="AP34" s="1686"/>
      <c r="AQ34" s="1686"/>
      <c r="AR34" s="1686"/>
      <c r="AS34" s="1686"/>
      <c r="AT34" s="1686"/>
      <c r="AU34" s="1686"/>
      <c r="AV34" s="1686"/>
      <c r="AW34" s="1686"/>
      <c r="AX34" s="1686"/>
      <c r="AY34" s="1686"/>
      <c r="AZ34" s="1686"/>
      <c r="BA34" s="1686"/>
      <c r="BB34" s="1686"/>
      <c r="BC34" s="1686"/>
      <c r="BD34" s="1686"/>
      <c r="BE34" s="1686"/>
      <c r="BF34" s="1686"/>
      <c r="BG34" s="1686"/>
      <c r="BH34" s="1686"/>
      <c r="BI34" s="1686"/>
      <c r="BJ34" s="1686"/>
      <c r="BK34" s="1686"/>
      <c r="BL34" s="1686"/>
      <c r="BM34" s="1686"/>
      <c r="BN34" s="1686"/>
      <c r="BO34" s="1686"/>
      <c r="BP34" s="1686"/>
      <c r="BQ34" s="1686"/>
      <c r="BR34" s="1686"/>
      <c r="BS34" s="1686"/>
      <c r="BT34" s="1686"/>
      <c r="BU34" s="1686"/>
      <c r="BV34" s="1686"/>
      <c r="BW34" s="1686"/>
      <c r="BX34" s="1686"/>
      <c r="BY34" s="1686"/>
      <c r="BZ34" s="1686"/>
      <c r="CA34" s="1686"/>
      <c r="CB34" s="1686"/>
      <c r="CC34" s="1686"/>
      <c r="CD34" s="1686"/>
      <c r="CE34" s="1686"/>
      <c r="CF34" s="1686"/>
      <c r="CG34" s="1686"/>
      <c r="CH34" s="1686"/>
      <c r="CI34" s="1686"/>
      <c r="CJ34" s="1686"/>
      <c r="CK34" s="1686"/>
      <c r="CL34" s="1686"/>
      <c r="CM34" s="1686"/>
      <c r="CN34" s="1686"/>
      <c r="CO34" s="1686"/>
      <c r="CP34" s="1686"/>
      <c r="CQ34" s="1686"/>
      <c r="CR34" s="1686"/>
      <c r="CS34" s="1686"/>
      <c r="CT34" s="1686"/>
      <c r="CU34" s="1686"/>
      <c r="CV34" s="1686"/>
      <c r="CW34" s="1686"/>
      <c r="CX34" s="1686"/>
      <c r="CY34" s="1686"/>
      <c r="CZ34" s="1686"/>
      <c r="DA34" s="1686"/>
      <c r="DB34" s="1686"/>
      <c r="DC34" s="1686"/>
      <c r="DD34" s="1686"/>
      <c r="DE34" s="1686"/>
      <c r="DF34" s="1686"/>
      <c r="DG34" s="1686"/>
      <c r="DH34" s="1686"/>
      <c r="DI34" s="1686"/>
      <c r="DJ34" s="1686"/>
      <c r="DK34" s="1686"/>
      <c r="DL34" s="1686"/>
      <c r="DM34" s="1686"/>
      <c r="DN34" s="1686"/>
      <c r="DO34" s="1686"/>
      <c r="DP34" s="1686"/>
      <c r="DQ34" s="1686"/>
      <c r="DR34" s="1686"/>
      <c r="DS34" s="1686"/>
      <c r="DT34" s="1686"/>
      <c r="DU34" s="1686"/>
      <c r="DV34" s="1686"/>
      <c r="DW34" s="1686"/>
      <c r="DX34" s="1686"/>
      <c r="DY34" s="1686"/>
      <c r="DZ34" s="1686"/>
      <c r="EA34" s="1686"/>
      <c r="EB34" s="1686"/>
      <c r="EC34" s="1686"/>
      <c r="ED34" s="1686"/>
      <c r="EE34" s="1686"/>
      <c r="EF34" s="1686"/>
      <c r="EG34" s="1686"/>
      <c r="EH34" s="1686"/>
      <c r="EI34" s="1686"/>
      <c r="EJ34" s="1686"/>
      <c r="EK34" s="1686"/>
      <c r="EL34" s="1686"/>
      <c r="EM34" s="1686"/>
      <c r="EN34" s="1686"/>
      <c r="EO34" s="1686"/>
      <c r="EP34" s="1686"/>
      <c r="EQ34" s="1686"/>
      <c r="ER34" s="1686"/>
      <c r="ES34" s="1686"/>
      <c r="ET34" s="1686"/>
      <c r="EU34" s="1686"/>
      <c r="EV34" s="1686"/>
      <c r="EW34" s="1686"/>
      <c r="EX34" s="1686"/>
      <c r="EY34" s="1686"/>
      <c r="EZ34" s="1686"/>
      <c r="FA34" s="1686"/>
      <c r="FB34" s="1686"/>
      <c r="FC34" s="1686"/>
      <c r="FD34" s="1686"/>
      <c r="FE34" s="1686"/>
      <c r="FF34" s="1686"/>
      <c r="FG34" s="1686"/>
      <c r="FH34" s="1686"/>
      <c r="FI34" s="1686"/>
      <c r="FJ34" s="1686"/>
      <c r="FK34" s="1686"/>
      <c r="FL34" s="1686"/>
      <c r="FM34" s="1686"/>
      <c r="FN34" s="1686"/>
      <c r="FO34" s="1686"/>
      <c r="FP34" s="1686"/>
      <c r="FQ34" s="1686"/>
      <c r="FR34" s="1686"/>
      <c r="FS34" s="1686"/>
      <c r="FT34" s="1686"/>
      <c r="FU34" s="1686"/>
      <c r="FV34" s="1686"/>
      <c r="FW34" s="1686"/>
      <c r="FX34" s="1686"/>
      <c r="FY34" s="1686"/>
      <c r="FZ34" s="1686"/>
      <c r="GA34" s="1686"/>
      <c r="GB34" s="1686"/>
      <c r="GC34" s="1686"/>
      <c r="GD34" s="1686"/>
      <c r="GE34" s="1686"/>
      <c r="GF34" s="1686"/>
      <c r="GG34" s="1686"/>
      <c r="GH34" s="1686"/>
      <c r="GI34" s="1686"/>
      <c r="GJ34" s="1686"/>
      <c r="GK34" s="1686"/>
      <c r="GL34" s="1686"/>
      <c r="GM34" s="1686"/>
      <c r="GN34" s="1686"/>
      <c r="GO34" s="1686"/>
      <c r="GP34" s="1686"/>
      <c r="GQ34" s="1686"/>
      <c r="GR34" s="1686"/>
      <c r="GS34" s="1686"/>
      <c r="GT34" s="1686"/>
      <c r="GU34" s="1686"/>
      <c r="GV34" s="1686"/>
      <c r="GW34" s="1686"/>
      <c r="GX34" s="1686"/>
      <c r="GY34" s="1686"/>
      <c r="GZ34" s="1686"/>
      <c r="HA34" s="1686"/>
      <c r="HB34" s="1686"/>
      <c r="HC34" s="1686"/>
      <c r="HD34" s="1686"/>
      <c r="HE34" s="1686"/>
      <c r="HF34" s="1686"/>
      <c r="HG34" s="1686"/>
      <c r="HH34" s="1686"/>
      <c r="HI34" s="1686"/>
      <c r="HJ34" s="1686"/>
      <c r="HK34" s="1686"/>
      <c r="HL34" s="1686"/>
      <c r="HM34" s="1686"/>
      <c r="HN34" s="1686"/>
      <c r="HO34" s="1686"/>
      <c r="HP34" s="1686"/>
      <c r="HQ34" s="1686"/>
      <c r="HR34" s="1686"/>
      <c r="HS34" s="1686"/>
      <c r="HT34" s="1686"/>
      <c r="HU34" s="1686"/>
      <c r="HV34" s="1686"/>
      <c r="HW34" s="1686"/>
      <c r="HX34" s="1686"/>
      <c r="HY34" s="1686"/>
      <c r="HZ34" s="1686"/>
      <c r="IA34" s="1686"/>
      <c r="IB34" s="1686"/>
      <c r="IC34" s="1686"/>
      <c r="ID34" s="1686"/>
      <c r="IE34" s="1686"/>
      <c r="IF34" s="1686"/>
      <c r="IG34" s="1686"/>
      <c r="IH34" s="1686"/>
      <c r="II34" s="1686"/>
      <c r="IJ34" s="1686"/>
      <c r="IK34" s="1686"/>
      <c r="IL34" s="1686"/>
      <c r="IM34" s="1686"/>
      <c r="IN34" s="1686"/>
      <c r="IO34" s="1686"/>
      <c r="IP34" s="1686"/>
      <c r="IQ34" s="1686"/>
      <c r="IR34" s="1686"/>
      <c r="IS34" s="1686"/>
      <c r="IT34" s="1686"/>
      <c r="IU34" s="1686"/>
      <c r="IV34" s="1686"/>
    </row>
    <row r="35" spans="1:256" s="1686" customFormat="1" ht="24" x14ac:dyDescent="0.2">
      <c r="A35" s="4506"/>
      <c r="B35" s="1741" t="s">
        <v>1707</v>
      </c>
      <c r="C35" s="1628" t="s">
        <v>1701</v>
      </c>
      <c r="D35" s="1610">
        <f>IF(D34=0,,D36*1000/D34)</f>
        <v>12.4</v>
      </c>
      <c r="E35" s="1609">
        <f>IF(E34=0,,E36*1000/E34)</f>
        <v>9.2100000000000009</v>
      </c>
      <c r="F35" s="1610">
        <f>F36*1000/F34</f>
        <v>13.84</v>
      </c>
      <c r="G35" s="1609">
        <f>G36*1000/G34</f>
        <v>10.67</v>
      </c>
      <c r="H35" s="1611">
        <f>'Вхідні дані'!D37</f>
        <v>18.45</v>
      </c>
      <c r="I35" s="1609">
        <f>'Вхідні дані'!D38</f>
        <v>16.38</v>
      </c>
      <c r="J35" s="1610">
        <f>'Вхідні дані'!D37</f>
        <v>18.45</v>
      </c>
      <c r="K35" s="1609">
        <f>'Вхідні дані'!D38</f>
        <v>16.38</v>
      </c>
      <c r="L35" s="1610">
        <f>H35</f>
        <v>18.45</v>
      </c>
      <c r="M35" s="1609">
        <f>I35</f>
        <v>16.38</v>
      </c>
      <c r="N35" s="1610">
        <f>H35</f>
        <v>18.45</v>
      </c>
      <c r="O35" s="1609">
        <f>I35</f>
        <v>16.38</v>
      </c>
      <c r="P35" s="1610">
        <f>H35</f>
        <v>18.45</v>
      </c>
      <c r="Q35" s="1609">
        <f>I35</f>
        <v>16.38</v>
      </c>
      <c r="R35" s="1610">
        <f>H35</f>
        <v>18.45</v>
      </c>
      <c r="S35" s="1609">
        <f>I35</f>
        <v>16.38</v>
      </c>
      <c r="T35" s="1610">
        <f>H35</f>
        <v>18.45</v>
      </c>
      <c r="U35" s="1609">
        <f>I35</f>
        <v>16.38</v>
      </c>
      <c r="V35" s="1610">
        <f>H35</f>
        <v>18.45</v>
      </c>
      <c r="W35" s="1609">
        <f>I35</f>
        <v>16.38</v>
      </c>
      <c r="X35" s="1638">
        <f>J35</f>
        <v>18.45</v>
      </c>
      <c r="Y35" s="1640">
        <f>K35</f>
        <v>16.38</v>
      </c>
      <c r="Z35" s="1687"/>
      <c r="AA35" s="1687"/>
      <c r="AC35" s="1677"/>
      <c r="AD35" s="1677"/>
      <c r="AE35" s="1677"/>
      <c r="AF35" s="1677"/>
      <c r="AG35" s="1677"/>
      <c r="AH35" s="1677"/>
      <c r="AJ35" s="1688"/>
      <c r="AK35" s="1688"/>
      <c r="AL35" s="1688"/>
      <c r="AM35" s="1688"/>
      <c r="AN35" s="1688"/>
      <c r="AO35" s="1688"/>
    </row>
    <row r="36" spans="1:256" ht="24" x14ac:dyDescent="0.2">
      <c r="A36" s="4507"/>
      <c r="B36" s="1742" t="s">
        <v>1708</v>
      </c>
      <c r="C36" s="1629" t="s">
        <v>1704</v>
      </c>
      <c r="D36" s="1610">
        <f>((419644.22+12397.83)/1000)-D39</f>
        <v>432.02</v>
      </c>
      <c r="E36" s="1609">
        <f>((90742.08+7320.98)/1000)-E39</f>
        <v>98.05</v>
      </c>
      <c r="F36" s="1610">
        <f>436.429-F39</f>
        <v>436.42</v>
      </c>
      <c r="G36" s="1609">
        <f>103536/1000-G39</f>
        <v>103.54</v>
      </c>
      <c r="H36" s="1611">
        <f>J36+L36+N36+P36+R36+T36+V36</f>
        <v>682.74</v>
      </c>
      <c r="I36" s="1609">
        <f>K36+M36+O36+Q36+S36+U36+W36</f>
        <v>184.02</v>
      </c>
      <c r="J36" s="1610">
        <f>J34*J35/1000</f>
        <v>40.35</v>
      </c>
      <c r="K36" s="1609">
        <f t="shared" ref="K36:W36" si="20">K34*K35/1000</f>
        <v>10.43</v>
      </c>
      <c r="L36" s="1610">
        <f t="shared" si="20"/>
        <v>637.83000000000004</v>
      </c>
      <c r="M36" s="1609">
        <f t="shared" si="20"/>
        <v>169.55</v>
      </c>
      <c r="N36" s="1610">
        <f t="shared" si="20"/>
        <v>0.13</v>
      </c>
      <c r="O36" s="1609">
        <f t="shared" si="20"/>
        <v>0.11</v>
      </c>
      <c r="P36" s="1610">
        <f t="shared" si="20"/>
        <v>1.59</v>
      </c>
      <c r="Q36" s="1609">
        <f t="shared" si="20"/>
        <v>1.41</v>
      </c>
      <c r="R36" s="1610">
        <f t="shared" si="20"/>
        <v>0.94</v>
      </c>
      <c r="S36" s="1609">
        <f t="shared" si="20"/>
        <v>0.84</v>
      </c>
      <c r="T36" s="1610">
        <f t="shared" si="20"/>
        <v>1.1299999999999999</v>
      </c>
      <c r="U36" s="1609">
        <f t="shared" si="20"/>
        <v>1</v>
      </c>
      <c r="V36" s="1610">
        <f t="shared" si="20"/>
        <v>0.77</v>
      </c>
      <c r="W36" s="1609">
        <f t="shared" si="20"/>
        <v>0.68</v>
      </c>
      <c r="X36" s="1637">
        <f t="shared" ref="X36:Y36" si="21">X34*X35/1000</f>
        <v>39.97</v>
      </c>
      <c r="Y36" s="1636">
        <f t="shared" si="21"/>
        <v>9.75</v>
      </c>
      <c r="Z36" s="1687"/>
      <c r="AA36" s="1687"/>
      <c r="AB36" s="1686"/>
      <c r="AC36" s="1677"/>
      <c r="AD36" s="1677"/>
      <c r="AE36" s="1677"/>
      <c r="AF36" s="1677"/>
      <c r="AG36" s="1677"/>
      <c r="AH36" s="1677"/>
      <c r="AI36" s="1686"/>
      <c r="AJ36" s="1688"/>
      <c r="AK36" s="1688"/>
      <c r="AL36" s="1688"/>
      <c r="AM36" s="1688"/>
      <c r="AN36" s="1688"/>
      <c r="AO36" s="1688"/>
      <c r="AP36" s="1686"/>
      <c r="AQ36" s="1686"/>
      <c r="AR36" s="1686"/>
      <c r="AS36" s="1686"/>
      <c r="AT36" s="1686"/>
      <c r="AU36" s="1686"/>
      <c r="AV36" s="1686"/>
      <c r="AW36" s="1686"/>
      <c r="AX36" s="1686"/>
      <c r="AY36" s="1686"/>
      <c r="AZ36" s="1686"/>
      <c r="BA36" s="1686"/>
      <c r="BB36" s="1686"/>
      <c r="BC36" s="1686"/>
      <c r="BD36" s="1686"/>
      <c r="BE36" s="1686"/>
      <c r="BF36" s="1686"/>
      <c r="BG36" s="1686"/>
      <c r="BH36" s="1686"/>
      <c r="BI36" s="1686"/>
      <c r="BJ36" s="1686"/>
      <c r="BK36" s="1686"/>
      <c r="BL36" s="1686"/>
      <c r="BM36" s="1686"/>
      <c r="BN36" s="1686"/>
      <c r="BO36" s="1686"/>
      <c r="BP36" s="1686"/>
      <c r="BQ36" s="1686"/>
      <c r="BR36" s="1686"/>
      <c r="BS36" s="1686"/>
      <c r="BT36" s="1686"/>
      <c r="BU36" s="1686"/>
      <c r="BV36" s="1686"/>
      <c r="BW36" s="1686"/>
      <c r="BX36" s="1686"/>
      <c r="BY36" s="1686"/>
      <c r="BZ36" s="1686"/>
      <c r="CA36" s="1686"/>
      <c r="CB36" s="1686"/>
      <c r="CC36" s="1686"/>
      <c r="CD36" s="1686"/>
      <c r="CE36" s="1686"/>
      <c r="CF36" s="1686"/>
      <c r="CG36" s="1686"/>
      <c r="CH36" s="1686"/>
      <c r="CI36" s="1686"/>
      <c r="CJ36" s="1686"/>
      <c r="CK36" s="1686"/>
      <c r="CL36" s="1686"/>
      <c r="CM36" s="1686"/>
      <c r="CN36" s="1686"/>
      <c r="CO36" s="1686"/>
      <c r="CP36" s="1686"/>
      <c r="CQ36" s="1686"/>
      <c r="CR36" s="1686"/>
      <c r="CS36" s="1686"/>
      <c r="CT36" s="1686"/>
      <c r="CU36" s="1686"/>
      <c r="CV36" s="1686"/>
      <c r="CW36" s="1686"/>
      <c r="CX36" s="1686"/>
      <c r="CY36" s="1686"/>
      <c r="CZ36" s="1686"/>
      <c r="DA36" s="1686"/>
      <c r="DB36" s="1686"/>
      <c r="DC36" s="1686"/>
      <c r="DD36" s="1686"/>
      <c r="DE36" s="1686"/>
      <c r="DF36" s="1686"/>
      <c r="DG36" s="1686"/>
      <c r="DH36" s="1686"/>
      <c r="DI36" s="1686"/>
      <c r="DJ36" s="1686"/>
      <c r="DK36" s="1686"/>
      <c r="DL36" s="1686"/>
      <c r="DM36" s="1686"/>
      <c r="DN36" s="1686"/>
      <c r="DO36" s="1686"/>
      <c r="DP36" s="1686"/>
      <c r="DQ36" s="1686"/>
      <c r="DR36" s="1686"/>
      <c r="DS36" s="1686"/>
      <c r="DT36" s="1686"/>
      <c r="DU36" s="1686"/>
      <c r="DV36" s="1686"/>
      <c r="DW36" s="1686"/>
      <c r="DX36" s="1686"/>
      <c r="DY36" s="1686"/>
      <c r="DZ36" s="1686"/>
      <c r="EA36" s="1686"/>
      <c r="EB36" s="1686"/>
      <c r="EC36" s="1686"/>
      <c r="ED36" s="1686"/>
      <c r="EE36" s="1686"/>
      <c r="EF36" s="1686"/>
      <c r="EG36" s="1686"/>
      <c r="EH36" s="1686"/>
      <c r="EI36" s="1686"/>
      <c r="EJ36" s="1686"/>
      <c r="EK36" s="1686"/>
      <c r="EL36" s="1686"/>
      <c r="EM36" s="1686"/>
      <c r="EN36" s="1686"/>
      <c r="EO36" s="1686"/>
      <c r="EP36" s="1686"/>
      <c r="EQ36" s="1686"/>
      <c r="ER36" s="1686"/>
      <c r="ES36" s="1686"/>
      <c r="ET36" s="1686"/>
      <c r="EU36" s="1686"/>
      <c r="EV36" s="1686"/>
      <c r="EW36" s="1686"/>
      <c r="EX36" s="1686"/>
      <c r="EY36" s="1686"/>
      <c r="EZ36" s="1686"/>
      <c r="FA36" s="1686"/>
      <c r="FB36" s="1686"/>
      <c r="FC36" s="1686"/>
      <c r="FD36" s="1686"/>
      <c r="FE36" s="1686"/>
      <c r="FF36" s="1686"/>
      <c r="FG36" s="1686"/>
      <c r="FH36" s="1686"/>
      <c r="FI36" s="1686"/>
      <c r="FJ36" s="1686"/>
      <c r="FK36" s="1686"/>
      <c r="FL36" s="1686"/>
      <c r="FM36" s="1686"/>
      <c r="FN36" s="1686"/>
      <c r="FO36" s="1686"/>
      <c r="FP36" s="1686"/>
      <c r="FQ36" s="1686"/>
      <c r="FR36" s="1686"/>
      <c r="FS36" s="1686"/>
      <c r="FT36" s="1686"/>
      <c r="FU36" s="1686"/>
      <c r="FV36" s="1686"/>
      <c r="FW36" s="1686"/>
      <c r="FX36" s="1686"/>
      <c r="FY36" s="1686"/>
      <c r="FZ36" s="1686"/>
      <c r="GA36" s="1686"/>
      <c r="GB36" s="1686"/>
      <c r="GC36" s="1686"/>
      <c r="GD36" s="1686"/>
      <c r="GE36" s="1686"/>
      <c r="GF36" s="1686"/>
      <c r="GG36" s="1686"/>
      <c r="GH36" s="1686"/>
      <c r="GI36" s="1686"/>
      <c r="GJ36" s="1686"/>
      <c r="GK36" s="1686"/>
      <c r="GL36" s="1686"/>
      <c r="GM36" s="1686"/>
      <c r="GN36" s="1686"/>
      <c r="GO36" s="1686"/>
      <c r="GP36" s="1686"/>
      <c r="GQ36" s="1686"/>
      <c r="GR36" s="1686"/>
      <c r="GS36" s="1686"/>
      <c r="GT36" s="1686"/>
      <c r="GU36" s="1686"/>
      <c r="GV36" s="1686"/>
      <c r="GW36" s="1686"/>
      <c r="GX36" s="1686"/>
      <c r="GY36" s="1686"/>
      <c r="GZ36" s="1686"/>
      <c r="HA36" s="1686"/>
      <c r="HB36" s="1686"/>
      <c r="HC36" s="1686"/>
      <c r="HD36" s="1686"/>
      <c r="HE36" s="1686"/>
      <c r="HF36" s="1686"/>
      <c r="HG36" s="1686"/>
      <c r="HH36" s="1686"/>
      <c r="HI36" s="1686"/>
      <c r="HJ36" s="1686"/>
      <c r="HK36" s="1686"/>
      <c r="HL36" s="1686"/>
      <c r="HM36" s="1686"/>
      <c r="HN36" s="1686"/>
      <c r="HO36" s="1686"/>
      <c r="HP36" s="1686"/>
      <c r="HQ36" s="1686"/>
      <c r="HR36" s="1686"/>
      <c r="HS36" s="1686"/>
      <c r="HT36" s="1686"/>
      <c r="HU36" s="1686"/>
      <c r="HV36" s="1686"/>
      <c r="HW36" s="1686"/>
      <c r="HX36" s="1686"/>
      <c r="HY36" s="1686"/>
      <c r="HZ36" s="1686"/>
      <c r="IA36" s="1686"/>
      <c r="IB36" s="1686"/>
      <c r="IC36" s="1686"/>
      <c r="ID36" s="1686"/>
      <c r="IE36" s="1686"/>
      <c r="IF36" s="1686"/>
      <c r="IG36" s="1686"/>
      <c r="IH36" s="1686"/>
      <c r="II36" s="1686"/>
      <c r="IJ36" s="1686"/>
      <c r="IK36" s="1686"/>
      <c r="IL36" s="1686"/>
      <c r="IM36" s="1686"/>
      <c r="IN36" s="1686"/>
      <c r="IO36" s="1686"/>
      <c r="IP36" s="1686"/>
      <c r="IQ36" s="1686"/>
      <c r="IR36" s="1686"/>
      <c r="IS36" s="1686"/>
      <c r="IT36" s="1686"/>
      <c r="IU36" s="1686"/>
      <c r="IV36" s="1686"/>
    </row>
    <row r="37" spans="1:256" ht="23.25" customHeight="1" x14ac:dyDescent="0.2">
      <c r="A37" s="4505" t="s">
        <v>1709</v>
      </c>
      <c r="B37" s="2384" t="s">
        <v>1710</v>
      </c>
      <c r="C37" s="1628" t="s">
        <v>1669</v>
      </c>
      <c r="D37" s="1610">
        <v>2</v>
      </c>
      <c r="E37" s="1609">
        <f>D37*0.291</f>
        <v>0.57999999999999996</v>
      </c>
      <c r="F37" s="1610">
        <v>1</v>
      </c>
      <c r="G37" s="1609">
        <f>F37*0.291</f>
        <v>0.28999999999999998</v>
      </c>
      <c r="H37" s="1611">
        <f>J37+L37</f>
        <v>8.4499999999999993</v>
      </c>
      <c r="I37" s="1609">
        <f>K37+M37+O37+Q37+S37+U37+W37</f>
        <v>2.46</v>
      </c>
      <c r="J37" s="1610">
        <v>0</v>
      </c>
      <c r="K37" s="1609">
        <f>J37*0.291</f>
        <v>0</v>
      </c>
      <c r="L37" s="1610">
        <f>'[55]7. Вода та сіль Свод'!Q10+'[55]7. Вода та сіль Свод'!N10</f>
        <v>8.4499999999999993</v>
      </c>
      <c r="M37" s="1609">
        <f>L37*0.291</f>
        <v>2.46</v>
      </c>
      <c r="N37" s="1610">
        <v>0</v>
      </c>
      <c r="O37" s="1609">
        <f>N37*0.291</f>
        <v>0</v>
      </c>
      <c r="P37" s="1610">
        <v>0</v>
      </c>
      <c r="Q37" s="1609">
        <f>P37*0.291</f>
        <v>0</v>
      </c>
      <c r="R37" s="1610">
        <v>0</v>
      </c>
      <c r="S37" s="1609">
        <f>R37*0.291</f>
        <v>0</v>
      </c>
      <c r="T37" s="1610">
        <v>0</v>
      </c>
      <c r="U37" s="1609">
        <f>T37*0.291</f>
        <v>0</v>
      </c>
      <c r="V37" s="1610">
        <v>0</v>
      </c>
      <c r="W37" s="1609">
        <f>V37*0.291</f>
        <v>0</v>
      </c>
      <c r="X37" s="1637">
        <v>0</v>
      </c>
      <c r="Y37" s="1636">
        <f>X37*0.291</f>
        <v>0</v>
      </c>
      <c r="Z37" s="1687"/>
      <c r="AA37" s="1687"/>
      <c r="AB37" s="1686"/>
      <c r="AC37" s="1677"/>
      <c r="AD37" s="1677"/>
      <c r="AE37" s="1677"/>
      <c r="AF37" s="1677"/>
      <c r="AG37" s="1677"/>
      <c r="AH37" s="1677"/>
      <c r="AI37" s="1686"/>
      <c r="AJ37" s="1688"/>
      <c r="AK37" s="1688"/>
      <c r="AL37" s="1688"/>
      <c r="AM37" s="1688"/>
      <c r="AN37" s="1688"/>
      <c r="AO37" s="1688"/>
      <c r="AP37" s="1686"/>
      <c r="AQ37" s="1686"/>
      <c r="AR37" s="1686"/>
      <c r="AS37" s="1686"/>
      <c r="AT37" s="1686"/>
      <c r="AU37" s="1686"/>
      <c r="AV37" s="1686"/>
      <c r="AW37" s="1686"/>
      <c r="AX37" s="1686"/>
      <c r="AY37" s="1686"/>
      <c r="AZ37" s="1686"/>
      <c r="BA37" s="1686"/>
      <c r="BB37" s="1686"/>
      <c r="BC37" s="1686"/>
      <c r="BD37" s="1686"/>
      <c r="BE37" s="1686"/>
      <c r="BF37" s="1686"/>
      <c r="BG37" s="1686"/>
      <c r="BH37" s="1686"/>
      <c r="BI37" s="1686"/>
      <c r="BJ37" s="1686"/>
      <c r="BK37" s="1686"/>
      <c r="BL37" s="1686"/>
      <c r="BM37" s="1686"/>
      <c r="BN37" s="1686"/>
      <c r="BO37" s="1686"/>
      <c r="BP37" s="1686"/>
      <c r="BQ37" s="1686"/>
      <c r="BR37" s="1686"/>
      <c r="BS37" s="1686"/>
      <c r="BT37" s="1686"/>
      <c r="BU37" s="1686"/>
      <c r="BV37" s="1686"/>
      <c r="BW37" s="1686"/>
      <c r="BX37" s="1686"/>
      <c r="BY37" s="1686"/>
      <c r="BZ37" s="1686"/>
      <c r="CA37" s="1686"/>
      <c r="CB37" s="1686"/>
      <c r="CC37" s="1686"/>
      <c r="CD37" s="1686"/>
      <c r="CE37" s="1686"/>
      <c r="CF37" s="1686"/>
      <c r="CG37" s="1686"/>
      <c r="CH37" s="1686"/>
      <c r="CI37" s="1686"/>
      <c r="CJ37" s="1686"/>
      <c r="CK37" s="1686"/>
      <c r="CL37" s="1686"/>
      <c r="CM37" s="1686"/>
      <c r="CN37" s="1686"/>
      <c r="CO37" s="1686"/>
      <c r="CP37" s="1686"/>
      <c r="CQ37" s="1686"/>
      <c r="CR37" s="1686"/>
      <c r="CS37" s="1686"/>
      <c r="CT37" s="1686"/>
      <c r="CU37" s="1686"/>
      <c r="CV37" s="1686"/>
      <c r="CW37" s="1686"/>
      <c r="CX37" s="1686"/>
      <c r="CY37" s="1686"/>
      <c r="CZ37" s="1686"/>
      <c r="DA37" s="1686"/>
      <c r="DB37" s="1686"/>
      <c r="DC37" s="1686"/>
      <c r="DD37" s="1686"/>
      <c r="DE37" s="1686"/>
      <c r="DF37" s="1686"/>
      <c r="DG37" s="1686"/>
      <c r="DH37" s="1686"/>
      <c r="DI37" s="1686"/>
      <c r="DJ37" s="1686"/>
      <c r="DK37" s="1686"/>
      <c r="DL37" s="1686"/>
      <c r="DM37" s="1686"/>
      <c r="DN37" s="1686"/>
      <c r="DO37" s="1686"/>
      <c r="DP37" s="1686"/>
      <c r="DQ37" s="1686"/>
      <c r="DR37" s="1686"/>
      <c r="DS37" s="1686"/>
      <c r="DT37" s="1686"/>
      <c r="DU37" s="1686"/>
      <c r="DV37" s="1686"/>
      <c r="DW37" s="1686"/>
      <c r="DX37" s="1686"/>
      <c r="DY37" s="1686"/>
      <c r="DZ37" s="1686"/>
      <c r="EA37" s="1686"/>
      <c r="EB37" s="1686"/>
      <c r="EC37" s="1686"/>
      <c r="ED37" s="1686"/>
      <c r="EE37" s="1686"/>
      <c r="EF37" s="1686"/>
      <c r="EG37" s="1686"/>
      <c r="EH37" s="1686"/>
      <c r="EI37" s="1686"/>
      <c r="EJ37" s="1686"/>
      <c r="EK37" s="1686"/>
      <c r="EL37" s="1686"/>
      <c r="EM37" s="1686"/>
      <c r="EN37" s="1686"/>
      <c r="EO37" s="1686"/>
      <c r="EP37" s="1686"/>
      <c r="EQ37" s="1686"/>
      <c r="ER37" s="1686"/>
      <c r="ES37" s="1686"/>
      <c r="ET37" s="1686"/>
      <c r="EU37" s="1686"/>
      <c r="EV37" s="1686"/>
      <c r="EW37" s="1686"/>
      <c r="EX37" s="1686"/>
      <c r="EY37" s="1686"/>
      <c r="EZ37" s="1686"/>
      <c r="FA37" s="1686"/>
      <c r="FB37" s="1686"/>
      <c r="FC37" s="1686"/>
      <c r="FD37" s="1686"/>
      <c r="FE37" s="1686"/>
      <c r="FF37" s="1686"/>
      <c r="FG37" s="1686"/>
      <c r="FH37" s="1686"/>
      <c r="FI37" s="1686"/>
      <c r="FJ37" s="1686"/>
      <c r="FK37" s="1686"/>
      <c r="FL37" s="1686"/>
      <c r="FM37" s="1686"/>
      <c r="FN37" s="1686"/>
      <c r="FO37" s="1686"/>
      <c r="FP37" s="1686"/>
      <c r="FQ37" s="1686"/>
      <c r="FR37" s="1686"/>
      <c r="FS37" s="1686"/>
      <c r="FT37" s="1686"/>
      <c r="FU37" s="1686"/>
      <c r="FV37" s="1686"/>
      <c r="FW37" s="1686"/>
      <c r="FX37" s="1686"/>
      <c r="FY37" s="1686"/>
      <c r="FZ37" s="1686"/>
      <c r="GA37" s="1686"/>
      <c r="GB37" s="1686"/>
      <c r="GC37" s="1686"/>
      <c r="GD37" s="1686"/>
      <c r="GE37" s="1686"/>
      <c r="GF37" s="1686"/>
      <c r="GG37" s="1686"/>
      <c r="GH37" s="1686"/>
      <c r="GI37" s="1686"/>
      <c r="GJ37" s="1686"/>
      <c r="GK37" s="1686"/>
      <c r="GL37" s="1686"/>
      <c r="GM37" s="1686"/>
      <c r="GN37" s="1686"/>
      <c r="GO37" s="1686"/>
      <c r="GP37" s="1686"/>
      <c r="GQ37" s="1686"/>
      <c r="GR37" s="1686"/>
      <c r="GS37" s="1686"/>
      <c r="GT37" s="1686"/>
      <c r="GU37" s="1686"/>
      <c r="GV37" s="1686"/>
      <c r="GW37" s="1686"/>
      <c r="GX37" s="1686"/>
      <c r="GY37" s="1686"/>
      <c r="GZ37" s="1686"/>
      <c r="HA37" s="1686"/>
      <c r="HB37" s="1686"/>
      <c r="HC37" s="1686"/>
      <c r="HD37" s="1686"/>
      <c r="HE37" s="1686"/>
      <c r="HF37" s="1686"/>
      <c r="HG37" s="1686"/>
      <c r="HH37" s="1686"/>
      <c r="HI37" s="1686"/>
      <c r="HJ37" s="1686"/>
      <c r="HK37" s="1686"/>
      <c r="HL37" s="1686"/>
      <c r="HM37" s="1686"/>
      <c r="HN37" s="1686"/>
      <c r="HO37" s="1686"/>
      <c r="HP37" s="1686"/>
      <c r="HQ37" s="1686"/>
      <c r="HR37" s="1686"/>
      <c r="HS37" s="1686"/>
      <c r="HT37" s="1686"/>
      <c r="HU37" s="1686"/>
      <c r="HV37" s="1686"/>
      <c r="HW37" s="1686"/>
      <c r="HX37" s="1686"/>
      <c r="HY37" s="1686"/>
      <c r="HZ37" s="1686"/>
      <c r="IA37" s="1686"/>
      <c r="IB37" s="1686"/>
      <c r="IC37" s="1686"/>
      <c r="ID37" s="1686"/>
      <c r="IE37" s="1686"/>
      <c r="IF37" s="1686"/>
      <c r="IG37" s="1686"/>
      <c r="IH37" s="1686"/>
      <c r="II37" s="1686"/>
      <c r="IJ37" s="1686"/>
      <c r="IK37" s="1686"/>
      <c r="IL37" s="1686"/>
      <c r="IM37" s="1686"/>
      <c r="IN37" s="1686"/>
      <c r="IO37" s="1686"/>
      <c r="IP37" s="1686"/>
      <c r="IQ37" s="1686"/>
      <c r="IR37" s="1686"/>
      <c r="IS37" s="1686"/>
      <c r="IT37" s="1686"/>
      <c r="IU37" s="1686"/>
      <c r="IV37" s="1686"/>
    </row>
    <row r="38" spans="1:256" s="1686" customFormat="1" ht="24" customHeight="1" x14ac:dyDescent="0.2">
      <c r="A38" s="4506"/>
      <c r="B38" s="1741" t="s">
        <v>1711</v>
      </c>
      <c r="C38" s="1628" t="s">
        <v>1701</v>
      </c>
      <c r="D38" s="1610">
        <f>IF(D37=0,,D39*1000/D37)</f>
        <v>10</v>
      </c>
      <c r="E38" s="1609">
        <f>IF(E37=0,,E39*1000/E37)</f>
        <v>17.239999999999998</v>
      </c>
      <c r="F38" s="1610">
        <f>F39/F37*1000</f>
        <v>10</v>
      </c>
      <c r="G38" s="1609">
        <f>G39*1000/G37</f>
        <v>0</v>
      </c>
      <c r="H38" s="1611">
        <f>H35</f>
        <v>18.45</v>
      </c>
      <c r="I38" s="1609">
        <f t="shared" ref="I38:W38" si="22">I35</f>
        <v>16.38</v>
      </c>
      <c r="J38" s="1610">
        <f t="shared" si="22"/>
        <v>18.45</v>
      </c>
      <c r="K38" s="1609">
        <f t="shared" si="22"/>
        <v>16.38</v>
      </c>
      <c r="L38" s="1610">
        <f t="shared" si="22"/>
        <v>18.45</v>
      </c>
      <c r="M38" s="1609">
        <f t="shared" si="22"/>
        <v>16.38</v>
      </c>
      <c r="N38" s="1610">
        <f t="shared" si="22"/>
        <v>18.45</v>
      </c>
      <c r="O38" s="1609">
        <f t="shared" si="22"/>
        <v>16.38</v>
      </c>
      <c r="P38" s="1610">
        <f t="shared" si="22"/>
        <v>18.45</v>
      </c>
      <c r="Q38" s="1609">
        <f t="shared" si="22"/>
        <v>16.38</v>
      </c>
      <c r="R38" s="1610">
        <f t="shared" si="22"/>
        <v>18.45</v>
      </c>
      <c r="S38" s="1609">
        <f t="shared" si="22"/>
        <v>16.38</v>
      </c>
      <c r="T38" s="1610">
        <f t="shared" si="22"/>
        <v>18.45</v>
      </c>
      <c r="U38" s="1609">
        <f t="shared" si="22"/>
        <v>16.38</v>
      </c>
      <c r="V38" s="1610">
        <f t="shared" si="22"/>
        <v>18.45</v>
      </c>
      <c r="W38" s="1609">
        <f t="shared" si="22"/>
        <v>16.38</v>
      </c>
      <c r="X38" s="1638">
        <f t="shared" ref="X38:Y38" si="23">X35</f>
        <v>18.45</v>
      </c>
      <c r="Y38" s="1639">
        <f t="shared" si="23"/>
        <v>16.38</v>
      </c>
      <c r="Z38" s="1687"/>
      <c r="AA38" s="1687"/>
      <c r="AC38" s="1677"/>
      <c r="AD38" s="1677"/>
      <c r="AE38" s="1677"/>
      <c r="AF38" s="1677"/>
      <c r="AG38" s="1677"/>
      <c r="AH38" s="1677"/>
      <c r="AJ38" s="1688"/>
      <c r="AK38" s="1688"/>
      <c r="AL38" s="1688"/>
      <c r="AM38" s="1688"/>
      <c r="AN38" s="1688"/>
      <c r="AO38" s="1688"/>
    </row>
    <row r="39" spans="1:256" s="1686" customFormat="1" ht="24" customHeight="1" x14ac:dyDescent="0.2">
      <c r="A39" s="4507"/>
      <c r="B39" s="1742" t="s">
        <v>1712</v>
      </c>
      <c r="C39" s="1629" t="s">
        <v>1704</v>
      </c>
      <c r="D39" s="1610">
        <v>0.02</v>
      </c>
      <c r="E39" s="1609">
        <v>0.01</v>
      </c>
      <c r="F39" s="1610">
        <f>1*13.84/1000</f>
        <v>0.01</v>
      </c>
      <c r="G39" s="1609">
        <f>G37*10.67/1000</f>
        <v>0</v>
      </c>
      <c r="H39" s="1611">
        <f>J39+L39+N39+P39+R39+T39+V39</f>
        <v>0.16</v>
      </c>
      <c r="I39" s="1609">
        <f>K39+M39+O39+Q39+S39+U39+W39</f>
        <v>0.04</v>
      </c>
      <c r="J39" s="1610">
        <f>J37*J38/1000</f>
        <v>0</v>
      </c>
      <c r="K39" s="1609">
        <f t="shared" ref="K39:W39" si="24">K37*K38/1000</f>
        <v>0</v>
      </c>
      <c r="L39" s="1610">
        <f t="shared" si="24"/>
        <v>0.16</v>
      </c>
      <c r="M39" s="1609">
        <f t="shared" si="24"/>
        <v>0.04</v>
      </c>
      <c r="N39" s="1610">
        <f t="shared" si="24"/>
        <v>0</v>
      </c>
      <c r="O39" s="1609">
        <f t="shared" si="24"/>
        <v>0</v>
      </c>
      <c r="P39" s="1610">
        <f t="shared" si="24"/>
        <v>0</v>
      </c>
      <c r="Q39" s="1609">
        <f t="shared" si="24"/>
        <v>0</v>
      </c>
      <c r="R39" s="1610">
        <f t="shared" si="24"/>
        <v>0</v>
      </c>
      <c r="S39" s="1609">
        <f t="shared" si="24"/>
        <v>0</v>
      </c>
      <c r="T39" s="1610">
        <f t="shared" si="24"/>
        <v>0</v>
      </c>
      <c r="U39" s="1609">
        <f t="shared" si="24"/>
        <v>0</v>
      </c>
      <c r="V39" s="1610">
        <f t="shared" si="24"/>
        <v>0</v>
      </c>
      <c r="W39" s="1609">
        <f t="shared" si="24"/>
        <v>0</v>
      </c>
      <c r="X39" s="1637">
        <f t="shared" ref="X39:Y39" si="25">X37*X38/1000</f>
        <v>0</v>
      </c>
      <c r="Y39" s="1636">
        <f t="shared" si="25"/>
        <v>0</v>
      </c>
      <c r="Z39" s="1687"/>
      <c r="AA39" s="1687"/>
      <c r="AC39" s="1677"/>
      <c r="AD39" s="1677"/>
      <c r="AE39" s="1677"/>
      <c r="AF39" s="1677"/>
      <c r="AG39" s="1677"/>
      <c r="AH39" s="1677"/>
      <c r="AJ39" s="1688"/>
      <c r="AK39" s="1688"/>
      <c r="AL39" s="1688"/>
      <c r="AM39" s="1688"/>
      <c r="AN39" s="1688"/>
      <c r="AO39" s="1688"/>
    </row>
    <row r="40" spans="1:256" s="1686" customFormat="1" ht="18.75" hidden="1" customHeight="1" x14ac:dyDescent="0.2">
      <c r="A40" s="4505" t="s">
        <v>1713</v>
      </c>
      <c r="B40" s="1743" t="s">
        <v>1714</v>
      </c>
      <c r="C40" s="1628" t="s">
        <v>1669</v>
      </c>
      <c r="D40" s="1610"/>
      <c r="E40" s="1609"/>
      <c r="F40" s="1610"/>
      <c r="G40" s="1609"/>
      <c r="H40" s="1611">
        <f>J40+L40+N40+P40+R40+T40+V40</f>
        <v>0</v>
      </c>
      <c r="I40" s="1609">
        <f>K40+M40+O40+Q40+S40+U40+W40</f>
        <v>0</v>
      </c>
      <c r="J40" s="1610"/>
      <c r="K40" s="1609"/>
      <c r="L40" s="1610"/>
      <c r="M40" s="1609"/>
      <c r="N40" s="1610"/>
      <c r="O40" s="1609"/>
      <c r="P40" s="1610"/>
      <c r="Q40" s="1609"/>
      <c r="R40" s="1610"/>
      <c r="S40" s="1609"/>
      <c r="T40" s="1610"/>
      <c r="U40" s="1609"/>
      <c r="V40" s="1610"/>
      <c r="W40" s="1612"/>
      <c r="X40" s="1637"/>
      <c r="Y40" s="1641"/>
      <c r="Z40" s="1687"/>
      <c r="AA40" s="1687"/>
      <c r="AC40" s="1677"/>
      <c r="AD40" s="1677"/>
      <c r="AE40" s="1677"/>
      <c r="AF40" s="1677"/>
      <c r="AG40" s="1677"/>
      <c r="AH40" s="1677"/>
      <c r="AJ40" s="1688"/>
      <c r="AK40" s="1688"/>
      <c r="AL40" s="1688"/>
      <c r="AM40" s="1688"/>
      <c r="AN40" s="1688"/>
      <c r="AO40" s="1688"/>
    </row>
    <row r="41" spans="1:256" s="1686" customFormat="1" ht="24" hidden="1" customHeight="1" x14ac:dyDescent="0.2">
      <c r="A41" s="4506"/>
      <c r="B41" s="1741" t="s">
        <v>1715</v>
      </c>
      <c r="C41" s="1628" t="s">
        <v>1701</v>
      </c>
      <c r="D41" s="1610">
        <f t="shared" ref="D41:I41" si="26">IF(D40=0,,D42/1000/D40)</f>
        <v>0</v>
      </c>
      <c r="E41" s="1609">
        <f t="shared" si="26"/>
        <v>0</v>
      </c>
      <c r="F41" s="1610"/>
      <c r="G41" s="1609"/>
      <c r="H41" s="1611">
        <f t="shared" si="26"/>
        <v>0</v>
      </c>
      <c r="I41" s="1609">
        <f t="shared" si="26"/>
        <v>0</v>
      </c>
      <c r="J41" s="1610"/>
      <c r="K41" s="1609"/>
      <c r="L41" s="1610"/>
      <c r="M41" s="1609"/>
      <c r="N41" s="1610"/>
      <c r="O41" s="1609"/>
      <c r="P41" s="1610"/>
      <c r="Q41" s="1609"/>
      <c r="R41" s="1610"/>
      <c r="S41" s="1609"/>
      <c r="T41" s="1610"/>
      <c r="U41" s="1609"/>
      <c r="V41" s="1610"/>
      <c r="W41" s="1612"/>
      <c r="X41" s="1637"/>
      <c r="Y41" s="1641"/>
      <c r="Z41" s="1687"/>
      <c r="AA41" s="1687"/>
      <c r="AC41" s="1677"/>
      <c r="AD41" s="1677"/>
      <c r="AE41" s="1677"/>
      <c r="AF41" s="1677"/>
      <c r="AG41" s="1677"/>
      <c r="AH41" s="1677"/>
      <c r="AJ41" s="1688"/>
      <c r="AK41" s="1688"/>
      <c r="AL41" s="1688"/>
      <c r="AM41" s="1688"/>
      <c r="AN41" s="1688"/>
      <c r="AO41" s="1688"/>
    </row>
    <row r="42" spans="1:256" s="1686" customFormat="1" ht="27" hidden="1" customHeight="1" x14ac:dyDescent="0.2">
      <c r="A42" s="4507"/>
      <c r="B42" s="1744" t="s">
        <v>1716</v>
      </c>
      <c r="C42" s="1629" t="s">
        <v>1704</v>
      </c>
      <c r="D42" s="1610"/>
      <c r="E42" s="1609"/>
      <c r="F42" s="1610"/>
      <c r="G42" s="1609"/>
      <c r="H42" s="1611">
        <f>J42+L42+N42+P42+R42+T42+V42</f>
        <v>0</v>
      </c>
      <c r="I42" s="1609">
        <f>K42+M42+O42+Q42+S42+U42+W42</f>
        <v>0</v>
      </c>
      <c r="J42" s="1610">
        <f>J40*J41/1000</f>
        <v>0</v>
      </c>
      <c r="K42" s="1609">
        <f t="shared" ref="K42:W42" si="27">K40*K41/1000</f>
        <v>0</v>
      </c>
      <c r="L42" s="1610">
        <f t="shared" si="27"/>
        <v>0</v>
      </c>
      <c r="M42" s="1609">
        <f t="shared" si="27"/>
        <v>0</v>
      </c>
      <c r="N42" s="1610">
        <f t="shared" si="27"/>
        <v>0</v>
      </c>
      <c r="O42" s="1609">
        <f t="shared" si="27"/>
        <v>0</v>
      </c>
      <c r="P42" s="1610">
        <f t="shared" si="27"/>
        <v>0</v>
      </c>
      <c r="Q42" s="1609">
        <f t="shared" si="27"/>
        <v>0</v>
      </c>
      <c r="R42" s="1610">
        <f t="shared" si="27"/>
        <v>0</v>
      </c>
      <c r="S42" s="1609">
        <f t="shared" si="27"/>
        <v>0</v>
      </c>
      <c r="T42" s="1610">
        <f t="shared" si="27"/>
        <v>0</v>
      </c>
      <c r="U42" s="1609">
        <f t="shared" si="27"/>
        <v>0</v>
      </c>
      <c r="V42" s="1610">
        <f t="shared" si="27"/>
        <v>0</v>
      </c>
      <c r="W42" s="1609">
        <f t="shared" si="27"/>
        <v>0</v>
      </c>
      <c r="X42" s="1637">
        <f t="shared" ref="X42:Y42" si="28">X40*X41/1000</f>
        <v>0</v>
      </c>
      <c r="Y42" s="1636">
        <f t="shared" si="28"/>
        <v>0</v>
      </c>
      <c r="Z42" s="1687"/>
      <c r="AA42" s="1687"/>
      <c r="AC42" s="1677"/>
      <c r="AD42" s="1677"/>
      <c r="AE42" s="1677"/>
      <c r="AF42" s="1677"/>
      <c r="AG42" s="1677"/>
      <c r="AH42" s="1677"/>
      <c r="AJ42" s="1688"/>
      <c r="AK42" s="1688"/>
      <c r="AL42" s="1688"/>
      <c r="AM42" s="1688"/>
      <c r="AN42" s="1688"/>
      <c r="AO42" s="1688"/>
    </row>
    <row r="43" spans="1:256" s="1686" customFormat="1" ht="13.15" hidden="1" customHeight="1" outlineLevel="1" x14ac:dyDescent="0.2">
      <c r="A43" s="4505" t="s">
        <v>1717</v>
      </c>
      <c r="B43" s="1741" t="s">
        <v>1718</v>
      </c>
      <c r="C43" s="1628" t="s">
        <v>1669</v>
      </c>
      <c r="D43" s="1610"/>
      <c r="E43" s="1609"/>
      <c r="F43" s="1610"/>
      <c r="G43" s="1609"/>
      <c r="H43" s="1611">
        <f>J43+L43+N43+P43+R43+T43+V43</f>
        <v>0</v>
      </c>
      <c r="I43" s="1609">
        <f>K43+M43+O43+Q43+S43+U43+W43</f>
        <v>0</v>
      </c>
      <c r="J43" s="1610"/>
      <c r="K43" s="1609"/>
      <c r="L43" s="1610"/>
      <c r="M43" s="1609"/>
      <c r="N43" s="1610"/>
      <c r="O43" s="1609"/>
      <c r="P43" s="1610"/>
      <c r="Q43" s="1609"/>
      <c r="R43" s="1610"/>
      <c r="S43" s="1609"/>
      <c r="T43" s="1610"/>
      <c r="U43" s="1609"/>
      <c r="V43" s="1610"/>
      <c r="W43" s="1613"/>
      <c r="X43" s="1637"/>
      <c r="Y43" s="1642"/>
      <c r="Z43" s="1687"/>
      <c r="AA43" s="1687"/>
      <c r="AC43" s="1677"/>
      <c r="AD43" s="1677"/>
      <c r="AE43" s="1677"/>
      <c r="AF43" s="1677"/>
      <c r="AG43" s="1677"/>
      <c r="AH43" s="1677"/>
      <c r="AJ43" s="1688"/>
      <c r="AK43" s="1688"/>
      <c r="AL43" s="1688"/>
      <c r="AM43" s="1688"/>
      <c r="AN43" s="1688"/>
      <c r="AO43" s="1688"/>
    </row>
    <row r="44" spans="1:256" s="1686" customFormat="1" ht="24" hidden="1" customHeight="1" outlineLevel="1" x14ac:dyDescent="0.2">
      <c r="A44" s="4506"/>
      <c r="B44" s="1741" t="s">
        <v>1719</v>
      </c>
      <c r="C44" s="1628" t="s">
        <v>1701</v>
      </c>
      <c r="D44" s="1610">
        <f t="shared" ref="D44:I44" si="29">IF(D43=0,,D45/1000/D43)</f>
        <v>0</v>
      </c>
      <c r="E44" s="1609">
        <f t="shared" si="29"/>
        <v>0</v>
      </c>
      <c r="F44" s="1610"/>
      <c r="G44" s="1609"/>
      <c r="H44" s="1611">
        <f t="shared" si="29"/>
        <v>0</v>
      </c>
      <c r="I44" s="1609">
        <f t="shared" si="29"/>
        <v>0</v>
      </c>
      <c r="J44" s="1610"/>
      <c r="K44" s="1609"/>
      <c r="L44" s="1610"/>
      <c r="M44" s="1609"/>
      <c r="N44" s="1610"/>
      <c r="O44" s="1609"/>
      <c r="P44" s="1610"/>
      <c r="Q44" s="1609"/>
      <c r="R44" s="1610"/>
      <c r="S44" s="1609"/>
      <c r="T44" s="1610"/>
      <c r="U44" s="1609"/>
      <c r="V44" s="1610"/>
      <c r="W44" s="1613"/>
      <c r="X44" s="1637"/>
      <c r="Y44" s="1642"/>
      <c r="Z44" s="1687"/>
      <c r="AA44" s="1687"/>
      <c r="AC44" s="1677"/>
      <c r="AD44" s="1677"/>
      <c r="AE44" s="1677"/>
      <c r="AF44" s="1677"/>
      <c r="AG44" s="1677"/>
      <c r="AH44" s="1677"/>
      <c r="AJ44" s="1688"/>
      <c r="AK44" s="1688"/>
      <c r="AL44" s="1688"/>
      <c r="AM44" s="1688"/>
      <c r="AN44" s="1688"/>
      <c r="AO44" s="1688"/>
    </row>
    <row r="45" spans="1:256" s="1686" customFormat="1" ht="24" hidden="1" customHeight="1" outlineLevel="1" x14ac:dyDescent="0.2">
      <c r="A45" s="4507"/>
      <c r="B45" s="1744" t="s">
        <v>1720</v>
      </c>
      <c r="C45" s="1629" t="s">
        <v>1704</v>
      </c>
      <c r="D45" s="1610"/>
      <c r="E45" s="1609"/>
      <c r="F45" s="1610"/>
      <c r="G45" s="1609"/>
      <c r="H45" s="1611">
        <f>J45+L45+N45+P45+R45+T45+V45</f>
        <v>0</v>
      </c>
      <c r="I45" s="1609">
        <f>K45+M45+O45+Q45+S45+U45+W45</f>
        <v>0</v>
      </c>
      <c r="J45" s="1610">
        <f>J43*J44/1000</f>
        <v>0</v>
      </c>
      <c r="K45" s="1609">
        <f t="shared" ref="K45:W45" si="30">K43*K44/1000</f>
        <v>0</v>
      </c>
      <c r="L45" s="1610">
        <f t="shared" si="30"/>
        <v>0</v>
      </c>
      <c r="M45" s="1609">
        <f t="shared" si="30"/>
        <v>0</v>
      </c>
      <c r="N45" s="1610">
        <f t="shared" si="30"/>
        <v>0</v>
      </c>
      <c r="O45" s="1609">
        <f t="shared" si="30"/>
        <v>0</v>
      </c>
      <c r="P45" s="1610">
        <f t="shared" si="30"/>
        <v>0</v>
      </c>
      <c r="Q45" s="1609">
        <f t="shared" si="30"/>
        <v>0</v>
      </c>
      <c r="R45" s="1610">
        <f t="shared" si="30"/>
        <v>0</v>
      </c>
      <c r="S45" s="1609">
        <f t="shared" si="30"/>
        <v>0</v>
      </c>
      <c r="T45" s="1610">
        <f t="shared" si="30"/>
        <v>0</v>
      </c>
      <c r="U45" s="1609">
        <f t="shared" si="30"/>
        <v>0</v>
      </c>
      <c r="V45" s="1610">
        <f t="shared" si="30"/>
        <v>0</v>
      </c>
      <c r="W45" s="1609">
        <f t="shared" si="30"/>
        <v>0</v>
      </c>
      <c r="X45" s="1637">
        <f t="shared" ref="X45:Y45" si="31">X43*X44/1000</f>
        <v>0</v>
      </c>
      <c r="Y45" s="1636">
        <f t="shared" si="31"/>
        <v>0</v>
      </c>
      <c r="Z45" s="1687"/>
      <c r="AA45" s="1687"/>
      <c r="AC45" s="1677"/>
      <c r="AD45" s="1677"/>
      <c r="AE45" s="1677"/>
      <c r="AF45" s="1677"/>
      <c r="AG45" s="1677"/>
      <c r="AH45" s="1677"/>
      <c r="AJ45" s="1688"/>
      <c r="AK45" s="1688"/>
      <c r="AL45" s="1688"/>
      <c r="AM45" s="1688"/>
      <c r="AN45" s="1688"/>
      <c r="AO45" s="1688"/>
    </row>
    <row r="46" spans="1:256" s="1686" customFormat="1" ht="13.15" hidden="1" customHeight="1" outlineLevel="1" x14ac:dyDescent="0.2">
      <c r="A46" s="4505" t="s">
        <v>1721</v>
      </c>
      <c r="B46" s="1741" t="s">
        <v>1722</v>
      </c>
      <c r="C46" s="1628" t="s">
        <v>1669</v>
      </c>
      <c r="D46" s="1610"/>
      <c r="E46" s="1609"/>
      <c r="F46" s="1610"/>
      <c r="G46" s="1609"/>
      <c r="H46" s="1611">
        <f>J46+L46+N46+P46+R46+T46+V46</f>
        <v>0</v>
      </c>
      <c r="I46" s="1609">
        <f>K46+M46+O46+Q46+S46+U46+W46</f>
        <v>0</v>
      </c>
      <c r="J46" s="1610"/>
      <c r="K46" s="1609"/>
      <c r="L46" s="1610"/>
      <c r="M46" s="1609"/>
      <c r="N46" s="1610"/>
      <c r="O46" s="1609"/>
      <c r="P46" s="1610"/>
      <c r="Q46" s="1609"/>
      <c r="R46" s="1610"/>
      <c r="S46" s="1609"/>
      <c r="T46" s="1610"/>
      <c r="U46" s="1609"/>
      <c r="V46" s="1610"/>
      <c r="W46" s="1613"/>
      <c r="X46" s="1637"/>
      <c r="Y46" s="1642"/>
      <c r="Z46" s="1687"/>
      <c r="AA46" s="1687"/>
      <c r="AC46" s="1677"/>
      <c r="AD46" s="1677"/>
      <c r="AE46" s="1677"/>
      <c r="AF46" s="1677"/>
      <c r="AG46" s="1677"/>
      <c r="AH46" s="1677"/>
      <c r="AJ46" s="1688"/>
      <c r="AK46" s="1688"/>
      <c r="AL46" s="1688"/>
      <c r="AM46" s="1688"/>
      <c r="AN46" s="1688"/>
      <c r="AO46" s="1688"/>
    </row>
    <row r="47" spans="1:256" s="1686" customFormat="1" ht="24" hidden="1" customHeight="1" outlineLevel="1" x14ac:dyDescent="0.2">
      <c r="A47" s="4506"/>
      <c r="B47" s="1741" t="s">
        <v>1723</v>
      </c>
      <c r="C47" s="1628" t="s">
        <v>1701</v>
      </c>
      <c r="D47" s="1610">
        <f t="shared" ref="D47:I47" si="32">IF(D46=0,,D48/1000/D46)</f>
        <v>0</v>
      </c>
      <c r="E47" s="1609">
        <f t="shared" si="32"/>
        <v>0</v>
      </c>
      <c r="F47" s="1610"/>
      <c r="G47" s="1609"/>
      <c r="H47" s="1611">
        <f t="shared" si="32"/>
        <v>0</v>
      </c>
      <c r="I47" s="1609">
        <f t="shared" si="32"/>
        <v>0</v>
      </c>
      <c r="J47" s="1610"/>
      <c r="K47" s="1609"/>
      <c r="L47" s="1610"/>
      <c r="M47" s="1609"/>
      <c r="N47" s="1610"/>
      <c r="O47" s="1609"/>
      <c r="P47" s="1610"/>
      <c r="Q47" s="1609"/>
      <c r="R47" s="1610"/>
      <c r="S47" s="1609"/>
      <c r="T47" s="1610"/>
      <c r="U47" s="1609"/>
      <c r="V47" s="1610"/>
      <c r="W47" s="1613"/>
      <c r="X47" s="1637"/>
      <c r="Y47" s="1642"/>
      <c r="Z47" s="1687"/>
      <c r="AA47" s="1687"/>
      <c r="AC47" s="1677"/>
      <c r="AD47" s="1677"/>
      <c r="AE47" s="1677"/>
      <c r="AF47" s="1677"/>
      <c r="AG47" s="1677"/>
      <c r="AH47" s="1677"/>
      <c r="AJ47" s="1688"/>
      <c r="AK47" s="1688"/>
      <c r="AL47" s="1688"/>
      <c r="AM47" s="1688"/>
      <c r="AN47" s="1688"/>
      <c r="AO47" s="1688"/>
    </row>
    <row r="48" spans="1:256" s="1686" customFormat="1" ht="24" hidden="1" customHeight="1" outlineLevel="1" x14ac:dyDescent="0.2">
      <c r="A48" s="4507"/>
      <c r="B48" s="1744" t="s">
        <v>1724</v>
      </c>
      <c r="C48" s="1629" t="s">
        <v>1704</v>
      </c>
      <c r="D48" s="1610"/>
      <c r="E48" s="1609"/>
      <c r="F48" s="1610"/>
      <c r="G48" s="1609"/>
      <c r="H48" s="1611">
        <f>J48+L48+N48+P48+R48+T48+V48</f>
        <v>0</v>
      </c>
      <c r="I48" s="1609">
        <f>K48+M48+O48+Q48+S48+U48+W48</f>
        <v>0</v>
      </c>
      <c r="J48" s="1610">
        <f>J46*J47/1000</f>
        <v>0</v>
      </c>
      <c r="K48" s="1609">
        <f t="shared" ref="K48:W48" si="33">K46*K47/1000</f>
        <v>0</v>
      </c>
      <c r="L48" s="1610">
        <f t="shared" si="33"/>
        <v>0</v>
      </c>
      <c r="M48" s="1609">
        <f t="shared" si="33"/>
        <v>0</v>
      </c>
      <c r="N48" s="1610">
        <f t="shared" si="33"/>
        <v>0</v>
      </c>
      <c r="O48" s="1609">
        <f t="shared" si="33"/>
        <v>0</v>
      </c>
      <c r="P48" s="1610">
        <f t="shared" si="33"/>
        <v>0</v>
      </c>
      <c r="Q48" s="1609">
        <f t="shared" si="33"/>
        <v>0</v>
      </c>
      <c r="R48" s="1610">
        <f t="shared" si="33"/>
        <v>0</v>
      </c>
      <c r="S48" s="1609">
        <f t="shared" si="33"/>
        <v>0</v>
      </c>
      <c r="T48" s="1610">
        <f t="shared" si="33"/>
        <v>0</v>
      </c>
      <c r="U48" s="1609">
        <f t="shared" si="33"/>
        <v>0</v>
      </c>
      <c r="V48" s="1610">
        <f t="shared" si="33"/>
        <v>0</v>
      </c>
      <c r="W48" s="1609">
        <f t="shared" si="33"/>
        <v>0</v>
      </c>
      <c r="X48" s="1637">
        <f t="shared" ref="X48:Y48" si="34">X46*X47/1000</f>
        <v>0</v>
      </c>
      <c r="Y48" s="1636">
        <f t="shared" si="34"/>
        <v>0</v>
      </c>
      <c r="Z48" s="1687"/>
      <c r="AA48" s="1687"/>
      <c r="AC48" s="1677"/>
      <c r="AD48" s="1677"/>
      <c r="AE48" s="1677"/>
      <c r="AF48" s="1677"/>
      <c r="AG48" s="1677"/>
      <c r="AH48" s="1677"/>
      <c r="AJ48" s="1688"/>
      <c r="AK48" s="1688"/>
      <c r="AL48" s="1688"/>
      <c r="AM48" s="1688"/>
      <c r="AN48" s="1688"/>
      <c r="AO48" s="1688"/>
    </row>
    <row r="49" spans="1:256" ht="13.15" hidden="1" customHeight="1" outlineLevel="1" x14ac:dyDescent="0.2">
      <c r="A49" s="4505" t="s">
        <v>1725</v>
      </c>
      <c r="B49" s="1741" t="s">
        <v>1726</v>
      </c>
      <c r="C49" s="1628" t="s">
        <v>1669</v>
      </c>
      <c r="D49" s="1610"/>
      <c r="E49" s="1609"/>
      <c r="F49" s="1610"/>
      <c r="G49" s="1609"/>
      <c r="H49" s="1611">
        <f>J49+L49+N49+P49+R49+T49+V49</f>
        <v>0</v>
      </c>
      <c r="I49" s="1609">
        <f>K49+M49+O49+Q49+S49+U49+W49</f>
        <v>0</v>
      </c>
      <c r="J49" s="1610"/>
      <c r="K49" s="1609"/>
      <c r="L49" s="1610"/>
      <c r="M49" s="1609"/>
      <c r="N49" s="1610"/>
      <c r="O49" s="1609"/>
      <c r="P49" s="1610"/>
      <c r="Q49" s="1609"/>
      <c r="R49" s="1610"/>
      <c r="S49" s="1609"/>
      <c r="T49" s="1610"/>
      <c r="U49" s="1609"/>
      <c r="V49" s="1610"/>
      <c r="W49" s="1613"/>
      <c r="X49" s="1637"/>
      <c r="Y49" s="1642"/>
      <c r="Z49" s="1687"/>
      <c r="AA49" s="1687"/>
      <c r="AB49" s="1686"/>
      <c r="AC49" s="1677"/>
      <c r="AD49" s="1677"/>
      <c r="AE49" s="1677"/>
      <c r="AF49" s="1677"/>
      <c r="AG49" s="1677"/>
      <c r="AH49" s="1677"/>
      <c r="AI49" s="1686"/>
      <c r="AJ49" s="1688"/>
      <c r="AK49" s="1688"/>
      <c r="AL49" s="1688"/>
      <c r="AM49" s="1688"/>
      <c r="AN49" s="1688"/>
      <c r="AO49" s="1688"/>
      <c r="AP49" s="1686"/>
      <c r="AQ49" s="1686"/>
      <c r="AR49" s="1686"/>
      <c r="AS49" s="1686"/>
      <c r="AT49" s="1686"/>
      <c r="AU49" s="1686"/>
      <c r="AV49" s="1686"/>
      <c r="AW49" s="1686"/>
      <c r="AX49" s="1686"/>
      <c r="AY49" s="1686"/>
      <c r="AZ49" s="1686"/>
      <c r="BA49" s="1686"/>
      <c r="BB49" s="1686"/>
      <c r="BC49" s="1686"/>
      <c r="BD49" s="1686"/>
      <c r="BE49" s="1686"/>
      <c r="BF49" s="1686"/>
      <c r="BG49" s="1686"/>
      <c r="BH49" s="1686"/>
      <c r="BI49" s="1686"/>
      <c r="BJ49" s="1686"/>
      <c r="BK49" s="1686"/>
      <c r="BL49" s="1686"/>
      <c r="BM49" s="1686"/>
      <c r="BN49" s="1686"/>
      <c r="BO49" s="1686"/>
      <c r="BP49" s="1686"/>
      <c r="BQ49" s="1686"/>
      <c r="BR49" s="1686"/>
      <c r="BS49" s="1686"/>
      <c r="BT49" s="1686"/>
      <c r="BU49" s="1686"/>
      <c r="BV49" s="1686"/>
      <c r="BW49" s="1686"/>
      <c r="BX49" s="1686"/>
      <c r="BY49" s="1686"/>
      <c r="BZ49" s="1686"/>
      <c r="CA49" s="1686"/>
      <c r="CB49" s="1686"/>
      <c r="CC49" s="1686"/>
      <c r="CD49" s="1686"/>
      <c r="CE49" s="1686"/>
      <c r="CF49" s="1686"/>
      <c r="CG49" s="1686"/>
      <c r="CH49" s="1686"/>
      <c r="CI49" s="1686"/>
      <c r="CJ49" s="1686"/>
      <c r="CK49" s="1686"/>
      <c r="CL49" s="1686"/>
      <c r="CM49" s="1686"/>
      <c r="CN49" s="1686"/>
      <c r="CO49" s="1686"/>
      <c r="CP49" s="1686"/>
      <c r="CQ49" s="1686"/>
      <c r="CR49" s="1686"/>
      <c r="CS49" s="1686"/>
      <c r="CT49" s="1686"/>
      <c r="CU49" s="1686"/>
      <c r="CV49" s="1686"/>
      <c r="CW49" s="1686"/>
      <c r="CX49" s="1686"/>
      <c r="CY49" s="1686"/>
      <c r="CZ49" s="1686"/>
      <c r="DA49" s="1686"/>
      <c r="DB49" s="1686"/>
      <c r="DC49" s="1686"/>
      <c r="DD49" s="1686"/>
      <c r="DE49" s="1686"/>
      <c r="DF49" s="1686"/>
      <c r="DG49" s="1686"/>
      <c r="DH49" s="1686"/>
      <c r="DI49" s="1686"/>
      <c r="DJ49" s="1686"/>
      <c r="DK49" s="1686"/>
      <c r="DL49" s="1686"/>
      <c r="DM49" s="1686"/>
      <c r="DN49" s="1686"/>
      <c r="DO49" s="1686"/>
      <c r="DP49" s="1686"/>
      <c r="DQ49" s="1686"/>
      <c r="DR49" s="1686"/>
      <c r="DS49" s="1686"/>
      <c r="DT49" s="1686"/>
      <c r="DU49" s="1686"/>
      <c r="DV49" s="1686"/>
      <c r="DW49" s="1686"/>
      <c r="DX49" s="1686"/>
      <c r="DY49" s="1686"/>
      <c r="DZ49" s="1686"/>
      <c r="EA49" s="1686"/>
      <c r="EB49" s="1686"/>
      <c r="EC49" s="1686"/>
      <c r="ED49" s="1686"/>
      <c r="EE49" s="1686"/>
      <c r="EF49" s="1686"/>
      <c r="EG49" s="1686"/>
      <c r="EH49" s="1686"/>
      <c r="EI49" s="1686"/>
      <c r="EJ49" s="1686"/>
      <c r="EK49" s="1686"/>
      <c r="EL49" s="1686"/>
      <c r="EM49" s="1686"/>
      <c r="EN49" s="1686"/>
      <c r="EO49" s="1686"/>
      <c r="EP49" s="1686"/>
      <c r="EQ49" s="1686"/>
      <c r="ER49" s="1686"/>
      <c r="ES49" s="1686"/>
      <c r="ET49" s="1686"/>
      <c r="EU49" s="1686"/>
      <c r="EV49" s="1686"/>
      <c r="EW49" s="1686"/>
      <c r="EX49" s="1686"/>
      <c r="EY49" s="1686"/>
      <c r="EZ49" s="1686"/>
      <c r="FA49" s="1686"/>
      <c r="FB49" s="1686"/>
      <c r="FC49" s="1686"/>
      <c r="FD49" s="1686"/>
      <c r="FE49" s="1686"/>
      <c r="FF49" s="1686"/>
      <c r="FG49" s="1686"/>
      <c r="FH49" s="1686"/>
      <c r="FI49" s="1686"/>
      <c r="FJ49" s="1686"/>
      <c r="FK49" s="1686"/>
      <c r="FL49" s="1686"/>
      <c r="FM49" s="1686"/>
      <c r="FN49" s="1686"/>
      <c r="FO49" s="1686"/>
      <c r="FP49" s="1686"/>
      <c r="FQ49" s="1686"/>
      <c r="FR49" s="1686"/>
      <c r="FS49" s="1686"/>
      <c r="FT49" s="1686"/>
      <c r="FU49" s="1686"/>
      <c r="FV49" s="1686"/>
      <c r="FW49" s="1686"/>
      <c r="FX49" s="1686"/>
      <c r="FY49" s="1686"/>
      <c r="FZ49" s="1686"/>
      <c r="GA49" s="1686"/>
      <c r="GB49" s="1686"/>
      <c r="GC49" s="1686"/>
      <c r="GD49" s="1686"/>
      <c r="GE49" s="1686"/>
      <c r="GF49" s="1686"/>
      <c r="GG49" s="1686"/>
      <c r="GH49" s="1686"/>
      <c r="GI49" s="1686"/>
      <c r="GJ49" s="1686"/>
      <c r="GK49" s="1686"/>
      <c r="GL49" s="1686"/>
      <c r="GM49" s="1686"/>
      <c r="GN49" s="1686"/>
      <c r="GO49" s="1686"/>
      <c r="GP49" s="1686"/>
      <c r="GQ49" s="1686"/>
      <c r="GR49" s="1686"/>
      <c r="GS49" s="1686"/>
      <c r="GT49" s="1686"/>
      <c r="GU49" s="1686"/>
      <c r="GV49" s="1686"/>
      <c r="GW49" s="1686"/>
      <c r="GX49" s="1686"/>
      <c r="GY49" s="1686"/>
      <c r="GZ49" s="1686"/>
      <c r="HA49" s="1686"/>
      <c r="HB49" s="1686"/>
      <c r="HC49" s="1686"/>
      <c r="HD49" s="1686"/>
      <c r="HE49" s="1686"/>
      <c r="HF49" s="1686"/>
      <c r="HG49" s="1686"/>
      <c r="HH49" s="1686"/>
      <c r="HI49" s="1686"/>
      <c r="HJ49" s="1686"/>
      <c r="HK49" s="1686"/>
      <c r="HL49" s="1686"/>
      <c r="HM49" s="1686"/>
      <c r="HN49" s="1686"/>
      <c r="HO49" s="1686"/>
      <c r="HP49" s="1686"/>
      <c r="HQ49" s="1686"/>
      <c r="HR49" s="1686"/>
      <c r="HS49" s="1686"/>
      <c r="HT49" s="1686"/>
      <c r="HU49" s="1686"/>
      <c r="HV49" s="1686"/>
      <c r="HW49" s="1686"/>
      <c r="HX49" s="1686"/>
      <c r="HY49" s="1686"/>
      <c r="HZ49" s="1686"/>
      <c r="IA49" s="1686"/>
      <c r="IB49" s="1686"/>
      <c r="IC49" s="1686"/>
      <c r="ID49" s="1686"/>
      <c r="IE49" s="1686"/>
      <c r="IF49" s="1686"/>
      <c r="IG49" s="1686"/>
      <c r="IH49" s="1686"/>
      <c r="II49" s="1686"/>
      <c r="IJ49" s="1686"/>
      <c r="IK49" s="1686"/>
      <c r="IL49" s="1686"/>
      <c r="IM49" s="1686"/>
      <c r="IN49" s="1686"/>
      <c r="IO49" s="1686"/>
      <c r="IP49" s="1686"/>
      <c r="IQ49" s="1686"/>
      <c r="IR49" s="1686"/>
      <c r="IS49" s="1686"/>
      <c r="IT49" s="1686"/>
      <c r="IU49" s="1686"/>
      <c r="IV49" s="1686"/>
    </row>
    <row r="50" spans="1:256" ht="24" hidden="1" customHeight="1" outlineLevel="1" x14ac:dyDescent="0.2">
      <c r="A50" s="4506"/>
      <c r="B50" s="1741" t="s">
        <v>1727</v>
      </c>
      <c r="C50" s="1628" t="s">
        <v>1701</v>
      </c>
      <c r="D50" s="1610">
        <f t="shared" ref="D50:I50" si="35">IF(D49=0,,D51/1000/D49)</f>
        <v>0</v>
      </c>
      <c r="E50" s="1609">
        <f t="shared" si="35"/>
        <v>0</v>
      </c>
      <c r="F50" s="1610"/>
      <c r="G50" s="1609"/>
      <c r="H50" s="1611">
        <f t="shared" si="35"/>
        <v>0</v>
      </c>
      <c r="I50" s="1609">
        <f t="shared" si="35"/>
        <v>0</v>
      </c>
      <c r="J50" s="1610"/>
      <c r="K50" s="1609"/>
      <c r="L50" s="1610"/>
      <c r="M50" s="1609"/>
      <c r="N50" s="1610"/>
      <c r="O50" s="1609"/>
      <c r="P50" s="1610"/>
      <c r="Q50" s="1609"/>
      <c r="R50" s="1610"/>
      <c r="S50" s="1609"/>
      <c r="T50" s="1610"/>
      <c r="U50" s="1609"/>
      <c r="V50" s="1610"/>
      <c r="W50" s="1613"/>
      <c r="X50" s="1637"/>
      <c r="Y50" s="1642"/>
      <c r="Z50" s="1687"/>
      <c r="AA50" s="1687"/>
      <c r="AB50" s="1686"/>
      <c r="AC50" s="1677"/>
      <c r="AD50" s="1677"/>
      <c r="AE50" s="1677"/>
      <c r="AF50" s="1677"/>
      <c r="AG50" s="1677"/>
      <c r="AH50" s="1677"/>
      <c r="AI50" s="1686"/>
      <c r="AJ50" s="1688"/>
      <c r="AK50" s="1688"/>
      <c r="AL50" s="1688"/>
      <c r="AM50" s="1688"/>
      <c r="AN50" s="1688"/>
      <c r="AO50" s="1688"/>
      <c r="AP50" s="1686"/>
      <c r="AQ50" s="1686"/>
      <c r="AR50" s="1686"/>
      <c r="AS50" s="1686"/>
      <c r="AT50" s="1686"/>
      <c r="AU50" s="1686"/>
      <c r="AV50" s="1686"/>
      <c r="AW50" s="1686"/>
      <c r="AX50" s="1686"/>
      <c r="AY50" s="1686"/>
      <c r="AZ50" s="1686"/>
      <c r="BA50" s="1686"/>
      <c r="BB50" s="1686"/>
      <c r="BC50" s="1686"/>
      <c r="BD50" s="1686"/>
      <c r="BE50" s="1686"/>
      <c r="BF50" s="1686"/>
      <c r="BG50" s="1686"/>
      <c r="BH50" s="1686"/>
      <c r="BI50" s="1686"/>
      <c r="BJ50" s="1686"/>
      <c r="BK50" s="1686"/>
      <c r="BL50" s="1686"/>
      <c r="BM50" s="1686"/>
      <c r="BN50" s="1686"/>
      <c r="BO50" s="1686"/>
      <c r="BP50" s="1686"/>
      <c r="BQ50" s="1686"/>
      <c r="BR50" s="1686"/>
      <c r="BS50" s="1686"/>
      <c r="BT50" s="1686"/>
      <c r="BU50" s="1686"/>
      <c r="BV50" s="1686"/>
      <c r="BW50" s="1686"/>
      <c r="BX50" s="1686"/>
      <c r="BY50" s="1686"/>
      <c r="BZ50" s="1686"/>
      <c r="CA50" s="1686"/>
      <c r="CB50" s="1686"/>
      <c r="CC50" s="1686"/>
      <c r="CD50" s="1686"/>
      <c r="CE50" s="1686"/>
      <c r="CF50" s="1686"/>
      <c r="CG50" s="1686"/>
      <c r="CH50" s="1686"/>
      <c r="CI50" s="1686"/>
      <c r="CJ50" s="1686"/>
      <c r="CK50" s="1686"/>
      <c r="CL50" s="1686"/>
      <c r="CM50" s="1686"/>
      <c r="CN50" s="1686"/>
      <c r="CO50" s="1686"/>
      <c r="CP50" s="1686"/>
      <c r="CQ50" s="1686"/>
      <c r="CR50" s="1686"/>
      <c r="CS50" s="1686"/>
      <c r="CT50" s="1686"/>
      <c r="CU50" s="1686"/>
      <c r="CV50" s="1686"/>
      <c r="CW50" s="1686"/>
      <c r="CX50" s="1686"/>
      <c r="CY50" s="1686"/>
      <c r="CZ50" s="1686"/>
      <c r="DA50" s="1686"/>
      <c r="DB50" s="1686"/>
      <c r="DC50" s="1686"/>
      <c r="DD50" s="1686"/>
      <c r="DE50" s="1686"/>
      <c r="DF50" s="1686"/>
      <c r="DG50" s="1686"/>
      <c r="DH50" s="1686"/>
      <c r="DI50" s="1686"/>
      <c r="DJ50" s="1686"/>
      <c r="DK50" s="1686"/>
      <c r="DL50" s="1686"/>
      <c r="DM50" s="1686"/>
      <c r="DN50" s="1686"/>
      <c r="DO50" s="1686"/>
      <c r="DP50" s="1686"/>
      <c r="DQ50" s="1686"/>
      <c r="DR50" s="1686"/>
      <c r="DS50" s="1686"/>
      <c r="DT50" s="1686"/>
      <c r="DU50" s="1686"/>
      <c r="DV50" s="1686"/>
      <c r="DW50" s="1686"/>
      <c r="DX50" s="1686"/>
      <c r="DY50" s="1686"/>
      <c r="DZ50" s="1686"/>
      <c r="EA50" s="1686"/>
      <c r="EB50" s="1686"/>
      <c r="EC50" s="1686"/>
      <c r="ED50" s="1686"/>
      <c r="EE50" s="1686"/>
      <c r="EF50" s="1686"/>
      <c r="EG50" s="1686"/>
      <c r="EH50" s="1686"/>
      <c r="EI50" s="1686"/>
      <c r="EJ50" s="1686"/>
      <c r="EK50" s="1686"/>
      <c r="EL50" s="1686"/>
      <c r="EM50" s="1686"/>
      <c r="EN50" s="1686"/>
      <c r="EO50" s="1686"/>
      <c r="EP50" s="1686"/>
      <c r="EQ50" s="1686"/>
      <c r="ER50" s="1686"/>
      <c r="ES50" s="1686"/>
      <c r="ET50" s="1686"/>
      <c r="EU50" s="1686"/>
      <c r="EV50" s="1686"/>
      <c r="EW50" s="1686"/>
      <c r="EX50" s="1686"/>
      <c r="EY50" s="1686"/>
      <c r="EZ50" s="1686"/>
      <c r="FA50" s="1686"/>
      <c r="FB50" s="1686"/>
      <c r="FC50" s="1686"/>
      <c r="FD50" s="1686"/>
      <c r="FE50" s="1686"/>
      <c r="FF50" s="1686"/>
      <c r="FG50" s="1686"/>
      <c r="FH50" s="1686"/>
      <c r="FI50" s="1686"/>
      <c r="FJ50" s="1686"/>
      <c r="FK50" s="1686"/>
      <c r="FL50" s="1686"/>
      <c r="FM50" s="1686"/>
      <c r="FN50" s="1686"/>
      <c r="FO50" s="1686"/>
      <c r="FP50" s="1686"/>
      <c r="FQ50" s="1686"/>
      <c r="FR50" s="1686"/>
      <c r="FS50" s="1686"/>
      <c r="FT50" s="1686"/>
      <c r="FU50" s="1686"/>
      <c r="FV50" s="1686"/>
      <c r="FW50" s="1686"/>
      <c r="FX50" s="1686"/>
      <c r="FY50" s="1686"/>
      <c r="FZ50" s="1686"/>
      <c r="GA50" s="1686"/>
      <c r="GB50" s="1686"/>
      <c r="GC50" s="1686"/>
      <c r="GD50" s="1686"/>
      <c r="GE50" s="1686"/>
      <c r="GF50" s="1686"/>
      <c r="GG50" s="1686"/>
      <c r="GH50" s="1686"/>
      <c r="GI50" s="1686"/>
      <c r="GJ50" s="1686"/>
      <c r="GK50" s="1686"/>
      <c r="GL50" s="1686"/>
      <c r="GM50" s="1686"/>
      <c r="GN50" s="1686"/>
      <c r="GO50" s="1686"/>
      <c r="GP50" s="1686"/>
      <c r="GQ50" s="1686"/>
      <c r="GR50" s="1686"/>
      <c r="GS50" s="1686"/>
      <c r="GT50" s="1686"/>
      <c r="GU50" s="1686"/>
      <c r="GV50" s="1686"/>
      <c r="GW50" s="1686"/>
      <c r="GX50" s="1686"/>
      <c r="GY50" s="1686"/>
      <c r="GZ50" s="1686"/>
      <c r="HA50" s="1686"/>
      <c r="HB50" s="1686"/>
      <c r="HC50" s="1686"/>
      <c r="HD50" s="1686"/>
      <c r="HE50" s="1686"/>
      <c r="HF50" s="1686"/>
      <c r="HG50" s="1686"/>
      <c r="HH50" s="1686"/>
      <c r="HI50" s="1686"/>
      <c r="HJ50" s="1686"/>
      <c r="HK50" s="1686"/>
      <c r="HL50" s="1686"/>
      <c r="HM50" s="1686"/>
      <c r="HN50" s="1686"/>
      <c r="HO50" s="1686"/>
      <c r="HP50" s="1686"/>
      <c r="HQ50" s="1686"/>
      <c r="HR50" s="1686"/>
      <c r="HS50" s="1686"/>
      <c r="HT50" s="1686"/>
      <c r="HU50" s="1686"/>
      <c r="HV50" s="1686"/>
      <c r="HW50" s="1686"/>
      <c r="HX50" s="1686"/>
      <c r="HY50" s="1686"/>
      <c r="HZ50" s="1686"/>
      <c r="IA50" s="1686"/>
      <c r="IB50" s="1686"/>
      <c r="IC50" s="1686"/>
      <c r="ID50" s="1686"/>
      <c r="IE50" s="1686"/>
      <c r="IF50" s="1686"/>
      <c r="IG50" s="1686"/>
      <c r="IH50" s="1686"/>
      <c r="II50" s="1686"/>
      <c r="IJ50" s="1686"/>
      <c r="IK50" s="1686"/>
      <c r="IL50" s="1686"/>
      <c r="IM50" s="1686"/>
      <c r="IN50" s="1686"/>
      <c r="IO50" s="1686"/>
      <c r="IP50" s="1686"/>
      <c r="IQ50" s="1686"/>
      <c r="IR50" s="1686"/>
      <c r="IS50" s="1686"/>
      <c r="IT50" s="1686"/>
      <c r="IU50" s="1686"/>
      <c r="IV50" s="1686"/>
    </row>
    <row r="51" spans="1:256" ht="24" hidden="1" customHeight="1" outlineLevel="1" x14ac:dyDescent="0.2">
      <c r="A51" s="4507"/>
      <c r="B51" s="1744" t="s">
        <v>1728</v>
      </c>
      <c r="C51" s="1629" t="s">
        <v>1704</v>
      </c>
      <c r="D51" s="1610"/>
      <c r="E51" s="1609"/>
      <c r="F51" s="1610"/>
      <c r="G51" s="1609"/>
      <c r="H51" s="1611">
        <f>J51+L51+N51+P51+R51+T51+V51</f>
        <v>0</v>
      </c>
      <c r="I51" s="1609">
        <f>K51+M51+O51+Q51+S51+U51+W51</f>
        <v>0</v>
      </c>
      <c r="J51" s="1610">
        <f>J49*J50/1000</f>
        <v>0</v>
      </c>
      <c r="K51" s="1609">
        <f t="shared" ref="K51:W51" si="36">K49*K50/1000</f>
        <v>0</v>
      </c>
      <c r="L51" s="1610">
        <f t="shared" si="36"/>
        <v>0</v>
      </c>
      <c r="M51" s="1609">
        <f t="shared" si="36"/>
        <v>0</v>
      </c>
      <c r="N51" s="1610">
        <f t="shared" si="36"/>
        <v>0</v>
      </c>
      <c r="O51" s="1609">
        <f t="shared" si="36"/>
        <v>0</v>
      </c>
      <c r="P51" s="1610">
        <f t="shared" si="36"/>
        <v>0</v>
      </c>
      <c r="Q51" s="1609">
        <f t="shared" si="36"/>
        <v>0</v>
      </c>
      <c r="R51" s="1610">
        <f t="shared" si="36"/>
        <v>0</v>
      </c>
      <c r="S51" s="1609">
        <f t="shared" si="36"/>
        <v>0</v>
      </c>
      <c r="T51" s="1610">
        <f t="shared" si="36"/>
        <v>0</v>
      </c>
      <c r="U51" s="1609">
        <f t="shared" si="36"/>
        <v>0</v>
      </c>
      <c r="V51" s="1610">
        <f t="shared" si="36"/>
        <v>0</v>
      </c>
      <c r="W51" s="1609">
        <f t="shared" si="36"/>
        <v>0</v>
      </c>
      <c r="X51" s="1637">
        <f t="shared" ref="X51:Y51" si="37">X49*X50/1000</f>
        <v>0</v>
      </c>
      <c r="Y51" s="1636">
        <f t="shared" si="37"/>
        <v>0</v>
      </c>
      <c r="Z51" s="1687"/>
      <c r="AA51" s="1687"/>
      <c r="AB51" s="1686"/>
      <c r="AC51" s="1677"/>
      <c r="AD51" s="1677"/>
      <c r="AE51" s="1677"/>
      <c r="AF51" s="1677"/>
      <c r="AG51" s="1677"/>
      <c r="AH51" s="1677"/>
      <c r="AI51" s="1686"/>
      <c r="AJ51" s="1688"/>
      <c r="AK51" s="1688"/>
      <c r="AL51" s="1688"/>
      <c r="AM51" s="1688"/>
      <c r="AN51" s="1688"/>
      <c r="AO51" s="1688"/>
      <c r="AP51" s="1686"/>
      <c r="AQ51" s="1686"/>
      <c r="AR51" s="1686"/>
      <c r="AS51" s="1686"/>
      <c r="AT51" s="1686"/>
      <c r="AU51" s="1686"/>
      <c r="AV51" s="1686"/>
      <c r="AW51" s="1686"/>
      <c r="AX51" s="1686"/>
      <c r="AY51" s="1686"/>
      <c r="AZ51" s="1686"/>
      <c r="BA51" s="1686"/>
      <c r="BB51" s="1686"/>
      <c r="BC51" s="1686"/>
      <c r="BD51" s="1686"/>
      <c r="BE51" s="1686"/>
      <c r="BF51" s="1686"/>
      <c r="BG51" s="1686"/>
      <c r="BH51" s="1686"/>
      <c r="BI51" s="1686"/>
      <c r="BJ51" s="1686"/>
      <c r="BK51" s="1686"/>
      <c r="BL51" s="1686"/>
      <c r="BM51" s="1686"/>
      <c r="BN51" s="1686"/>
      <c r="BO51" s="1686"/>
      <c r="BP51" s="1686"/>
      <c r="BQ51" s="1686"/>
      <c r="BR51" s="1686"/>
      <c r="BS51" s="1686"/>
      <c r="BT51" s="1686"/>
      <c r="BU51" s="1686"/>
      <c r="BV51" s="1686"/>
      <c r="BW51" s="1686"/>
      <c r="BX51" s="1686"/>
      <c r="BY51" s="1686"/>
      <c r="BZ51" s="1686"/>
      <c r="CA51" s="1686"/>
      <c r="CB51" s="1686"/>
      <c r="CC51" s="1686"/>
      <c r="CD51" s="1686"/>
      <c r="CE51" s="1686"/>
      <c r="CF51" s="1686"/>
      <c r="CG51" s="1686"/>
      <c r="CH51" s="1686"/>
      <c r="CI51" s="1686"/>
      <c r="CJ51" s="1686"/>
      <c r="CK51" s="1686"/>
      <c r="CL51" s="1686"/>
      <c r="CM51" s="1686"/>
      <c r="CN51" s="1686"/>
      <c r="CO51" s="1686"/>
      <c r="CP51" s="1686"/>
      <c r="CQ51" s="1686"/>
      <c r="CR51" s="1686"/>
      <c r="CS51" s="1686"/>
      <c r="CT51" s="1686"/>
      <c r="CU51" s="1686"/>
      <c r="CV51" s="1686"/>
      <c r="CW51" s="1686"/>
      <c r="CX51" s="1686"/>
      <c r="CY51" s="1686"/>
      <c r="CZ51" s="1686"/>
      <c r="DA51" s="1686"/>
      <c r="DB51" s="1686"/>
      <c r="DC51" s="1686"/>
      <c r="DD51" s="1686"/>
      <c r="DE51" s="1686"/>
      <c r="DF51" s="1686"/>
      <c r="DG51" s="1686"/>
      <c r="DH51" s="1686"/>
      <c r="DI51" s="1686"/>
      <c r="DJ51" s="1686"/>
      <c r="DK51" s="1686"/>
      <c r="DL51" s="1686"/>
      <c r="DM51" s="1686"/>
      <c r="DN51" s="1686"/>
      <c r="DO51" s="1686"/>
      <c r="DP51" s="1686"/>
      <c r="DQ51" s="1686"/>
      <c r="DR51" s="1686"/>
      <c r="DS51" s="1686"/>
      <c r="DT51" s="1686"/>
      <c r="DU51" s="1686"/>
      <c r="DV51" s="1686"/>
      <c r="DW51" s="1686"/>
      <c r="DX51" s="1686"/>
      <c r="DY51" s="1686"/>
      <c r="DZ51" s="1686"/>
      <c r="EA51" s="1686"/>
      <c r="EB51" s="1686"/>
      <c r="EC51" s="1686"/>
      <c r="ED51" s="1686"/>
      <c r="EE51" s="1686"/>
      <c r="EF51" s="1686"/>
      <c r="EG51" s="1686"/>
      <c r="EH51" s="1686"/>
      <c r="EI51" s="1686"/>
      <c r="EJ51" s="1686"/>
      <c r="EK51" s="1686"/>
      <c r="EL51" s="1686"/>
      <c r="EM51" s="1686"/>
      <c r="EN51" s="1686"/>
      <c r="EO51" s="1686"/>
      <c r="EP51" s="1686"/>
      <c r="EQ51" s="1686"/>
      <c r="ER51" s="1686"/>
      <c r="ES51" s="1686"/>
      <c r="ET51" s="1686"/>
      <c r="EU51" s="1686"/>
      <c r="EV51" s="1686"/>
      <c r="EW51" s="1686"/>
      <c r="EX51" s="1686"/>
      <c r="EY51" s="1686"/>
      <c r="EZ51" s="1686"/>
      <c r="FA51" s="1686"/>
      <c r="FB51" s="1686"/>
      <c r="FC51" s="1686"/>
      <c r="FD51" s="1686"/>
      <c r="FE51" s="1686"/>
      <c r="FF51" s="1686"/>
      <c r="FG51" s="1686"/>
      <c r="FH51" s="1686"/>
      <c r="FI51" s="1686"/>
      <c r="FJ51" s="1686"/>
      <c r="FK51" s="1686"/>
      <c r="FL51" s="1686"/>
      <c r="FM51" s="1686"/>
      <c r="FN51" s="1686"/>
      <c r="FO51" s="1686"/>
      <c r="FP51" s="1686"/>
      <c r="FQ51" s="1686"/>
      <c r="FR51" s="1686"/>
      <c r="FS51" s="1686"/>
      <c r="FT51" s="1686"/>
      <c r="FU51" s="1686"/>
      <c r="FV51" s="1686"/>
      <c r="FW51" s="1686"/>
      <c r="FX51" s="1686"/>
      <c r="FY51" s="1686"/>
      <c r="FZ51" s="1686"/>
      <c r="GA51" s="1686"/>
      <c r="GB51" s="1686"/>
      <c r="GC51" s="1686"/>
      <c r="GD51" s="1686"/>
      <c r="GE51" s="1686"/>
      <c r="GF51" s="1686"/>
      <c r="GG51" s="1686"/>
      <c r="GH51" s="1686"/>
      <c r="GI51" s="1686"/>
      <c r="GJ51" s="1686"/>
      <c r="GK51" s="1686"/>
      <c r="GL51" s="1686"/>
      <c r="GM51" s="1686"/>
      <c r="GN51" s="1686"/>
      <c r="GO51" s="1686"/>
      <c r="GP51" s="1686"/>
      <c r="GQ51" s="1686"/>
      <c r="GR51" s="1686"/>
      <c r="GS51" s="1686"/>
      <c r="GT51" s="1686"/>
      <c r="GU51" s="1686"/>
      <c r="GV51" s="1686"/>
      <c r="GW51" s="1686"/>
      <c r="GX51" s="1686"/>
      <c r="GY51" s="1686"/>
      <c r="GZ51" s="1686"/>
      <c r="HA51" s="1686"/>
      <c r="HB51" s="1686"/>
      <c r="HC51" s="1686"/>
      <c r="HD51" s="1686"/>
      <c r="HE51" s="1686"/>
      <c r="HF51" s="1686"/>
      <c r="HG51" s="1686"/>
      <c r="HH51" s="1686"/>
      <c r="HI51" s="1686"/>
      <c r="HJ51" s="1686"/>
      <c r="HK51" s="1686"/>
      <c r="HL51" s="1686"/>
      <c r="HM51" s="1686"/>
      <c r="HN51" s="1686"/>
      <c r="HO51" s="1686"/>
      <c r="HP51" s="1686"/>
      <c r="HQ51" s="1686"/>
      <c r="HR51" s="1686"/>
      <c r="HS51" s="1686"/>
      <c r="HT51" s="1686"/>
      <c r="HU51" s="1686"/>
      <c r="HV51" s="1686"/>
      <c r="HW51" s="1686"/>
      <c r="HX51" s="1686"/>
      <c r="HY51" s="1686"/>
      <c r="HZ51" s="1686"/>
      <c r="IA51" s="1686"/>
      <c r="IB51" s="1686"/>
      <c r="IC51" s="1686"/>
      <c r="ID51" s="1686"/>
      <c r="IE51" s="1686"/>
      <c r="IF51" s="1686"/>
      <c r="IG51" s="1686"/>
      <c r="IH51" s="1686"/>
      <c r="II51" s="1686"/>
      <c r="IJ51" s="1686"/>
      <c r="IK51" s="1686"/>
      <c r="IL51" s="1686"/>
      <c r="IM51" s="1686"/>
      <c r="IN51" s="1686"/>
      <c r="IO51" s="1686"/>
      <c r="IP51" s="1686"/>
      <c r="IQ51" s="1686"/>
      <c r="IR51" s="1686"/>
      <c r="IS51" s="1686"/>
      <c r="IT51" s="1686"/>
      <c r="IU51" s="1686"/>
      <c r="IV51" s="1686"/>
    </row>
    <row r="52" spans="1:256" ht="13.15" hidden="1" customHeight="1" outlineLevel="1" x14ac:dyDescent="0.2">
      <c r="A52" s="4505" t="s">
        <v>1729</v>
      </c>
      <c r="B52" s="1741" t="s">
        <v>1730</v>
      </c>
      <c r="C52" s="1628" t="s">
        <v>1669</v>
      </c>
      <c r="D52" s="1610"/>
      <c r="E52" s="1609"/>
      <c r="F52" s="1610"/>
      <c r="G52" s="1609"/>
      <c r="H52" s="1611">
        <f>J52+L52+N52+P52+R52+T52+V52</f>
        <v>0</v>
      </c>
      <c r="I52" s="1609">
        <f>K52+M52+O52+Q52+S52+U52+W52</f>
        <v>0</v>
      </c>
      <c r="J52" s="1610"/>
      <c r="K52" s="1609"/>
      <c r="L52" s="1610"/>
      <c r="M52" s="1609"/>
      <c r="N52" s="1610"/>
      <c r="O52" s="1609"/>
      <c r="P52" s="1610"/>
      <c r="Q52" s="1609"/>
      <c r="R52" s="1610"/>
      <c r="S52" s="1609"/>
      <c r="T52" s="1610"/>
      <c r="U52" s="1609"/>
      <c r="V52" s="1610"/>
      <c r="W52" s="1613"/>
      <c r="X52" s="1637"/>
      <c r="Y52" s="1642"/>
      <c r="Z52" s="1687"/>
      <c r="AA52" s="1687"/>
      <c r="AB52" s="1686"/>
      <c r="AC52" s="1677"/>
      <c r="AD52" s="1677"/>
      <c r="AE52" s="1677"/>
      <c r="AF52" s="1677"/>
      <c r="AG52" s="1677"/>
      <c r="AH52" s="1677"/>
      <c r="AI52" s="1686"/>
      <c r="AJ52" s="1688"/>
      <c r="AK52" s="1688"/>
      <c r="AL52" s="1688"/>
      <c r="AM52" s="1688"/>
      <c r="AN52" s="1688"/>
      <c r="AO52" s="1688"/>
      <c r="AP52" s="1686"/>
      <c r="AQ52" s="1686"/>
      <c r="AR52" s="1686"/>
      <c r="AS52" s="1686"/>
      <c r="AT52" s="1686"/>
      <c r="AU52" s="1686"/>
      <c r="AV52" s="1686"/>
      <c r="AW52" s="1686"/>
      <c r="AX52" s="1686"/>
      <c r="AY52" s="1686"/>
      <c r="AZ52" s="1686"/>
      <c r="BA52" s="1686"/>
      <c r="BB52" s="1686"/>
      <c r="BC52" s="1686"/>
      <c r="BD52" s="1686"/>
      <c r="BE52" s="1686"/>
      <c r="BF52" s="1686"/>
      <c r="BG52" s="1686"/>
      <c r="BH52" s="1686"/>
      <c r="BI52" s="1686"/>
      <c r="BJ52" s="1686"/>
      <c r="BK52" s="1686"/>
      <c r="BL52" s="1686"/>
      <c r="BM52" s="1686"/>
      <c r="BN52" s="1686"/>
      <c r="BO52" s="1686"/>
      <c r="BP52" s="1686"/>
      <c r="BQ52" s="1686"/>
      <c r="BR52" s="1686"/>
      <c r="BS52" s="1686"/>
      <c r="BT52" s="1686"/>
      <c r="BU52" s="1686"/>
      <c r="BV52" s="1686"/>
      <c r="BW52" s="1686"/>
      <c r="BX52" s="1686"/>
      <c r="BY52" s="1686"/>
      <c r="BZ52" s="1686"/>
      <c r="CA52" s="1686"/>
      <c r="CB52" s="1686"/>
      <c r="CC52" s="1686"/>
      <c r="CD52" s="1686"/>
      <c r="CE52" s="1686"/>
      <c r="CF52" s="1686"/>
      <c r="CG52" s="1686"/>
      <c r="CH52" s="1686"/>
      <c r="CI52" s="1686"/>
      <c r="CJ52" s="1686"/>
      <c r="CK52" s="1686"/>
      <c r="CL52" s="1686"/>
      <c r="CM52" s="1686"/>
      <c r="CN52" s="1686"/>
      <c r="CO52" s="1686"/>
      <c r="CP52" s="1686"/>
      <c r="CQ52" s="1686"/>
      <c r="CR52" s="1686"/>
      <c r="CS52" s="1686"/>
      <c r="CT52" s="1686"/>
      <c r="CU52" s="1686"/>
      <c r="CV52" s="1686"/>
      <c r="CW52" s="1686"/>
      <c r="CX52" s="1686"/>
      <c r="CY52" s="1686"/>
      <c r="CZ52" s="1686"/>
      <c r="DA52" s="1686"/>
      <c r="DB52" s="1686"/>
      <c r="DC52" s="1686"/>
      <c r="DD52" s="1686"/>
      <c r="DE52" s="1686"/>
      <c r="DF52" s="1686"/>
      <c r="DG52" s="1686"/>
      <c r="DH52" s="1686"/>
      <c r="DI52" s="1686"/>
      <c r="DJ52" s="1686"/>
      <c r="DK52" s="1686"/>
      <c r="DL52" s="1686"/>
      <c r="DM52" s="1686"/>
      <c r="DN52" s="1686"/>
      <c r="DO52" s="1686"/>
      <c r="DP52" s="1686"/>
      <c r="DQ52" s="1686"/>
      <c r="DR52" s="1686"/>
      <c r="DS52" s="1686"/>
      <c r="DT52" s="1686"/>
      <c r="DU52" s="1686"/>
      <c r="DV52" s="1686"/>
      <c r="DW52" s="1686"/>
      <c r="DX52" s="1686"/>
      <c r="DY52" s="1686"/>
      <c r="DZ52" s="1686"/>
      <c r="EA52" s="1686"/>
      <c r="EB52" s="1686"/>
      <c r="EC52" s="1686"/>
      <c r="ED52" s="1686"/>
      <c r="EE52" s="1686"/>
      <c r="EF52" s="1686"/>
      <c r="EG52" s="1686"/>
      <c r="EH52" s="1686"/>
      <c r="EI52" s="1686"/>
      <c r="EJ52" s="1686"/>
      <c r="EK52" s="1686"/>
      <c r="EL52" s="1686"/>
      <c r="EM52" s="1686"/>
      <c r="EN52" s="1686"/>
      <c r="EO52" s="1686"/>
      <c r="EP52" s="1686"/>
      <c r="EQ52" s="1686"/>
      <c r="ER52" s="1686"/>
      <c r="ES52" s="1686"/>
      <c r="ET52" s="1686"/>
      <c r="EU52" s="1686"/>
      <c r="EV52" s="1686"/>
      <c r="EW52" s="1686"/>
      <c r="EX52" s="1686"/>
      <c r="EY52" s="1686"/>
      <c r="EZ52" s="1686"/>
      <c r="FA52" s="1686"/>
      <c r="FB52" s="1686"/>
      <c r="FC52" s="1686"/>
      <c r="FD52" s="1686"/>
      <c r="FE52" s="1686"/>
      <c r="FF52" s="1686"/>
      <c r="FG52" s="1686"/>
      <c r="FH52" s="1686"/>
      <c r="FI52" s="1686"/>
      <c r="FJ52" s="1686"/>
      <c r="FK52" s="1686"/>
      <c r="FL52" s="1686"/>
      <c r="FM52" s="1686"/>
      <c r="FN52" s="1686"/>
      <c r="FO52" s="1686"/>
      <c r="FP52" s="1686"/>
      <c r="FQ52" s="1686"/>
      <c r="FR52" s="1686"/>
      <c r="FS52" s="1686"/>
      <c r="FT52" s="1686"/>
      <c r="FU52" s="1686"/>
      <c r="FV52" s="1686"/>
      <c r="FW52" s="1686"/>
      <c r="FX52" s="1686"/>
      <c r="FY52" s="1686"/>
      <c r="FZ52" s="1686"/>
      <c r="GA52" s="1686"/>
      <c r="GB52" s="1686"/>
      <c r="GC52" s="1686"/>
      <c r="GD52" s="1686"/>
      <c r="GE52" s="1686"/>
      <c r="GF52" s="1686"/>
      <c r="GG52" s="1686"/>
      <c r="GH52" s="1686"/>
      <c r="GI52" s="1686"/>
      <c r="GJ52" s="1686"/>
      <c r="GK52" s="1686"/>
      <c r="GL52" s="1686"/>
      <c r="GM52" s="1686"/>
      <c r="GN52" s="1686"/>
      <c r="GO52" s="1686"/>
      <c r="GP52" s="1686"/>
      <c r="GQ52" s="1686"/>
      <c r="GR52" s="1686"/>
      <c r="GS52" s="1686"/>
      <c r="GT52" s="1686"/>
      <c r="GU52" s="1686"/>
      <c r="GV52" s="1686"/>
      <c r="GW52" s="1686"/>
      <c r="GX52" s="1686"/>
      <c r="GY52" s="1686"/>
      <c r="GZ52" s="1686"/>
      <c r="HA52" s="1686"/>
      <c r="HB52" s="1686"/>
      <c r="HC52" s="1686"/>
      <c r="HD52" s="1686"/>
      <c r="HE52" s="1686"/>
      <c r="HF52" s="1686"/>
      <c r="HG52" s="1686"/>
      <c r="HH52" s="1686"/>
      <c r="HI52" s="1686"/>
      <c r="HJ52" s="1686"/>
      <c r="HK52" s="1686"/>
      <c r="HL52" s="1686"/>
      <c r="HM52" s="1686"/>
      <c r="HN52" s="1686"/>
      <c r="HO52" s="1686"/>
      <c r="HP52" s="1686"/>
      <c r="HQ52" s="1686"/>
      <c r="HR52" s="1686"/>
      <c r="HS52" s="1686"/>
      <c r="HT52" s="1686"/>
      <c r="HU52" s="1686"/>
      <c r="HV52" s="1686"/>
      <c r="HW52" s="1686"/>
      <c r="HX52" s="1686"/>
      <c r="HY52" s="1686"/>
      <c r="HZ52" s="1686"/>
      <c r="IA52" s="1686"/>
      <c r="IB52" s="1686"/>
      <c r="IC52" s="1686"/>
      <c r="ID52" s="1686"/>
      <c r="IE52" s="1686"/>
      <c r="IF52" s="1686"/>
      <c r="IG52" s="1686"/>
      <c r="IH52" s="1686"/>
      <c r="II52" s="1686"/>
      <c r="IJ52" s="1686"/>
      <c r="IK52" s="1686"/>
      <c r="IL52" s="1686"/>
      <c r="IM52" s="1686"/>
      <c r="IN52" s="1686"/>
      <c r="IO52" s="1686"/>
      <c r="IP52" s="1686"/>
      <c r="IQ52" s="1686"/>
      <c r="IR52" s="1686"/>
      <c r="IS52" s="1686"/>
      <c r="IT52" s="1686"/>
      <c r="IU52" s="1686"/>
      <c r="IV52" s="1686"/>
    </row>
    <row r="53" spans="1:256" ht="24" hidden="1" customHeight="1" outlineLevel="1" x14ac:dyDescent="0.2">
      <c r="A53" s="4506"/>
      <c r="B53" s="1741" t="s">
        <v>1731</v>
      </c>
      <c r="C53" s="1628" t="s">
        <v>1701</v>
      </c>
      <c r="D53" s="1610">
        <f t="shared" ref="D53:I53" si="38">IF(D52=0,,D54/1000/D52)</f>
        <v>0</v>
      </c>
      <c r="E53" s="1609">
        <f t="shared" si="38"/>
        <v>0</v>
      </c>
      <c r="F53" s="1610"/>
      <c r="G53" s="1609"/>
      <c r="H53" s="1611">
        <f t="shared" si="38"/>
        <v>0</v>
      </c>
      <c r="I53" s="1609">
        <f t="shared" si="38"/>
        <v>0</v>
      </c>
      <c r="J53" s="1610"/>
      <c r="K53" s="1609"/>
      <c r="L53" s="1610"/>
      <c r="M53" s="1609"/>
      <c r="N53" s="1610"/>
      <c r="O53" s="1609"/>
      <c r="P53" s="1610"/>
      <c r="Q53" s="1609"/>
      <c r="R53" s="1610"/>
      <c r="S53" s="1609"/>
      <c r="T53" s="1610"/>
      <c r="U53" s="1609"/>
      <c r="V53" s="1610"/>
      <c r="W53" s="1613"/>
      <c r="X53" s="1637"/>
      <c r="Y53" s="1642"/>
      <c r="Z53" s="1687"/>
      <c r="AA53" s="1687"/>
      <c r="AB53" s="1686"/>
      <c r="AC53" s="1677"/>
      <c r="AD53" s="1677"/>
      <c r="AE53" s="1677"/>
      <c r="AF53" s="1677"/>
      <c r="AG53" s="1677"/>
      <c r="AH53" s="1677"/>
      <c r="AI53" s="1686"/>
      <c r="AJ53" s="1688"/>
      <c r="AK53" s="1688"/>
      <c r="AL53" s="1688"/>
      <c r="AM53" s="1688"/>
      <c r="AN53" s="1688"/>
      <c r="AO53" s="1688"/>
      <c r="AP53" s="1686"/>
      <c r="AQ53" s="1686"/>
      <c r="AR53" s="1686"/>
      <c r="AS53" s="1686"/>
      <c r="AT53" s="1686"/>
      <c r="AU53" s="1686"/>
      <c r="AV53" s="1686"/>
      <c r="AW53" s="1686"/>
      <c r="AX53" s="1686"/>
      <c r="AY53" s="1686"/>
      <c r="AZ53" s="1686"/>
      <c r="BA53" s="1686"/>
      <c r="BB53" s="1686"/>
      <c r="BC53" s="1686"/>
      <c r="BD53" s="1686"/>
      <c r="BE53" s="1686"/>
      <c r="BF53" s="1686"/>
      <c r="BG53" s="1686"/>
      <c r="BH53" s="1686"/>
      <c r="BI53" s="1686"/>
      <c r="BJ53" s="1686"/>
      <c r="BK53" s="1686"/>
      <c r="BL53" s="1686"/>
      <c r="BM53" s="1686"/>
      <c r="BN53" s="1686"/>
      <c r="BO53" s="1686"/>
      <c r="BP53" s="1686"/>
      <c r="BQ53" s="1686"/>
      <c r="BR53" s="1686"/>
      <c r="BS53" s="1686"/>
      <c r="BT53" s="1686"/>
      <c r="BU53" s="1686"/>
      <c r="BV53" s="1686"/>
      <c r="BW53" s="1686"/>
      <c r="BX53" s="1686"/>
      <c r="BY53" s="1686"/>
      <c r="BZ53" s="1686"/>
      <c r="CA53" s="1686"/>
      <c r="CB53" s="1686"/>
      <c r="CC53" s="1686"/>
      <c r="CD53" s="1686"/>
      <c r="CE53" s="1686"/>
      <c r="CF53" s="1686"/>
      <c r="CG53" s="1686"/>
      <c r="CH53" s="1686"/>
      <c r="CI53" s="1686"/>
      <c r="CJ53" s="1686"/>
      <c r="CK53" s="1686"/>
      <c r="CL53" s="1686"/>
      <c r="CM53" s="1686"/>
      <c r="CN53" s="1686"/>
      <c r="CO53" s="1686"/>
      <c r="CP53" s="1686"/>
      <c r="CQ53" s="1686"/>
      <c r="CR53" s="1686"/>
      <c r="CS53" s="1686"/>
      <c r="CT53" s="1686"/>
      <c r="CU53" s="1686"/>
      <c r="CV53" s="1686"/>
      <c r="CW53" s="1686"/>
      <c r="CX53" s="1686"/>
      <c r="CY53" s="1686"/>
      <c r="CZ53" s="1686"/>
      <c r="DA53" s="1686"/>
      <c r="DB53" s="1686"/>
      <c r="DC53" s="1686"/>
      <c r="DD53" s="1686"/>
      <c r="DE53" s="1686"/>
      <c r="DF53" s="1686"/>
      <c r="DG53" s="1686"/>
      <c r="DH53" s="1686"/>
      <c r="DI53" s="1686"/>
      <c r="DJ53" s="1686"/>
      <c r="DK53" s="1686"/>
      <c r="DL53" s="1686"/>
      <c r="DM53" s="1686"/>
      <c r="DN53" s="1686"/>
      <c r="DO53" s="1686"/>
      <c r="DP53" s="1686"/>
      <c r="DQ53" s="1686"/>
      <c r="DR53" s="1686"/>
      <c r="DS53" s="1686"/>
      <c r="DT53" s="1686"/>
      <c r="DU53" s="1686"/>
      <c r="DV53" s="1686"/>
      <c r="DW53" s="1686"/>
      <c r="DX53" s="1686"/>
      <c r="DY53" s="1686"/>
      <c r="DZ53" s="1686"/>
      <c r="EA53" s="1686"/>
      <c r="EB53" s="1686"/>
      <c r="EC53" s="1686"/>
      <c r="ED53" s="1686"/>
      <c r="EE53" s="1686"/>
      <c r="EF53" s="1686"/>
      <c r="EG53" s="1686"/>
      <c r="EH53" s="1686"/>
      <c r="EI53" s="1686"/>
      <c r="EJ53" s="1686"/>
      <c r="EK53" s="1686"/>
      <c r="EL53" s="1686"/>
      <c r="EM53" s="1686"/>
      <c r="EN53" s="1686"/>
      <c r="EO53" s="1686"/>
      <c r="EP53" s="1686"/>
      <c r="EQ53" s="1686"/>
      <c r="ER53" s="1686"/>
      <c r="ES53" s="1686"/>
      <c r="ET53" s="1686"/>
      <c r="EU53" s="1686"/>
      <c r="EV53" s="1686"/>
      <c r="EW53" s="1686"/>
      <c r="EX53" s="1686"/>
      <c r="EY53" s="1686"/>
      <c r="EZ53" s="1686"/>
      <c r="FA53" s="1686"/>
      <c r="FB53" s="1686"/>
      <c r="FC53" s="1686"/>
      <c r="FD53" s="1686"/>
      <c r="FE53" s="1686"/>
      <c r="FF53" s="1686"/>
      <c r="FG53" s="1686"/>
      <c r="FH53" s="1686"/>
      <c r="FI53" s="1686"/>
      <c r="FJ53" s="1686"/>
      <c r="FK53" s="1686"/>
      <c r="FL53" s="1686"/>
      <c r="FM53" s="1686"/>
      <c r="FN53" s="1686"/>
      <c r="FO53" s="1686"/>
      <c r="FP53" s="1686"/>
      <c r="FQ53" s="1686"/>
      <c r="FR53" s="1686"/>
      <c r="FS53" s="1686"/>
      <c r="FT53" s="1686"/>
      <c r="FU53" s="1686"/>
      <c r="FV53" s="1686"/>
      <c r="FW53" s="1686"/>
      <c r="FX53" s="1686"/>
      <c r="FY53" s="1686"/>
      <c r="FZ53" s="1686"/>
      <c r="GA53" s="1686"/>
      <c r="GB53" s="1686"/>
      <c r="GC53" s="1686"/>
      <c r="GD53" s="1686"/>
      <c r="GE53" s="1686"/>
      <c r="GF53" s="1686"/>
      <c r="GG53" s="1686"/>
      <c r="GH53" s="1686"/>
      <c r="GI53" s="1686"/>
      <c r="GJ53" s="1686"/>
      <c r="GK53" s="1686"/>
      <c r="GL53" s="1686"/>
      <c r="GM53" s="1686"/>
      <c r="GN53" s="1686"/>
      <c r="GO53" s="1686"/>
      <c r="GP53" s="1686"/>
      <c r="GQ53" s="1686"/>
      <c r="GR53" s="1686"/>
      <c r="GS53" s="1686"/>
      <c r="GT53" s="1686"/>
      <c r="GU53" s="1686"/>
      <c r="GV53" s="1686"/>
      <c r="GW53" s="1686"/>
      <c r="GX53" s="1686"/>
      <c r="GY53" s="1686"/>
      <c r="GZ53" s="1686"/>
      <c r="HA53" s="1686"/>
      <c r="HB53" s="1686"/>
      <c r="HC53" s="1686"/>
      <c r="HD53" s="1686"/>
      <c r="HE53" s="1686"/>
      <c r="HF53" s="1686"/>
      <c r="HG53" s="1686"/>
      <c r="HH53" s="1686"/>
      <c r="HI53" s="1686"/>
      <c r="HJ53" s="1686"/>
      <c r="HK53" s="1686"/>
      <c r="HL53" s="1686"/>
      <c r="HM53" s="1686"/>
      <c r="HN53" s="1686"/>
      <c r="HO53" s="1686"/>
      <c r="HP53" s="1686"/>
      <c r="HQ53" s="1686"/>
      <c r="HR53" s="1686"/>
      <c r="HS53" s="1686"/>
      <c r="HT53" s="1686"/>
      <c r="HU53" s="1686"/>
      <c r="HV53" s="1686"/>
      <c r="HW53" s="1686"/>
      <c r="HX53" s="1686"/>
      <c r="HY53" s="1686"/>
      <c r="HZ53" s="1686"/>
      <c r="IA53" s="1686"/>
      <c r="IB53" s="1686"/>
      <c r="IC53" s="1686"/>
      <c r="ID53" s="1686"/>
      <c r="IE53" s="1686"/>
      <c r="IF53" s="1686"/>
      <c r="IG53" s="1686"/>
      <c r="IH53" s="1686"/>
      <c r="II53" s="1686"/>
      <c r="IJ53" s="1686"/>
      <c r="IK53" s="1686"/>
      <c r="IL53" s="1686"/>
      <c r="IM53" s="1686"/>
      <c r="IN53" s="1686"/>
      <c r="IO53" s="1686"/>
      <c r="IP53" s="1686"/>
      <c r="IQ53" s="1686"/>
      <c r="IR53" s="1686"/>
      <c r="IS53" s="1686"/>
      <c r="IT53" s="1686"/>
      <c r="IU53" s="1686"/>
      <c r="IV53" s="1686"/>
    </row>
    <row r="54" spans="1:256" ht="24" hidden="1" customHeight="1" outlineLevel="1" x14ac:dyDescent="0.2">
      <c r="A54" s="4507"/>
      <c r="B54" s="1744" t="s">
        <v>1732</v>
      </c>
      <c r="C54" s="1629" t="s">
        <v>1704</v>
      </c>
      <c r="D54" s="1610"/>
      <c r="E54" s="1609"/>
      <c r="F54" s="1610"/>
      <c r="G54" s="1609"/>
      <c r="H54" s="1611">
        <f>J54+L54+N54+P54+R54+T54+V54</f>
        <v>0</v>
      </c>
      <c r="I54" s="1609">
        <f>K54+M54+O54+Q54+S54+U54+W54</f>
        <v>0</v>
      </c>
      <c r="J54" s="1610">
        <f>J52*J53/1000</f>
        <v>0</v>
      </c>
      <c r="K54" s="1609">
        <f t="shared" ref="K54:W54" si="39">K52*K53/1000</f>
        <v>0</v>
      </c>
      <c r="L54" s="1610">
        <f t="shared" si="39"/>
        <v>0</v>
      </c>
      <c r="M54" s="1609">
        <f t="shared" si="39"/>
        <v>0</v>
      </c>
      <c r="N54" s="1610">
        <f t="shared" si="39"/>
        <v>0</v>
      </c>
      <c r="O54" s="1609">
        <f t="shared" si="39"/>
        <v>0</v>
      </c>
      <c r="P54" s="1610">
        <f t="shared" si="39"/>
        <v>0</v>
      </c>
      <c r="Q54" s="1609">
        <f t="shared" si="39"/>
        <v>0</v>
      </c>
      <c r="R54" s="1610">
        <f t="shared" si="39"/>
        <v>0</v>
      </c>
      <c r="S54" s="1609">
        <f t="shared" si="39"/>
        <v>0</v>
      </c>
      <c r="T54" s="1610">
        <f t="shared" si="39"/>
        <v>0</v>
      </c>
      <c r="U54" s="1609">
        <f t="shared" si="39"/>
        <v>0</v>
      </c>
      <c r="V54" s="1610">
        <f t="shared" si="39"/>
        <v>0</v>
      </c>
      <c r="W54" s="1609">
        <f t="shared" si="39"/>
        <v>0</v>
      </c>
      <c r="X54" s="1637">
        <f t="shared" ref="X54:Y54" si="40">X52*X53/1000</f>
        <v>0</v>
      </c>
      <c r="Y54" s="1636">
        <f t="shared" si="40"/>
        <v>0</v>
      </c>
      <c r="Z54" s="1687"/>
      <c r="AA54" s="1687"/>
      <c r="AB54" s="1686"/>
      <c r="AC54" s="1677"/>
      <c r="AD54" s="1677"/>
      <c r="AE54" s="1677"/>
      <c r="AF54" s="1677"/>
      <c r="AG54" s="1677"/>
      <c r="AH54" s="1677"/>
      <c r="AI54" s="1686"/>
      <c r="AJ54" s="1688"/>
      <c r="AK54" s="1688"/>
      <c r="AL54" s="1688"/>
      <c r="AM54" s="1688"/>
      <c r="AN54" s="1688"/>
      <c r="AO54" s="1688"/>
      <c r="AP54" s="1686"/>
      <c r="AQ54" s="1686"/>
      <c r="AR54" s="1686"/>
      <c r="AS54" s="1686"/>
      <c r="AT54" s="1686"/>
      <c r="AU54" s="1686"/>
      <c r="AV54" s="1686"/>
      <c r="AW54" s="1686"/>
      <c r="AX54" s="1686"/>
      <c r="AY54" s="1686"/>
      <c r="AZ54" s="1686"/>
      <c r="BA54" s="1686"/>
      <c r="BB54" s="1686"/>
      <c r="BC54" s="1686"/>
      <c r="BD54" s="1686"/>
      <c r="BE54" s="1686"/>
      <c r="BF54" s="1686"/>
      <c r="BG54" s="1686"/>
      <c r="BH54" s="1686"/>
      <c r="BI54" s="1686"/>
      <c r="BJ54" s="1686"/>
      <c r="BK54" s="1686"/>
      <c r="BL54" s="1686"/>
      <c r="BM54" s="1686"/>
      <c r="BN54" s="1686"/>
      <c r="BO54" s="1686"/>
      <c r="BP54" s="1686"/>
      <c r="BQ54" s="1686"/>
      <c r="BR54" s="1686"/>
      <c r="BS54" s="1686"/>
      <c r="BT54" s="1686"/>
      <c r="BU54" s="1686"/>
      <c r="BV54" s="1686"/>
      <c r="BW54" s="1686"/>
      <c r="BX54" s="1686"/>
      <c r="BY54" s="1686"/>
      <c r="BZ54" s="1686"/>
      <c r="CA54" s="1686"/>
      <c r="CB54" s="1686"/>
      <c r="CC54" s="1686"/>
      <c r="CD54" s="1686"/>
      <c r="CE54" s="1686"/>
      <c r="CF54" s="1686"/>
      <c r="CG54" s="1686"/>
      <c r="CH54" s="1686"/>
      <c r="CI54" s="1686"/>
      <c r="CJ54" s="1686"/>
      <c r="CK54" s="1686"/>
      <c r="CL54" s="1686"/>
      <c r="CM54" s="1686"/>
      <c r="CN54" s="1686"/>
      <c r="CO54" s="1686"/>
      <c r="CP54" s="1686"/>
      <c r="CQ54" s="1686"/>
      <c r="CR54" s="1686"/>
      <c r="CS54" s="1686"/>
      <c r="CT54" s="1686"/>
      <c r="CU54" s="1686"/>
      <c r="CV54" s="1686"/>
      <c r="CW54" s="1686"/>
      <c r="CX54" s="1686"/>
      <c r="CY54" s="1686"/>
      <c r="CZ54" s="1686"/>
      <c r="DA54" s="1686"/>
      <c r="DB54" s="1686"/>
      <c r="DC54" s="1686"/>
      <c r="DD54" s="1686"/>
      <c r="DE54" s="1686"/>
      <c r="DF54" s="1686"/>
      <c r="DG54" s="1686"/>
      <c r="DH54" s="1686"/>
      <c r="DI54" s="1686"/>
      <c r="DJ54" s="1686"/>
      <c r="DK54" s="1686"/>
      <c r="DL54" s="1686"/>
      <c r="DM54" s="1686"/>
      <c r="DN54" s="1686"/>
      <c r="DO54" s="1686"/>
      <c r="DP54" s="1686"/>
      <c r="DQ54" s="1686"/>
      <c r="DR54" s="1686"/>
      <c r="DS54" s="1686"/>
      <c r="DT54" s="1686"/>
      <c r="DU54" s="1686"/>
      <c r="DV54" s="1686"/>
      <c r="DW54" s="1686"/>
      <c r="DX54" s="1686"/>
      <c r="DY54" s="1686"/>
      <c r="DZ54" s="1686"/>
      <c r="EA54" s="1686"/>
      <c r="EB54" s="1686"/>
      <c r="EC54" s="1686"/>
      <c r="ED54" s="1686"/>
      <c r="EE54" s="1686"/>
      <c r="EF54" s="1686"/>
      <c r="EG54" s="1686"/>
      <c r="EH54" s="1686"/>
      <c r="EI54" s="1686"/>
      <c r="EJ54" s="1686"/>
      <c r="EK54" s="1686"/>
      <c r="EL54" s="1686"/>
      <c r="EM54" s="1686"/>
      <c r="EN54" s="1686"/>
      <c r="EO54" s="1686"/>
      <c r="EP54" s="1686"/>
      <c r="EQ54" s="1686"/>
      <c r="ER54" s="1686"/>
      <c r="ES54" s="1686"/>
      <c r="ET54" s="1686"/>
      <c r="EU54" s="1686"/>
      <c r="EV54" s="1686"/>
      <c r="EW54" s="1686"/>
      <c r="EX54" s="1686"/>
      <c r="EY54" s="1686"/>
      <c r="EZ54" s="1686"/>
      <c r="FA54" s="1686"/>
      <c r="FB54" s="1686"/>
      <c r="FC54" s="1686"/>
      <c r="FD54" s="1686"/>
      <c r="FE54" s="1686"/>
      <c r="FF54" s="1686"/>
      <c r="FG54" s="1686"/>
      <c r="FH54" s="1686"/>
      <c r="FI54" s="1686"/>
      <c r="FJ54" s="1686"/>
      <c r="FK54" s="1686"/>
      <c r="FL54" s="1686"/>
      <c r="FM54" s="1686"/>
      <c r="FN54" s="1686"/>
      <c r="FO54" s="1686"/>
      <c r="FP54" s="1686"/>
      <c r="FQ54" s="1686"/>
      <c r="FR54" s="1686"/>
      <c r="FS54" s="1686"/>
      <c r="FT54" s="1686"/>
      <c r="FU54" s="1686"/>
      <c r="FV54" s="1686"/>
      <c r="FW54" s="1686"/>
      <c r="FX54" s="1686"/>
      <c r="FY54" s="1686"/>
      <c r="FZ54" s="1686"/>
      <c r="GA54" s="1686"/>
      <c r="GB54" s="1686"/>
      <c r="GC54" s="1686"/>
      <c r="GD54" s="1686"/>
      <c r="GE54" s="1686"/>
      <c r="GF54" s="1686"/>
      <c r="GG54" s="1686"/>
      <c r="GH54" s="1686"/>
      <c r="GI54" s="1686"/>
      <c r="GJ54" s="1686"/>
      <c r="GK54" s="1686"/>
      <c r="GL54" s="1686"/>
      <c r="GM54" s="1686"/>
      <c r="GN54" s="1686"/>
      <c r="GO54" s="1686"/>
      <c r="GP54" s="1686"/>
      <c r="GQ54" s="1686"/>
      <c r="GR54" s="1686"/>
      <c r="GS54" s="1686"/>
      <c r="GT54" s="1686"/>
      <c r="GU54" s="1686"/>
      <c r="GV54" s="1686"/>
      <c r="GW54" s="1686"/>
      <c r="GX54" s="1686"/>
      <c r="GY54" s="1686"/>
      <c r="GZ54" s="1686"/>
      <c r="HA54" s="1686"/>
      <c r="HB54" s="1686"/>
      <c r="HC54" s="1686"/>
      <c r="HD54" s="1686"/>
      <c r="HE54" s="1686"/>
      <c r="HF54" s="1686"/>
      <c r="HG54" s="1686"/>
      <c r="HH54" s="1686"/>
      <c r="HI54" s="1686"/>
      <c r="HJ54" s="1686"/>
      <c r="HK54" s="1686"/>
      <c r="HL54" s="1686"/>
      <c r="HM54" s="1686"/>
      <c r="HN54" s="1686"/>
      <c r="HO54" s="1686"/>
      <c r="HP54" s="1686"/>
      <c r="HQ54" s="1686"/>
      <c r="HR54" s="1686"/>
      <c r="HS54" s="1686"/>
      <c r="HT54" s="1686"/>
      <c r="HU54" s="1686"/>
      <c r="HV54" s="1686"/>
      <c r="HW54" s="1686"/>
      <c r="HX54" s="1686"/>
      <c r="HY54" s="1686"/>
      <c r="HZ54" s="1686"/>
      <c r="IA54" s="1686"/>
      <c r="IB54" s="1686"/>
      <c r="IC54" s="1686"/>
      <c r="ID54" s="1686"/>
      <c r="IE54" s="1686"/>
      <c r="IF54" s="1686"/>
      <c r="IG54" s="1686"/>
      <c r="IH54" s="1686"/>
      <c r="II54" s="1686"/>
      <c r="IJ54" s="1686"/>
      <c r="IK54" s="1686"/>
      <c r="IL54" s="1686"/>
      <c r="IM54" s="1686"/>
      <c r="IN54" s="1686"/>
      <c r="IO54" s="1686"/>
      <c r="IP54" s="1686"/>
      <c r="IQ54" s="1686"/>
      <c r="IR54" s="1686"/>
      <c r="IS54" s="1686"/>
      <c r="IT54" s="1686"/>
      <c r="IU54" s="1686"/>
      <c r="IV54" s="1686"/>
    </row>
    <row r="55" spans="1:256" ht="13.15" hidden="1" customHeight="1" outlineLevel="1" x14ac:dyDescent="0.2">
      <c r="A55" s="4505" t="s">
        <v>1733</v>
      </c>
      <c r="B55" s="1741" t="s">
        <v>1734</v>
      </c>
      <c r="C55" s="1628" t="s">
        <v>1669</v>
      </c>
      <c r="D55" s="1610"/>
      <c r="E55" s="1609"/>
      <c r="F55" s="1610"/>
      <c r="G55" s="1609"/>
      <c r="H55" s="1611">
        <f>J55+L55+N55+P55+R55+T55+V55</f>
        <v>0</v>
      </c>
      <c r="I55" s="1609">
        <f>K55+M55+O55+Q55+S55+U55+W55</f>
        <v>0</v>
      </c>
      <c r="J55" s="1610"/>
      <c r="K55" s="1609"/>
      <c r="L55" s="1610"/>
      <c r="M55" s="1609"/>
      <c r="N55" s="1610"/>
      <c r="O55" s="1609"/>
      <c r="P55" s="1610"/>
      <c r="Q55" s="1609"/>
      <c r="R55" s="1610"/>
      <c r="S55" s="1609"/>
      <c r="T55" s="1610"/>
      <c r="U55" s="1609"/>
      <c r="V55" s="1610"/>
      <c r="W55" s="1613"/>
      <c r="X55" s="1637"/>
      <c r="Y55" s="1642"/>
      <c r="Z55" s="1687"/>
      <c r="AA55" s="1687"/>
      <c r="AB55" s="1686"/>
      <c r="AC55" s="1677"/>
      <c r="AD55" s="1677"/>
      <c r="AE55" s="1677"/>
      <c r="AF55" s="1677"/>
      <c r="AG55" s="1677"/>
      <c r="AH55" s="1677"/>
      <c r="AI55" s="1686"/>
      <c r="AJ55" s="1688"/>
      <c r="AK55" s="1688"/>
      <c r="AL55" s="1688"/>
      <c r="AM55" s="1688"/>
      <c r="AN55" s="1688"/>
      <c r="AO55" s="1688"/>
      <c r="AP55" s="1686"/>
      <c r="AQ55" s="1686"/>
      <c r="AR55" s="1686"/>
      <c r="AS55" s="1686"/>
      <c r="AT55" s="1686"/>
      <c r="AU55" s="1686"/>
      <c r="AV55" s="1686"/>
      <c r="AW55" s="1686"/>
      <c r="AX55" s="1686"/>
      <c r="AY55" s="1686"/>
      <c r="AZ55" s="1686"/>
      <c r="BA55" s="1686"/>
      <c r="BB55" s="1686"/>
      <c r="BC55" s="1686"/>
      <c r="BD55" s="1686"/>
      <c r="BE55" s="1686"/>
      <c r="BF55" s="1686"/>
      <c r="BG55" s="1686"/>
      <c r="BH55" s="1686"/>
      <c r="BI55" s="1686"/>
      <c r="BJ55" s="1686"/>
      <c r="BK55" s="1686"/>
      <c r="BL55" s="1686"/>
      <c r="BM55" s="1686"/>
      <c r="BN55" s="1686"/>
      <c r="BO55" s="1686"/>
      <c r="BP55" s="1686"/>
      <c r="BQ55" s="1686"/>
      <c r="BR55" s="1686"/>
      <c r="BS55" s="1686"/>
      <c r="BT55" s="1686"/>
      <c r="BU55" s="1686"/>
      <c r="BV55" s="1686"/>
      <c r="BW55" s="1686"/>
      <c r="BX55" s="1686"/>
      <c r="BY55" s="1686"/>
      <c r="BZ55" s="1686"/>
      <c r="CA55" s="1686"/>
      <c r="CB55" s="1686"/>
      <c r="CC55" s="1686"/>
      <c r="CD55" s="1686"/>
      <c r="CE55" s="1686"/>
      <c r="CF55" s="1686"/>
      <c r="CG55" s="1686"/>
      <c r="CH55" s="1686"/>
      <c r="CI55" s="1686"/>
      <c r="CJ55" s="1686"/>
      <c r="CK55" s="1686"/>
      <c r="CL55" s="1686"/>
      <c r="CM55" s="1686"/>
      <c r="CN55" s="1686"/>
      <c r="CO55" s="1686"/>
      <c r="CP55" s="1686"/>
      <c r="CQ55" s="1686"/>
      <c r="CR55" s="1686"/>
      <c r="CS55" s="1686"/>
      <c r="CT55" s="1686"/>
      <c r="CU55" s="1686"/>
      <c r="CV55" s="1686"/>
      <c r="CW55" s="1686"/>
      <c r="CX55" s="1686"/>
      <c r="CY55" s="1686"/>
      <c r="CZ55" s="1686"/>
      <c r="DA55" s="1686"/>
      <c r="DB55" s="1686"/>
      <c r="DC55" s="1686"/>
      <c r="DD55" s="1686"/>
      <c r="DE55" s="1686"/>
      <c r="DF55" s="1686"/>
      <c r="DG55" s="1686"/>
      <c r="DH55" s="1686"/>
      <c r="DI55" s="1686"/>
      <c r="DJ55" s="1686"/>
      <c r="DK55" s="1686"/>
      <c r="DL55" s="1686"/>
      <c r="DM55" s="1686"/>
      <c r="DN55" s="1686"/>
      <c r="DO55" s="1686"/>
      <c r="DP55" s="1686"/>
      <c r="DQ55" s="1686"/>
      <c r="DR55" s="1686"/>
      <c r="DS55" s="1686"/>
      <c r="DT55" s="1686"/>
      <c r="DU55" s="1686"/>
      <c r="DV55" s="1686"/>
      <c r="DW55" s="1686"/>
      <c r="DX55" s="1686"/>
      <c r="DY55" s="1686"/>
      <c r="DZ55" s="1686"/>
      <c r="EA55" s="1686"/>
      <c r="EB55" s="1686"/>
      <c r="EC55" s="1686"/>
      <c r="ED55" s="1686"/>
      <c r="EE55" s="1686"/>
      <c r="EF55" s="1686"/>
      <c r="EG55" s="1686"/>
      <c r="EH55" s="1686"/>
      <c r="EI55" s="1686"/>
      <c r="EJ55" s="1686"/>
      <c r="EK55" s="1686"/>
      <c r="EL55" s="1686"/>
      <c r="EM55" s="1686"/>
      <c r="EN55" s="1686"/>
      <c r="EO55" s="1686"/>
      <c r="EP55" s="1686"/>
      <c r="EQ55" s="1686"/>
      <c r="ER55" s="1686"/>
      <c r="ES55" s="1686"/>
      <c r="ET55" s="1686"/>
      <c r="EU55" s="1686"/>
      <c r="EV55" s="1686"/>
      <c r="EW55" s="1686"/>
      <c r="EX55" s="1686"/>
      <c r="EY55" s="1686"/>
      <c r="EZ55" s="1686"/>
      <c r="FA55" s="1686"/>
      <c r="FB55" s="1686"/>
      <c r="FC55" s="1686"/>
      <c r="FD55" s="1686"/>
      <c r="FE55" s="1686"/>
      <c r="FF55" s="1686"/>
      <c r="FG55" s="1686"/>
      <c r="FH55" s="1686"/>
      <c r="FI55" s="1686"/>
      <c r="FJ55" s="1686"/>
      <c r="FK55" s="1686"/>
      <c r="FL55" s="1686"/>
      <c r="FM55" s="1686"/>
      <c r="FN55" s="1686"/>
      <c r="FO55" s="1686"/>
      <c r="FP55" s="1686"/>
      <c r="FQ55" s="1686"/>
      <c r="FR55" s="1686"/>
      <c r="FS55" s="1686"/>
      <c r="FT55" s="1686"/>
      <c r="FU55" s="1686"/>
      <c r="FV55" s="1686"/>
      <c r="FW55" s="1686"/>
      <c r="FX55" s="1686"/>
      <c r="FY55" s="1686"/>
      <c r="FZ55" s="1686"/>
      <c r="GA55" s="1686"/>
      <c r="GB55" s="1686"/>
      <c r="GC55" s="1686"/>
      <c r="GD55" s="1686"/>
      <c r="GE55" s="1686"/>
      <c r="GF55" s="1686"/>
      <c r="GG55" s="1686"/>
      <c r="GH55" s="1686"/>
      <c r="GI55" s="1686"/>
      <c r="GJ55" s="1686"/>
      <c r="GK55" s="1686"/>
      <c r="GL55" s="1686"/>
      <c r="GM55" s="1686"/>
      <c r="GN55" s="1686"/>
      <c r="GO55" s="1686"/>
      <c r="GP55" s="1686"/>
      <c r="GQ55" s="1686"/>
      <c r="GR55" s="1686"/>
      <c r="GS55" s="1686"/>
      <c r="GT55" s="1686"/>
      <c r="GU55" s="1686"/>
      <c r="GV55" s="1686"/>
      <c r="GW55" s="1686"/>
      <c r="GX55" s="1686"/>
      <c r="GY55" s="1686"/>
      <c r="GZ55" s="1686"/>
      <c r="HA55" s="1686"/>
      <c r="HB55" s="1686"/>
      <c r="HC55" s="1686"/>
      <c r="HD55" s="1686"/>
      <c r="HE55" s="1686"/>
      <c r="HF55" s="1686"/>
      <c r="HG55" s="1686"/>
      <c r="HH55" s="1686"/>
      <c r="HI55" s="1686"/>
      <c r="HJ55" s="1686"/>
      <c r="HK55" s="1686"/>
      <c r="HL55" s="1686"/>
      <c r="HM55" s="1686"/>
      <c r="HN55" s="1686"/>
      <c r="HO55" s="1686"/>
      <c r="HP55" s="1686"/>
      <c r="HQ55" s="1686"/>
      <c r="HR55" s="1686"/>
      <c r="HS55" s="1686"/>
      <c r="HT55" s="1686"/>
      <c r="HU55" s="1686"/>
      <c r="HV55" s="1686"/>
      <c r="HW55" s="1686"/>
      <c r="HX55" s="1686"/>
      <c r="HY55" s="1686"/>
      <c r="HZ55" s="1686"/>
      <c r="IA55" s="1686"/>
      <c r="IB55" s="1686"/>
      <c r="IC55" s="1686"/>
      <c r="ID55" s="1686"/>
      <c r="IE55" s="1686"/>
      <c r="IF55" s="1686"/>
      <c r="IG55" s="1686"/>
      <c r="IH55" s="1686"/>
      <c r="II55" s="1686"/>
      <c r="IJ55" s="1686"/>
      <c r="IK55" s="1686"/>
      <c r="IL55" s="1686"/>
      <c r="IM55" s="1686"/>
      <c r="IN55" s="1686"/>
      <c r="IO55" s="1686"/>
      <c r="IP55" s="1686"/>
      <c r="IQ55" s="1686"/>
      <c r="IR55" s="1686"/>
      <c r="IS55" s="1686"/>
      <c r="IT55" s="1686"/>
      <c r="IU55" s="1686"/>
      <c r="IV55" s="1686"/>
    </row>
    <row r="56" spans="1:256" ht="24" hidden="1" customHeight="1" outlineLevel="1" x14ac:dyDescent="0.2">
      <c r="A56" s="4506"/>
      <c r="B56" s="1741" t="s">
        <v>1735</v>
      </c>
      <c r="C56" s="1628" t="s">
        <v>1701</v>
      </c>
      <c r="D56" s="1610">
        <f t="shared" ref="D56:I56" si="41">IF(D55=0,,D57/1000/D55)</f>
        <v>0</v>
      </c>
      <c r="E56" s="1609">
        <f t="shared" si="41"/>
        <v>0</v>
      </c>
      <c r="F56" s="1610"/>
      <c r="G56" s="1609"/>
      <c r="H56" s="1611">
        <f t="shared" si="41"/>
        <v>0</v>
      </c>
      <c r="I56" s="1609">
        <f t="shared" si="41"/>
        <v>0</v>
      </c>
      <c r="J56" s="1610"/>
      <c r="K56" s="1609"/>
      <c r="L56" s="1610"/>
      <c r="M56" s="1609"/>
      <c r="N56" s="1610"/>
      <c r="O56" s="1609"/>
      <c r="P56" s="1610"/>
      <c r="Q56" s="1609"/>
      <c r="R56" s="1610"/>
      <c r="S56" s="1609"/>
      <c r="T56" s="1610"/>
      <c r="U56" s="1609"/>
      <c r="V56" s="1610"/>
      <c r="W56" s="1613"/>
      <c r="X56" s="1637"/>
      <c r="Y56" s="1642"/>
      <c r="Z56" s="1687"/>
      <c r="AA56" s="1687"/>
      <c r="AB56" s="1686"/>
      <c r="AC56" s="1677"/>
      <c r="AD56" s="1677"/>
      <c r="AE56" s="1677"/>
      <c r="AF56" s="1677"/>
      <c r="AG56" s="1677"/>
      <c r="AH56" s="1677"/>
      <c r="AI56" s="1686"/>
      <c r="AJ56" s="1688"/>
      <c r="AK56" s="1688"/>
      <c r="AL56" s="1688"/>
      <c r="AM56" s="1688"/>
      <c r="AN56" s="1688"/>
      <c r="AO56" s="1688"/>
      <c r="AP56" s="1686"/>
      <c r="AQ56" s="1686"/>
      <c r="AR56" s="1686"/>
      <c r="AS56" s="1686"/>
      <c r="AT56" s="1686"/>
      <c r="AU56" s="1686"/>
      <c r="AV56" s="1686"/>
      <c r="AW56" s="1686"/>
      <c r="AX56" s="1686"/>
      <c r="AY56" s="1686"/>
      <c r="AZ56" s="1686"/>
      <c r="BA56" s="1686"/>
      <c r="BB56" s="1686"/>
      <c r="BC56" s="1686"/>
      <c r="BD56" s="1686"/>
      <c r="BE56" s="1686"/>
      <c r="BF56" s="1686"/>
      <c r="BG56" s="1686"/>
      <c r="BH56" s="1686"/>
      <c r="BI56" s="1686"/>
      <c r="BJ56" s="1686"/>
      <c r="BK56" s="1686"/>
      <c r="BL56" s="1686"/>
      <c r="BM56" s="1686"/>
      <c r="BN56" s="1686"/>
      <c r="BO56" s="1686"/>
      <c r="BP56" s="1686"/>
      <c r="BQ56" s="1686"/>
      <c r="BR56" s="1686"/>
      <c r="BS56" s="1686"/>
      <c r="BT56" s="1686"/>
      <c r="BU56" s="1686"/>
      <c r="BV56" s="1686"/>
      <c r="BW56" s="1686"/>
      <c r="BX56" s="1686"/>
      <c r="BY56" s="1686"/>
      <c r="BZ56" s="1686"/>
      <c r="CA56" s="1686"/>
      <c r="CB56" s="1686"/>
      <c r="CC56" s="1686"/>
      <c r="CD56" s="1686"/>
      <c r="CE56" s="1686"/>
      <c r="CF56" s="1686"/>
      <c r="CG56" s="1686"/>
      <c r="CH56" s="1686"/>
      <c r="CI56" s="1686"/>
      <c r="CJ56" s="1686"/>
      <c r="CK56" s="1686"/>
      <c r="CL56" s="1686"/>
      <c r="CM56" s="1686"/>
      <c r="CN56" s="1686"/>
      <c r="CO56" s="1686"/>
      <c r="CP56" s="1686"/>
      <c r="CQ56" s="1686"/>
      <c r="CR56" s="1686"/>
      <c r="CS56" s="1686"/>
      <c r="CT56" s="1686"/>
      <c r="CU56" s="1686"/>
      <c r="CV56" s="1686"/>
      <c r="CW56" s="1686"/>
      <c r="CX56" s="1686"/>
      <c r="CY56" s="1686"/>
      <c r="CZ56" s="1686"/>
      <c r="DA56" s="1686"/>
      <c r="DB56" s="1686"/>
      <c r="DC56" s="1686"/>
      <c r="DD56" s="1686"/>
      <c r="DE56" s="1686"/>
      <c r="DF56" s="1686"/>
      <c r="DG56" s="1686"/>
      <c r="DH56" s="1686"/>
      <c r="DI56" s="1686"/>
      <c r="DJ56" s="1686"/>
      <c r="DK56" s="1686"/>
      <c r="DL56" s="1686"/>
      <c r="DM56" s="1686"/>
      <c r="DN56" s="1686"/>
      <c r="DO56" s="1686"/>
      <c r="DP56" s="1686"/>
      <c r="DQ56" s="1686"/>
      <c r="DR56" s="1686"/>
      <c r="DS56" s="1686"/>
      <c r="DT56" s="1686"/>
      <c r="DU56" s="1686"/>
      <c r="DV56" s="1686"/>
      <c r="DW56" s="1686"/>
      <c r="DX56" s="1686"/>
      <c r="DY56" s="1686"/>
      <c r="DZ56" s="1686"/>
      <c r="EA56" s="1686"/>
      <c r="EB56" s="1686"/>
      <c r="EC56" s="1686"/>
      <c r="ED56" s="1686"/>
      <c r="EE56" s="1686"/>
      <c r="EF56" s="1686"/>
      <c r="EG56" s="1686"/>
      <c r="EH56" s="1686"/>
      <c r="EI56" s="1686"/>
      <c r="EJ56" s="1686"/>
      <c r="EK56" s="1686"/>
      <c r="EL56" s="1686"/>
      <c r="EM56" s="1686"/>
      <c r="EN56" s="1686"/>
      <c r="EO56" s="1686"/>
      <c r="EP56" s="1686"/>
      <c r="EQ56" s="1686"/>
      <c r="ER56" s="1686"/>
      <c r="ES56" s="1686"/>
      <c r="ET56" s="1686"/>
      <c r="EU56" s="1686"/>
      <c r="EV56" s="1686"/>
      <c r="EW56" s="1686"/>
      <c r="EX56" s="1686"/>
      <c r="EY56" s="1686"/>
      <c r="EZ56" s="1686"/>
      <c r="FA56" s="1686"/>
      <c r="FB56" s="1686"/>
      <c r="FC56" s="1686"/>
      <c r="FD56" s="1686"/>
      <c r="FE56" s="1686"/>
      <c r="FF56" s="1686"/>
      <c r="FG56" s="1686"/>
      <c r="FH56" s="1686"/>
      <c r="FI56" s="1686"/>
      <c r="FJ56" s="1686"/>
      <c r="FK56" s="1686"/>
      <c r="FL56" s="1686"/>
      <c r="FM56" s="1686"/>
      <c r="FN56" s="1686"/>
      <c r="FO56" s="1686"/>
      <c r="FP56" s="1686"/>
      <c r="FQ56" s="1686"/>
      <c r="FR56" s="1686"/>
      <c r="FS56" s="1686"/>
      <c r="FT56" s="1686"/>
      <c r="FU56" s="1686"/>
      <c r="FV56" s="1686"/>
      <c r="FW56" s="1686"/>
      <c r="FX56" s="1686"/>
      <c r="FY56" s="1686"/>
      <c r="FZ56" s="1686"/>
      <c r="GA56" s="1686"/>
      <c r="GB56" s="1686"/>
      <c r="GC56" s="1686"/>
      <c r="GD56" s="1686"/>
      <c r="GE56" s="1686"/>
      <c r="GF56" s="1686"/>
      <c r="GG56" s="1686"/>
      <c r="GH56" s="1686"/>
      <c r="GI56" s="1686"/>
      <c r="GJ56" s="1686"/>
      <c r="GK56" s="1686"/>
      <c r="GL56" s="1686"/>
      <c r="GM56" s="1686"/>
      <c r="GN56" s="1686"/>
      <c r="GO56" s="1686"/>
      <c r="GP56" s="1686"/>
      <c r="GQ56" s="1686"/>
      <c r="GR56" s="1686"/>
      <c r="GS56" s="1686"/>
      <c r="GT56" s="1686"/>
      <c r="GU56" s="1686"/>
      <c r="GV56" s="1686"/>
      <c r="GW56" s="1686"/>
      <c r="GX56" s="1686"/>
      <c r="GY56" s="1686"/>
      <c r="GZ56" s="1686"/>
      <c r="HA56" s="1686"/>
      <c r="HB56" s="1686"/>
      <c r="HC56" s="1686"/>
      <c r="HD56" s="1686"/>
      <c r="HE56" s="1686"/>
      <c r="HF56" s="1686"/>
      <c r="HG56" s="1686"/>
      <c r="HH56" s="1686"/>
      <c r="HI56" s="1686"/>
      <c r="HJ56" s="1686"/>
      <c r="HK56" s="1686"/>
      <c r="HL56" s="1686"/>
      <c r="HM56" s="1686"/>
      <c r="HN56" s="1686"/>
      <c r="HO56" s="1686"/>
      <c r="HP56" s="1686"/>
      <c r="HQ56" s="1686"/>
      <c r="HR56" s="1686"/>
      <c r="HS56" s="1686"/>
      <c r="HT56" s="1686"/>
      <c r="HU56" s="1686"/>
      <c r="HV56" s="1686"/>
      <c r="HW56" s="1686"/>
      <c r="HX56" s="1686"/>
      <c r="HY56" s="1686"/>
      <c r="HZ56" s="1686"/>
      <c r="IA56" s="1686"/>
      <c r="IB56" s="1686"/>
      <c r="IC56" s="1686"/>
      <c r="ID56" s="1686"/>
      <c r="IE56" s="1686"/>
      <c r="IF56" s="1686"/>
      <c r="IG56" s="1686"/>
      <c r="IH56" s="1686"/>
      <c r="II56" s="1686"/>
      <c r="IJ56" s="1686"/>
      <c r="IK56" s="1686"/>
      <c r="IL56" s="1686"/>
      <c r="IM56" s="1686"/>
      <c r="IN56" s="1686"/>
      <c r="IO56" s="1686"/>
      <c r="IP56" s="1686"/>
      <c r="IQ56" s="1686"/>
      <c r="IR56" s="1686"/>
      <c r="IS56" s="1686"/>
      <c r="IT56" s="1686"/>
      <c r="IU56" s="1686"/>
      <c r="IV56" s="1686"/>
    </row>
    <row r="57" spans="1:256" ht="24" hidden="1" customHeight="1" outlineLevel="1" x14ac:dyDescent="0.2">
      <c r="A57" s="4507"/>
      <c r="B57" s="1744" t="s">
        <v>1736</v>
      </c>
      <c r="C57" s="1629" t="s">
        <v>1704</v>
      </c>
      <c r="D57" s="1610"/>
      <c r="E57" s="1609"/>
      <c r="F57" s="1610"/>
      <c r="G57" s="1609"/>
      <c r="H57" s="1611">
        <f>J57+L57+N57+P57+R57+T57+V57</f>
        <v>0</v>
      </c>
      <c r="I57" s="1609">
        <f>K57+M57+O57+Q57+S57+U57+W57</f>
        <v>0</v>
      </c>
      <c r="J57" s="1610">
        <f>J55*J56/1000</f>
        <v>0</v>
      </c>
      <c r="K57" s="1609">
        <f t="shared" ref="K57:W57" si="42">K55*K56/1000</f>
        <v>0</v>
      </c>
      <c r="L57" s="1610">
        <f t="shared" si="42"/>
        <v>0</v>
      </c>
      <c r="M57" s="1609">
        <f t="shared" si="42"/>
        <v>0</v>
      </c>
      <c r="N57" s="1610">
        <f t="shared" si="42"/>
        <v>0</v>
      </c>
      <c r="O57" s="1609">
        <f t="shared" si="42"/>
        <v>0</v>
      </c>
      <c r="P57" s="1610">
        <f t="shared" si="42"/>
        <v>0</v>
      </c>
      <c r="Q57" s="1609">
        <f t="shared" si="42"/>
        <v>0</v>
      </c>
      <c r="R57" s="1610">
        <f t="shared" si="42"/>
        <v>0</v>
      </c>
      <c r="S57" s="1609">
        <f t="shared" si="42"/>
        <v>0</v>
      </c>
      <c r="T57" s="1610">
        <f t="shared" si="42"/>
        <v>0</v>
      </c>
      <c r="U57" s="1609">
        <f t="shared" si="42"/>
        <v>0</v>
      </c>
      <c r="V57" s="1610">
        <f t="shared" si="42"/>
        <v>0</v>
      </c>
      <c r="W57" s="1609">
        <f t="shared" si="42"/>
        <v>0</v>
      </c>
      <c r="X57" s="1637">
        <f t="shared" ref="X57:Y57" si="43">X55*X56/1000</f>
        <v>0</v>
      </c>
      <c r="Y57" s="1636">
        <f t="shared" si="43"/>
        <v>0</v>
      </c>
      <c r="Z57" s="1687"/>
      <c r="AA57" s="1687"/>
      <c r="AB57" s="1686"/>
      <c r="AC57" s="1677"/>
      <c r="AD57" s="1677"/>
      <c r="AE57" s="1677"/>
      <c r="AF57" s="1677"/>
      <c r="AG57" s="1677"/>
      <c r="AH57" s="1677"/>
      <c r="AI57" s="1686"/>
      <c r="AJ57" s="1688"/>
      <c r="AK57" s="1688"/>
      <c r="AL57" s="1688"/>
      <c r="AM57" s="1688"/>
      <c r="AN57" s="1688"/>
      <c r="AO57" s="1688"/>
      <c r="AP57" s="1686"/>
      <c r="AQ57" s="1686"/>
      <c r="AR57" s="1686"/>
      <c r="AS57" s="1686"/>
      <c r="AT57" s="1686"/>
      <c r="AU57" s="1686"/>
      <c r="AV57" s="1686"/>
      <c r="AW57" s="1686"/>
      <c r="AX57" s="1686"/>
      <c r="AY57" s="1686"/>
      <c r="AZ57" s="1686"/>
      <c r="BA57" s="1686"/>
      <c r="BB57" s="1686"/>
      <c r="BC57" s="1686"/>
      <c r="BD57" s="1686"/>
      <c r="BE57" s="1686"/>
      <c r="BF57" s="1686"/>
      <c r="BG57" s="1686"/>
      <c r="BH57" s="1686"/>
      <c r="BI57" s="1686"/>
      <c r="BJ57" s="1686"/>
      <c r="BK57" s="1686"/>
      <c r="BL57" s="1686"/>
      <c r="BM57" s="1686"/>
      <c r="BN57" s="1686"/>
      <c r="BO57" s="1686"/>
      <c r="BP57" s="1686"/>
      <c r="BQ57" s="1686"/>
      <c r="BR57" s="1686"/>
      <c r="BS57" s="1686"/>
      <c r="BT57" s="1686"/>
      <c r="BU57" s="1686"/>
      <c r="BV57" s="1686"/>
      <c r="BW57" s="1686"/>
      <c r="BX57" s="1686"/>
      <c r="BY57" s="1686"/>
      <c r="BZ57" s="1686"/>
      <c r="CA57" s="1686"/>
      <c r="CB57" s="1686"/>
      <c r="CC57" s="1686"/>
      <c r="CD57" s="1686"/>
      <c r="CE57" s="1686"/>
      <c r="CF57" s="1686"/>
      <c r="CG57" s="1686"/>
      <c r="CH57" s="1686"/>
      <c r="CI57" s="1686"/>
      <c r="CJ57" s="1686"/>
      <c r="CK57" s="1686"/>
      <c r="CL57" s="1686"/>
      <c r="CM57" s="1686"/>
      <c r="CN57" s="1686"/>
      <c r="CO57" s="1686"/>
      <c r="CP57" s="1686"/>
      <c r="CQ57" s="1686"/>
      <c r="CR57" s="1686"/>
      <c r="CS57" s="1686"/>
      <c r="CT57" s="1686"/>
      <c r="CU57" s="1686"/>
      <c r="CV57" s="1686"/>
      <c r="CW57" s="1686"/>
      <c r="CX57" s="1686"/>
      <c r="CY57" s="1686"/>
      <c r="CZ57" s="1686"/>
      <c r="DA57" s="1686"/>
      <c r="DB57" s="1686"/>
      <c r="DC57" s="1686"/>
      <c r="DD57" s="1686"/>
      <c r="DE57" s="1686"/>
      <c r="DF57" s="1686"/>
      <c r="DG57" s="1686"/>
      <c r="DH57" s="1686"/>
      <c r="DI57" s="1686"/>
      <c r="DJ57" s="1686"/>
      <c r="DK57" s="1686"/>
      <c r="DL57" s="1686"/>
      <c r="DM57" s="1686"/>
      <c r="DN57" s="1686"/>
      <c r="DO57" s="1686"/>
      <c r="DP57" s="1686"/>
      <c r="DQ57" s="1686"/>
      <c r="DR57" s="1686"/>
      <c r="DS57" s="1686"/>
      <c r="DT57" s="1686"/>
      <c r="DU57" s="1686"/>
      <c r="DV57" s="1686"/>
      <c r="DW57" s="1686"/>
      <c r="DX57" s="1686"/>
      <c r="DY57" s="1686"/>
      <c r="DZ57" s="1686"/>
      <c r="EA57" s="1686"/>
      <c r="EB57" s="1686"/>
      <c r="EC57" s="1686"/>
      <c r="ED57" s="1686"/>
      <c r="EE57" s="1686"/>
      <c r="EF57" s="1686"/>
      <c r="EG57" s="1686"/>
      <c r="EH57" s="1686"/>
      <c r="EI57" s="1686"/>
      <c r="EJ57" s="1686"/>
      <c r="EK57" s="1686"/>
      <c r="EL57" s="1686"/>
      <c r="EM57" s="1686"/>
      <c r="EN57" s="1686"/>
      <c r="EO57" s="1686"/>
      <c r="EP57" s="1686"/>
      <c r="EQ57" s="1686"/>
      <c r="ER57" s="1686"/>
      <c r="ES57" s="1686"/>
      <c r="ET57" s="1686"/>
      <c r="EU57" s="1686"/>
      <c r="EV57" s="1686"/>
      <c r="EW57" s="1686"/>
      <c r="EX57" s="1686"/>
      <c r="EY57" s="1686"/>
      <c r="EZ57" s="1686"/>
      <c r="FA57" s="1686"/>
      <c r="FB57" s="1686"/>
      <c r="FC57" s="1686"/>
      <c r="FD57" s="1686"/>
      <c r="FE57" s="1686"/>
      <c r="FF57" s="1686"/>
      <c r="FG57" s="1686"/>
      <c r="FH57" s="1686"/>
      <c r="FI57" s="1686"/>
      <c r="FJ57" s="1686"/>
      <c r="FK57" s="1686"/>
      <c r="FL57" s="1686"/>
      <c r="FM57" s="1686"/>
      <c r="FN57" s="1686"/>
      <c r="FO57" s="1686"/>
      <c r="FP57" s="1686"/>
      <c r="FQ57" s="1686"/>
      <c r="FR57" s="1686"/>
      <c r="FS57" s="1686"/>
      <c r="FT57" s="1686"/>
      <c r="FU57" s="1686"/>
      <c r="FV57" s="1686"/>
      <c r="FW57" s="1686"/>
      <c r="FX57" s="1686"/>
      <c r="FY57" s="1686"/>
      <c r="FZ57" s="1686"/>
      <c r="GA57" s="1686"/>
      <c r="GB57" s="1686"/>
      <c r="GC57" s="1686"/>
      <c r="GD57" s="1686"/>
      <c r="GE57" s="1686"/>
      <c r="GF57" s="1686"/>
      <c r="GG57" s="1686"/>
      <c r="GH57" s="1686"/>
      <c r="GI57" s="1686"/>
      <c r="GJ57" s="1686"/>
      <c r="GK57" s="1686"/>
      <c r="GL57" s="1686"/>
      <c r="GM57" s="1686"/>
      <c r="GN57" s="1686"/>
      <c r="GO57" s="1686"/>
      <c r="GP57" s="1686"/>
      <c r="GQ57" s="1686"/>
      <c r="GR57" s="1686"/>
      <c r="GS57" s="1686"/>
      <c r="GT57" s="1686"/>
      <c r="GU57" s="1686"/>
      <c r="GV57" s="1686"/>
      <c r="GW57" s="1686"/>
      <c r="GX57" s="1686"/>
      <c r="GY57" s="1686"/>
      <c r="GZ57" s="1686"/>
      <c r="HA57" s="1686"/>
      <c r="HB57" s="1686"/>
      <c r="HC57" s="1686"/>
      <c r="HD57" s="1686"/>
      <c r="HE57" s="1686"/>
      <c r="HF57" s="1686"/>
      <c r="HG57" s="1686"/>
      <c r="HH57" s="1686"/>
      <c r="HI57" s="1686"/>
      <c r="HJ57" s="1686"/>
      <c r="HK57" s="1686"/>
      <c r="HL57" s="1686"/>
      <c r="HM57" s="1686"/>
      <c r="HN57" s="1686"/>
      <c r="HO57" s="1686"/>
      <c r="HP57" s="1686"/>
      <c r="HQ57" s="1686"/>
      <c r="HR57" s="1686"/>
      <c r="HS57" s="1686"/>
      <c r="HT57" s="1686"/>
      <c r="HU57" s="1686"/>
      <c r="HV57" s="1686"/>
      <c r="HW57" s="1686"/>
      <c r="HX57" s="1686"/>
      <c r="HY57" s="1686"/>
      <c r="HZ57" s="1686"/>
      <c r="IA57" s="1686"/>
      <c r="IB57" s="1686"/>
      <c r="IC57" s="1686"/>
      <c r="ID57" s="1686"/>
      <c r="IE57" s="1686"/>
      <c r="IF57" s="1686"/>
      <c r="IG57" s="1686"/>
      <c r="IH57" s="1686"/>
      <c r="II57" s="1686"/>
      <c r="IJ57" s="1686"/>
      <c r="IK57" s="1686"/>
      <c r="IL57" s="1686"/>
      <c r="IM57" s="1686"/>
      <c r="IN57" s="1686"/>
      <c r="IO57" s="1686"/>
      <c r="IP57" s="1686"/>
      <c r="IQ57" s="1686"/>
      <c r="IR57" s="1686"/>
      <c r="IS57" s="1686"/>
      <c r="IT57" s="1686"/>
      <c r="IU57" s="1686"/>
      <c r="IV57" s="1686"/>
    </row>
    <row r="58" spans="1:256" ht="13.15" hidden="1" customHeight="1" outlineLevel="1" x14ac:dyDescent="0.2">
      <c r="A58" s="4505" t="s">
        <v>1737</v>
      </c>
      <c r="B58" s="1741" t="s">
        <v>1738</v>
      </c>
      <c r="C58" s="1628" t="s">
        <v>1669</v>
      </c>
      <c r="D58" s="1610"/>
      <c r="E58" s="1609"/>
      <c r="F58" s="1610"/>
      <c r="G58" s="1609"/>
      <c r="H58" s="1611">
        <f>J58+L58+N58+P58+R58+T58+V58</f>
        <v>0</v>
      </c>
      <c r="I58" s="1609">
        <f>K58+M58+O58+Q58+S58+U58+W58</f>
        <v>0</v>
      </c>
      <c r="J58" s="1610"/>
      <c r="K58" s="1609"/>
      <c r="L58" s="1610"/>
      <c r="M58" s="1609"/>
      <c r="N58" s="1610"/>
      <c r="O58" s="1609"/>
      <c r="P58" s="1610"/>
      <c r="Q58" s="1609"/>
      <c r="R58" s="1610"/>
      <c r="S58" s="1609"/>
      <c r="T58" s="1610"/>
      <c r="U58" s="1609"/>
      <c r="V58" s="1610"/>
      <c r="W58" s="1613"/>
      <c r="X58" s="1637"/>
      <c r="Y58" s="1642"/>
      <c r="Z58" s="1687"/>
      <c r="AA58" s="1687"/>
      <c r="AB58" s="1686"/>
      <c r="AC58" s="1677"/>
      <c r="AD58" s="1677"/>
      <c r="AE58" s="1677"/>
      <c r="AF58" s="1677"/>
      <c r="AG58" s="1677"/>
      <c r="AH58" s="1677"/>
      <c r="AI58" s="1686"/>
      <c r="AJ58" s="1688"/>
      <c r="AK58" s="1688"/>
      <c r="AL58" s="1688"/>
      <c r="AM58" s="1688"/>
      <c r="AN58" s="1688"/>
      <c r="AO58" s="1688"/>
      <c r="AP58" s="1686"/>
      <c r="AQ58" s="1686"/>
      <c r="AR58" s="1686"/>
      <c r="AS58" s="1686"/>
      <c r="AT58" s="1686"/>
      <c r="AU58" s="1686"/>
      <c r="AV58" s="1686"/>
      <c r="AW58" s="1686"/>
      <c r="AX58" s="1686"/>
      <c r="AY58" s="1686"/>
      <c r="AZ58" s="1686"/>
      <c r="BA58" s="1686"/>
      <c r="BB58" s="1686"/>
      <c r="BC58" s="1686"/>
      <c r="BD58" s="1686"/>
      <c r="BE58" s="1686"/>
      <c r="BF58" s="1686"/>
      <c r="BG58" s="1686"/>
      <c r="BH58" s="1686"/>
      <c r="BI58" s="1686"/>
      <c r="BJ58" s="1686"/>
      <c r="BK58" s="1686"/>
      <c r="BL58" s="1686"/>
      <c r="BM58" s="1686"/>
      <c r="BN58" s="1686"/>
      <c r="BO58" s="1686"/>
      <c r="BP58" s="1686"/>
      <c r="BQ58" s="1686"/>
      <c r="BR58" s="1686"/>
      <c r="BS58" s="1686"/>
      <c r="BT58" s="1686"/>
      <c r="BU58" s="1686"/>
      <c r="BV58" s="1686"/>
      <c r="BW58" s="1686"/>
      <c r="BX58" s="1686"/>
      <c r="BY58" s="1686"/>
      <c r="BZ58" s="1686"/>
      <c r="CA58" s="1686"/>
      <c r="CB58" s="1686"/>
      <c r="CC58" s="1686"/>
      <c r="CD58" s="1686"/>
      <c r="CE58" s="1686"/>
      <c r="CF58" s="1686"/>
      <c r="CG58" s="1686"/>
      <c r="CH58" s="1686"/>
      <c r="CI58" s="1686"/>
      <c r="CJ58" s="1686"/>
      <c r="CK58" s="1686"/>
      <c r="CL58" s="1686"/>
      <c r="CM58" s="1686"/>
      <c r="CN58" s="1686"/>
      <c r="CO58" s="1686"/>
      <c r="CP58" s="1686"/>
      <c r="CQ58" s="1686"/>
      <c r="CR58" s="1686"/>
      <c r="CS58" s="1686"/>
      <c r="CT58" s="1686"/>
      <c r="CU58" s="1686"/>
      <c r="CV58" s="1686"/>
      <c r="CW58" s="1686"/>
      <c r="CX58" s="1686"/>
      <c r="CY58" s="1686"/>
      <c r="CZ58" s="1686"/>
      <c r="DA58" s="1686"/>
      <c r="DB58" s="1686"/>
      <c r="DC58" s="1686"/>
      <c r="DD58" s="1686"/>
      <c r="DE58" s="1686"/>
      <c r="DF58" s="1686"/>
      <c r="DG58" s="1686"/>
      <c r="DH58" s="1686"/>
      <c r="DI58" s="1686"/>
      <c r="DJ58" s="1686"/>
      <c r="DK58" s="1686"/>
      <c r="DL58" s="1686"/>
      <c r="DM58" s="1686"/>
      <c r="DN58" s="1686"/>
      <c r="DO58" s="1686"/>
      <c r="DP58" s="1686"/>
      <c r="DQ58" s="1686"/>
      <c r="DR58" s="1686"/>
      <c r="DS58" s="1686"/>
      <c r="DT58" s="1686"/>
      <c r="DU58" s="1686"/>
      <c r="DV58" s="1686"/>
      <c r="DW58" s="1686"/>
      <c r="DX58" s="1686"/>
      <c r="DY58" s="1686"/>
      <c r="DZ58" s="1686"/>
      <c r="EA58" s="1686"/>
      <c r="EB58" s="1686"/>
      <c r="EC58" s="1686"/>
      <c r="ED58" s="1686"/>
      <c r="EE58" s="1686"/>
      <c r="EF58" s="1686"/>
      <c r="EG58" s="1686"/>
      <c r="EH58" s="1686"/>
      <c r="EI58" s="1686"/>
      <c r="EJ58" s="1686"/>
      <c r="EK58" s="1686"/>
      <c r="EL58" s="1686"/>
      <c r="EM58" s="1686"/>
      <c r="EN58" s="1686"/>
      <c r="EO58" s="1686"/>
      <c r="EP58" s="1686"/>
      <c r="EQ58" s="1686"/>
      <c r="ER58" s="1686"/>
      <c r="ES58" s="1686"/>
      <c r="ET58" s="1686"/>
      <c r="EU58" s="1686"/>
      <c r="EV58" s="1686"/>
      <c r="EW58" s="1686"/>
      <c r="EX58" s="1686"/>
      <c r="EY58" s="1686"/>
      <c r="EZ58" s="1686"/>
      <c r="FA58" s="1686"/>
      <c r="FB58" s="1686"/>
      <c r="FC58" s="1686"/>
      <c r="FD58" s="1686"/>
      <c r="FE58" s="1686"/>
      <c r="FF58" s="1686"/>
      <c r="FG58" s="1686"/>
      <c r="FH58" s="1686"/>
      <c r="FI58" s="1686"/>
      <c r="FJ58" s="1686"/>
      <c r="FK58" s="1686"/>
      <c r="FL58" s="1686"/>
      <c r="FM58" s="1686"/>
      <c r="FN58" s="1686"/>
      <c r="FO58" s="1686"/>
      <c r="FP58" s="1686"/>
      <c r="FQ58" s="1686"/>
      <c r="FR58" s="1686"/>
      <c r="FS58" s="1686"/>
      <c r="FT58" s="1686"/>
      <c r="FU58" s="1686"/>
      <c r="FV58" s="1686"/>
      <c r="FW58" s="1686"/>
      <c r="FX58" s="1686"/>
      <c r="FY58" s="1686"/>
      <c r="FZ58" s="1686"/>
      <c r="GA58" s="1686"/>
      <c r="GB58" s="1686"/>
      <c r="GC58" s="1686"/>
      <c r="GD58" s="1686"/>
      <c r="GE58" s="1686"/>
      <c r="GF58" s="1686"/>
      <c r="GG58" s="1686"/>
      <c r="GH58" s="1686"/>
      <c r="GI58" s="1686"/>
      <c r="GJ58" s="1686"/>
      <c r="GK58" s="1686"/>
      <c r="GL58" s="1686"/>
      <c r="GM58" s="1686"/>
      <c r="GN58" s="1686"/>
      <c r="GO58" s="1686"/>
      <c r="GP58" s="1686"/>
      <c r="GQ58" s="1686"/>
      <c r="GR58" s="1686"/>
      <c r="GS58" s="1686"/>
      <c r="GT58" s="1686"/>
      <c r="GU58" s="1686"/>
      <c r="GV58" s="1686"/>
      <c r="GW58" s="1686"/>
      <c r="GX58" s="1686"/>
      <c r="GY58" s="1686"/>
      <c r="GZ58" s="1686"/>
      <c r="HA58" s="1686"/>
      <c r="HB58" s="1686"/>
      <c r="HC58" s="1686"/>
      <c r="HD58" s="1686"/>
      <c r="HE58" s="1686"/>
      <c r="HF58" s="1686"/>
      <c r="HG58" s="1686"/>
      <c r="HH58" s="1686"/>
      <c r="HI58" s="1686"/>
      <c r="HJ58" s="1686"/>
      <c r="HK58" s="1686"/>
      <c r="HL58" s="1686"/>
      <c r="HM58" s="1686"/>
      <c r="HN58" s="1686"/>
      <c r="HO58" s="1686"/>
      <c r="HP58" s="1686"/>
      <c r="HQ58" s="1686"/>
      <c r="HR58" s="1686"/>
      <c r="HS58" s="1686"/>
      <c r="HT58" s="1686"/>
      <c r="HU58" s="1686"/>
      <c r="HV58" s="1686"/>
      <c r="HW58" s="1686"/>
      <c r="HX58" s="1686"/>
      <c r="HY58" s="1686"/>
      <c r="HZ58" s="1686"/>
      <c r="IA58" s="1686"/>
      <c r="IB58" s="1686"/>
      <c r="IC58" s="1686"/>
      <c r="ID58" s="1686"/>
      <c r="IE58" s="1686"/>
      <c r="IF58" s="1686"/>
      <c r="IG58" s="1686"/>
      <c r="IH58" s="1686"/>
      <c r="II58" s="1686"/>
      <c r="IJ58" s="1686"/>
      <c r="IK58" s="1686"/>
      <c r="IL58" s="1686"/>
      <c r="IM58" s="1686"/>
      <c r="IN58" s="1686"/>
      <c r="IO58" s="1686"/>
      <c r="IP58" s="1686"/>
      <c r="IQ58" s="1686"/>
      <c r="IR58" s="1686"/>
      <c r="IS58" s="1686"/>
      <c r="IT58" s="1686"/>
      <c r="IU58" s="1686"/>
      <c r="IV58" s="1686"/>
    </row>
    <row r="59" spans="1:256" ht="24" hidden="1" customHeight="1" outlineLevel="1" x14ac:dyDescent="0.2">
      <c r="A59" s="4506"/>
      <c r="B59" s="1741" t="s">
        <v>1739</v>
      </c>
      <c r="C59" s="1628" t="s">
        <v>1701</v>
      </c>
      <c r="D59" s="1610">
        <f t="shared" ref="D59:I59" si="44">IF(D58=0,,D60/1000/D58)</f>
        <v>0</v>
      </c>
      <c r="E59" s="1609">
        <f t="shared" si="44"/>
        <v>0</v>
      </c>
      <c r="F59" s="1610"/>
      <c r="G59" s="1609"/>
      <c r="H59" s="1611">
        <f t="shared" si="44"/>
        <v>0</v>
      </c>
      <c r="I59" s="1609">
        <f t="shared" si="44"/>
        <v>0</v>
      </c>
      <c r="J59" s="1610"/>
      <c r="K59" s="1609"/>
      <c r="L59" s="1610"/>
      <c r="M59" s="1609"/>
      <c r="N59" s="1610"/>
      <c r="O59" s="1609"/>
      <c r="P59" s="1610"/>
      <c r="Q59" s="1609"/>
      <c r="R59" s="1610"/>
      <c r="S59" s="1609"/>
      <c r="T59" s="1610"/>
      <c r="U59" s="1609"/>
      <c r="V59" s="1610"/>
      <c r="W59" s="1613"/>
      <c r="X59" s="1637"/>
      <c r="Y59" s="1642"/>
      <c r="Z59" s="1687"/>
      <c r="AA59" s="1687"/>
      <c r="AB59" s="1686"/>
      <c r="AC59" s="1677"/>
      <c r="AD59" s="1677"/>
      <c r="AE59" s="1677"/>
      <c r="AF59" s="1677"/>
      <c r="AG59" s="1677"/>
      <c r="AH59" s="1677"/>
      <c r="AI59" s="1686"/>
      <c r="AJ59" s="1688"/>
      <c r="AK59" s="1688"/>
      <c r="AL59" s="1688"/>
      <c r="AM59" s="1688"/>
      <c r="AN59" s="1688"/>
      <c r="AO59" s="1688"/>
      <c r="AP59" s="1686"/>
      <c r="AQ59" s="1686"/>
      <c r="AR59" s="1686"/>
      <c r="AS59" s="1686"/>
      <c r="AT59" s="1686"/>
      <c r="AU59" s="1686"/>
      <c r="AV59" s="1686"/>
      <c r="AW59" s="1686"/>
      <c r="AX59" s="1686"/>
      <c r="AY59" s="1686"/>
      <c r="AZ59" s="1686"/>
      <c r="BA59" s="1686"/>
      <c r="BB59" s="1686"/>
      <c r="BC59" s="1686"/>
      <c r="BD59" s="1686"/>
      <c r="BE59" s="1686"/>
      <c r="BF59" s="1686"/>
      <c r="BG59" s="1686"/>
      <c r="BH59" s="1686"/>
      <c r="BI59" s="1686"/>
      <c r="BJ59" s="1686"/>
      <c r="BK59" s="1686"/>
      <c r="BL59" s="1686"/>
      <c r="BM59" s="1686"/>
      <c r="BN59" s="1686"/>
      <c r="BO59" s="1686"/>
      <c r="BP59" s="1686"/>
      <c r="BQ59" s="1686"/>
      <c r="BR59" s="1686"/>
      <c r="BS59" s="1686"/>
      <c r="BT59" s="1686"/>
      <c r="BU59" s="1686"/>
      <c r="BV59" s="1686"/>
      <c r="BW59" s="1686"/>
      <c r="BX59" s="1686"/>
      <c r="BY59" s="1686"/>
      <c r="BZ59" s="1686"/>
      <c r="CA59" s="1686"/>
      <c r="CB59" s="1686"/>
      <c r="CC59" s="1686"/>
      <c r="CD59" s="1686"/>
      <c r="CE59" s="1686"/>
      <c r="CF59" s="1686"/>
      <c r="CG59" s="1686"/>
      <c r="CH59" s="1686"/>
      <c r="CI59" s="1686"/>
      <c r="CJ59" s="1686"/>
      <c r="CK59" s="1686"/>
      <c r="CL59" s="1686"/>
      <c r="CM59" s="1686"/>
      <c r="CN59" s="1686"/>
      <c r="CO59" s="1686"/>
      <c r="CP59" s="1686"/>
      <c r="CQ59" s="1686"/>
      <c r="CR59" s="1686"/>
      <c r="CS59" s="1686"/>
      <c r="CT59" s="1686"/>
      <c r="CU59" s="1686"/>
      <c r="CV59" s="1686"/>
      <c r="CW59" s="1686"/>
      <c r="CX59" s="1686"/>
      <c r="CY59" s="1686"/>
      <c r="CZ59" s="1686"/>
      <c r="DA59" s="1686"/>
      <c r="DB59" s="1686"/>
      <c r="DC59" s="1686"/>
      <c r="DD59" s="1686"/>
      <c r="DE59" s="1686"/>
      <c r="DF59" s="1686"/>
      <c r="DG59" s="1686"/>
      <c r="DH59" s="1686"/>
      <c r="DI59" s="1686"/>
      <c r="DJ59" s="1686"/>
      <c r="DK59" s="1686"/>
      <c r="DL59" s="1686"/>
      <c r="DM59" s="1686"/>
      <c r="DN59" s="1686"/>
      <c r="DO59" s="1686"/>
      <c r="DP59" s="1686"/>
      <c r="DQ59" s="1686"/>
      <c r="DR59" s="1686"/>
      <c r="DS59" s="1686"/>
      <c r="DT59" s="1686"/>
      <c r="DU59" s="1686"/>
      <c r="DV59" s="1686"/>
      <c r="DW59" s="1686"/>
      <c r="DX59" s="1686"/>
      <c r="DY59" s="1686"/>
      <c r="DZ59" s="1686"/>
      <c r="EA59" s="1686"/>
      <c r="EB59" s="1686"/>
      <c r="EC59" s="1686"/>
      <c r="ED59" s="1686"/>
      <c r="EE59" s="1686"/>
      <c r="EF59" s="1686"/>
      <c r="EG59" s="1686"/>
      <c r="EH59" s="1686"/>
      <c r="EI59" s="1686"/>
      <c r="EJ59" s="1686"/>
      <c r="EK59" s="1686"/>
      <c r="EL59" s="1686"/>
      <c r="EM59" s="1686"/>
      <c r="EN59" s="1686"/>
      <c r="EO59" s="1686"/>
      <c r="EP59" s="1686"/>
      <c r="EQ59" s="1686"/>
      <c r="ER59" s="1686"/>
      <c r="ES59" s="1686"/>
      <c r="ET59" s="1686"/>
      <c r="EU59" s="1686"/>
      <c r="EV59" s="1686"/>
      <c r="EW59" s="1686"/>
      <c r="EX59" s="1686"/>
      <c r="EY59" s="1686"/>
      <c r="EZ59" s="1686"/>
      <c r="FA59" s="1686"/>
      <c r="FB59" s="1686"/>
      <c r="FC59" s="1686"/>
      <c r="FD59" s="1686"/>
      <c r="FE59" s="1686"/>
      <c r="FF59" s="1686"/>
      <c r="FG59" s="1686"/>
      <c r="FH59" s="1686"/>
      <c r="FI59" s="1686"/>
      <c r="FJ59" s="1686"/>
      <c r="FK59" s="1686"/>
      <c r="FL59" s="1686"/>
      <c r="FM59" s="1686"/>
      <c r="FN59" s="1686"/>
      <c r="FO59" s="1686"/>
      <c r="FP59" s="1686"/>
      <c r="FQ59" s="1686"/>
      <c r="FR59" s="1686"/>
      <c r="FS59" s="1686"/>
      <c r="FT59" s="1686"/>
      <c r="FU59" s="1686"/>
      <c r="FV59" s="1686"/>
      <c r="FW59" s="1686"/>
      <c r="FX59" s="1686"/>
      <c r="FY59" s="1686"/>
      <c r="FZ59" s="1686"/>
      <c r="GA59" s="1686"/>
      <c r="GB59" s="1686"/>
      <c r="GC59" s="1686"/>
      <c r="GD59" s="1686"/>
      <c r="GE59" s="1686"/>
      <c r="GF59" s="1686"/>
      <c r="GG59" s="1686"/>
      <c r="GH59" s="1686"/>
      <c r="GI59" s="1686"/>
      <c r="GJ59" s="1686"/>
      <c r="GK59" s="1686"/>
      <c r="GL59" s="1686"/>
      <c r="GM59" s="1686"/>
      <c r="GN59" s="1686"/>
      <c r="GO59" s="1686"/>
      <c r="GP59" s="1686"/>
      <c r="GQ59" s="1686"/>
      <c r="GR59" s="1686"/>
      <c r="GS59" s="1686"/>
      <c r="GT59" s="1686"/>
      <c r="GU59" s="1686"/>
      <c r="GV59" s="1686"/>
      <c r="GW59" s="1686"/>
      <c r="GX59" s="1686"/>
      <c r="GY59" s="1686"/>
      <c r="GZ59" s="1686"/>
      <c r="HA59" s="1686"/>
      <c r="HB59" s="1686"/>
      <c r="HC59" s="1686"/>
      <c r="HD59" s="1686"/>
      <c r="HE59" s="1686"/>
      <c r="HF59" s="1686"/>
      <c r="HG59" s="1686"/>
      <c r="HH59" s="1686"/>
      <c r="HI59" s="1686"/>
      <c r="HJ59" s="1686"/>
      <c r="HK59" s="1686"/>
      <c r="HL59" s="1686"/>
      <c r="HM59" s="1686"/>
      <c r="HN59" s="1686"/>
      <c r="HO59" s="1686"/>
      <c r="HP59" s="1686"/>
      <c r="HQ59" s="1686"/>
      <c r="HR59" s="1686"/>
      <c r="HS59" s="1686"/>
      <c r="HT59" s="1686"/>
      <c r="HU59" s="1686"/>
      <c r="HV59" s="1686"/>
      <c r="HW59" s="1686"/>
      <c r="HX59" s="1686"/>
      <c r="HY59" s="1686"/>
      <c r="HZ59" s="1686"/>
      <c r="IA59" s="1686"/>
      <c r="IB59" s="1686"/>
      <c r="IC59" s="1686"/>
      <c r="ID59" s="1686"/>
      <c r="IE59" s="1686"/>
      <c r="IF59" s="1686"/>
      <c r="IG59" s="1686"/>
      <c r="IH59" s="1686"/>
      <c r="II59" s="1686"/>
      <c r="IJ59" s="1686"/>
      <c r="IK59" s="1686"/>
      <c r="IL59" s="1686"/>
      <c r="IM59" s="1686"/>
      <c r="IN59" s="1686"/>
      <c r="IO59" s="1686"/>
      <c r="IP59" s="1686"/>
      <c r="IQ59" s="1686"/>
      <c r="IR59" s="1686"/>
      <c r="IS59" s="1686"/>
      <c r="IT59" s="1686"/>
      <c r="IU59" s="1686"/>
      <c r="IV59" s="1686"/>
    </row>
    <row r="60" spans="1:256" ht="24" hidden="1" customHeight="1" outlineLevel="1" x14ac:dyDescent="0.2">
      <c r="A60" s="4507"/>
      <c r="B60" s="1744" t="s">
        <v>1740</v>
      </c>
      <c r="C60" s="1629" t="s">
        <v>1704</v>
      </c>
      <c r="D60" s="1610"/>
      <c r="E60" s="1609"/>
      <c r="F60" s="1610"/>
      <c r="G60" s="1609"/>
      <c r="H60" s="1611">
        <f>J60+L60+N60+P60+R60+T60+V60</f>
        <v>0</v>
      </c>
      <c r="I60" s="1609">
        <f>K60+M60+O60+Q60+S60+U60+W60</f>
        <v>0</v>
      </c>
      <c r="J60" s="1610">
        <f>J58*J59/1000</f>
        <v>0</v>
      </c>
      <c r="K60" s="1609">
        <f t="shared" ref="K60:W60" si="45">K58*K59/1000</f>
        <v>0</v>
      </c>
      <c r="L60" s="1610">
        <f t="shared" si="45"/>
        <v>0</v>
      </c>
      <c r="M60" s="1609">
        <f t="shared" si="45"/>
        <v>0</v>
      </c>
      <c r="N60" s="1610">
        <f t="shared" si="45"/>
        <v>0</v>
      </c>
      <c r="O60" s="1609">
        <f t="shared" si="45"/>
        <v>0</v>
      </c>
      <c r="P60" s="1610">
        <f t="shared" si="45"/>
        <v>0</v>
      </c>
      <c r="Q60" s="1609">
        <f t="shared" si="45"/>
        <v>0</v>
      </c>
      <c r="R60" s="1610">
        <f t="shared" si="45"/>
        <v>0</v>
      </c>
      <c r="S60" s="1609">
        <f t="shared" si="45"/>
        <v>0</v>
      </c>
      <c r="T60" s="1610">
        <f t="shared" si="45"/>
        <v>0</v>
      </c>
      <c r="U60" s="1609">
        <f t="shared" si="45"/>
        <v>0</v>
      </c>
      <c r="V60" s="1610">
        <f t="shared" si="45"/>
        <v>0</v>
      </c>
      <c r="W60" s="1609">
        <f t="shared" si="45"/>
        <v>0</v>
      </c>
      <c r="X60" s="1637">
        <f t="shared" ref="X60:Y60" si="46">X58*X59/1000</f>
        <v>0</v>
      </c>
      <c r="Y60" s="1636">
        <f t="shared" si="46"/>
        <v>0</v>
      </c>
      <c r="Z60" s="1687"/>
      <c r="AA60" s="1687"/>
      <c r="AB60" s="1686"/>
      <c r="AC60" s="1677"/>
      <c r="AD60" s="1677"/>
      <c r="AE60" s="1677"/>
      <c r="AF60" s="1677"/>
      <c r="AG60" s="1677"/>
      <c r="AH60" s="1677"/>
      <c r="AI60" s="1686"/>
      <c r="AJ60" s="1688"/>
      <c r="AK60" s="1688"/>
      <c r="AL60" s="1688"/>
      <c r="AM60" s="1688"/>
      <c r="AN60" s="1688"/>
      <c r="AO60" s="1688"/>
      <c r="AP60" s="1686"/>
      <c r="AQ60" s="1686"/>
      <c r="AR60" s="1686"/>
      <c r="AS60" s="1686"/>
      <c r="AT60" s="1686"/>
      <c r="AU60" s="1686"/>
      <c r="AV60" s="1686"/>
      <c r="AW60" s="1686"/>
      <c r="AX60" s="1686"/>
      <c r="AY60" s="1686"/>
      <c r="AZ60" s="1686"/>
      <c r="BA60" s="1686"/>
      <c r="BB60" s="1686"/>
      <c r="BC60" s="1686"/>
      <c r="BD60" s="1686"/>
      <c r="BE60" s="1686"/>
      <c r="BF60" s="1686"/>
      <c r="BG60" s="1686"/>
      <c r="BH60" s="1686"/>
      <c r="BI60" s="1686"/>
      <c r="BJ60" s="1686"/>
      <c r="BK60" s="1686"/>
      <c r="BL60" s="1686"/>
      <c r="BM60" s="1686"/>
      <c r="BN60" s="1686"/>
      <c r="BO60" s="1686"/>
      <c r="BP60" s="1686"/>
      <c r="BQ60" s="1686"/>
      <c r="BR60" s="1686"/>
      <c r="BS60" s="1686"/>
      <c r="BT60" s="1686"/>
      <c r="BU60" s="1686"/>
      <c r="BV60" s="1686"/>
      <c r="BW60" s="1686"/>
      <c r="BX60" s="1686"/>
      <c r="BY60" s="1686"/>
      <c r="BZ60" s="1686"/>
      <c r="CA60" s="1686"/>
      <c r="CB60" s="1686"/>
      <c r="CC60" s="1686"/>
      <c r="CD60" s="1686"/>
      <c r="CE60" s="1686"/>
      <c r="CF60" s="1686"/>
      <c r="CG60" s="1686"/>
      <c r="CH60" s="1686"/>
      <c r="CI60" s="1686"/>
      <c r="CJ60" s="1686"/>
      <c r="CK60" s="1686"/>
      <c r="CL60" s="1686"/>
      <c r="CM60" s="1686"/>
      <c r="CN60" s="1686"/>
      <c r="CO60" s="1686"/>
      <c r="CP60" s="1686"/>
      <c r="CQ60" s="1686"/>
      <c r="CR60" s="1686"/>
      <c r="CS60" s="1686"/>
      <c r="CT60" s="1686"/>
      <c r="CU60" s="1686"/>
      <c r="CV60" s="1686"/>
      <c r="CW60" s="1686"/>
      <c r="CX60" s="1686"/>
      <c r="CY60" s="1686"/>
      <c r="CZ60" s="1686"/>
      <c r="DA60" s="1686"/>
      <c r="DB60" s="1686"/>
      <c r="DC60" s="1686"/>
      <c r="DD60" s="1686"/>
      <c r="DE60" s="1686"/>
      <c r="DF60" s="1686"/>
      <c r="DG60" s="1686"/>
      <c r="DH60" s="1686"/>
      <c r="DI60" s="1686"/>
      <c r="DJ60" s="1686"/>
      <c r="DK60" s="1686"/>
      <c r="DL60" s="1686"/>
      <c r="DM60" s="1686"/>
      <c r="DN60" s="1686"/>
      <c r="DO60" s="1686"/>
      <c r="DP60" s="1686"/>
      <c r="DQ60" s="1686"/>
      <c r="DR60" s="1686"/>
      <c r="DS60" s="1686"/>
      <c r="DT60" s="1686"/>
      <c r="DU60" s="1686"/>
      <c r="DV60" s="1686"/>
      <c r="DW60" s="1686"/>
      <c r="DX60" s="1686"/>
      <c r="DY60" s="1686"/>
      <c r="DZ60" s="1686"/>
      <c r="EA60" s="1686"/>
      <c r="EB60" s="1686"/>
      <c r="EC60" s="1686"/>
      <c r="ED60" s="1686"/>
      <c r="EE60" s="1686"/>
      <c r="EF60" s="1686"/>
      <c r="EG60" s="1686"/>
      <c r="EH60" s="1686"/>
      <c r="EI60" s="1686"/>
      <c r="EJ60" s="1686"/>
      <c r="EK60" s="1686"/>
      <c r="EL60" s="1686"/>
      <c r="EM60" s="1686"/>
      <c r="EN60" s="1686"/>
      <c r="EO60" s="1686"/>
      <c r="EP60" s="1686"/>
      <c r="EQ60" s="1686"/>
      <c r="ER60" s="1686"/>
      <c r="ES60" s="1686"/>
      <c r="ET60" s="1686"/>
      <c r="EU60" s="1686"/>
      <c r="EV60" s="1686"/>
      <c r="EW60" s="1686"/>
      <c r="EX60" s="1686"/>
      <c r="EY60" s="1686"/>
      <c r="EZ60" s="1686"/>
      <c r="FA60" s="1686"/>
      <c r="FB60" s="1686"/>
      <c r="FC60" s="1686"/>
      <c r="FD60" s="1686"/>
      <c r="FE60" s="1686"/>
      <c r="FF60" s="1686"/>
      <c r="FG60" s="1686"/>
      <c r="FH60" s="1686"/>
      <c r="FI60" s="1686"/>
      <c r="FJ60" s="1686"/>
      <c r="FK60" s="1686"/>
      <c r="FL60" s="1686"/>
      <c r="FM60" s="1686"/>
      <c r="FN60" s="1686"/>
      <c r="FO60" s="1686"/>
      <c r="FP60" s="1686"/>
      <c r="FQ60" s="1686"/>
      <c r="FR60" s="1686"/>
      <c r="FS60" s="1686"/>
      <c r="FT60" s="1686"/>
      <c r="FU60" s="1686"/>
      <c r="FV60" s="1686"/>
      <c r="FW60" s="1686"/>
      <c r="FX60" s="1686"/>
      <c r="FY60" s="1686"/>
      <c r="FZ60" s="1686"/>
      <c r="GA60" s="1686"/>
      <c r="GB60" s="1686"/>
      <c r="GC60" s="1686"/>
      <c r="GD60" s="1686"/>
      <c r="GE60" s="1686"/>
      <c r="GF60" s="1686"/>
      <c r="GG60" s="1686"/>
      <c r="GH60" s="1686"/>
      <c r="GI60" s="1686"/>
      <c r="GJ60" s="1686"/>
      <c r="GK60" s="1686"/>
      <c r="GL60" s="1686"/>
      <c r="GM60" s="1686"/>
      <c r="GN60" s="1686"/>
      <c r="GO60" s="1686"/>
      <c r="GP60" s="1686"/>
      <c r="GQ60" s="1686"/>
      <c r="GR60" s="1686"/>
      <c r="GS60" s="1686"/>
      <c r="GT60" s="1686"/>
      <c r="GU60" s="1686"/>
      <c r="GV60" s="1686"/>
      <c r="GW60" s="1686"/>
      <c r="GX60" s="1686"/>
      <c r="GY60" s="1686"/>
      <c r="GZ60" s="1686"/>
      <c r="HA60" s="1686"/>
      <c r="HB60" s="1686"/>
      <c r="HC60" s="1686"/>
      <c r="HD60" s="1686"/>
      <c r="HE60" s="1686"/>
      <c r="HF60" s="1686"/>
      <c r="HG60" s="1686"/>
      <c r="HH60" s="1686"/>
      <c r="HI60" s="1686"/>
      <c r="HJ60" s="1686"/>
      <c r="HK60" s="1686"/>
      <c r="HL60" s="1686"/>
      <c r="HM60" s="1686"/>
      <c r="HN60" s="1686"/>
      <c r="HO60" s="1686"/>
      <c r="HP60" s="1686"/>
      <c r="HQ60" s="1686"/>
      <c r="HR60" s="1686"/>
      <c r="HS60" s="1686"/>
      <c r="HT60" s="1686"/>
      <c r="HU60" s="1686"/>
      <c r="HV60" s="1686"/>
      <c r="HW60" s="1686"/>
      <c r="HX60" s="1686"/>
      <c r="HY60" s="1686"/>
      <c r="HZ60" s="1686"/>
      <c r="IA60" s="1686"/>
      <c r="IB60" s="1686"/>
      <c r="IC60" s="1686"/>
      <c r="ID60" s="1686"/>
      <c r="IE60" s="1686"/>
      <c r="IF60" s="1686"/>
      <c r="IG60" s="1686"/>
      <c r="IH60" s="1686"/>
      <c r="II60" s="1686"/>
      <c r="IJ60" s="1686"/>
      <c r="IK60" s="1686"/>
      <c r="IL60" s="1686"/>
      <c r="IM60" s="1686"/>
      <c r="IN60" s="1686"/>
      <c r="IO60" s="1686"/>
      <c r="IP60" s="1686"/>
      <c r="IQ60" s="1686"/>
      <c r="IR60" s="1686"/>
      <c r="IS60" s="1686"/>
      <c r="IT60" s="1686"/>
      <c r="IU60" s="1686"/>
      <c r="IV60" s="1686"/>
    </row>
    <row r="61" spans="1:256" ht="13.15" hidden="1" customHeight="1" outlineLevel="1" x14ac:dyDescent="0.2">
      <c r="A61" s="4505" t="s">
        <v>1741</v>
      </c>
      <c r="B61" s="1741" t="s">
        <v>1742</v>
      </c>
      <c r="C61" s="1628" t="s">
        <v>1669</v>
      </c>
      <c r="D61" s="1610"/>
      <c r="E61" s="1609"/>
      <c r="F61" s="1610"/>
      <c r="G61" s="1609"/>
      <c r="H61" s="1611">
        <f>J61+L61+N61+P61+R61+T61+V61</f>
        <v>0</v>
      </c>
      <c r="I61" s="1609">
        <f>K61+M61+O61+Q61+S61+U61+W61</f>
        <v>0</v>
      </c>
      <c r="J61" s="1610"/>
      <c r="K61" s="1609"/>
      <c r="L61" s="1610"/>
      <c r="M61" s="1609"/>
      <c r="N61" s="1610"/>
      <c r="O61" s="1609"/>
      <c r="P61" s="1610"/>
      <c r="Q61" s="1609"/>
      <c r="R61" s="1610"/>
      <c r="S61" s="1609"/>
      <c r="T61" s="1610"/>
      <c r="U61" s="1609"/>
      <c r="V61" s="1610"/>
      <c r="W61" s="1613"/>
      <c r="X61" s="1637"/>
      <c r="Y61" s="1642"/>
      <c r="Z61" s="1687"/>
      <c r="AA61" s="1687"/>
      <c r="AB61" s="1686"/>
      <c r="AC61" s="1677"/>
      <c r="AD61" s="1677"/>
      <c r="AE61" s="1677"/>
      <c r="AF61" s="1677"/>
      <c r="AG61" s="1677"/>
      <c r="AH61" s="1677"/>
      <c r="AI61" s="1686"/>
      <c r="AJ61" s="1688"/>
      <c r="AK61" s="1688"/>
      <c r="AL61" s="1688"/>
      <c r="AM61" s="1688"/>
      <c r="AN61" s="1688"/>
      <c r="AO61" s="1688"/>
      <c r="AP61" s="1686"/>
      <c r="AQ61" s="1686"/>
      <c r="AR61" s="1686"/>
      <c r="AS61" s="1686"/>
      <c r="AT61" s="1686"/>
      <c r="AU61" s="1686"/>
      <c r="AV61" s="1686"/>
      <c r="AW61" s="1686"/>
      <c r="AX61" s="1686"/>
      <c r="AY61" s="1686"/>
      <c r="AZ61" s="1686"/>
      <c r="BA61" s="1686"/>
      <c r="BB61" s="1686"/>
      <c r="BC61" s="1686"/>
      <c r="BD61" s="1686"/>
      <c r="BE61" s="1686"/>
      <c r="BF61" s="1686"/>
      <c r="BG61" s="1686"/>
      <c r="BH61" s="1686"/>
      <c r="BI61" s="1686"/>
      <c r="BJ61" s="1686"/>
      <c r="BK61" s="1686"/>
      <c r="BL61" s="1686"/>
      <c r="BM61" s="1686"/>
      <c r="BN61" s="1686"/>
      <c r="BO61" s="1686"/>
      <c r="BP61" s="1686"/>
      <c r="BQ61" s="1686"/>
      <c r="BR61" s="1686"/>
      <c r="BS61" s="1686"/>
      <c r="BT61" s="1686"/>
      <c r="BU61" s="1686"/>
      <c r="BV61" s="1686"/>
      <c r="BW61" s="1686"/>
      <c r="BX61" s="1686"/>
      <c r="BY61" s="1686"/>
      <c r="BZ61" s="1686"/>
      <c r="CA61" s="1686"/>
      <c r="CB61" s="1686"/>
      <c r="CC61" s="1686"/>
      <c r="CD61" s="1686"/>
      <c r="CE61" s="1686"/>
      <c r="CF61" s="1686"/>
      <c r="CG61" s="1686"/>
      <c r="CH61" s="1686"/>
      <c r="CI61" s="1686"/>
      <c r="CJ61" s="1686"/>
      <c r="CK61" s="1686"/>
      <c r="CL61" s="1686"/>
      <c r="CM61" s="1686"/>
      <c r="CN61" s="1686"/>
      <c r="CO61" s="1686"/>
      <c r="CP61" s="1686"/>
      <c r="CQ61" s="1686"/>
      <c r="CR61" s="1686"/>
      <c r="CS61" s="1686"/>
      <c r="CT61" s="1686"/>
      <c r="CU61" s="1686"/>
      <c r="CV61" s="1686"/>
      <c r="CW61" s="1686"/>
      <c r="CX61" s="1686"/>
      <c r="CY61" s="1686"/>
      <c r="CZ61" s="1686"/>
      <c r="DA61" s="1686"/>
      <c r="DB61" s="1686"/>
      <c r="DC61" s="1686"/>
      <c r="DD61" s="1686"/>
      <c r="DE61" s="1686"/>
      <c r="DF61" s="1686"/>
      <c r="DG61" s="1686"/>
      <c r="DH61" s="1686"/>
      <c r="DI61" s="1686"/>
      <c r="DJ61" s="1686"/>
      <c r="DK61" s="1686"/>
      <c r="DL61" s="1686"/>
      <c r="DM61" s="1686"/>
      <c r="DN61" s="1686"/>
      <c r="DO61" s="1686"/>
      <c r="DP61" s="1686"/>
      <c r="DQ61" s="1686"/>
      <c r="DR61" s="1686"/>
      <c r="DS61" s="1686"/>
      <c r="DT61" s="1686"/>
      <c r="DU61" s="1686"/>
      <c r="DV61" s="1686"/>
      <c r="DW61" s="1686"/>
      <c r="DX61" s="1686"/>
      <c r="DY61" s="1686"/>
      <c r="DZ61" s="1686"/>
      <c r="EA61" s="1686"/>
      <c r="EB61" s="1686"/>
      <c r="EC61" s="1686"/>
      <c r="ED61" s="1686"/>
      <c r="EE61" s="1686"/>
      <c r="EF61" s="1686"/>
      <c r="EG61" s="1686"/>
      <c r="EH61" s="1686"/>
      <c r="EI61" s="1686"/>
      <c r="EJ61" s="1686"/>
      <c r="EK61" s="1686"/>
      <c r="EL61" s="1686"/>
      <c r="EM61" s="1686"/>
      <c r="EN61" s="1686"/>
      <c r="EO61" s="1686"/>
      <c r="EP61" s="1686"/>
      <c r="EQ61" s="1686"/>
      <c r="ER61" s="1686"/>
      <c r="ES61" s="1686"/>
      <c r="ET61" s="1686"/>
      <c r="EU61" s="1686"/>
      <c r="EV61" s="1686"/>
      <c r="EW61" s="1686"/>
      <c r="EX61" s="1686"/>
      <c r="EY61" s="1686"/>
      <c r="EZ61" s="1686"/>
      <c r="FA61" s="1686"/>
      <c r="FB61" s="1686"/>
      <c r="FC61" s="1686"/>
      <c r="FD61" s="1686"/>
      <c r="FE61" s="1686"/>
      <c r="FF61" s="1686"/>
      <c r="FG61" s="1686"/>
      <c r="FH61" s="1686"/>
      <c r="FI61" s="1686"/>
      <c r="FJ61" s="1686"/>
      <c r="FK61" s="1686"/>
      <c r="FL61" s="1686"/>
      <c r="FM61" s="1686"/>
      <c r="FN61" s="1686"/>
      <c r="FO61" s="1686"/>
      <c r="FP61" s="1686"/>
      <c r="FQ61" s="1686"/>
      <c r="FR61" s="1686"/>
      <c r="FS61" s="1686"/>
      <c r="FT61" s="1686"/>
      <c r="FU61" s="1686"/>
      <c r="FV61" s="1686"/>
      <c r="FW61" s="1686"/>
      <c r="FX61" s="1686"/>
      <c r="FY61" s="1686"/>
      <c r="FZ61" s="1686"/>
      <c r="GA61" s="1686"/>
      <c r="GB61" s="1686"/>
      <c r="GC61" s="1686"/>
      <c r="GD61" s="1686"/>
      <c r="GE61" s="1686"/>
      <c r="GF61" s="1686"/>
      <c r="GG61" s="1686"/>
      <c r="GH61" s="1686"/>
      <c r="GI61" s="1686"/>
      <c r="GJ61" s="1686"/>
      <c r="GK61" s="1686"/>
      <c r="GL61" s="1686"/>
      <c r="GM61" s="1686"/>
      <c r="GN61" s="1686"/>
      <c r="GO61" s="1686"/>
      <c r="GP61" s="1686"/>
      <c r="GQ61" s="1686"/>
      <c r="GR61" s="1686"/>
      <c r="GS61" s="1686"/>
      <c r="GT61" s="1686"/>
      <c r="GU61" s="1686"/>
      <c r="GV61" s="1686"/>
      <c r="GW61" s="1686"/>
      <c r="GX61" s="1686"/>
      <c r="GY61" s="1686"/>
      <c r="GZ61" s="1686"/>
      <c r="HA61" s="1686"/>
      <c r="HB61" s="1686"/>
      <c r="HC61" s="1686"/>
      <c r="HD61" s="1686"/>
      <c r="HE61" s="1686"/>
      <c r="HF61" s="1686"/>
      <c r="HG61" s="1686"/>
      <c r="HH61" s="1686"/>
      <c r="HI61" s="1686"/>
      <c r="HJ61" s="1686"/>
      <c r="HK61" s="1686"/>
      <c r="HL61" s="1686"/>
      <c r="HM61" s="1686"/>
      <c r="HN61" s="1686"/>
      <c r="HO61" s="1686"/>
      <c r="HP61" s="1686"/>
      <c r="HQ61" s="1686"/>
      <c r="HR61" s="1686"/>
      <c r="HS61" s="1686"/>
      <c r="HT61" s="1686"/>
      <c r="HU61" s="1686"/>
      <c r="HV61" s="1686"/>
      <c r="HW61" s="1686"/>
      <c r="HX61" s="1686"/>
      <c r="HY61" s="1686"/>
      <c r="HZ61" s="1686"/>
      <c r="IA61" s="1686"/>
      <c r="IB61" s="1686"/>
      <c r="IC61" s="1686"/>
      <c r="ID61" s="1686"/>
      <c r="IE61" s="1686"/>
      <c r="IF61" s="1686"/>
      <c r="IG61" s="1686"/>
      <c r="IH61" s="1686"/>
      <c r="II61" s="1686"/>
      <c r="IJ61" s="1686"/>
      <c r="IK61" s="1686"/>
      <c r="IL61" s="1686"/>
      <c r="IM61" s="1686"/>
      <c r="IN61" s="1686"/>
      <c r="IO61" s="1686"/>
      <c r="IP61" s="1686"/>
      <c r="IQ61" s="1686"/>
      <c r="IR61" s="1686"/>
      <c r="IS61" s="1686"/>
      <c r="IT61" s="1686"/>
      <c r="IU61" s="1686"/>
      <c r="IV61" s="1686"/>
    </row>
    <row r="62" spans="1:256" ht="24" hidden="1" customHeight="1" outlineLevel="1" x14ac:dyDescent="0.2">
      <c r="A62" s="4506"/>
      <c r="B62" s="1741" t="s">
        <v>1743</v>
      </c>
      <c r="C62" s="1628" t="s">
        <v>1701</v>
      </c>
      <c r="D62" s="1610">
        <f t="shared" ref="D62:I62" si="47">IF(D61=0,,D63/1000/D61)</f>
        <v>0</v>
      </c>
      <c r="E62" s="1609">
        <f t="shared" si="47"/>
        <v>0</v>
      </c>
      <c r="F62" s="1610"/>
      <c r="G62" s="1609"/>
      <c r="H62" s="1611">
        <f t="shared" si="47"/>
        <v>0</v>
      </c>
      <c r="I62" s="1609">
        <f t="shared" si="47"/>
        <v>0</v>
      </c>
      <c r="J62" s="1610"/>
      <c r="K62" s="1609"/>
      <c r="L62" s="1610"/>
      <c r="M62" s="1609"/>
      <c r="N62" s="1610"/>
      <c r="O62" s="1609"/>
      <c r="P62" s="1610"/>
      <c r="Q62" s="1609"/>
      <c r="R62" s="1610"/>
      <c r="S62" s="1609"/>
      <c r="T62" s="1610"/>
      <c r="U62" s="1609"/>
      <c r="V62" s="1610"/>
      <c r="W62" s="1613"/>
      <c r="X62" s="1637"/>
      <c r="Y62" s="1642"/>
      <c r="Z62" s="1687"/>
      <c r="AA62" s="1687"/>
      <c r="AB62" s="1686"/>
      <c r="AC62" s="1677"/>
      <c r="AD62" s="1677"/>
      <c r="AE62" s="1677"/>
      <c r="AF62" s="1677"/>
      <c r="AG62" s="1677"/>
      <c r="AH62" s="1677"/>
      <c r="AI62" s="1686"/>
      <c r="AJ62" s="1688"/>
      <c r="AK62" s="1688"/>
      <c r="AL62" s="1688"/>
      <c r="AM62" s="1688"/>
      <c r="AN62" s="1688"/>
      <c r="AO62" s="1688"/>
      <c r="AP62" s="1686"/>
      <c r="AQ62" s="1686"/>
      <c r="AR62" s="1686"/>
      <c r="AS62" s="1686"/>
      <c r="AT62" s="1686"/>
      <c r="AU62" s="1686"/>
      <c r="AV62" s="1686"/>
      <c r="AW62" s="1686"/>
      <c r="AX62" s="1686"/>
      <c r="AY62" s="1686"/>
      <c r="AZ62" s="1686"/>
      <c r="BA62" s="1686"/>
      <c r="BB62" s="1686"/>
      <c r="BC62" s="1686"/>
      <c r="BD62" s="1686"/>
      <c r="BE62" s="1686"/>
      <c r="BF62" s="1686"/>
      <c r="BG62" s="1686"/>
      <c r="BH62" s="1686"/>
      <c r="BI62" s="1686"/>
      <c r="BJ62" s="1686"/>
      <c r="BK62" s="1686"/>
      <c r="BL62" s="1686"/>
      <c r="BM62" s="1686"/>
      <c r="BN62" s="1686"/>
      <c r="BO62" s="1686"/>
      <c r="BP62" s="1686"/>
      <c r="BQ62" s="1686"/>
      <c r="BR62" s="1686"/>
      <c r="BS62" s="1686"/>
      <c r="BT62" s="1686"/>
      <c r="BU62" s="1686"/>
      <c r="BV62" s="1686"/>
      <c r="BW62" s="1686"/>
      <c r="BX62" s="1686"/>
      <c r="BY62" s="1686"/>
      <c r="BZ62" s="1686"/>
      <c r="CA62" s="1686"/>
      <c r="CB62" s="1686"/>
      <c r="CC62" s="1686"/>
      <c r="CD62" s="1686"/>
      <c r="CE62" s="1686"/>
      <c r="CF62" s="1686"/>
      <c r="CG62" s="1686"/>
      <c r="CH62" s="1686"/>
      <c r="CI62" s="1686"/>
      <c r="CJ62" s="1686"/>
      <c r="CK62" s="1686"/>
      <c r="CL62" s="1686"/>
      <c r="CM62" s="1686"/>
      <c r="CN62" s="1686"/>
      <c r="CO62" s="1686"/>
      <c r="CP62" s="1686"/>
      <c r="CQ62" s="1686"/>
      <c r="CR62" s="1686"/>
      <c r="CS62" s="1686"/>
      <c r="CT62" s="1686"/>
      <c r="CU62" s="1686"/>
      <c r="CV62" s="1686"/>
      <c r="CW62" s="1686"/>
      <c r="CX62" s="1686"/>
      <c r="CY62" s="1686"/>
      <c r="CZ62" s="1686"/>
      <c r="DA62" s="1686"/>
      <c r="DB62" s="1686"/>
      <c r="DC62" s="1686"/>
      <c r="DD62" s="1686"/>
      <c r="DE62" s="1686"/>
      <c r="DF62" s="1686"/>
      <c r="DG62" s="1686"/>
      <c r="DH62" s="1686"/>
      <c r="DI62" s="1686"/>
      <c r="DJ62" s="1686"/>
      <c r="DK62" s="1686"/>
      <c r="DL62" s="1686"/>
      <c r="DM62" s="1686"/>
      <c r="DN62" s="1686"/>
      <c r="DO62" s="1686"/>
      <c r="DP62" s="1686"/>
      <c r="DQ62" s="1686"/>
      <c r="DR62" s="1686"/>
      <c r="DS62" s="1686"/>
      <c r="DT62" s="1686"/>
      <c r="DU62" s="1686"/>
      <c r="DV62" s="1686"/>
      <c r="DW62" s="1686"/>
      <c r="DX62" s="1686"/>
      <c r="DY62" s="1686"/>
      <c r="DZ62" s="1686"/>
      <c r="EA62" s="1686"/>
      <c r="EB62" s="1686"/>
      <c r="EC62" s="1686"/>
      <c r="ED62" s="1686"/>
      <c r="EE62" s="1686"/>
      <c r="EF62" s="1686"/>
      <c r="EG62" s="1686"/>
      <c r="EH62" s="1686"/>
      <c r="EI62" s="1686"/>
      <c r="EJ62" s="1686"/>
      <c r="EK62" s="1686"/>
      <c r="EL62" s="1686"/>
      <c r="EM62" s="1686"/>
      <c r="EN62" s="1686"/>
      <c r="EO62" s="1686"/>
      <c r="EP62" s="1686"/>
      <c r="EQ62" s="1686"/>
      <c r="ER62" s="1686"/>
      <c r="ES62" s="1686"/>
      <c r="ET62" s="1686"/>
      <c r="EU62" s="1686"/>
      <c r="EV62" s="1686"/>
      <c r="EW62" s="1686"/>
      <c r="EX62" s="1686"/>
      <c r="EY62" s="1686"/>
      <c r="EZ62" s="1686"/>
      <c r="FA62" s="1686"/>
      <c r="FB62" s="1686"/>
      <c r="FC62" s="1686"/>
      <c r="FD62" s="1686"/>
      <c r="FE62" s="1686"/>
      <c r="FF62" s="1686"/>
      <c r="FG62" s="1686"/>
      <c r="FH62" s="1686"/>
      <c r="FI62" s="1686"/>
      <c r="FJ62" s="1686"/>
      <c r="FK62" s="1686"/>
      <c r="FL62" s="1686"/>
      <c r="FM62" s="1686"/>
      <c r="FN62" s="1686"/>
      <c r="FO62" s="1686"/>
      <c r="FP62" s="1686"/>
      <c r="FQ62" s="1686"/>
      <c r="FR62" s="1686"/>
      <c r="FS62" s="1686"/>
      <c r="FT62" s="1686"/>
      <c r="FU62" s="1686"/>
      <c r="FV62" s="1686"/>
      <c r="FW62" s="1686"/>
      <c r="FX62" s="1686"/>
      <c r="FY62" s="1686"/>
      <c r="FZ62" s="1686"/>
      <c r="GA62" s="1686"/>
      <c r="GB62" s="1686"/>
      <c r="GC62" s="1686"/>
      <c r="GD62" s="1686"/>
      <c r="GE62" s="1686"/>
      <c r="GF62" s="1686"/>
      <c r="GG62" s="1686"/>
      <c r="GH62" s="1686"/>
      <c r="GI62" s="1686"/>
      <c r="GJ62" s="1686"/>
      <c r="GK62" s="1686"/>
      <c r="GL62" s="1686"/>
      <c r="GM62" s="1686"/>
      <c r="GN62" s="1686"/>
      <c r="GO62" s="1686"/>
      <c r="GP62" s="1686"/>
      <c r="GQ62" s="1686"/>
      <c r="GR62" s="1686"/>
      <c r="GS62" s="1686"/>
      <c r="GT62" s="1686"/>
      <c r="GU62" s="1686"/>
      <c r="GV62" s="1686"/>
      <c r="GW62" s="1686"/>
      <c r="GX62" s="1686"/>
      <c r="GY62" s="1686"/>
      <c r="GZ62" s="1686"/>
      <c r="HA62" s="1686"/>
      <c r="HB62" s="1686"/>
      <c r="HC62" s="1686"/>
      <c r="HD62" s="1686"/>
      <c r="HE62" s="1686"/>
      <c r="HF62" s="1686"/>
      <c r="HG62" s="1686"/>
      <c r="HH62" s="1686"/>
      <c r="HI62" s="1686"/>
      <c r="HJ62" s="1686"/>
      <c r="HK62" s="1686"/>
      <c r="HL62" s="1686"/>
      <c r="HM62" s="1686"/>
      <c r="HN62" s="1686"/>
      <c r="HO62" s="1686"/>
      <c r="HP62" s="1686"/>
      <c r="HQ62" s="1686"/>
      <c r="HR62" s="1686"/>
      <c r="HS62" s="1686"/>
      <c r="HT62" s="1686"/>
      <c r="HU62" s="1686"/>
      <c r="HV62" s="1686"/>
      <c r="HW62" s="1686"/>
      <c r="HX62" s="1686"/>
      <c r="HY62" s="1686"/>
      <c r="HZ62" s="1686"/>
      <c r="IA62" s="1686"/>
      <c r="IB62" s="1686"/>
      <c r="IC62" s="1686"/>
      <c r="ID62" s="1686"/>
      <c r="IE62" s="1686"/>
      <c r="IF62" s="1686"/>
      <c r="IG62" s="1686"/>
      <c r="IH62" s="1686"/>
      <c r="II62" s="1686"/>
      <c r="IJ62" s="1686"/>
      <c r="IK62" s="1686"/>
      <c r="IL62" s="1686"/>
      <c r="IM62" s="1686"/>
      <c r="IN62" s="1686"/>
      <c r="IO62" s="1686"/>
      <c r="IP62" s="1686"/>
      <c r="IQ62" s="1686"/>
      <c r="IR62" s="1686"/>
      <c r="IS62" s="1686"/>
      <c r="IT62" s="1686"/>
      <c r="IU62" s="1686"/>
      <c r="IV62" s="1686"/>
    </row>
    <row r="63" spans="1:256" ht="24" hidden="1" customHeight="1" outlineLevel="1" x14ac:dyDescent="0.2">
      <c r="A63" s="4507"/>
      <c r="B63" s="1744" t="s">
        <v>1744</v>
      </c>
      <c r="C63" s="1629" t="s">
        <v>1704</v>
      </c>
      <c r="D63" s="1610"/>
      <c r="E63" s="1609"/>
      <c r="F63" s="1610"/>
      <c r="G63" s="1609"/>
      <c r="H63" s="1611">
        <f>J63+L63+N63+P63+R63+T63+V63</f>
        <v>0</v>
      </c>
      <c r="I63" s="1609">
        <f>K63+M63+O63+Q63+S63+U63+W63</f>
        <v>0</v>
      </c>
      <c r="J63" s="1610">
        <f>J61*J62/1000</f>
        <v>0</v>
      </c>
      <c r="K63" s="1609">
        <f t="shared" ref="K63:W63" si="48">K61*K62/1000</f>
        <v>0</v>
      </c>
      <c r="L63" s="1610">
        <f t="shared" si="48"/>
        <v>0</v>
      </c>
      <c r="M63" s="1609">
        <f t="shared" si="48"/>
        <v>0</v>
      </c>
      <c r="N63" s="1610">
        <f t="shared" si="48"/>
        <v>0</v>
      </c>
      <c r="O63" s="1609">
        <f t="shared" si="48"/>
        <v>0</v>
      </c>
      <c r="P63" s="1610">
        <f t="shared" si="48"/>
        <v>0</v>
      </c>
      <c r="Q63" s="1609">
        <f t="shared" si="48"/>
        <v>0</v>
      </c>
      <c r="R63" s="1610">
        <f t="shared" si="48"/>
        <v>0</v>
      </c>
      <c r="S63" s="1609">
        <f t="shared" si="48"/>
        <v>0</v>
      </c>
      <c r="T63" s="1610">
        <f t="shared" si="48"/>
        <v>0</v>
      </c>
      <c r="U63" s="1609">
        <f t="shared" si="48"/>
        <v>0</v>
      </c>
      <c r="V63" s="1610">
        <f t="shared" si="48"/>
        <v>0</v>
      </c>
      <c r="W63" s="1609">
        <f t="shared" si="48"/>
        <v>0</v>
      </c>
      <c r="X63" s="1637">
        <f t="shared" ref="X63:Y63" si="49">X61*X62/1000</f>
        <v>0</v>
      </c>
      <c r="Y63" s="1636">
        <f t="shared" si="49"/>
        <v>0</v>
      </c>
      <c r="Z63" s="1687"/>
      <c r="AA63" s="1687"/>
      <c r="AB63" s="1686"/>
      <c r="AC63" s="1677"/>
      <c r="AD63" s="1677"/>
      <c r="AE63" s="1677"/>
      <c r="AF63" s="1677"/>
      <c r="AG63" s="1677"/>
      <c r="AH63" s="1677"/>
      <c r="AI63" s="1686"/>
      <c r="AJ63" s="1688"/>
      <c r="AK63" s="1688"/>
      <c r="AL63" s="1688"/>
      <c r="AM63" s="1688"/>
      <c r="AN63" s="1688"/>
      <c r="AO63" s="1688"/>
      <c r="AP63" s="1686"/>
      <c r="AQ63" s="1686"/>
      <c r="AR63" s="1686"/>
      <c r="AS63" s="1686"/>
      <c r="AT63" s="1686"/>
      <c r="AU63" s="1686"/>
      <c r="AV63" s="1686"/>
      <c r="AW63" s="1686"/>
      <c r="AX63" s="1686"/>
      <c r="AY63" s="1686"/>
      <c r="AZ63" s="1686"/>
      <c r="BA63" s="1686"/>
      <c r="BB63" s="1686"/>
      <c r="BC63" s="1686"/>
      <c r="BD63" s="1686"/>
      <c r="BE63" s="1686"/>
      <c r="BF63" s="1686"/>
      <c r="BG63" s="1686"/>
      <c r="BH63" s="1686"/>
      <c r="BI63" s="1686"/>
      <c r="BJ63" s="1686"/>
      <c r="BK63" s="1686"/>
      <c r="BL63" s="1686"/>
      <c r="BM63" s="1686"/>
      <c r="BN63" s="1686"/>
      <c r="BO63" s="1686"/>
      <c r="BP63" s="1686"/>
      <c r="BQ63" s="1686"/>
      <c r="BR63" s="1686"/>
      <c r="BS63" s="1686"/>
      <c r="BT63" s="1686"/>
      <c r="BU63" s="1686"/>
      <c r="BV63" s="1686"/>
      <c r="BW63" s="1686"/>
      <c r="BX63" s="1686"/>
      <c r="BY63" s="1686"/>
      <c r="BZ63" s="1686"/>
      <c r="CA63" s="1686"/>
      <c r="CB63" s="1686"/>
      <c r="CC63" s="1686"/>
      <c r="CD63" s="1686"/>
      <c r="CE63" s="1686"/>
      <c r="CF63" s="1686"/>
      <c r="CG63" s="1686"/>
      <c r="CH63" s="1686"/>
      <c r="CI63" s="1686"/>
      <c r="CJ63" s="1686"/>
      <c r="CK63" s="1686"/>
      <c r="CL63" s="1686"/>
      <c r="CM63" s="1686"/>
      <c r="CN63" s="1686"/>
      <c r="CO63" s="1686"/>
      <c r="CP63" s="1686"/>
      <c r="CQ63" s="1686"/>
      <c r="CR63" s="1686"/>
      <c r="CS63" s="1686"/>
      <c r="CT63" s="1686"/>
      <c r="CU63" s="1686"/>
      <c r="CV63" s="1686"/>
      <c r="CW63" s="1686"/>
      <c r="CX63" s="1686"/>
      <c r="CY63" s="1686"/>
      <c r="CZ63" s="1686"/>
      <c r="DA63" s="1686"/>
      <c r="DB63" s="1686"/>
      <c r="DC63" s="1686"/>
      <c r="DD63" s="1686"/>
      <c r="DE63" s="1686"/>
      <c r="DF63" s="1686"/>
      <c r="DG63" s="1686"/>
      <c r="DH63" s="1686"/>
      <c r="DI63" s="1686"/>
      <c r="DJ63" s="1686"/>
      <c r="DK63" s="1686"/>
      <c r="DL63" s="1686"/>
      <c r="DM63" s="1686"/>
      <c r="DN63" s="1686"/>
      <c r="DO63" s="1686"/>
      <c r="DP63" s="1686"/>
      <c r="DQ63" s="1686"/>
      <c r="DR63" s="1686"/>
      <c r="DS63" s="1686"/>
      <c r="DT63" s="1686"/>
      <c r="DU63" s="1686"/>
      <c r="DV63" s="1686"/>
      <c r="DW63" s="1686"/>
      <c r="DX63" s="1686"/>
      <c r="DY63" s="1686"/>
      <c r="DZ63" s="1686"/>
      <c r="EA63" s="1686"/>
      <c r="EB63" s="1686"/>
      <c r="EC63" s="1686"/>
      <c r="ED63" s="1686"/>
      <c r="EE63" s="1686"/>
      <c r="EF63" s="1686"/>
      <c r="EG63" s="1686"/>
      <c r="EH63" s="1686"/>
      <c r="EI63" s="1686"/>
      <c r="EJ63" s="1686"/>
      <c r="EK63" s="1686"/>
      <c r="EL63" s="1686"/>
      <c r="EM63" s="1686"/>
      <c r="EN63" s="1686"/>
      <c r="EO63" s="1686"/>
      <c r="EP63" s="1686"/>
      <c r="EQ63" s="1686"/>
      <c r="ER63" s="1686"/>
      <c r="ES63" s="1686"/>
      <c r="ET63" s="1686"/>
      <c r="EU63" s="1686"/>
      <c r="EV63" s="1686"/>
      <c r="EW63" s="1686"/>
      <c r="EX63" s="1686"/>
      <c r="EY63" s="1686"/>
      <c r="EZ63" s="1686"/>
      <c r="FA63" s="1686"/>
      <c r="FB63" s="1686"/>
      <c r="FC63" s="1686"/>
      <c r="FD63" s="1686"/>
      <c r="FE63" s="1686"/>
      <c r="FF63" s="1686"/>
      <c r="FG63" s="1686"/>
      <c r="FH63" s="1686"/>
      <c r="FI63" s="1686"/>
      <c r="FJ63" s="1686"/>
      <c r="FK63" s="1686"/>
      <c r="FL63" s="1686"/>
      <c r="FM63" s="1686"/>
      <c r="FN63" s="1686"/>
      <c r="FO63" s="1686"/>
      <c r="FP63" s="1686"/>
      <c r="FQ63" s="1686"/>
      <c r="FR63" s="1686"/>
      <c r="FS63" s="1686"/>
      <c r="FT63" s="1686"/>
      <c r="FU63" s="1686"/>
      <c r="FV63" s="1686"/>
      <c r="FW63" s="1686"/>
      <c r="FX63" s="1686"/>
      <c r="FY63" s="1686"/>
      <c r="FZ63" s="1686"/>
      <c r="GA63" s="1686"/>
      <c r="GB63" s="1686"/>
      <c r="GC63" s="1686"/>
      <c r="GD63" s="1686"/>
      <c r="GE63" s="1686"/>
      <c r="GF63" s="1686"/>
      <c r="GG63" s="1686"/>
      <c r="GH63" s="1686"/>
      <c r="GI63" s="1686"/>
      <c r="GJ63" s="1686"/>
      <c r="GK63" s="1686"/>
      <c r="GL63" s="1686"/>
      <c r="GM63" s="1686"/>
      <c r="GN63" s="1686"/>
      <c r="GO63" s="1686"/>
      <c r="GP63" s="1686"/>
      <c r="GQ63" s="1686"/>
      <c r="GR63" s="1686"/>
      <c r="GS63" s="1686"/>
      <c r="GT63" s="1686"/>
      <c r="GU63" s="1686"/>
      <c r="GV63" s="1686"/>
      <c r="GW63" s="1686"/>
      <c r="GX63" s="1686"/>
      <c r="GY63" s="1686"/>
      <c r="GZ63" s="1686"/>
      <c r="HA63" s="1686"/>
      <c r="HB63" s="1686"/>
      <c r="HC63" s="1686"/>
      <c r="HD63" s="1686"/>
      <c r="HE63" s="1686"/>
      <c r="HF63" s="1686"/>
      <c r="HG63" s="1686"/>
      <c r="HH63" s="1686"/>
      <c r="HI63" s="1686"/>
      <c r="HJ63" s="1686"/>
      <c r="HK63" s="1686"/>
      <c r="HL63" s="1686"/>
      <c r="HM63" s="1686"/>
      <c r="HN63" s="1686"/>
      <c r="HO63" s="1686"/>
      <c r="HP63" s="1686"/>
      <c r="HQ63" s="1686"/>
      <c r="HR63" s="1686"/>
      <c r="HS63" s="1686"/>
      <c r="HT63" s="1686"/>
      <c r="HU63" s="1686"/>
      <c r="HV63" s="1686"/>
      <c r="HW63" s="1686"/>
      <c r="HX63" s="1686"/>
      <c r="HY63" s="1686"/>
      <c r="HZ63" s="1686"/>
      <c r="IA63" s="1686"/>
      <c r="IB63" s="1686"/>
      <c r="IC63" s="1686"/>
      <c r="ID63" s="1686"/>
      <c r="IE63" s="1686"/>
      <c r="IF63" s="1686"/>
      <c r="IG63" s="1686"/>
      <c r="IH63" s="1686"/>
      <c r="II63" s="1686"/>
      <c r="IJ63" s="1686"/>
      <c r="IK63" s="1686"/>
      <c r="IL63" s="1686"/>
      <c r="IM63" s="1686"/>
      <c r="IN63" s="1686"/>
      <c r="IO63" s="1686"/>
      <c r="IP63" s="1686"/>
      <c r="IQ63" s="1686"/>
      <c r="IR63" s="1686"/>
      <c r="IS63" s="1686"/>
      <c r="IT63" s="1686"/>
      <c r="IU63" s="1686"/>
      <c r="IV63" s="1686"/>
    </row>
    <row r="64" spans="1:256" ht="13.15" hidden="1" customHeight="1" outlineLevel="1" x14ac:dyDescent="0.2">
      <c r="A64" s="4505" t="s">
        <v>1745</v>
      </c>
      <c r="B64" s="1741" t="s">
        <v>1746</v>
      </c>
      <c r="C64" s="1628" t="s">
        <v>1669</v>
      </c>
      <c r="D64" s="1610"/>
      <c r="E64" s="1609"/>
      <c r="F64" s="1610"/>
      <c r="G64" s="1609"/>
      <c r="H64" s="1611">
        <f>J64+L64+N64+P64+R64+T64+V64</f>
        <v>0</v>
      </c>
      <c r="I64" s="1609">
        <f>K64+M64+O64+Q64+S64+U64+W64</f>
        <v>0</v>
      </c>
      <c r="J64" s="1610"/>
      <c r="K64" s="1609"/>
      <c r="L64" s="1610"/>
      <c r="M64" s="1609"/>
      <c r="N64" s="1610"/>
      <c r="O64" s="1609"/>
      <c r="P64" s="1610"/>
      <c r="Q64" s="1609"/>
      <c r="R64" s="1610"/>
      <c r="S64" s="1609"/>
      <c r="T64" s="1610"/>
      <c r="U64" s="1609"/>
      <c r="V64" s="1610"/>
      <c r="W64" s="1613"/>
      <c r="X64" s="1637"/>
      <c r="Y64" s="1642"/>
      <c r="Z64" s="1687"/>
      <c r="AA64" s="1687"/>
      <c r="AB64" s="1686"/>
      <c r="AC64" s="1677"/>
      <c r="AD64" s="1677"/>
      <c r="AE64" s="1677"/>
      <c r="AF64" s="1677"/>
      <c r="AG64" s="1677"/>
      <c r="AH64" s="1677"/>
      <c r="AI64" s="1686"/>
      <c r="AJ64" s="1688"/>
      <c r="AK64" s="1688"/>
      <c r="AL64" s="1688"/>
      <c r="AM64" s="1688"/>
      <c r="AN64" s="1688"/>
      <c r="AO64" s="1688"/>
      <c r="AP64" s="1686"/>
      <c r="AQ64" s="1686"/>
      <c r="AR64" s="1686"/>
      <c r="AS64" s="1686"/>
      <c r="AT64" s="1686"/>
      <c r="AU64" s="1686"/>
      <c r="AV64" s="1686"/>
      <c r="AW64" s="1686"/>
      <c r="AX64" s="1686"/>
      <c r="AY64" s="1686"/>
      <c r="AZ64" s="1686"/>
      <c r="BA64" s="1686"/>
      <c r="BB64" s="1686"/>
      <c r="BC64" s="1686"/>
      <c r="BD64" s="1686"/>
      <c r="BE64" s="1686"/>
      <c r="BF64" s="1686"/>
      <c r="BG64" s="1686"/>
      <c r="BH64" s="1686"/>
      <c r="BI64" s="1686"/>
      <c r="BJ64" s="1686"/>
      <c r="BK64" s="1686"/>
      <c r="BL64" s="1686"/>
      <c r="BM64" s="1686"/>
      <c r="BN64" s="1686"/>
      <c r="BO64" s="1686"/>
      <c r="BP64" s="1686"/>
      <c r="BQ64" s="1686"/>
      <c r="BR64" s="1686"/>
      <c r="BS64" s="1686"/>
      <c r="BT64" s="1686"/>
      <c r="BU64" s="1686"/>
      <c r="BV64" s="1686"/>
      <c r="BW64" s="1686"/>
      <c r="BX64" s="1686"/>
      <c r="BY64" s="1686"/>
      <c r="BZ64" s="1686"/>
      <c r="CA64" s="1686"/>
      <c r="CB64" s="1686"/>
      <c r="CC64" s="1686"/>
      <c r="CD64" s="1686"/>
      <c r="CE64" s="1686"/>
      <c r="CF64" s="1686"/>
      <c r="CG64" s="1686"/>
      <c r="CH64" s="1686"/>
      <c r="CI64" s="1686"/>
      <c r="CJ64" s="1686"/>
      <c r="CK64" s="1686"/>
      <c r="CL64" s="1686"/>
      <c r="CM64" s="1686"/>
      <c r="CN64" s="1686"/>
      <c r="CO64" s="1686"/>
      <c r="CP64" s="1686"/>
      <c r="CQ64" s="1686"/>
      <c r="CR64" s="1686"/>
      <c r="CS64" s="1686"/>
      <c r="CT64" s="1686"/>
      <c r="CU64" s="1686"/>
      <c r="CV64" s="1686"/>
      <c r="CW64" s="1686"/>
      <c r="CX64" s="1686"/>
      <c r="CY64" s="1686"/>
      <c r="CZ64" s="1686"/>
      <c r="DA64" s="1686"/>
      <c r="DB64" s="1686"/>
      <c r="DC64" s="1686"/>
      <c r="DD64" s="1686"/>
      <c r="DE64" s="1686"/>
      <c r="DF64" s="1686"/>
      <c r="DG64" s="1686"/>
      <c r="DH64" s="1686"/>
      <c r="DI64" s="1686"/>
      <c r="DJ64" s="1686"/>
      <c r="DK64" s="1686"/>
      <c r="DL64" s="1686"/>
      <c r="DM64" s="1686"/>
      <c r="DN64" s="1686"/>
      <c r="DO64" s="1686"/>
      <c r="DP64" s="1686"/>
      <c r="DQ64" s="1686"/>
      <c r="DR64" s="1686"/>
      <c r="DS64" s="1686"/>
      <c r="DT64" s="1686"/>
      <c r="DU64" s="1686"/>
      <c r="DV64" s="1686"/>
      <c r="DW64" s="1686"/>
      <c r="DX64" s="1686"/>
      <c r="DY64" s="1686"/>
      <c r="DZ64" s="1686"/>
      <c r="EA64" s="1686"/>
      <c r="EB64" s="1686"/>
      <c r="EC64" s="1686"/>
      <c r="ED64" s="1686"/>
      <c r="EE64" s="1686"/>
      <c r="EF64" s="1686"/>
      <c r="EG64" s="1686"/>
      <c r="EH64" s="1686"/>
      <c r="EI64" s="1686"/>
      <c r="EJ64" s="1686"/>
      <c r="EK64" s="1686"/>
      <c r="EL64" s="1686"/>
      <c r="EM64" s="1686"/>
      <c r="EN64" s="1686"/>
      <c r="EO64" s="1686"/>
      <c r="EP64" s="1686"/>
      <c r="EQ64" s="1686"/>
      <c r="ER64" s="1686"/>
      <c r="ES64" s="1686"/>
      <c r="ET64" s="1686"/>
      <c r="EU64" s="1686"/>
      <c r="EV64" s="1686"/>
      <c r="EW64" s="1686"/>
      <c r="EX64" s="1686"/>
      <c r="EY64" s="1686"/>
      <c r="EZ64" s="1686"/>
      <c r="FA64" s="1686"/>
      <c r="FB64" s="1686"/>
      <c r="FC64" s="1686"/>
      <c r="FD64" s="1686"/>
      <c r="FE64" s="1686"/>
      <c r="FF64" s="1686"/>
      <c r="FG64" s="1686"/>
      <c r="FH64" s="1686"/>
      <c r="FI64" s="1686"/>
      <c r="FJ64" s="1686"/>
      <c r="FK64" s="1686"/>
      <c r="FL64" s="1686"/>
      <c r="FM64" s="1686"/>
      <c r="FN64" s="1686"/>
      <c r="FO64" s="1686"/>
      <c r="FP64" s="1686"/>
      <c r="FQ64" s="1686"/>
      <c r="FR64" s="1686"/>
      <c r="FS64" s="1686"/>
      <c r="FT64" s="1686"/>
      <c r="FU64" s="1686"/>
      <c r="FV64" s="1686"/>
      <c r="FW64" s="1686"/>
      <c r="FX64" s="1686"/>
      <c r="FY64" s="1686"/>
      <c r="FZ64" s="1686"/>
      <c r="GA64" s="1686"/>
      <c r="GB64" s="1686"/>
      <c r="GC64" s="1686"/>
      <c r="GD64" s="1686"/>
      <c r="GE64" s="1686"/>
      <c r="GF64" s="1686"/>
      <c r="GG64" s="1686"/>
      <c r="GH64" s="1686"/>
      <c r="GI64" s="1686"/>
      <c r="GJ64" s="1686"/>
      <c r="GK64" s="1686"/>
      <c r="GL64" s="1686"/>
      <c r="GM64" s="1686"/>
      <c r="GN64" s="1686"/>
      <c r="GO64" s="1686"/>
      <c r="GP64" s="1686"/>
      <c r="GQ64" s="1686"/>
      <c r="GR64" s="1686"/>
      <c r="GS64" s="1686"/>
      <c r="GT64" s="1686"/>
      <c r="GU64" s="1686"/>
      <c r="GV64" s="1686"/>
      <c r="GW64" s="1686"/>
      <c r="GX64" s="1686"/>
      <c r="GY64" s="1686"/>
      <c r="GZ64" s="1686"/>
      <c r="HA64" s="1686"/>
      <c r="HB64" s="1686"/>
      <c r="HC64" s="1686"/>
      <c r="HD64" s="1686"/>
      <c r="HE64" s="1686"/>
      <c r="HF64" s="1686"/>
      <c r="HG64" s="1686"/>
      <c r="HH64" s="1686"/>
      <c r="HI64" s="1686"/>
      <c r="HJ64" s="1686"/>
      <c r="HK64" s="1686"/>
      <c r="HL64" s="1686"/>
      <c r="HM64" s="1686"/>
      <c r="HN64" s="1686"/>
      <c r="HO64" s="1686"/>
      <c r="HP64" s="1686"/>
      <c r="HQ64" s="1686"/>
      <c r="HR64" s="1686"/>
      <c r="HS64" s="1686"/>
      <c r="HT64" s="1686"/>
      <c r="HU64" s="1686"/>
      <c r="HV64" s="1686"/>
      <c r="HW64" s="1686"/>
      <c r="HX64" s="1686"/>
      <c r="HY64" s="1686"/>
      <c r="HZ64" s="1686"/>
      <c r="IA64" s="1686"/>
      <c r="IB64" s="1686"/>
      <c r="IC64" s="1686"/>
      <c r="ID64" s="1686"/>
      <c r="IE64" s="1686"/>
      <c r="IF64" s="1686"/>
      <c r="IG64" s="1686"/>
      <c r="IH64" s="1686"/>
      <c r="II64" s="1686"/>
      <c r="IJ64" s="1686"/>
      <c r="IK64" s="1686"/>
      <c r="IL64" s="1686"/>
      <c r="IM64" s="1686"/>
      <c r="IN64" s="1686"/>
      <c r="IO64" s="1686"/>
      <c r="IP64" s="1686"/>
      <c r="IQ64" s="1686"/>
      <c r="IR64" s="1686"/>
      <c r="IS64" s="1686"/>
      <c r="IT64" s="1686"/>
      <c r="IU64" s="1686"/>
      <c r="IV64" s="1686"/>
    </row>
    <row r="65" spans="1:256" ht="24" hidden="1" customHeight="1" outlineLevel="1" x14ac:dyDescent="0.2">
      <c r="A65" s="4506"/>
      <c r="B65" s="1741" t="s">
        <v>1747</v>
      </c>
      <c r="C65" s="1628" t="s">
        <v>1701</v>
      </c>
      <c r="D65" s="1610">
        <f t="shared" ref="D65:I65" si="50">IF(D64=0,,D66/1000/D64)</f>
        <v>0</v>
      </c>
      <c r="E65" s="1609">
        <f t="shared" si="50"/>
        <v>0</v>
      </c>
      <c r="F65" s="1610"/>
      <c r="G65" s="1609"/>
      <c r="H65" s="1611">
        <f t="shared" si="50"/>
        <v>0</v>
      </c>
      <c r="I65" s="1609">
        <f t="shared" si="50"/>
        <v>0</v>
      </c>
      <c r="J65" s="1610"/>
      <c r="K65" s="1609"/>
      <c r="L65" s="1610"/>
      <c r="M65" s="1609"/>
      <c r="N65" s="1610"/>
      <c r="O65" s="1609"/>
      <c r="P65" s="1610"/>
      <c r="Q65" s="1609"/>
      <c r="R65" s="1610"/>
      <c r="S65" s="1609"/>
      <c r="T65" s="1610"/>
      <c r="U65" s="1609"/>
      <c r="V65" s="1610"/>
      <c r="W65" s="1613"/>
      <c r="X65" s="1637"/>
      <c r="Y65" s="1642"/>
      <c r="Z65" s="1687"/>
      <c r="AA65" s="1687"/>
      <c r="AB65" s="1686"/>
      <c r="AC65" s="1677"/>
      <c r="AD65" s="1677"/>
      <c r="AE65" s="1677"/>
      <c r="AF65" s="1677"/>
      <c r="AG65" s="1677"/>
      <c r="AH65" s="1677"/>
      <c r="AI65" s="1686"/>
      <c r="AJ65" s="1688"/>
      <c r="AK65" s="1688"/>
      <c r="AL65" s="1688"/>
      <c r="AM65" s="1688"/>
      <c r="AN65" s="1688"/>
      <c r="AO65" s="1688"/>
      <c r="AP65" s="1686"/>
      <c r="AQ65" s="1686"/>
      <c r="AR65" s="1686"/>
      <c r="AS65" s="1686"/>
      <c r="AT65" s="1686"/>
      <c r="AU65" s="1686"/>
      <c r="AV65" s="1686"/>
      <c r="AW65" s="1686"/>
      <c r="AX65" s="1686"/>
      <c r="AY65" s="1686"/>
      <c r="AZ65" s="1686"/>
      <c r="BA65" s="1686"/>
      <c r="BB65" s="1686"/>
      <c r="BC65" s="1686"/>
      <c r="BD65" s="1686"/>
      <c r="BE65" s="1686"/>
      <c r="BF65" s="1686"/>
      <c r="BG65" s="1686"/>
      <c r="BH65" s="1686"/>
      <c r="BI65" s="1686"/>
      <c r="BJ65" s="1686"/>
      <c r="BK65" s="1686"/>
      <c r="BL65" s="1686"/>
      <c r="BM65" s="1686"/>
      <c r="BN65" s="1686"/>
      <c r="BO65" s="1686"/>
      <c r="BP65" s="1686"/>
      <c r="BQ65" s="1686"/>
      <c r="BR65" s="1686"/>
      <c r="BS65" s="1686"/>
      <c r="BT65" s="1686"/>
      <c r="BU65" s="1686"/>
      <c r="BV65" s="1686"/>
      <c r="BW65" s="1686"/>
      <c r="BX65" s="1686"/>
      <c r="BY65" s="1686"/>
      <c r="BZ65" s="1686"/>
      <c r="CA65" s="1686"/>
      <c r="CB65" s="1686"/>
      <c r="CC65" s="1686"/>
      <c r="CD65" s="1686"/>
      <c r="CE65" s="1686"/>
      <c r="CF65" s="1686"/>
      <c r="CG65" s="1686"/>
      <c r="CH65" s="1686"/>
      <c r="CI65" s="1686"/>
      <c r="CJ65" s="1686"/>
      <c r="CK65" s="1686"/>
      <c r="CL65" s="1686"/>
      <c r="CM65" s="1686"/>
      <c r="CN65" s="1686"/>
      <c r="CO65" s="1686"/>
      <c r="CP65" s="1686"/>
      <c r="CQ65" s="1686"/>
      <c r="CR65" s="1686"/>
      <c r="CS65" s="1686"/>
      <c r="CT65" s="1686"/>
      <c r="CU65" s="1686"/>
      <c r="CV65" s="1686"/>
      <c r="CW65" s="1686"/>
      <c r="CX65" s="1686"/>
      <c r="CY65" s="1686"/>
      <c r="CZ65" s="1686"/>
      <c r="DA65" s="1686"/>
      <c r="DB65" s="1686"/>
      <c r="DC65" s="1686"/>
      <c r="DD65" s="1686"/>
      <c r="DE65" s="1686"/>
      <c r="DF65" s="1686"/>
      <c r="DG65" s="1686"/>
      <c r="DH65" s="1686"/>
      <c r="DI65" s="1686"/>
      <c r="DJ65" s="1686"/>
      <c r="DK65" s="1686"/>
      <c r="DL65" s="1686"/>
      <c r="DM65" s="1686"/>
      <c r="DN65" s="1686"/>
      <c r="DO65" s="1686"/>
      <c r="DP65" s="1686"/>
      <c r="DQ65" s="1686"/>
      <c r="DR65" s="1686"/>
      <c r="DS65" s="1686"/>
      <c r="DT65" s="1686"/>
      <c r="DU65" s="1686"/>
      <c r="DV65" s="1686"/>
      <c r="DW65" s="1686"/>
      <c r="DX65" s="1686"/>
      <c r="DY65" s="1686"/>
      <c r="DZ65" s="1686"/>
      <c r="EA65" s="1686"/>
      <c r="EB65" s="1686"/>
      <c r="EC65" s="1686"/>
      <c r="ED65" s="1686"/>
      <c r="EE65" s="1686"/>
      <c r="EF65" s="1686"/>
      <c r="EG65" s="1686"/>
      <c r="EH65" s="1686"/>
      <c r="EI65" s="1686"/>
      <c r="EJ65" s="1686"/>
      <c r="EK65" s="1686"/>
      <c r="EL65" s="1686"/>
      <c r="EM65" s="1686"/>
      <c r="EN65" s="1686"/>
      <c r="EO65" s="1686"/>
      <c r="EP65" s="1686"/>
      <c r="EQ65" s="1686"/>
      <c r="ER65" s="1686"/>
      <c r="ES65" s="1686"/>
      <c r="ET65" s="1686"/>
      <c r="EU65" s="1686"/>
      <c r="EV65" s="1686"/>
      <c r="EW65" s="1686"/>
      <c r="EX65" s="1686"/>
      <c r="EY65" s="1686"/>
      <c r="EZ65" s="1686"/>
      <c r="FA65" s="1686"/>
      <c r="FB65" s="1686"/>
      <c r="FC65" s="1686"/>
      <c r="FD65" s="1686"/>
      <c r="FE65" s="1686"/>
      <c r="FF65" s="1686"/>
      <c r="FG65" s="1686"/>
      <c r="FH65" s="1686"/>
      <c r="FI65" s="1686"/>
      <c r="FJ65" s="1686"/>
      <c r="FK65" s="1686"/>
      <c r="FL65" s="1686"/>
      <c r="FM65" s="1686"/>
      <c r="FN65" s="1686"/>
      <c r="FO65" s="1686"/>
      <c r="FP65" s="1686"/>
      <c r="FQ65" s="1686"/>
      <c r="FR65" s="1686"/>
      <c r="FS65" s="1686"/>
      <c r="FT65" s="1686"/>
      <c r="FU65" s="1686"/>
      <c r="FV65" s="1686"/>
      <c r="FW65" s="1686"/>
      <c r="FX65" s="1686"/>
      <c r="FY65" s="1686"/>
      <c r="FZ65" s="1686"/>
      <c r="GA65" s="1686"/>
      <c r="GB65" s="1686"/>
      <c r="GC65" s="1686"/>
      <c r="GD65" s="1686"/>
      <c r="GE65" s="1686"/>
      <c r="GF65" s="1686"/>
      <c r="GG65" s="1686"/>
      <c r="GH65" s="1686"/>
      <c r="GI65" s="1686"/>
      <c r="GJ65" s="1686"/>
      <c r="GK65" s="1686"/>
      <c r="GL65" s="1686"/>
      <c r="GM65" s="1686"/>
      <c r="GN65" s="1686"/>
      <c r="GO65" s="1686"/>
      <c r="GP65" s="1686"/>
      <c r="GQ65" s="1686"/>
      <c r="GR65" s="1686"/>
      <c r="GS65" s="1686"/>
      <c r="GT65" s="1686"/>
      <c r="GU65" s="1686"/>
      <c r="GV65" s="1686"/>
      <c r="GW65" s="1686"/>
      <c r="GX65" s="1686"/>
      <c r="GY65" s="1686"/>
      <c r="GZ65" s="1686"/>
      <c r="HA65" s="1686"/>
      <c r="HB65" s="1686"/>
      <c r="HC65" s="1686"/>
      <c r="HD65" s="1686"/>
      <c r="HE65" s="1686"/>
      <c r="HF65" s="1686"/>
      <c r="HG65" s="1686"/>
      <c r="HH65" s="1686"/>
      <c r="HI65" s="1686"/>
      <c r="HJ65" s="1686"/>
      <c r="HK65" s="1686"/>
      <c r="HL65" s="1686"/>
      <c r="HM65" s="1686"/>
      <c r="HN65" s="1686"/>
      <c r="HO65" s="1686"/>
      <c r="HP65" s="1686"/>
      <c r="HQ65" s="1686"/>
      <c r="HR65" s="1686"/>
      <c r="HS65" s="1686"/>
      <c r="HT65" s="1686"/>
      <c r="HU65" s="1686"/>
      <c r="HV65" s="1686"/>
      <c r="HW65" s="1686"/>
      <c r="HX65" s="1686"/>
      <c r="HY65" s="1686"/>
      <c r="HZ65" s="1686"/>
      <c r="IA65" s="1686"/>
      <c r="IB65" s="1686"/>
      <c r="IC65" s="1686"/>
      <c r="ID65" s="1686"/>
      <c r="IE65" s="1686"/>
      <c r="IF65" s="1686"/>
      <c r="IG65" s="1686"/>
      <c r="IH65" s="1686"/>
      <c r="II65" s="1686"/>
      <c r="IJ65" s="1686"/>
      <c r="IK65" s="1686"/>
      <c r="IL65" s="1686"/>
      <c r="IM65" s="1686"/>
      <c r="IN65" s="1686"/>
      <c r="IO65" s="1686"/>
      <c r="IP65" s="1686"/>
      <c r="IQ65" s="1686"/>
      <c r="IR65" s="1686"/>
      <c r="IS65" s="1686"/>
      <c r="IT65" s="1686"/>
      <c r="IU65" s="1686"/>
      <c r="IV65" s="1686"/>
    </row>
    <row r="66" spans="1:256" ht="24" hidden="1" customHeight="1" outlineLevel="1" x14ac:dyDescent="0.2">
      <c r="A66" s="4507"/>
      <c r="B66" s="1744" t="s">
        <v>1748</v>
      </c>
      <c r="C66" s="1629" t="s">
        <v>1704</v>
      </c>
      <c r="D66" s="1610"/>
      <c r="E66" s="1609"/>
      <c r="F66" s="1610"/>
      <c r="G66" s="1609"/>
      <c r="H66" s="1611">
        <f>J66+L66+N66+P66+R66+T66+V66</f>
        <v>0</v>
      </c>
      <c r="I66" s="1609">
        <f>K66+M66+O66+Q66+S66+U66+W66</f>
        <v>0</v>
      </c>
      <c r="J66" s="1610">
        <f>J64*J65/1000</f>
        <v>0</v>
      </c>
      <c r="K66" s="1609">
        <f t="shared" ref="K66:W66" si="51">K64*K65/1000</f>
        <v>0</v>
      </c>
      <c r="L66" s="1610">
        <f t="shared" si="51"/>
        <v>0</v>
      </c>
      <c r="M66" s="1609">
        <f t="shared" si="51"/>
        <v>0</v>
      </c>
      <c r="N66" s="1610">
        <f t="shared" si="51"/>
        <v>0</v>
      </c>
      <c r="O66" s="1609">
        <f t="shared" si="51"/>
        <v>0</v>
      </c>
      <c r="P66" s="1610">
        <f t="shared" si="51"/>
        <v>0</v>
      </c>
      <c r="Q66" s="1609">
        <f t="shared" si="51"/>
        <v>0</v>
      </c>
      <c r="R66" s="1610">
        <f t="shared" si="51"/>
        <v>0</v>
      </c>
      <c r="S66" s="1609">
        <f t="shared" si="51"/>
        <v>0</v>
      </c>
      <c r="T66" s="1610">
        <f t="shared" si="51"/>
        <v>0</v>
      </c>
      <c r="U66" s="1609">
        <f t="shared" si="51"/>
        <v>0</v>
      </c>
      <c r="V66" s="1610">
        <f t="shared" si="51"/>
        <v>0</v>
      </c>
      <c r="W66" s="1609">
        <f t="shared" si="51"/>
        <v>0</v>
      </c>
      <c r="X66" s="1637">
        <f t="shared" ref="X66:Y66" si="52">X64*X65/1000</f>
        <v>0</v>
      </c>
      <c r="Y66" s="1636">
        <f t="shared" si="52"/>
        <v>0</v>
      </c>
      <c r="Z66" s="1687"/>
      <c r="AA66" s="1687"/>
      <c r="AB66" s="1686"/>
      <c r="AC66" s="1677"/>
      <c r="AD66" s="1677"/>
      <c r="AE66" s="1677"/>
      <c r="AF66" s="1677"/>
      <c r="AG66" s="1677"/>
      <c r="AH66" s="1677"/>
      <c r="AI66" s="1686"/>
      <c r="AJ66" s="1688"/>
      <c r="AK66" s="1688"/>
      <c r="AL66" s="1688"/>
      <c r="AM66" s="1688"/>
      <c r="AN66" s="1688"/>
      <c r="AO66" s="1688"/>
      <c r="AP66" s="1686"/>
      <c r="AQ66" s="1686"/>
      <c r="AR66" s="1686"/>
      <c r="AS66" s="1686"/>
      <c r="AT66" s="1686"/>
      <c r="AU66" s="1686"/>
      <c r="AV66" s="1686"/>
      <c r="AW66" s="1686"/>
      <c r="AX66" s="1686"/>
      <c r="AY66" s="1686"/>
      <c r="AZ66" s="1686"/>
      <c r="BA66" s="1686"/>
      <c r="BB66" s="1686"/>
      <c r="BC66" s="1686"/>
      <c r="BD66" s="1686"/>
      <c r="BE66" s="1686"/>
      <c r="BF66" s="1686"/>
      <c r="BG66" s="1686"/>
      <c r="BH66" s="1686"/>
      <c r="BI66" s="1686"/>
      <c r="BJ66" s="1686"/>
      <c r="BK66" s="1686"/>
      <c r="BL66" s="1686"/>
      <c r="BM66" s="1686"/>
      <c r="BN66" s="1686"/>
      <c r="BO66" s="1686"/>
      <c r="BP66" s="1686"/>
      <c r="BQ66" s="1686"/>
      <c r="BR66" s="1686"/>
      <c r="BS66" s="1686"/>
      <c r="BT66" s="1686"/>
      <c r="BU66" s="1686"/>
      <c r="BV66" s="1686"/>
      <c r="BW66" s="1686"/>
      <c r="BX66" s="1686"/>
      <c r="BY66" s="1686"/>
      <c r="BZ66" s="1686"/>
      <c r="CA66" s="1686"/>
      <c r="CB66" s="1686"/>
      <c r="CC66" s="1686"/>
      <c r="CD66" s="1686"/>
      <c r="CE66" s="1686"/>
      <c r="CF66" s="1686"/>
      <c r="CG66" s="1686"/>
      <c r="CH66" s="1686"/>
      <c r="CI66" s="1686"/>
      <c r="CJ66" s="1686"/>
      <c r="CK66" s="1686"/>
      <c r="CL66" s="1686"/>
      <c r="CM66" s="1686"/>
      <c r="CN66" s="1686"/>
      <c r="CO66" s="1686"/>
      <c r="CP66" s="1686"/>
      <c r="CQ66" s="1686"/>
      <c r="CR66" s="1686"/>
      <c r="CS66" s="1686"/>
      <c r="CT66" s="1686"/>
      <c r="CU66" s="1686"/>
      <c r="CV66" s="1686"/>
      <c r="CW66" s="1686"/>
      <c r="CX66" s="1686"/>
      <c r="CY66" s="1686"/>
      <c r="CZ66" s="1686"/>
      <c r="DA66" s="1686"/>
      <c r="DB66" s="1686"/>
      <c r="DC66" s="1686"/>
      <c r="DD66" s="1686"/>
      <c r="DE66" s="1686"/>
      <c r="DF66" s="1686"/>
      <c r="DG66" s="1686"/>
      <c r="DH66" s="1686"/>
      <c r="DI66" s="1686"/>
      <c r="DJ66" s="1686"/>
      <c r="DK66" s="1686"/>
      <c r="DL66" s="1686"/>
      <c r="DM66" s="1686"/>
      <c r="DN66" s="1686"/>
      <c r="DO66" s="1686"/>
      <c r="DP66" s="1686"/>
      <c r="DQ66" s="1686"/>
      <c r="DR66" s="1686"/>
      <c r="DS66" s="1686"/>
      <c r="DT66" s="1686"/>
      <c r="DU66" s="1686"/>
      <c r="DV66" s="1686"/>
      <c r="DW66" s="1686"/>
      <c r="DX66" s="1686"/>
      <c r="DY66" s="1686"/>
      <c r="DZ66" s="1686"/>
      <c r="EA66" s="1686"/>
      <c r="EB66" s="1686"/>
      <c r="EC66" s="1686"/>
      <c r="ED66" s="1686"/>
      <c r="EE66" s="1686"/>
      <c r="EF66" s="1686"/>
      <c r="EG66" s="1686"/>
      <c r="EH66" s="1686"/>
      <c r="EI66" s="1686"/>
      <c r="EJ66" s="1686"/>
      <c r="EK66" s="1686"/>
      <c r="EL66" s="1686"/>
      <c r="EM66" s="1686"/>
      <c r="EN66" s="1686"/>
      <c r="EO66" s="1686"/>
      <c r="EP66" s="1686"/>
      <c r="EQ66" s="1686"/>
      <c r="ER66" s="1686"/>
      <c r="ES66" s="1686"/>
      <c r="ET66" s="1686"/>
      <c r="EU66" s="1686"/>
      <c r="EV66" s="1686"/>
      <c r="EW66" s="1686"/>
      <c r="EX66" s="1686"/>
      <c r="EY66" s="1686"/>
      <c r="EZ66" s="1686"/>
      <c r="FA66" s="1686"/>
      <c r="FB66" s="1686"/>
      <c r="FC66" s="1686"/>
      <c r="FD66" s="1686"/>
      <c r="FE66" s="1686"/>
      <c r="FF66" s="1686"/>
      <c r="FG66" s="1686"/>
      <c r="FH66" s="1686"/>
      <c r="FI66" s="1686"/>
      <c r="FJ66" s="1686"/>
      <c r="FK66" s="1686"/>
      <c r="FL66" s="1686"/>
      <c r="FM66" s="1686"/>
      <c r="FN66" s="1686"/>
      <c r="FO66" s="1686"/>
      <c r="FP66" s="1686"/>
      <c r="FQ66" s="1686"/>
      <c r="FR66" s="1686"/>
      <c r="FS66" s="1686"/>
      <c r="FT66" s="1686"/>
      <c r="FU66" s="1686"/>
      <c r="FV66" s="1686"/>
      <c r="FW66" s="1686"/>
      <c r="FX66" s="1686"/>
      <c r="FY66" s="1686"/>
      <c r="FZ66" s="1686"/>
      <c r="GA66" s="1686"/>
      <c r="GB66" s="1686"/>
      <c r="GC66" s="1686"/>
      <c r="GD66" s="1686"/>
      <c r="GE66" s="1686"/>
      <c r="GF66" s="1686"/>
      <c r="GG66" s="1686"/>
      <c r="GH66" s="1686"/>
      <c r="GI66" s="1686"/>
      <c r="GJ66" s="1686"/>
      <c r="GK66" s="1686"/>
      <c r="GL66" s="1686"/>
      <c r="GM66" s="1686"/>
      <c r="GN66" s="1686"/>
      <c r="GO66" s="1686"/>
      <c r="GP66" s="1686"/>
      <c r="GQ66" s="1686"/>
      <c r="GR66" s="1686"/>
      <c r="GS66" s="1686"/>
      <c r="GT66" s="1686"/>
      <c r="GU66" s="1686"/>
      <c r="GV66" s="1686"/>
      <c r="GW66" s="1686"/>
      <c r="GX66" s="1686"/>
      <c r="GY66" s="1686"/>
      <c r="GZ66" s="1686"/>
      <c r="HA66" s="1686"/>
      <c r="HB66" s="1686"/>
      <c r="HC66" s="1686"/>
      <c r="HD66" s="1686"/>
      <c r="HE66" s="1686"/>
      <c r="HF66" s="1686"/>
      <c r="HG66" s="1686"/>
      <c r="HH66" s="1686"/>
      <c r="HI66" s="1686"/>
      <c r="HJ66" s="1686"/>
      <c r="HK66" s="1686"/>
      <c r="HL66" s="1686"/>
      <c r="HM66" s="1686"/>
      <c r="HN66" s="1686"/>
      <c r="HO66" s="1686"/>
      <c r="HP66" s="1686"/>
      <c r="HQ66" s="1686"/>
      <c r="HR66" s="1686"/>
      <c r="HS66" s="1686"/>
      <c r="HT66" s="1686"/>
      <c r="HU66" s="1686"/>
      <c r="HV66" s="1686"/>
      <c r="HW66" s="1686"/>
      <c r="HX66" s="1686"/>
      <c r="HY66" s="1686"/>
      <c r="HZ66" s="1686"/>
      <c r="IA66" s="1686"/>
      <c r="IB66" s="1686"/>
      <c r="IC66" s="1686"/>
      <c r="ID66" s="1686"/>
      <c r="IE66" s="1686"/>
      <c r="IF66" s="1686"/>
      <c r="IG66" s="1686"/>
      <c r="IH66" s="1686"/>
      <c r="II66" s="1686"/>
      <c r="IJ66" s="1686"/>
      <c r="IK66" s="1686"/>
      <c r="IL66" s="1686"/>
      <c r="IM66" s="1686"/>
      <c r="IN66" s="1686"/>
      <c r="IO66" s="1686"/>
      <c r="IP66" s="1686"/>
      <c r="IQ66" s="1686"/>
      <c r="IR66" s="1686"/>
      <c r="IS66" s="1686"/>
      <c r="IT66" s="1686"/>
      <c r="IU66" s="1686"/>
      <c r="IV66" s="1686"/>
    </row>
    <row r="67" spans="1:256" ht="13.15" hidden="1" customHeight="1" outlineLevel="1" x14ac:dyDescent="0.2">
      <c r="A67" s="4505" t="s">
        <v>1749</v>
      </c>
      <c r="B67" s="1741" t="s">
        <v>1750</v>
      </c>
      <c r="C67" s="1628" t="s">
        <v>1669</v>
      </c>
      <c r="D67" s="1610"/>
      <c r="E67" s="1609"/>
      <c r="F67" s="1610"/>
      <c r="G67" s="1609"/>
      <c r="H67" s="1611">
        <f>J67+L67+N67+P67+R67+T67+V67</f>
        <v>0</v>
      </c>
      <c r="I67" s="1609">
        <f>K67+M67+O67+Q67+S67+U67+W67</f>
        <v>0</v>
      </c>
      <c r="J67" s="1610"/>
      <c r="K67" s="1609"/>
      <c r="L67" s="1610"/>
      <c r="M67" s="1609"/>
      <c r="N67" s="1610"/>
      <c r="O67" s="1609"/>
      <c r="P67" s="1610"/>
      <c r="Q67" s="1609"/>
      <c r="R67" s="1610"/>
      <c r="S67" s="1609"/>
      <c r="T67" s="1610"/>
      <c r="U67" s="1609"/>
      <c r="V67" s="1610"/>
      <c r="W67" s="1613"/>
      <c r="X67" s="1637"/>
      <c r="Y67" s="1642"/>
      <c r="Z67" s="1687"/>
      <c r="AA67" s="1687"/>
      <c r="AB67" s="1686"/>
      <c r="AC67" s="1677"/>
      <c r="AD67" s="1677"/>
      <c r="AE67" s="1677"/>
      <c r="AF67" s="1677"/>
      <c r="AG67" s="1677"/>
      <c r="AH67" s="1677"/>
      <c r="AI67" s="1686"/>
      <c r="AJ67" s="1688"/>
      <c r="AK67" s="1688"/>
      <c r="AL67" s="1688"/>
      <c r="AM67" s="1688"/>
      <c r="AN67" s="1688"/>
      <c r="AO67" s="1688"/>
      <c r="AP67" s="1686"/>
      <c r="AQ67" s="1686"/>
      <c r="AR67" s="1686"/>
      <c r="AS67" s="1686"/>
      <c r="AT67" s="1686"/>
      <c r="AU67" s="1686"/>
      <c r="AV67" s="1686"/>
      <c r="AW67" s="1686"/>
      <c r="AX67" s="1686"/>
      <c r="AY67" s="1686"/>
      <c r="AZ67" s="1686"/>
      <c r="BA67" s="1686"/>
      <c r="BB67" s="1686"/>
      <c r="BC67" s="1686"/>
      <c r="BD67" s="1686"/>
      <c r="BE67" s="1686"/>
      <c r="BF67" s="1686"/>
      <c r="BG67" s="1686"/>
      <c r="BH67" s="1686"/>
      <c r="BI67" s="1686"/>
      <c r="BJ67" s="1686"/>
      <c r="BK67" s="1686"/>
      <c r="BL67" s="1686"/>
      <c r="BM67" s="1686"/>
      <c r="BN67" s="1686"/>
      <c r="BO67" s="1686"/>
      <c r="BP67" s="1686"/>
      <c r="BQ67" s="1686"/>
      <c r="BR67" s="1686"/>
      <c r="BS67" s="1686"/>
      <c r="BT67" s="1686"/>
      <c r="BU67" s="1686"/>
      <c r="BV67" s="1686"/>
      <c r="BW67" s="1686"/>
      <c r="BX67" s="1686"/>
      <c r="BY67" s="1686"/>
      <c r="BZ67" s="1686"/>
      <c r="CA67" s="1686"/>
      <c r="CB67" s="1686"/>
      <c r="CC67" s="1686"/>
      <c r="CD67" s="1686"/>
      <c r="CE67" s="1686"/>
      <c r="CF67" s="1686"/>
      <c r="CG67" s="1686"/>
      <c r="CH67" s="1686"/>
      <c r="CI67" s="1686"/>
      <c r="CJ67" s="1686"/>
      <c r="CK67" s="1686"/>
      <c r="CL67" s="1686"/>
      <c r="CM67" s="1686"/>
      <c r="CN67" s="1686"/>
      <c r="CO67" s="1686"/>
      <c r="CP67" s="1686"/>
      <c r="CQ67" s="1686"/>
      <c r="CR67" s="1686"/>
      <c r="CS67" s="1686"/>
      <c r="CT67" s="1686"/>
      <c r="CU67" s="1686"/>
      <c r="CV67" s="1686"/>
      <c r="CW67" s="1686"/>
      <c r="CX67" s="1686"/>
      <c r="CY67" s="1686"/>
      <c r="CZ67" s="1686"/>
      <c r="DA67" s="1686"/>
      <c r="DB67" s="1686"/>
      <c r="DC67" s="1686"/>
      <c r="DD67" s="1686"/>
      <c r="DE67" s="1686"/>
      <c r="DF67" s="1686"/>
      <c r="DG67" s="1686"/>
      <c r="DH67" s="1686"/>
      <c r="DI67" s="1686"/>
      <c r="DJ67" s="1686"/>
      <c r="DK67" s="1686"/>
      <c r="DL67" s="1686"/>
      <c r="DM67" s="1686"/>
      <c r="DN67" s="1686"/>
      <c r="DO67" s="1686"/>
      <c r="DP67" s="1686"/>
      <c r="DQ67" s="1686"/>
      <c r="DR67" s="1686"/>
      <c r="DS67" s="1686"/>
      <c r="DT67" s="1686"/>
      <c r="DU67" s="1686"/>
      <c r="DV67" s="1686"/>
      <c r="DW67" s="1686"/>
      <c r="DX67" s="1686"/>
      <c r="DY67" s="1686"/>
      <c r="DZ67" s="1686"/>
      <c r="EA67" s="1686"/>
      <c r="EB67" s="1686"/>
      <c r="EC67" s="1686"/>
      <c r="ED67" s="1686"/>
      <c r="EE67" s="1686"/>
      <c r="EF67" s="1686"/>
      <c r="EG67" s="1686"/>
      <c r="EH67" s="1686"/>
      <c r="EI67" s="1686"/>
      <c r="EJ67" s="1686"/>
      <c r="EK67" s="1686"/>
      <c r="EL67" s="1686"/>
      <c r="EM67" s="1686"/>
      <c r="EN67" s="1686"/>
      <c r="EO67" s="1686"/>
      <c r="EP67" s="1686"/>
      <c r="EQ67" s="1686"/>
      <c r="ER67" s="1686"/>
      <c r="ES67" s="1686"/>
      <c r="ET67" s="1686"/>
      <c r="EU67" s="1686"/>
      <c r="EV67" s="1686"/>
      <c r="EW67" s="1686"/>
      <c r="EX67" s="1686"/>
      <c r="EY67" s="1686"/>
      <c r="EZ67" s="1686"/>
      <c r="FA67" s="1686"/>
      <c r="FB67" s="1686"/>
      <c r="FC67" s="1686"/>
      <c r="FD67" s="1686"/>
      <c r="FE67" s="1686"/>
      <c r="FF67" s="1686"/>
      <c r="FG67" s="1686"/>
      <c r="FH67" s="1686"/>
      <c r="FI67" s="1686"/>
      <c r="FJ67" s="1686"/>
      <c r="FK67" s="1686"/>
      <c r="FL67" s="1686"/>
      <c r="FM67" s="1686"/>
      <c r="FN67" s="1686"/>
      <c r="FO67" s="1686"/>
      <c r="FP67" s="1686"/>
      <c r="FQ67" s="1686"/>
      <c r="FR67" s="1686"/>
      <c r="FS67" s="1686"/>
      <c r="FT67" s="1686"/>
      <c r="FU67" s="1686"/>
      <c r="FV67" s="1686"/>
      <c r="FW67" s="1686"/>
      <c r="FX67" s="1686"/>
      <c r="FY67" s="1686"/>
      <c r="FZ67" s="1686"/>
      <c r="GA67" s="1686"/>
      <c r="GB67" s="1686"/>
      <c r="GC67" s="1686"/>
      <c r="GD67" s="1686"/>
      <c r="GE67" s="1686"/>
      <c r="GF67" s="1686"/>
      <c r="GG67" s="1686"/>
      <c r="GH67" s="1686"/>
      <c r="GI67" s="1686"/>
      <c r="GJ67" s="1686"/>
      <c r="GK67" s="1686"/>
      <c r="GL67" s="1686"/>
      <c r="GM67" s="1686"/>
      <c r="GN67" s="1686"/>
      <c r="GO67" s="1686"/>
      <c r="GP67" s="1686"/>
      <c r="GQ67" s="1686"/>
      <c r="GR67" s="1686"/>
      <c r="GS67" s="1686"/>
      <c r="GT67" s="1686"/>
      <c r="GU67" s="1686"/>
      <c r="GV67" s="1686"/>
      <c r="GW67" s="1686"/>
      <c r="GX67" s="1686"/>
      <c r="GY67" s="1686"/>
      <c r="GZ67" s="1686"/>
      <c r="HA67" s="1686"/>
      <c r="HB67" s="1686"/>
      <c r="HC67" s="1686"/>
      <c r="HD67" s="1686"/>
      <c r="HE67" s="1686"/>
      <c r="HF67" s="1686"/>
      <c r="HG67" s="1686"/>
      <c r="HH67" s="1686"/>
      <c r="HI67" s="1686"/>
      <c r="HJ67" s="1686"/>
      <c r="HK67" s="1686"/>
      <c r="HL67" s="1686"/>
      <c r="HM67" s="1686"/>
      <c r="HN67" s="1686"/>
      <c r="HO67" s="1686"/>
      <c r="HP67" s="1686"/>
      <c r="HQ67" s="1686"/>
      <c r="HR67" s="1686"/>
      <c r="HS67" s="1686"/>
      <c r="HT67" s="1686"/>
      <c r="HU67" s="1686"/>
      <c r="HV67" s="1686"/>
      <c r="HW67" s="1686"/>
      <c r="HX67" s="1686"/>
      <c r="HY67" s="1686"/>
      <c r="HZ67" s="1686"/>
      <c r="IA67" s="1686"/>
      <c r="IB67" s="1686"/>
      <c r="IC67" s="1686"/>
      <c r="ID67" s="1686"/>
      <c r="IE67" s="1686"/>
      <c r="IF67" s="1686"/>
      <c r="IG67" s="1686"/>
      <c r="IH67" s="1686"/>
      <c r="II67" s="1686"/>
      <c r="IJ67" s="1686"/>
      <c r="IK67" s="1686"/>
      <c r="IL67" s="1686"/>
      <c r="IM67" s="1686"/>
      <c r="IN67" s="1686"/>
      <c r="IO67" s="1686"/>
      <c r="IP67" s="1686"/>
      <c r="IQ67" s="1686"/>
      <c r="IR67" s="1686"/>
      <c r="IS67" s="1686"/>
      <c r="IT67" s="1686"/>
      <c r="IU67" s="1686"/>
      <c r="IV67" s="1686"/>
    </row>
    <row r="68" spans="1:256" ht="24" hidden="1" customHeight="1" outlineLevel="1" x14ac:dyDescent="0.2">
      <c r="A68" s="4506"/>
      <c r="B68" s="1741" t="s">
        <v>1751</v>
      </c>
      <c r="C68" s="1628" t="s">
        <v>1701</v>
      </c>
      <c r="D68" s="1610">
        <f t="shared" ref="D68:I68" si="53">IF(D67=0,,D69/1000/D67)</f>
        <v>0</v>
      </c>
      <c r="E68" s="1609">
        <f t="shared" si="53"/>
        <v>0</v>
      </c>
      <c r="F68" s="1610"/>
      <c r="G68" s="1609"/>
      <c r="H68" s="1611">
        <f t="shared" si="53"/>
        <v>0</v>
      </c>
      <c r="I68" s="1609">
        <f t="shared" si="53"/>
        <v>0</v>
      </c>
      <c r="J68" s="1610"/>
      <c r="K68" s="1609"/>
      <c r="L68" s="1610"/>
      <c r="M68" s="1609"/>
      <c r="N68" s="1610"/>
      <c r="O68" s="1609"/>
      <c r="P68" s="1610"/>
      <c r="Q68" s="1609"/>
      <c r="R68" s="1610"/>
      <c r="S68" s="1609"/>
      <c r="T68" s="1610"/>
      <c r="U68" s="1609"/>
      <c r="V68" s="1610"/>
      <c r="W68" s="1613"/>
      <c r="X68" s="1637"/>
      <c r="Y68" s="1642"/>
      <c r="Z68" s="1687"/>
      <c r="AA68" s="1687"/>
      <c r="AB68" s="1686"/>
      <c r="AC68" s="1677"/>
      <c r="AD68" s="1677"/>
      <c r="AE68" s="1677"/>
      <c r="AF68" s="1677"/>
      <c r="AG68" s="1677"/>
      <c r="AH68" s="1677"/>
      <c r="AI68" s="1686"/>
      <c r="AJ68" s="1688"/>
      <c r="AK68" s="1688"/>
      <c r="AL68" s="1688"/>
      <c r="AM68" s="1688"/>
      <c r="AN68" s="1688"/>
      <c r="AO68" s="1688"/>
      <c r="AP68" s="1686"/>
      <c r="AQ68" s="1686"/>
      <c r="AR68" s="1686"/>
      <c r="AS68" s="1686"/>
      <c r="AT68" s="1686"/>
      <c r="AU68" s="1686"/>
      <c r="AV68" s="1686"/>
      <c r="AW68" s="1686"/>
      <c r="AX68" s="1686"/>
      <c r="AY68" s="1686"/>
      <c r="AZ68" s="1686"/>
      <c r="BA68" s="1686"/>
      <c r="BB68" s="1686"/>
      <c r="BC68" s="1686"/>
      <c r="BD68" s="1686"/>
      <c r="BE68" s="1686"/>
      <c r="BF68" s="1686"/>
      <c r="BG68" s="1686"/>
      <c r="BH68" s="1686"/>
      <c r="BI68" s="1686"/>
      <c r="BJ68" s="1686"/>
      <c r="BK68" s="1686"/>
      <c r="BL68" s="1686"/>
      <c r="BM68" s="1686"/>
      <c r="BN68" s="1686"/>
      <c r="BO68" s="1686"/>
      <c r="BP68" s="1686"/>
      <c r="BQ68" s="1686"/>
      <c r="BR68" s="1686"/>
      <c r="BS68" s="1686"/>
      <c r="BT68" s="1686"/>
      <c r="BU68" s="1686"/>
      <c r="BV68" s="1686"/>
      <c r="BW68" s="1686"/>
      <c r="BX68" s="1686"/>
      <c r="BY68" s="1686"/>
      <c r="BZ68" s="1686"/>
      <c r="CA68" s="1686"/>
      <c r="CB68" s="1686"/>
      <c r="CC68" s="1686"/>
      <c r="CD68" s="1686"/>
      <c r="CE68" s="1686"/>
      <c r="CF68" s="1686"/>
      <c r="CG68" s="1686"/>
      <c r="CH68" s="1686"/>
      <c r="CI68" s="1686"/>
      <c r="CJ68" s="1686"/>
      <c r="CK68" s="1686"/>
      <c r="CL68" s="1686"/>
      <c r="CM68" s="1686"/>
      <c r="CN68" s="1686"/>
      <c r="CO68" s="1686"/>
      <c r="CP68" s="1686"/>
      <c r="CQ68" s="1686"/>
      <c r="CR68" s="1686"/>
      <c r="CS68" s="1686"/>
      <c r="CT68" s="1686"/>
      <c r="CU68" s="1686"/>
      <c r="CV68" s="1686"/>
      <c r="CW68" s="1686"/>
      <c r="CX68" s="1686"/>
      <c r="CY68" s="1686"/>
      <c r="CZ68" s="1686"/>
      <c r="DA68" s="1686"/>
      <c r="DB68" s="1686"/>
      <c r="DC68" s="1686"/>
      <c r="DD68" s="1686"/>
      <c r="DE68" s="1686"/>
      <c r="DF68" s="1686"/>
      <c r="DG68" s="1686"/>
      <c r="DH68" s="1686"/>
      <c r="DI68" s="1686"/>
      <c r="DJ68" s="1686"/>
      <c r="DK68" s="1686"/>
      <c r="DL68" s="1686"/>
      <c r="DM68" s="1686"/>
      <c r="DN68" s="1686"/>
      <c r="DO68" s="1686"/>
      <c r="DP68" s="1686"/>
      <c r="DQ68" s="1686"/>
      <c r="DR68" s="1686"/>
      <c r="DS68" s="1686"/>
      <c r="DT68" s="1686"/>
      <c r="DU68" s="1686"/>
      <c r="DV68" s="1686"/>
      <c r="DW68" s="1686"/>
      <c r="DX68" s="1686"/>
      <c r="DY68" s="1686"/>
      <c r="DZ68" s="1686"/>
      <c r="EA68" s="1686"/>
      <c r="EB68" s="1686"/>
      <c r="EC68" s="1686"/>
      <c r="ED68" s="1686"/>
      <c r="EE68" s="1686"/>
      <c r="EF68" s="1686"/>
      <c r="EG68" s="1686"/>
      <c r="EH68" s="1686"/>
      <c r="EI68" s="1686"/>
      <c r="EJ68" s="1686"/>
      <c r="EK68" s="1686"/>
      <c r="EL68" s="1686"/>
      <c r="EM68" s="1686"/>
      <c r="EN68" s="1686"/>
      <c r="EO68" s="1686"/>
      <c r="EP68" s="1686"/>
      <c r="EQ68" s="1686"/>
      <c r="ER68" s="1686"/>
      <c r="ES68" s="1686"/>
      <c r="ET68" s="1686"/>
      <c r="EU68" s="1686"/>
      <c r="EV68" s="1686"/>
      <c r="EW68" s="1686"/>
      <c r="EX68" s="1686"/>
      <c r="EY68" s="1686"/>
      <c r="EZ68" s="1686"/>
      <c r="FA68" s="1686"/>
      <c r="FB68" s="1686"/>
      <c r="FC68" s="1686"/>
      <c r="FD68" s="1686"/>
      <c r="FE68" s="1686"/>
      <c r="FF68" s="1686"/>
      <c r="FG68" s="1686"/>
      <c r="FH68" s="1686"/>
      <c r="FI68" s="1686"/>
      <c r="FJ68" s="1686"/>
      <c r="FK68" s="1686"/>
      <c r="FL68" s="1686"/>
      <c r="FM68" s="1686"/>
      <c r="FN68" s="1686"/>
      <c r="FO68" s="1686"/>
      <c r="FP68" s="1686"/>
      <c r="FQ68" s="1686"/>
      <c r="FR68" s="1686"/>
      <c r="FS68" s="1686"/>
      <c r="FT68" s="1686"/>
      <c r="FU68" s="1686"/>
      <c r="FV68" s="1686"/>
      <c r="FW68" s="1686"/>
      <c r="FX68" s="1686"/>
      <c r="FY68" s="1686"/>
      <c r="FZ68" s="1686"/>
      <c r="GA68" s="1686"/>
      <c r="GB68" s="1686"/>
      <c r="GC68" s="1686"/>
      <c r="GD68" s="1686"/>
      <c r="GE68" s="1686"/>
      <c r="GF68" s="1686"/>
      <c r="GG68" s="1686"/>
      <c r="GH68" s="1686"/>
      <c r="GI68" s="1686"/>
      <c r="GJ68" s="1686"/>
      <c r="GK68" s="1686"/>
      <c r="GL68" s="1686"/>
      <c r="GM68" s="1686"/>
      <c r="GN68" s="1686"/>
      <c r="GO68" s="1686"/>
      <c r="GP68" s="1686"/>
      <c r="GQ68" s="1686"/>
      <c r="GR68" s="1686"/>
      <c r="GS68" s="1686"/>
      <c r="GT68" s="1686"/>
      <c r="GU68" s="1686"/>
      <c r="GV68" s="1686"/>
      <c r="GW68" s="1686"/>
      <c r="GX68" s="1686"/>
      <c r="GY68" s="1686"/>
      <c r="GZ68" s="1686"/>
      <c r="HA68" s="1686"/>
      <c r="HB68" s="1686"/>
      <c r="HC68" s="1686"/>
      <c r="HD68" s="1686"/>
      <c r="HE68" s="1686"/>
      <c r="HF68" s="1686"/>
      <c r="HG68" s="1686"/>
      <c r="HH68" s="1686"/>
      <c r="HI68" s="1686"/>
      <c r="HJ68" s="1686"/>
      <c r="HK68" s="1686"/>
      <c r="HL68" s="1686"/>
      <c r="HM68" s="1686"/>
      <c r="HN68" s="1686"/>
      <c r="HO68" s="1686"/>
      <c r="HP68" s="1686"/>
      <c r="HQ68" s="1686"/>
      <c r="HR68" s="1686"/>
      <c r="HS68" s="1686"/>
      <c r="HT68" s="1686"/>
      <c r="HU68" s="1686"/>
      <c r="HV68" s="1686"/>
      <c r="HW68" s="1686"/>
      <c r="HX68" s="1686"/>
      <c r="HY68" s="1686"/>
      <c r="HZ68" s="1686"/>
      <c r="IA68" s="1686"/>
      <c r="IB68" s="1686"/>
      <c r="IC68" s="1686"/>
      <c r="ID68" s="1686"/>
      <c r="IE68" s="1686"/>
      <c r="IF68" s="1686"/>
      <c r="IG68" s="1686"/>
      <c r="IH68" s="1686"/>
      <c r="II68" s="1686"/>
      <c r="IJ68" s="1686"/>
      <c r="IK68" s="1686"/>
      <c r="IL68" s="1686"/>
      <c r="IM68" s="1686"/>
      <c r="IN68" s="1686"/>
      <c r="IO68" s="1686"/>
      <c r="IP68" s="1686"/>
      <c r="IQ68" s="1686"/>
      <c r="IR68" s="1686"/>
      <c r="IS68" s="1686"/>
      <c r="IT68" s="1686"/>
      <c r="IU68" s="1686"/>
      <c r="IV68" s="1686"/>
    </row>
    <row r="69" spans="1:256" ht="24" hidden="1" customHeight="1" outlineLevel="1" x14ac:dyDescent="0.2">
      <c r="A69" s="4507"/>
      <c r="B69" s="1744" t="s">
        <v>1752</v>
      </c>
      <c r="C69" s="1629" t="s">
        <v>1704</v>
      </c>
      <c r="D69" s="1610"/>
      <c r="E69" s="1609"/>
      <c r="F69" s="1610"/>
      <c r="G69" s="1609"/>
      <c r="H69" s="1611">
        <f>J69+L69+N69+P69+R69+T69+V69</f>
        <v>0</v>
      </c>
      <c r="I69" s="1609">
        <f>K69+M69+O69+Q69+S69+U69+W69</f>
        <v>0</v>
      </c>
      <c r="J69" s="1610">
        <f>J67*J68/1000</f>
        <v>0</v>
      </c>
      <c r="K69" s="1609">
        <f t="shared" ref="K69:W69" si="54">K67*K68/1000</f>
        <v>0</v>
      </c>
      <c r="L69" s="1610">
        <f t="shared" si="54"/>
        <v>0</v>
      </c>
      <c r="M69" s="1609">
        <f t="shared" si="54"/>
        <v>0</v>
      </c>
      <c r="N69" s="1610">
        <f t="shared" si="54"/>
        <v>0</v>
      </c>
      <c r="O69" s="1609">
        <f t="shared" si="54"/>
        <v>0</v>
      </c>
      <c r="P69" s="1610">
        <f t="shared" si="54"/>
        <v>0</v>
      </c>
      <c r="Q69" s="1609">
        <f t="shared" si="54"/>
        <v>0</v>
      </c>
      <c r="R69" s="1610">
        <f t="shared" si="54"/>
        <v>0</v>
      </c>
      <c r="S69" s="1609">
        <f t="shared" si="54"/>
        <v>0</v>
      </c>
      <c r="T69" s="1610">
        <f t="shared" si="54"/>
        <v>0</v>
      </c>
      <c r="U69" s="1609">
        <f t="shared" si="54"/>
        <v>0</v>
      </c>
      <c r="V69" s="1610">
        <f t="shared" si="54"/>
        <v>0</v>
      </c>
      <c r="W69" s="1609">
        <f t="shared" si="54"/>
        <v>0</v>
      </c>
      <c r="X69" s="1637">
        <f t="shared" ref="X69:Y69" si="55">X67*X68/1000</f>
        <v>0</v>
      </c>
      <c r="Y69" s="1636">
        <f t="shared" si="55"/>
        <v>0</v>
      </c>
      <c r="Z69" s="1687"/>
      <c r="AA69" s="1687"/>
      <c r="AB69" s="1686"/>
      <c r="AC69" s="1677"/>
      <c r="AD69" s="1677"/>
      <c r="AE69" s="1677"/>
      <c r="AF69" s="1677"/>
      <c r="AG69" s="1677"/>
      <c r="AH69" s="1677"/>
      <c r="AI69" s="1686"/>
      <c r="AJ69" s="1688"/>
      <c r="AK69" s="1688"/>
      <c r="AL69" s="1688"/>
      <c r="AM69" s="1688"/>
      <c r="AN69" s="1688"/>
      <c r="AO69" s="1688"/>
      <c r="AP69" s="1686"/>
      <c r="AQ69" s="1686"/>
      <c r="AR69" s="1686"/>
      <c r="AS69" s="1686"/>
      <c r="AT69" s="1686"/>
      <c r="AU69" s="1686"/>
      <c r="AV69" s="1686"/>
      <c r="AW69" s="1686"/>
      <c r="AX69" s="1686"/>
      <c r="AY69" s="1686"/>
      <c r="AZ69" s="1686"/>
      <c r="BA69" s="1686"/>
      <c r="BB69" s="1686"/>
      <c r="BC69" s="1686"/>
      <c r="BD69" s="1686"/>
      <c r="BE69" s="1686"/>
      <c r="BF69" s="1686"/>
      <c r="BG69" s="1686"/>
      <c r="BH69" s="1686"/>
      <c r="BI69" s="1686"/>
      <c r="BJ69" s="1686"/>
      <c r="BK69" s="1686"/>
      <c r="BL69" s="1686"/>
      <c r="BM69" s="1686"/>
      <c r="BN69" s="1686"/>
      <c r="BO69" s="1686"/>
      <c r="BP69" s="1686"/>
      <c r="BQ69" s="1686"/>
      <c r="BR69" s="1686"/>
      <c r="BS69" s="1686"/>
      <c r="BT69" s="1686"/>
      <c r="BU69" s="1686"/>
      <c r="BV69" s="1686"/>
      <c r="BW69" s="1686"/>
      <c r="BX69" s="1686"/>
      <c r="BY69" s="1686"/>
      <c r="BZ69" s="1686"/>
      <c r="CA69" s="1686"/>
      <c r="CB69" s="1686"/>
      <c r="CC69" s="1686"/>
      <c r="CD69" s="1686"/>
      <c r="CE69" s="1686"/>
      <c r="CF69" s="1686"/>
      <c r="CG69" s="1686"/>
      <c r="CH69" s="1686"/>
      <c r="CI69" s="1686"/>
      <c r="CJ69" s="1686"/>
      <c r="CK69" s="1686"/>
      <c r="CL69" s="1686"/>
      <c r="CM69" s="1686"/>
      <c r="CN69" s="1686"/>
      <c r="CO69" s="1686"/>
      <c r="CP69" s="1686"/>
      <c r="CQ69" s="1686"/>
      <c r="CR69" s="1686"/>
      <c r="CS69" s="1686"/>
      <c r="CT69" s="1686"/>
      <c r="CU69" s="1686"/>
      <c r="CV69" s="1686"/>
      <c r="CW69" s="1686"/>
      <c r="CX69" s="1686"/>
      <c r="CY69" s="1686"/>
      <c r="CZ69" s="1686"/>
      <c r="DA69" s="1686"/>
      <c r="DB69" s="1686"/>
      <c r="DC69" s="1686"/>
      <c r="DD69" s="1686"/>
      <c r="DE69" s="1686"/>
      <c r="DF69" s="1686"/>
      <c r="DG69" s="1686"/>
      <c r="DH69" s="1686"/>
      <c r="DI69" s="1686"/>
      <c r="DJ69" s="1686"/>
      <c r="DK69" s="1686"/>
      <c r="DL69" s="1686"/>
      <c r="DM69" s="1686"/>
      <c r="DN69" s="1686"/>
      <c r="DO69" s="1686"/>
      <c r="DP69" s="1686"/>
      <c r="DQ69" s="1686"/>
      <c r="DR69" s="1686"/>
      <c r="DS69" s="1686"/>
      <c r="DT69" s="1686"/>
      <c r="DU69" s="1686"/>
      <c r="DV69" s="1686"/>
      <c r="DW69" s="1686"/>
      <c r="DX69" s="1686"/>
      <c r="DY69" s="1686"/>
      <c r="DZ69" s="1686"/>
      <c r="EA69" s="1686"/>
      <c r="EB69" s="1686"/>
      <c r="EC69" s="1686"/>
      <c r="ED69" s="1686"/>
      <c r="EE69" s="1686"/>
      <c r="EF69" s="1686"/>
      <c r="EG69" s="1686"/>
      <c r="EH69" s="1686"/>
      <c r="EI69" s="1686"/>
      <c r="EJ69" s="1686"/>
      <c r="EK69" s="1686"/>
      <c r="EL69" s="1686"/>
      <c r="EM69" s="1686"/>
      <c r="EN69" s="1686"/>
      <c r="EO69" s="1686"/>
      <c r="EP69" s="1686"/>
      <c r="EQ69" s="1686"/>
      <c r="ER69" s="1686"/>
      <c r="ES69" s="1686"/>
      <c r="ET69" s="1686"/>
      <c r="EU69" s="1686"/>
      <c r="EV69" s="1686"/>
      <c r="EW69" s="1686"/>
      <c r="EX69" s="1686"/>
      <c r="EY69" s="1686"/>
      <c r="EZ69" s="1686"/>
      <c r="FA69" s="1686"/>
      <c r="FB69" s="1686"/>
      <c r="FC69" s="1686"/>
      <c r="FD69" s="1686"/>
      <c r="FE69" s="1686"/>
      <c r="FF69" s="1686"/>
      <c r="FG69" s="1686"/>
      <c r="FH69" s="1686"/>
      <c r="FI69" s="1686"/>
      <c r="FJ69" s="1686"/>
      <c r="FK69" s="1686"/>
      <c r="FL69" s="1686"/>
      <c r="FM69" s="1686"/>
      <c r="FN69" s="1686"/>
      <c r="FO69" s="1686"/>
      <c r="FP69" s="1686"/>
      <c r="FQ69" s="1686"/>
      <c r="FR69" s="1686"/>
      <c r="FS69" s="1686"/>
      <c r="FT69" s="1686"/>
      <c r="FU69" s="1686"/>
      <c r="FV69" s="1686"/>
      <c r="FW69" s="1686"/>
      <c r="FX69" s="1686"/>
      <c r="FY69" s="1686"/>
      <c r="FZ69" s="1686"/>
      <c r="GA69" s="1686"/>
      <c r="GB69" s="1686"/>
      <c r="GC69" s="1686"/>
      <c r="GD69" s="1686"/>
      <c r="GE69" s="1686"/>
      <c r="GF69" s="1686"/>
      <c r="GG69" s="1686"/>
      <c r="GH69" s="1686"/>
      <c r="GI69" s="1686"/>
      <c r="GJ69" s="1686"/>
      <c r="GK69" s="1686"/>
      <c r="GL69" s="1686"/>
      <c r="GM69" s="1686"/>
      <c r="GN69" s="1686"/>
      <c r="GO69" s="1686"/>
      <c r="GP69" s="1686"/>
      <c r="GQ69" s="1686"/>
      <c r="GR69" s="1686"/>
      <c r="GS69" s="1686"/>
      <c r="GT69" s="1686"/>
      <c r="GU69" s="1686"/>
      <c r="GV69" s="1686"/>
      <c r="GW69" s="1686"/>
      <c r="GX69" s="1686"/>
      <c r="GY69" s="1686"/>
      <c r="GZ69" s="1686"/>
      <c r="HA69" s="1686"/>
      <c r="HB69" s="1686"/>
      <c r="HC69" s="1686"/>
      <c r="HD69" s="1686"/>
      <c r="HE69" s="1686"/>
      <c r="HF69" s="1686"/>
      <c r="HG69" s="1686"/>
      <c r="HH69" s="1686"/>
      <c r="HI69" s="1686"/>
      <c r="HJ69" s="1686"/>
      <c r="HK69" s="1686"/>
      <c r="HL69" s="1686"/>
      <c r="HM69" s="1686"/>
      <c r="HN69" s="1686"/>
      <c r="HO69" s="1686"/>
      <c r="HP69" s="1686"/>
      <c r="HQ69" s="1686"/>
      <c r="HR69" s="1686"/>
      <c r="HS69" s="1686"/>
      <c r="HT69" s="1686"/>
      <c r="HU69" s="1686"/>
      <c r="HV69" s="1686"/>
      <c r="HW69" s="1686"/>
      <c r="HX69" s="1686"/>
      <c r="HY69" s="1686"/>
      <c r="HZ69" s="1686"/>
      <c r="IA69" s="1686"/>
      <c r="IB69" s="1686"/>
      <c r="IC69" s="1686"/>
      <c r="ID69" s="1686"/>
      <c r="IE69" s="1686"/>
      <c r="IF69" s="1686"/>
      <c r="IG69" s="1686"/>
      <c r="IH69" s="1686"/>
      <c r="II69" s="1686"/>
      <c r="IJ69" s="1686"/>
      <c r="IK69" s="1686"/>
      <c r="IL69" s="1686"/>
      <c r="IM69" s="1686"/>
      <c r="IN69" s="1686"/>
      <c r="IO69" s="1686"/>
      <c r="IP69" s="1686"/>
      <c r="IQ69" s="1686"/>
      <c r="IR69" s="1686"/>
      <c r="IS69" s="1686"/>
      <c r="IT69" s="1686"/>
      <c r="IU69" s="1686"/>
      <c r="IV69" s="1686"/>
    </row>
    <row r="70" spans="1:256" ht="13.15" hidden="1" customHeight="1" outlineLevel="1" x14ac:dyDescent="0.2">
      <c r="A70" s="4505" t="s">
        <v>1753</v>
      </c>
      <c r="B70" s="1741" t="s">
        <v>1754</v>
      </c>
      <c r="C70" s="1628" t="s">
        <v>1669</v>
      </c>
      <c r="D70" s="1610"/>
      <c r="E70" s="1609"/>
      <c r="F70" s="1610"/>
      <c r="G70" s="1609"/>
      <c r="H70" s="1611">
        <f>J70+L70+N70+P70+R70+T70+V70</f>
        <v>0</v>
      </c>
      <c r="I70" s="1609">
        <f>K70+M70+O70+Q70+S70+U70+W70</f>
        <v>0</v>
      </c>
      <c r="J70" s="1610"/>
      <c r="K70" s="1609"/>
      <c r="L70" s="1610"/>
      <c r="M70" s="1609"/>
      <c r="N70" s="1610"/>
      <c r="O70" s="1609"/>
      <c r="P70" s="1610"/>
      <c r="Q70" s="1609"/>
      <c r="R70" s="1610"/>
      <c r="S70" s="1609"/>
      <c r="T70" s="1610"/>
      <c r="U70" s="1609"/>
      <c r="V70" s="1610"/>
      <c r="W70" s="1613"/>
      <c r="X70" s="1637"/>
      <c r="Y70" s="1642"/>
      <c r="Z70" s="1687"/>
      <c r="AA70" s="1687"/>
      <c r="AB70" s="1686"/>
      <c r="AC70" s="1677"/>
      <c r="AD70" s="1677"/>
      <c r="AE70" s="1677"/>
      <c r="AF70" s="1677"/>
      <c r="AG70" s="1677"/>
      <c r="AH70" s="1677"/>
      <c r="AI70" s="1686"/>
      <c r="AJ70" s="1688"/>
      <c r="AK70" s="1688"/>
      <c r="AL70" s="1688"/>
      <c r="AM70" s="1688"/>
      <c r="AN70" s="1688"/>
      <c r="AO70" s="1688"/>
      <c r="AP70" s="1686"/>
      <c r="AQ70" s="1686"/>
      <c r="AR70" s="1686"/>
      <c r="AS70" s="1686"/>
      <c r="AT70" s="1686"/>
      <c r="AU70" s="1686"/>
      <c r="AV70" s="1686"/>
      <c r="AW70" s="1686"/>
      <c r="AX70" s="1686"/>
      <c r="AY70" s="1686"/>
      <c r="AZ70" s="1686"/>
      <c r="BA70" s="1686"/>
      <c r="BB70" s="1686"/>
      <c r="BC70" s="1686"/>
      <c r="BD70" s="1686"/>
      <c r="BE70" s="1686"/>
      <c r="BF70" s="1686"/>
      <c r="BG70" s="1686"/>
      <c r="BH70" s="1686"/>
      <c r="BI70" s="1686"/>
      <c r="BJ70" s="1686"/>
      <c r="BK70" s="1686"/>
      <c r="BL70" s="1686"/>
      <c r="BM70" s="1686"/>
      <c r="BN70" s="1686"/>
      <c r="BO70" s="1686"/>
      <c r="BP70" s="1686"/>
      <c r="BQ70" s="1686"/>
      <c r="BR70" s="1686"/>
      <c r="BS70" s="1686"/>
      <c r="BT70" s="1686"/>
      <c r="BU70" s="1686"/>
      <c r="BV70" s="1686"/>
      <c r="BW70" s="1686"/>
      <c r="BX70" s="1686"/>
      <c r="BY70" s="1686"/>
      <c r="BZ70" s="1686"/>
      <c r="CA70" s="1686"/>
      <c r="CB70" s="1686"/>
      <c r="CC70" s="1686"/>
      <c r="CD70" s="1686"/>
      <c r="CE70" s="1686"/>
      <c r="CF70" s="1686"/>
      <c r="CG70" s="1686"/>
      <c r="CH70" s="1686"/>
      <c r="CI70" s="1686"/>
      <c r="CJ70" s="1686"/>
      <c r="CK70" s="1686"/>
      <c r="CL70" s="1686"/>
      <c r="CM70" s="1686"/>
      <c r="CN70" s="1686"/>
      <c r="CO70" s="1686"/>
      <c r="CP70" s="1686"/>
      <c r="CQ70" s="1686"/>
      <c r="CR70" s="1686"/>
      <c r="CS70" s="1686"/>
      <c r="CT70" s="1686"/>
      <c r="CU70" s="1686"/>
      <c r="CV70" s="1686"/>
      <c r="CW70" s="1686"/>
      <c r="CX70" s="1686"/>
      <c r="CY70" s="1686"/>
      <c r="CZ70" s="1686"/>
      <c r="DA70" s="1686"/>
      <c r="DB70" s="1686"/>
      <c r="DC70" s="1686"/>
      <c r="DD70" s="1686"/>
      <c r="DE70" s="1686"/>
      <c r="DF70" s="1686"/>
      <c r="DG70" s="1686"/>
      <c r="DH70" s="1686"/>
      <c r="DI70" s="1686"/>
      <c r="DJ70" s="1686"/>
      <c r="DK70" s="1686"/>
      <c r="DL70" s="1686"/>
      <c r="DM70" s="1686"/>
      <c r="DN70" s="1686"/>
      <c r="DO70" s="1686"/>
      <c r="DP70" s="1686"/>
      <c r="DQ70" s="1686"/>
      <c r="DR70" s="1686"/>
      <c r="DS70" s="1686"/>
      <c r="DT70" s="1686"/>
      <c r="DU70" s="1686"/>
      <c r="DV70" s="1686"/>
      <c r="DW70" s="1686"/>
      <c r="DX70" s="1686"/>
      <c r="DY70" s="1686"/>
      <c r="DZ70" s="1686"/>
      <c r="EA70" s="1686"/>
      <c r="EB70" s="1686"/>
      <c r="EC70" s="1686"/>
      <c r="ED70" s="1686"/>
      <c r="EE70" s="1686"/>
      <c r="EF70" s="1686"/>
      <c r="EG70" s="1686"/>
      <c r="EH70" s="1686"/>
      <c r="EI70" s="1686"/>
      <c r="EJ70" s="1686"/>
      <c r="EK70" s="1686"/>
      <c r="EL70" s="1686"/>
      <c r="EM70" s="1686"/>
      <c r="EN70" s="1686"/>
      <c r="EO70" s="1686"/>
      <c r="EP70" s="1686"/>
      <c r="EQ70" s="1686"/>
      <c r="ER70" s="1686"/>
      <c r="ES70" s="1686"/>
      <c r="ET70" s="1686"/>
      <c r="EU70" s="1686"/>
      <c r="EV70" s="1686"/>
      <c r="EW70" s="1686"/>
      <c r="EX70" s="1686"/>
      <c r="EY70" s="1686"/>
      <c r="EZ70" s="1686"/>
      <c r="FA70" s="1686"/>
      <c r="FB70" s="1686"/>
      <c r="FC70" s="1686"/>
      <c r="FD70" s="1686"/>
      <c r="FE70" s="1686"/>
      <c r="FF70" s="1686"/>
      <c r="FG70" s="1686"/>
      <c r="FH70" s="1686"/>
      <c r="FI70" s="1686"/>
      <c r="FJ70" s="1686"/>
      <c r="FK70" s="1686"/>
      <c r="FL70" s="1686"/>
      <c r="FM70" s="1686"/>
      <c r="FN70" s="1686"/>
      <c r="FO70" s="1686"/>
      <c r="FP70" s="1686"/>
      <c r="FQ70" s="1686"/>
      <c r="FR70" s="1686"/>
      <c r="FS70" s="1686"/>
      <c r="FT70" s="1686"/>
      <c r="FU70" s="1686"/>
      <c r="FV70" s="1686"/>
      <c r="FW70" s="1686"/>
      <c r="FX70" s="1686"/>
      <c r="FY70" s="1686"/>
      <c r="FZ70" s="1686"/>
      <c r="GA70" s="1686"/>
      <c r="GB70" s="1686"/>
      <c r="GC70" s="1686"/>
      <c r="GD70" s="1686"/>
      <c r="GE70" s="1686"/>
      <c r="GF70" s="1686"/>
      <c r="GG70" s="1686"/>
      <c r="GH70" s="1686"/>
      <c r="GI70" s="1686"/>
      <c r="GJ70" s="1686"/>
      <c r="GK70" s="1686"/>
      <c r="GL70" s="1686"/>
      <c r="GM70" s="1686"/>
      <c r="GN70" s="1686"/>
      <c r="GO70" s="1686"/>
      <c r="GP70" s="1686"/>
      <c r="GQ70" s="1686"/>
      <c r="GR70" s="1686"/>
      <c r="GS70" s="1686"/>
      <c r="GT70" s="1686"/>
      <c r="GU70" s="1686"/>
      <c r="GV70" s="1686"/>
      <c r="GW70" s="1686"/>
      <c r="GX70" s="1686"/>
      <c r="GY70" s="1686"/>
      <c r="GZ70" s="1686"/>
      <c r="HA70" s="1686"/>
      <c r="HB70" s="1686"/>
      <c r="HC70" s="1686"/>
      <c r="HD70" s="1686"/>
      <c r="HE70" s="1686"/>
      <c r="HF70" s="1686"/>
      <c r="HG70" s="1686"/>
      <c r="HH70" s="1686"/>
      <c r="HI70" s="1686"/>
      <c r="HJ70" s="1686"/>
      <c r="HK70" s="1686"/>
      <c r="HL70" s="1686"/>
      <c r="HM70" s="1686"/>
      <c r="HN70" s="1686"/>
      <c r="HO70" s="1686"/>
      <c r="HP70" s="1686"/>
      <c r="HQ70" s="1686"/>
      <c r="HR70" s="1686"/>
      <c r="HS70" s="1686"/>
      <c r="HT70" s="1686"/>
      <c r="HU70" s="1686"/>
      <c r="HV70" s="1686"/>
      <c r="HW70" s="1686"/>
      <c r="HX70" s="1686"/>
      <c r="HY70" s="1686"/>
      <c r="HZ70" s="1686"/>
      <c r="IA70" s="1686"/>
      <c r="IB70" s="1686"/>
      <c r="IC70" s="1686"/>
      <c r="ID70" s="1686"/>
      <c r="IE70" s="1686"/>
      <c r="IF70" s="1686"/>
      <c r="IG70" s="1686"/>
      <c r="IH70" s="1686"/>
      <c r="II70" s="1686"/>
      <c r="IJ70" s="1686"/>
      <c r="IK70" s="1686"/>
      <c r="IL70" s="1686"/>
      <c r="IM70" s="1686"/>
      <c r="IN70" s="1686"/>
      <c r="IO70" s="1686"/>
      <c r="IP70" s="1686"/>
      <c r="IQ70" s="1686"/>
      <c r="IR70" s="1686"/>
      <c r="IS70" s="1686"/>
      <c r="IT70" s="1686"/>
      <c r="IU70" s="1686"/>
      <c r="IV70" s="1686"/>
    </row>
    <row r="71" spans="1:256" ht="24" hidden="1" customHeight="1" outlineLevel="1" x14ac:dyDescent="0.2">
      <c r="A71" s="4506"/>
      <c r="B71" s="1741" t="s">
        <v>1755</v>
      </c>
      <c r="C71" s="1628" t="s">
        <v>1701</v>
      </c>
      <c r="D71" s="1610">
        <f t="shared" ref="D71:I71" si="56">IF(D70=0,,D72/1000/D70)</f>
        <v>0</v>
      </c>
      <c r="E71" s="1609">
        <f t="shared" si="56"/>
        <v>0</v>
      </c>
      <c r="F71" s="1610"/>
      <c r="G71" s="1609"/>
      <c r="H71" s="1611">
        <f t="shared" si="56"/>
        <v>0</v>
      </c>
      <c r="I71" s="1609">
        <f t="shared" si="56"/>
        <v>0</v>
      </c>
      <c r="J71" s="1610"/>
      <c r="K71" s="1609"/>
      <c r="L71" s="1610"/>
      <c r="M71" s="1609"/>
      <c r="N71" s="1610"/>
      <c r="O71" s="1609"/>
      <c r="P71" s="1610"/>
      <c r="Q71" s="1609"/>
      <c r="R71" s="1610"/>
      <c r="S71" s="1609"/>
      <c r="T71" s="1610"/>
      <c r="U71" s="1609"/>
      <c r="V71" s="1610"/>
      <c r="W71" s="1613"/>
      <c r="X71" s="1637"/>
      <c r="Y71" s="1642"/>
      <c r="Z71" s="1687"/>
      <c r="AA71" s="1687"/>
      <c r="AB71" s="1686"/>
      <c r="AC71" s="1677"/>
      <c r="AD71" s="1677"/>
      <c r="AE71" s="1677"/>
      <c r="AF71" s="1677"/>
      <c r="AG71" s="1677"/>
      <c r="AH71" s="1677"/>
      <c r="AI71" s="1686"/>
      <c r="AJ71" s="1688"/>
      <c r="AK71" s="1688"/>
      <c r="AL71" s="1688"/>
      <c r="AM71" s="1688"/>
      <c r="AN71" s="1688"/>
      <c r="AO71" s="1688"/>
      <c r="AP71" s="1686"/>
      <c r="AQ71" s="1686"/>
      <c r="AR71" s="1686"/>
      <c r="AS71" s="1686"/>
      <c r="AT71" s="1686"/>
      <c r="AU71" s="1686"/>
      <c r="AV71" s="1686"/>
      <c r="AW71" s="1686"/>
      <c r="AX71" s="1686"/>
      <c r="AY71" s="1686"/>
      <c r="AZ71" s="1686"/>
      <c r="BA71" s="1686"/>
      <c r="BB71" s="1686"/>
      <c r="BC71" s="1686"/>
      <c r="BD71" s="1686"/>
      <c r="BE71" s="1686"/>
      <c r="BF71" s="1686"/>
      <c r="BG71" s="1686"/>
      <c r="BH71" s="1686"/>
      <c r="BI71" s="1686"/>
      <c r="BJ71" s="1686"/>
      <c r="BK71" s="1686"/>
      <c r="BL71" s="1686"/>
      <c r="BM71" s="1686"/>
      <c r="BN71" s="1686"/>
      <c r="BO71" s="1686"/>
      <c r="BP71" s="1686"/>
      <c r="BQ71" s="1686"/>
      <c r="BR71" s="1686"/>
      <c r="BS71" s="1686"/>
      <c r="BT71" s="1686"/>
      <c r="BU71" s="1686"/>
      <c r="BV71" s="1686"/>
      <c r="BW71" s="1686"/>
      <c r="BX71" s="1686"/>
      <c r="BY71" s="1686"/>
      <c r="BZ71" s="1686"/>
      <c r="CA71" s="1686"/>
      <c r="CB71" s="1686"/>
      <c r="CC71" s="1686"/>
      <c r="CD71" s="1686"/>
      <c r="CE71" s="1686"/>
      <c r="CF71" s="1686"/>
      <c r="CG71" s="1686"/>
      <c r="CH71" s="1686"/>
      <c r="CI71" s="1686"/>
      <c r="CJ71" s="1686"/>
      <c r="CK71" s="1686"/>
      <c r="CL71" s="1686"/>
      <c r="CM71" s="1686"/>
      <c r="CN71" s="1686"/>
      <c r="CO71" s="1686"/>
      <c r="CP71" s="1686"/>
      <c r="CQ71" s="1686"/>
      <c r="CR71" s="1686"/>
      <c r="CS71" s="1686"/>
      <c r="CT71" s="1686"/>
      <c r="CU71" s="1686"/>
      <c r="CV71" s="1686"/>
      <c r="CW71" s="1686"/>
      <c r="CX71" s="1686"/>
      <c r="CY71" s="1686"/>
      <c r="CZ71" s="1686"/>
      <c r="DA71" s="1686"/>
      <c r="DB71" s="1686"/>
      <c r="DC71" s="1686"/>
      <c r="DD71" s="1686"/>
      <c r="DE71" s="1686"/>
      <c r="DF71" s="1686"/>
      <c r="DG71" s="1686"/>
      <c r="DH71" s="1686"/>
      <c r="DI71" s="1686"/>
      <c r="DJ71" s="1686"/>
      <c r="DK71" s="1686"/>
      <c r="DL71" s="1686"/>
      <c r="DM71" s="1686"/>
      <c r="DN71" s="1686"/>
      <c r="DO71" s="1686"/>
      <c r="DP71" s="1686"/>
      <c r="DQ71" s="1686"/>
      <c r="DR71" s="1686"/>
      <c r="DS71" s="1686"/>
      <c r="DT71" s="1686"/>
      <c r="DU71" s="1686"/>
      <c r="DV71" s="1686"/>
      <c r="DW71" s="1686"/>
      <c r="DX71" s="1686"/>
      <c r="DY71" s="1686"/>
      <c r="DZ71" s="1686"/>
      <c r="EA71" s="1686"/>
      <c r="EB71" s="1686"/>
      <c r="EC71" s="1686"/>
      <c r="ED71" s="1686"/>
      <c r="EE71" s="1686"/>
      <c r="EF71" s="1686"/>
      <c r="EG71" s="1686"/>
      <c r="EH71" s="1686"/>
      <c r="EI71" s="1686"/>
      <c r="EJ71" s="1686"/>
      <c r="EK71" s="1686"/>
      <c r="EL71" s="1686"/>
      <c r="EM71" s="1686"/>
      <c r="EN71" s="1686"/>
      <c r="EO71" s="1686"/>
      <c r="EP71" s="1686"/>
      <c r="EQ71" s="1686"/>
      <c r="ER71" s="1686"/>
      <c r="ES71" s="1686"/>
      <c r="ET71" s="1686"/>
      <c r="EU71" s="1686"/>
      <c r="EV71" s="1686"/>
      <c r="EW71" s="1686"/>
      <c r="EX71" s="1686"/>
      <c r="EY71" s="1686"/>
      <c r="EZ71" s="1686"/>
      <c r="FA71" s="1686"/>
      <c r="FB71" s="1686"/>
      <c r="FC71" s="1686"/>
      <c r="FD71" s="1686"/>
      <c r="FE71" s="1686"/>
      <c r="FF71" s="1686"/>
      <c r="FG71" s="1686"/>
      <c r="FH71" s="1686"/>
      <c r="FI71" s="1686"/>
      <c r="FJ71" s="1686"/>
      <c r="FK71" s="1686"/>
      <c r="FL71" s="1686"/>
      <c r="FM71" s="1686"/>
      <c r="FN71" s="1686"/>
      <c r="FO71" s="1686"/>
      <c r="FP71" s="1686"/>
      <c r="FQ71" s="1686"/>
      <c r="FR71" s="1686"/>
      <c r="FS71" s="1686"/>
      <c r="FT71" s="1686"/>
      <c r="FU71" s="1686"/>
      <c r="FV71" s="1686"/>
      <c r="FW71" s="1686"/>
      <c r="FX71" s="1686"/>
      <c r="FY71" s="1686"/>
      <c r="FZ71" s="1686"/>
      <c r="GA71" s="1686"/>
      <c r="GB71" s="1686"/>
      <c r="GC71" s="1686"/>
      <c r="GD71" s="1686"/>
      <c r="GE71" s="1686"/>
      <c r="GF71" s="1686"/>
      <c r="GG71" s="1686"/>
      <c r="GH71" s="1686"/>
      <c r="GI71" s="1686"/>
      <c r="GJ71" s="1686"/>
      <c r="GK71" s="1686"/>
      <c r="GL71" s="1686"/>
      <c r="GM71" s="1686"/>
      <c r="GN71" s="1686"/>
      <c r="GO71" s="1686"/>
      <c r="GP71" s="1686"/>
      <c r="GQ71" s="1686"/>
      <c r="GR71" s="1686"/>
      <c r="GS71" s="1686"/>
      <c r="GT71" s="1686"/>
      <c r="GU71" s="1686"/>
      <c r="GV71" s="1686"/>
      <c r="GW71" s="1686"/>
      <c r="GX71" s="1686"/>
      <c r="GY71" s="1686"/>
      <c r="GZ71" s="1686"/>
      <c r="HA71" s="1686"/>
      <c r="HB71" s="1686"/>
      <c r="HC71" s="1686"/>
      <c r="HD71" s="1686"/>
      <c r="HE71" s="1686"/>
      <c r="HF71" s="1686"/>
      <c r="HG71" s="1686"/>
      <c r="HH71" s="1686"/>
      <c r="HI71" s="1686"/>
      <c r="HJ71" s="1686"/>
      <c r="HK71" s="1686"/>
      <c r="HL71" s="1686"/>
      <c r="HM71" s="1686"/>
      <c r="HN71" s="1686"/>
      <c r="HO71" s="1686"/>
      <c r="HP71" s="1686"/>
      <c r="HQ71" s="1686"/>
      <c r="HR71" s="1686"/>
      <c r="HS71" s="1686"/>
      <c r="HT71" s="1686"/>
      <c r="HU71" s="1686"/>
      <c r="HV71" s="1686"/>
      <c r="HW71" s="1686"/>
      <c r="HX71" s="1686"/>
      <c r="HY71" s="1686"/>
      <c r="HZ71" s="1686"/>
      <c r="IA71" s="1686"/>
      <c r="IB71" s="1686"/>
      <c r="IC71" s="1686"/>
      <c r="ID71" s="1686"/>
      <c r="IE71" s="1686"/>
      <c r="IF71" s="1686"/>
      <c r="IG71" s="1686"/>
      <c r="IH71" s="1686"/>
      <c r="II71" s="1686"/>
      <c r="IJ71" s="1686"/>
      <c r="IK71" s="1686"/>
      <c r="IL71" s="1686"/>
      <c r="IM71" s="1686"/>
      <c r="IN71" s="1686"/>
      <c r="IO71" s="1686"/>
      <c r="IP71" s="1686"/>
      <c r="IQ71" s="1686"/>
      <c r="IR71" s="1686"/>
      <c r="IS71" s="1686"/>
      <c r="IT71" s="1686"/>
      <c r="IU71" s="1686"/>
      <c r="IV71" s="1686"/>
    </row>
    <row r="72" spans="1:256" ht="24" hidden="1" customHeight="1" outlineLevel="1" x14ac:dyDescent="0.2">
      <c r="A72" s="4507"/>
      <c r="B72" s="1744" t="s">
        <v>1756</v>
      </c>
      <c r="C72" s="1629" t="s">
        <v>1704</v>
      </c>
      <c r="D72" s="1610"/>
      <c r="E72" s="1609"/>
      <c r="F72" s="1610"/>
      <c r="G72" s="1609"/>
      <c r="H72" s="1611">
        <f>J72+L72+N72+P72+R72+T72+V72</f>
        <v>0</v>
      </c>
      <c r="I72" s="1609">
        <f>K72+M72+O72+Q72+S72+U72+W72</f>
        <v>0</v>
      </c>
      <c r="J72" s="1610">
        <f>J70*J71/1000</f>
        <v>0</v>
      </c>
      <c r="K72" s="1609">
        <f t="shared" ref="K72:W72" si="57">K70*K71/1000</f>
        <v>0</v>
      </c>
      <c r="L72" s="1610">
        <f t="shared" si="57"/>
        <v>0</v>
      </c>
      <c r="M72" s="1609">
        <f t="shared" si="57"/>
        <v>0</v>
      </c>
      <c r="N72" s="1610">
        <f t="shared" si="57"/>
        <v>0</v>
      </c>
      <c r="O72" s="1609">
        <f t="shared" si="57"/>
        <v>0</v>
      </c>
      <c r="P72" s="1610">
        <f t="shared" si="57"/>
        <v>0</v>
      </c>
      <c r="Q72" s="1609">
        <f t="shared" si="57"/>
        <v>0</v>
      </c>
      <c r="R72" s="1610">
        <f t="shared" si="57"/>
        <v>0</v>
      </c>
      <c r="S72" s="1609">
        <f t="shared" si="57"/>
        <v>0</v>
      </c>
      <c r="T72" s="1610">
        <f t="shared" si="57"/>
        <v>0</v>
      </c>
      <c r="U72" s="1609">
        <f t="shared" si="57"/>
        <v>0</v>
      </c>
      <c r="V72" s="1610">
        <f t="shared" si="57"/>
        <v>0</v>
      </c>
      <c r="W72" s="1609">
        <f t="shared" si="57"/>
        <v>0</v>
      </c>
      <c r="X72" s="1637">
        <f t="shared" ref="X72:Y72" si="58">X70*X71/1000</f>
        <v>0</v>
      </c>
      <c r="Y72" s="1636">
        <f t="shared" si="58"/>
        <v>0</v>
      </c>
      <c r="Z72" s="1687"/>
      <c r="AA72" s="1687"/>
      <c r="AB72" s="1686"/>
      <c r="AC72" s="1677"/>
      <c r="AD72" s="1677"/>
      <c r="AE72" s="1677"/>
      <c r="AF72" s="1677"/>
      <c r="AG72" s="1677"/>
      <c r="AH72" s="1677"/>
      <c r="AI72" s="1686"/>
      <c r="AJ72" s="1688"/>
      <c r="AK72" s="1688"/>
      <c r="AL72" s="1688"/>
      <c r="AM72" s="1688"/>
      <c r="AN72" s="1688"/>
      <c r="AO72" s="1688"/>
      <c r="AP72" s="1686"/>
      <c r="AQ72" s="1686"/>
      <c r="AR72" s="1686"/>
      <c r="AS72" s="1686"/>
      <c r="AT72" s="1686"/>
      <c r="AU72" s="1686"/>
      <c r="AV72" s="1686"/>
      <c r="AW72" s="1686"/>
      <c r="AX72" s="1686"/>
      <c r="AY72" s="1686"/>
      <c r="AZ72" s="1686"/>
      <c r="BA72" s="1686"/>
      <c r="BB72" s="1686"/>
      <c r="BC72" s="1686"/>
      <c r="BD72" s="1686"/>
      <c r="BE72" s="1686"/>
      <c r="BF72" s="1686"/>
      <c r="BG72" s="1686"/>
      <c r="BH72" s="1686"/>
      <c r="BI72" s="1686"/>
      <c r="BJ72" s="1686"/>
      <c r="BK72" s="1686"/>
      <c r="BL72" s="1686"/>
      <c r="BM72" s="1686"/>
      <c r="BN72" s="1686"/>
      <c r="BO72" s="1686"/>
      <c r="BP72" s="1686"/>
      <c r="BQ72" s="1686"/>
      <c r="BR72" s="1686"/>
      <c r="BS72" s="1686"/>
      <c r="BT72" s="1686"/>
      <c r="BU72" s="1686"/>
      <c r="BV72" s="1686"/>
      <c r="BW72" s="1686"/>
      <c r="BX72" s="1686"/>
      <c r="BY72" s="1686"/>
      <c r="BZ72" s="1686"/>
      <c r="CA72" s="1686"/>
      <c r="CB72" s="1686"/>
      <c r="CC72" s="1686"/>
      <c r="CD72" s="1686"/>
      <c r="CE72" s="1686"/>
      <c r="CF72" s="1686"/>
      <c r="CG72" s="1686"/>
      <c r="CH72" s="1686"/>
      <c r="CI72" s="1686"/>
      <c r="CJ72" s="1686"/>
      <c r="CK72" s="1686"/>
      <c r="CL72" s="1686"/>
      <c r="CM72" s="1686"/>
      <c r="CN72" s="1686"/>
      <c r="CO72" s="1686"/>
      <c r="CP72" s="1686"/>
      <c r="CQ72" s="1686"/>
      <c r="CR72" s="1686"/>
      <c r="CS72" s="1686"/>
      <c r="CT72" s="1686"/>
      <c r="CU72" s="1686"/>
      <c r="CV72" s="1686"/>
      <c r="CW72" s="1686"/>
      <c r="CX72" s="1686"/>
      <c r="CY72" s="1686"/>
      <c r="CZ72" s="1686"/>
      <c r="DA72" s="1686"/>
      <c r="DB72" s="1686"/>
      <c r="DC72" s="1686"/>
      <c r="DD72" s="1686"/>
      <c r="DE72" s="1686"/>
      <c r="DF72" s="1686"/>
      <c r="DG72" s="1686"/>
      <c r="DH72" s="1686"/>
      <c r="DI72" s="1686"/>
      <c r="DJ72" s="1686"/>
      <c r="DK72" s="1686"/>
      <c r="DL72" s="1686"/>
      <c r="DM72" s="1686"/>
      <c r="DN72" s="1686"/>
      <c r="DO72" s="1686"/>
      <c r="DP72" s="1686"/>
      <c r="DQ72" s="1686"/>
      <c r="DR72" s="1686"/>
      <c r="DS72" s="1686"/>
      <c r="DT72" s="1686"/>
      <c r="DU72" s="1686"/>
      <c r="DV72" s="1686"/>
      <c r="DW72" s="1686"/>
      <c r="DX72" s="1686"/>
      <c r="DY72" s="1686"/>
      <c r="DZ72" s="1686"/>
      <c r="EA72" s="1686"/>
      <c r="EB72" s="1686"/>
      <c r="EC72" s="1686"/>
      <c r="ED72" s="1686"/>
      <c r="EE72" s="1686"/>
      <c r="EF72" s="1686"/>
      <c r="EG72" s="1686"/>
      <c r="EH72" s="1686"/>
      <c r="EI72" s="1686"/>
      <c r="EJ72" s="1686"/>
      <c r="EK72" s="1686"/>
      <c r="EL72" s="1686"/>
      <c r="EM72" s="1686"/>
      <c r="EN72" s="1686"/>
      <c r="EO72" s="1686"/>
      <c r="EP72" s="1686"/>
      <c r="EQ72" s="1686"/>
      <c r="ER72" s="1686"/>
      <c r="ES72" s="1686"/>
      <c r="ET72" s="1686"/>
      <c r="EU72" s="1686"/>
      <c r="EV72" s="1686"/>
      <c r="EW72" s="1686"/>
      <c r="EX72" s="1686"/>
      <c r="EY72" s="1686"/>
      <c r="EZ72" s="1686"/>
      <c r="FA72" s="1686"/>
      <c r="FB72" s="1686"/>
      <c r="FC72" s="1686"/>
      <c r="FD72" s="1686"/>
      <c r="FE72" s="1686"/>
      <c r="FF72" s="1686"/>
      <c r="FG72" s="1686"/>
      <c r="FH72" s="1686"/>
      <c r="FI72" s="1686"/>
      <c r="FJ72" s="1686"/>
      <c r="FK72" s="1686"/>
      <c r="FL72" s="1686"/>
      <c r="FM72" s="1686"/>
      <c r="FN72" s="1686"/>
      <c r="FO72" s="1686"/>
      <c r="FP72" s="1686"/>
      <c r="FQ72" s="1686"/>
      <c r="FR72" s="1686"/>
      <c r="FS72" s="1686"/>
      <c r="FT72" s="1686"/>
      <c r="FU72" s="1686"/>
      <c r="FV72" s="1686"/>
      <c r="FW72" s="1686"/>
      <c r="FX72" s="1686"/>
      <c r="FY72" s="1686"/>
      <c r="FZ72" s="1686"/>
      <c r="GA72" s="1686"/>
      <c r="GB72" s="1686"/>
      <c r="GC72" s="1686"/>
      <c r="GD72" s="1686"/>
      <c r="GE72" s="1686"/>
      <c r="GF72" s="1686"/>
      <c r="GG72" s="1686"/>
      <c r="GH72" s="1686"/>
      <c r="GI72" s="1686"/>
      <c r="GJ72" s="1686"/>
      <c r="GK72" s="1686"/>
      <c r="GL72" s="1686"/>
      <c r="GM72" s="1686"/>
      <c r="GN72" s="1686"/>
      <c r="GO72" s="1686"/>
      <c r="GP72" s="1686"/>
      <c r="GQ72" s="1686"/>
      <c r="GR72" s="1686"/>
      <c r="GS72" s="1686"/>
      <c r="GT72" s="1686"/>
      <c r="GU72" s="1686"/>
      <c r="GV72" s="1686"/>
      <c r="GW72" s="1686"/>
      <c r="GX72" s="1686"/>
      <c r="GY72" s="1686"/>
      <c r="GZ72" s="1686"/>
      <c r="HA72" s="1686"/>
      <c r="HB72" s="1686"/>
      <c r="HC72" s="1686"/>
      <c r="HD72" s="1686"/>
      <c r="HE72" s="1686"/>
      <c r="HF72" s="1686"/>
      <c r="HG72" s="1686"/>
      <c r="HH72" s="1686"/>
      <c r="HI72" s="1686"/>
      <c r="HJ72" s="1686"/>
      <c r="HK72" s="1686"/>
      <c r="HL72" s="1686"/>
      <c r="HM72" s="1686"/>
      <c r="HN72" s="1686"/>
      <c r="HO72" s="1686"/>
      <c r="HP72" s="1686"/>
      <c r="HQ72" s="1686"/>
      <c r="HR72" s="1686"/>
      <c r="HS72" s="1686"/>
      <c r="HT72" s="1686"/>
      <c r="HU72" s="1686"/>
      <c r="HV72" s="1686"/>
      <c r="HW72" s="1686"/>
      <c r="HX72" s="1686"/>
      <c r="HY72" s="1686"/>
      <c r="HZ72" s="1686"/>
      <c r="IA72" s="1686"/>
      <c r="IB72" s="1686"/>
      <c r="IC72" s="1686"/>
      <c r="ID72" s="1686"/>
      <c r="IE72" s="1686"/>
      <c r="IF72" s="1686"/>
      <c r="IG72" s="1686"/>
      <c r="IH72" s="1686"/>
      <c r="II72" s="1686"/>
      <c r="IJ72" s="1686"/>
      <c r="IK72" s="1686"/>
      <c r="IL72" s="1686"/>
      <c r="IM72" s="1686"/>
      <c r="IN72" s="1686"/>
      <c r="IO72" s="1686"/>
      <c r="IP72" s="1686"/>
      <c r="IQ72" s="1686"/>
      <c r="IR72" s="1686"/>
      <c r="IS72" s="1686"/>
      <c r="IT72" s="1686"/>
      <c r="IU72" s="1686"/>
      <c r="IV72" s="1686"/>
    </row>
    <row r="73" spans="1:256" ht="13.15" hidden="1" customHeight="1" outlineLevel="1" x14ac:dyDescent="0.2">
      <c r="A73" s="4505" t="s">
        <v>1757</v>
      </c>
      <c r="B73" s="1741" t="s">
        <v>1758</v>
      </c>
      <c r="C73" s="1628" t="s">
        <v>1669</v>
      </c>
      <c r="D73" s="1610"/>
      <c r="E73" s="1609"/>
      <c r="F73" s="1610"/>
      <c r="G73" s="1609"/>
      <c r="H73" s="1611">
        <f>J73+L73+N73+P73+R73+T73+V73</f>
        <v>0</v>
      </c>
      <c r="I73" s="1609">
        <f>K73+M73+O73+Q73+S73+U73+W73</f>
        <v>0</v>
      </c>
      <c r="J73" s="1610"/>
      <c r="K73" s="1609"/>
      <c r="L73" s="1610"/>
      <c r="M73" s="1609"/>
      <c r="N73" s="1610"/>
      <c r="O73" s="1609"/>
      <c r="P73" s="1610"/>
      <c r="Q73" s="1609"/>
      <c r="R73" s="1610"/>
      <c r="S73" s="1609"/>
      <c r="T73" s="1610"/>
      <c r="U73" s="1609"/>
      <c r="V73" s="1610"/>
      <c r="W73" s="1613"/>
      <c r="X73" s="1637"/>
      <c r="Y73" s="1642"/>
      <c r="Z73" s="1687"/>
      <c r="AA73" s="1687"/>
      <c r="AB73" s="1686"/>
      <c r="AC73" s="1677"/>
      <c r="AD73" s="1677"/>
      <c r="AE73" s="1677"/>
      <c r="AF73" s="1677"/>
      <c r="AG73" s="1677"/>
      <c r="AH73" s="1677"/>
      <c r="AI73" s="1686"/>
      <c r="AJ73" s="1688"/>
      <c r="AK73" s="1688"/>
      <c r="AL73" s="1688"/>
      <c r="AM73" s="1688"/>
      <c r="AN73" s="1688"/>
      <c r="AO73" s="1688"/>
      <c r="AP73" s="1686"/>
      <c r="AQ73" s="1686"/>
      <c r="AR73" s="1686"/>
      <c r="AS73" s="1686"/>
      <c r="AT73" s="1686"/>
      <c r="AU73" s="1686"/>
      <c r="AV73" s="1686"/>
      <c r="AW73" s="1686"/>
      <c r="AX73" s="1686"/>
      <c r="AY73" s="1686"/>
      <c r="AZ73" s="1686"/>
      <c r="BA73" s="1686"/>
      <c r="BB73" s="1686"/>
      <c r="BC73" s="1686"/>
      <c r="BD73" s="1686"/>
      <c r="BE73" s="1686"/>
      <c r="BF73" s="1686"/>
      <c r="BG73" s="1686"/>
      <c r="BH73" s="1686"/>
      <c r="BI73" s="1686"/>
      <c r="BJ73" s="1686"/>
      <c r="BK73" s="1686"/>
      <c r="BL73" s="1686"/>
      <c r="BM73" s="1686"/>
      <c r="BN73" s="1686"/>
      <c r="BO73" s="1686"/>
      <c r="BP73" s="1686"/>
      <c r="BQ73" s="1686"/>
      <c r="BR73" s="1686"/>
      <c r="BS73" s="1686"/>
      <c r="BT73" s="1686"/>
      <c r="BU73" s="1686"/>
      <c r="BV73" s="1686"/>
      <c r="BW73" s="1686"/>
      <c r="BX73" s="1686"/>
      <c r="BY73" s="1686"/>
      <c r="BZ73" s="1686"/>
      <c r="CA73" s="1686"/>
      <c r="CB73" s="1686"/>
      <c r="CC73" s="1686"/>
      <c r="CD73" s="1686"/>
      <c r="CE73" s="1686"/>
      <c r="CF73" s="1686"/>
      <c r="CG73" s="1686"/>
      <c r="CH73" s="1686"/>
      <c r="CI73" s="1686"/>
      <c r="CJ73" s="1686"/>
      <c r="CK73" s="1686"/>
      <c r="CL73" s="1686"/>
      <c r="CM73" s="1686"/>
      <c r="CN73" s="1686"/>
      <c r="CO73" s="1686"/>
      <c r="CP73" s="1686"/>
      <c r="CQ73" s="1686"/>
      <c r="CR73" s="1686"/>
      <c r="CS73" s="1686"/>
      <c r="CT73" s="1686"/>
      <c r="CU73" s="1686"/>
      <c r="CV73" s="1686"/>
      <c r="CW73" s="1686"/>
      <c r="CX73" s="1686"/>
      <c r="CY73" s="1686"/>
      <c r="CZ73" s="1686"/>
      <c r="DA73" s="1686"/>
      <c r="DB73" s="1686"/>
      <c r="DC73" s="1686"/>
      <c r="DD73" s="1686"/>
      <c r="DE73" s="1686"/>
      <c r="DF73" s="1686"/>
      <c r="DG73" s="1686"/>
      <c r="DH73" s="1686"/>
      <c r="DI73" s="1686"/>
      <c r="DJ73" s="1686"/>
      <c r="DK73" s="1686"/>
      <c r="DL73" s="1686"/>
      <c r="DM73" s="1686"/>
      <c r="DN73" s="1686"/>
      <c r="DO73" s="1686"/>
      <c r="DP73" s="1686"/>
      <c r="DQ73" s="1686"/>
      <c r="DR73" s="1686"/>
      <c r="DS73" s="1686"/>
      <c r="DT73" s="1686"/>
      <c r="DU73" s="1686"/>
      <c r="DV73" s="1686"/>
      <c r="DW73" s="1686"/>
      <c r="DX73" s="1686"/>
      <c r="DY73" s="1686"/>
      <c r="DZ73" s="1686"/>
      <c r="EA73" s="1686"/>
      <c r="EB73" s="1686"/>
      <c r="EC73" s="1686"/>
      <c r="ED73" s="1686"/>
      <c r="EE73" s="1686"/>
      <c r="EF73" s="1686"/>
      <c r="EG73" s="1686"/>
      <c r="EH73" s="1686"/>
      <c r="EI73" s="1686"/>
      <c r="EJ73" s="1686"/>
      <c r="EK73" s="1686"/>
      <c r="EL73" s="1686"/>
      <c r="EM73" s="1686"/>
      <c r="EN73" s="1686"/>
      <c r="EO73" s="1686"/>
      <c r="EP73" s="1686"/>
      <c r="EQ73" s="1686"/>
      <c r="ER73" s="1686"/>
      <c r="ES73" s="1686"/>
      <c r="ET73" s="1686"/>
      <c r="EU73" s="1686"/>
      <c r="EV73" s="1686"/>
      <c r="EW73" s="1686"/>
      <c r="EX73" s="1686"/>
      <c r="EY73" s="1686"/>
      <c r="EZ73" s="1686"/>
      <c r="FA73" s="1686"/>
      <c r="FB73" s="1686"/>
      <c r="FC73" s="1686"/>
      <c r="FD73" s="1686"/>
      <c r="FE73" s="1686"/>
      <c r="FF73" s="1686"/>
      <c r="FG73" s="1686"/>
      <c r="FH73" s="1686"/>
      <c r="FI73" s="1686"/>
      <c r="FJ73" s="1686"/>
      <c r="FK73" s="1686"/>
      <c r="FL73" s="1686"/>
      <c r="FM73" s="1686"/>
      <c r="FN73" s="1686"/>
      <c r="FO73" s="1686"/>
      <c r="FP73" s="1686"/>
      <c r="FQ73" s="1686"/>
      <c r="FR73" s="1686"/>
      <c r="FS73" s="1686"/>
      <c r="FT73" s="1686"/>
      <c r="FU73" s="1686"/>
      <c r="FV73" s="1686"/>
      <c r="FW73" s="1686"/>
      <c r="FX73" s="1686"/>
      <c r="FY73" s="1686"/>
      <c r="FZ73" s="1686"/>
      <c r="GA73" s="1686"/>
      <c r="GB73" s="1686"/>
      <c r="GC73" s="1686"/>
      <c r="GD73" s="1686"/>
      <c r="GE73" s="1686"/>
      <c r="GF73" s="1686"/>
      <c r="GG73" s="1686"/>
      <c r="GH73" s="1686"/>
      <c r="GI73" s="1686"/>
      <c r="GJ73" s="1686"/>
      <c r="GK73" s="1686"/>
      <c r="GL73" s="1686"/>
      <c r="GM73" s="1686"/>
      <c r="GN73" s="1686"/>
      <c r="GO73" s="1686"/>
      <c r="GP73" s="1686"/>
      <c r="GQ73" s="1686"/>
      <c r="GR73" s="1686"/>
      <c r="GS73" s="1686"/>
      <c r="GT73" s="1686"/>
      <c r="GU73" s="1686"/>
      <c r="GV73" s="1686"/>
      <c r="GW73" s="1686"/>
      <c r="GX73" s="1686"/>
      <c r="GY73" s="1686"/>
      <c r="GZ73" s="1686"/>
      <c r="HA73" s="1686"/>
      <c r="HB73" s="1686"/>
      <c r="HC73" s="1686"/>
      <c r="HD73" s="1686"/>
      <c r="HE73" s="1686"/>
      <c r="HF73" s="1686"/>
      <c r="HG73" s="1686"/>
      <c r="HH73" s="1686"/>
      <c r="HI73" s="1686"/>
      <c r="HJ73" s="1686"/>
      <c r="HK73" s="1686"/>
      <c r="HL73" s="1686"/>
      <c r="HM73" s="1686"/>
      <c r="HN73" s="1686"/>
      <c r="HO73" s="1686"/>
      <c r="HP73" s="1686"/>
      <c r="HQ73" s="1686"/>
      <c r="HR73" s="1686"/>
      <c r="HS73" s="1686"/>
      <c r="HT73" s="1686"/>
      <c r="HU73" s="1686"/>
      <c r="HV73" s="1686"/>
      <c r="HW73" s="1686"/>
      <c r="HX73" s="1686"/>
      <c r="HY73" s="1686"/>
      <c r="HZ73" s="1686"/>
      <c r="IA73" s="1686"/>
      <c r="IB73" s="1686"/>
      <c r="IC73" s="1686"/>
      <c r="ID73" s="1686"/>
      <c r="IE73" s="1686"/>
      <c r="IF73" s="1686"/>
      <c r="IG73" s="1686"/>
      <c r="IH73" s="1686"/>
      <c r="II73" s="1686"/>
      <c r="IJ73" s="1686"/>
      <c r="IK73" s="1686"/>
      <c r="IL73" s="1686"/>
      <c r="IM73" s="1686"/>
      <c r="IN73" s="1686"/>
      <c r="IO73" s="1686"/>
      <c r="IP73" s="1686"/>
      <c r="IQ73" s="1686"/>
      <c r="IR73" s="1686"/>
      <c r="IS73" s="1686"/>
      <c r="IT73" s="1686"/>
      <c r="IU73" s="1686"/>
      <c r="IV73" s="1686"/>
    </row>
    <row r="74" spans="1:256" ht="24" hidden="1" customHeight="1" outlineLevel="1" x14ac:dyDescent="0.2">
      <c r="A74" s="4506"/>
      <c r="B74" s="1741" t="s">
        <v>1759</v>
      </c>
      <c r="C74" s="1628" t="s">
        <v>1701</v>
      </c>
      <c r="D74" s="1610">
        <f t="shared" ref="D74:I74" si="59">IF(D73=0,,D75/1000/D73)</f>
        <v>0</v>
      </c>
      <c r="E74" s="1609">
        <f t="shared" si="59"/>
        <v>0</v>
      </c>
      <c r="F74" s="1610"/>
      <c r="G74" s="1609"/>
      <c r="H74" s="1611">
        <f t="shared" si="59"/>
        <v>0</v>
      </c>
      <c r="I74" s="1609">
        <f t="shared" si="59"/>
        <v>0</v>
      </c>
      <c r="J74" s="1610"/>
      <c r="K74" s="1609"/>
      <c r="L74" s="1610"/>
      <c r="M74" s="1609"/>
      <c r="N74" s="1610"/>
      <c r="O74" s="1609"/>
      <c r="P74" s="1610"/>
      <c r="Q74" s="1609"/>
      <c r="R74" s="1610"/>
      <c r="S74" s="1609"/>
      <c r="T74" s="1610"/>
      <c r="U74" s="1609"/>
      <c r="V74" s="1610"/>
      <c r="W74" s="1613"/>
      <c r="X74" s="1637"/>
      <c r="Y74" s="1642"/>
      <c r="Z74" s="1687"/>
      <c r="AA74" s="1687"/>
      <c r="AB74" s="1686"/>
      <c r="AC74" s="1677"/>
      <c r="AD74" s="1677"/>
      <c r="AE74" s="1677"/>
      <c r="AF74" s="1677"/>
      <c r="AG74" s="1677"/>
      <c r="AH74" s="1677"/>
      <c r="AI74" s="1686"/>
      <c r="AJ74" s="1688"/>
      <c r="AK74" s="1688"/>
      <c r="AL74" s="1688"/>
      <c r="AM74" s="1688"/>
      <c r="AN74" s="1688"/>
      <c r="AO74" s="1688"/>
      <c r="AP74" s="1686"/>
      <c r="AQ74" s="1686"/>
      <c r="AR74" s="1686"/>
      <c r="AS74" s="1686"/>
      <c r="AT74" s="1686"/>
      <c r="AU74" s="1686"/>
      <c r="AV74" s="1686"/>
      <c r="AW74" s="1686"/>
      <c r="AX74" s="1686"/>
      <c r="AY74" s="1686"/>
      <c r="AZ74" s="1686"/>
      <c r="BA74" s="1686"/>
      <c r="BB74" s="1686"/>
      <c r="BC74" s="1686"/>
      <c r="BD74" s="1686"/>
      <c r="BE74" s="1686"/>
      <c r="BF74" s="1686"/>
      <c r="BG74" s="1686"/>
      <c r="BH74" s="1686"/>
      <c r="BI74" s="1686"/>
      <c r="BJ74" s="1686"/>
      <c r="BK74" s="1686"/>
      <c r="BL74" s="1686"/>
      <c r="BM74" s="1686"/>
      <c r="BN74" s="1686"/>
      <c r="BO74" s="1686"/>
      <c r="BP74" s="1686"/>
      <c r="BQ74" s="1686"/>
      <c r="BR74" s="1686"/>
      <c r="BS74" s="1686"/>
      <c r="BT74" s="1686"/>
      <c r="BU74" s="1686"/>
      <c r="BV74" s="1686"/>
      <c r="BW74" s="1686"/>
      <c r="BX74" s="1686"/>
      <c r="BY74" s="1686"/>
      <c r="BZ74" s="1686"/>
      <c r="CA74" s="1686"/>
      <c r="CB74" s="1686"/>
      <c r="CC74" s="1686"/>
      <c r="CD74" s="1686"/>
      <c r="CE74" s="1686"/>
      <c r="CF74" s="1686"/>
      <c r="CG74" s="1686"/>
      <c r="CH74" s="1686"/>
      <c r="CI74" s="1686"/>
      <c r="CJ74" s="1686"/>
      <c r="CK74" s="1686"/>
      <c r="CL74" s="1686"/>
      <c r="CM74" s="1686"/>
      <c r="CN74" s="1686"/>
      <c r="CO74" s="1686"/>
      <c r="CP74" s="1686"/>
      <c r="CQ74" s="1686"/>
      <c r="CR74" s="1686"/>
      <c r="CS74" s="1686"/>
      <c r="CT74" s="1686"/>
      <c r="CU74" s="1686"/>
      <c r="CV74" s="1686"/>
      <c r="CW74" s="1686"/>
      <c r="CX74" s="1686"/>
      <c r="CY74" s="1686"/>
      <c r="CZ74" s="1686"/>
      <c r="DA74" s="1686"/>
      <c r="DB74" s="1686"/>
      <c r="DC74" s="1686"/>
      <c r="DD74" s="1686"/>
      <c r="DE74" s="1686"/>
      <c r="DF74" s="1686"/>
      <c r="DG74" s="1686"/>
      <c r="DH74" s="1686"/>
      <c r="DI74" s="1686"/>
      <c r="DJ74" s="1686"/>
      <c r="DK74" s="1686"/>
      <c r="DL74" s="1686"/>
      <c r="DM74" s="1686"/>
      <c r="DN74" s="1686"/>
      <c r="DO74" s="1686"/>
      <c r="DP74" s="1686"/>
      <c r="DQ74" s="1686"/>
      <c r="DR74" s="1686"/>
      <c r="DS74" s="1686"/>
      <c r="DT74" s="1686"/>
      <c r="DU74" s="1686"/>
      <c r="DV74" s="1686"/>
      <c r="DW74" s="1686"/>
      <c r="DX74" s="1686"/>
      <c r="DY74" s="1686"/>
      <c r="DZ74" s="1686"/>
      <c r="EA74" s="1686"/>
      <c r="EB74" s="1686"/>
      <c r="EC74" s="1686"/>
      <c r="ED74" s="1686"/>
      <c r="EE74" s="1686"/>
      <c r="EF74" s="1686"/>
      <c r="EG74" s="1686"/>
      <c r="EH74" s="1686"/>
      <c r="EI74" s="1686"/>
      <c r="EJ74" s="1686"/>
      <c r="EK74" s="1686"/>
      <c r="EL74" s="1686"/>
      <c r="EM74" s="1686"/>
      <c r="EN74" s="1686"/>
      <c r="EO74" s="1686"/>
      <c r="EP74" s="1686"/>
      <c r="EQ74" s="1686"/>
      <c r="ER74" s="1686"/>
      <c r="ES74" s="1686"/>
      <c r="ET74" s="1686"/>
      <c r="EU74" s="1686"/>
      <c r="EV74" s="1686"/>
      <c r="EW74" s="1686"/>
      <c r="EX74" s="1686"/>
      <c r="EY74" s="1686"/>
      <c r="EZ74" s="1686"/>
      <c r="FA74" s="1686"/>
      <c r="FB74" s="1686"/>
      <c r="FC74" s="1686"/>
      <c r="FD74" s="1686"/>
      <c r="FE74" s="1686"/>
      <c r="FF74" s="1686"/>
      <c r="FG74" s="1686"/>
      <c r="FH74" s="1686"/>
      <c r="FI74" s="1686"/>
      <c r="FJ74" s="1686"/>
      <c r="FK74" s="1686"/>
      <c r="FL74" s="1686"/>
      <c r="FM74" s="1686"/>
      <c r="FN74" s="1686"/>
      <c r="FO74" s="1686"/>
      <c r="FP74" s="1686"/>
      <c r="FQ74" s="1686"/>
      <c r="FR74" s="1686"/>
      <c r="FS74" s="1686"/>
      <c r="FT74" s="1686"/>
      <c r="FU74" s="1686"/>
      <c r="FV74" s="1686"/>
      <c r="FW74" s="1686"/>
      <c r="FX74" s="1686"/>
      <c r="FY74" s="1686"/>
      <c r="FZ74" s="1686"/>
      <c r="GA74" s="1686"/>
      <c r="GB74" s="1686"/>
      <c r="GC74" s="1686"/>
      <c r="GD74" s="1686"/>
      <c r="GE74" s="1686"/>
      <c r="GF74" s="1686"/>
      <c r="GG74" s="1686"/>
      <c r="GH74" s="1686"/>
      <c r="GI74" s="1686"/>
      <c r="GJ74" s="1686"/>
      <c r="GK74" s="1686"/>
      <c r="GL74" s="1686"/>
      <c r="GM74" s="1686"/>
      <c r="GN74" s="1686"/>
      <c r="GO74" s="1686"/>
      <c r="GP74" s="1686"/>
      <c r="GQ74" s="1686"/>
      <c r="GR74" s="1686"/>
      <c r="GS74" s="1686"/>
      <c r="GT74" s="1686"/>
      <c r="GU74" s="1686"/>
      <c r="GV74" s="1686"/>
      <c r="GW74" s="1686"/>
      <c r="GX74" s="1686"/>
      <c r="GY74" s="1686"/>
      <c r="GZ74" s="1686"/>
      <c r="HA74" s="1686"/>
      <c r="HB74" s="1686"/>
      <c r="HC74" s="1686"/>
      <c r="HD74" s="1686"/>
      <c r="HE74" s="1686"/>
      <c r="HF74" s="1686"/>
      <c r="HG74" s="1686"/>
      <c r="HH74" s="1686"/>
      <c r="HI74" s="1686"/>
      <c r="HJ74" s="1686"/>
      <c r="HK74" s="1686"/>
      <c r="HL74" s="1686"/>
      <c r="HM74" s="1686"/>
      <c r="HN74" s="1686"/>
      <c r="HO74" s="1686"/>
      <c r="HP74" s="1686"/>
      <c r="HQ74" s="1686"/>
      <c r="HR74" s="1686"/>
      <c r="HS74" s="1686"/>
      <c r="HT74" s="1686"/>
      <c r="HU74" s="1686"/>
      <c r="HV74" s="1686"/>
      <c r="HW74" s="1686"/>
      <c r="HX74" s="1686"/>
      <c r="HY74" s="1686"/>
      <c r="HZ74" s="1686"/>
      <c r="IA74" s="1686"/>
      <c r="IB74" s="1686"/>
      <c r="IC74" s="1686"/>
      <c r="ID74" s="1686"/>
      <c r="IE74" s="1686"/>
      <c r="IF74" s="1686"/>
      <c r="IG74" s="1686"/>
      <c r="IH74" s="1686"/>
      <c r="II74" s="1686"/>
      <c r="IJ74" s="1686"/>
      <c r="IK74" s="1686"/>
      <c r="IL74" s="1686"/>
      <c r="IM74" s="1686"/>
      <c r="IN74" s="1686"/>
      <c r="IO74" s="1686"/>
      <c r="IP74" s="1686"/>
      <c r="IQ74" s="1686"/>
      <c r="IR74" s="1686"/>
      <c r="IS74" s="1686"/>
      <c r="IT74" s="1686"/>
      <c r="IU74" s="1686"/>
      <c r="IV74" s="1686"/>
    </row>
    <row r="75" spans="1:256" ht="24" hidden="1" customHeight="1" outlineLevel="1" x14ac:dyDescent="0.2">
      <c r="A75" s="4507"/>
      <c r="B75" s="1744" t="s">
        <v>1760</v>
      </c>
      <c r="C75" s="1629" t="s">
        <v>1704</v>
      </c>
      <c r="D75" s="1610"/>
      <c r="E75" s="1609"/>
      <c r="F75" s="1610"/>
      <c r="G75" s="1609"/>
      <c r="H75" s="1611">
        <f>J75+L75+N75+P75+R75+T75+V75</f>
        <v>0</v>
      </c>
      <c r="I75" s="1609">
        <f>K75+M75+O75+Q75+S75+U75+W75</f>
        <v>0</v>
      </c>
      <c r="J75" s="1610">
        <f>J73*J74/1000</f>
        <v>0</v>
      </c>
      <c r="K75" s="1609">
        <f t="shared" ref="K75:W75" si="60">K73*K74/1000</f>
        <v>0</v>
      </c>
      <c r="L75" s="1610">
        <f t="shared" si="60"/>
        <v>0</v>
      </c>
      <c r="M75" s="1609">
        <f t="shared" si="60"/>
        <v>0</v>
      </c>
      <c r="N75" s="1610">
        <f t="shared" si="60"/>
        <v>0</v>
      </c>
      <c r="O75" s="1609">
        <f t="shared" si="60"/>
        <v>0</v>
      </c>
      <c r="P75" s="1610">
        <f t="shared" si="60"/>
        <v>0</v>
      </c>
      <c r="Q75" s="1609">
        <f t="shared" si="60"/>
        <v>0</v>
      </c>
      <c r="R75" s="1610">
        <f t="shared" si="60"/>
        <v>0</v>
      </c>
      <c r="S75" s="1609">
        <f t="shared" si="60"/>
        <v>0</v>
      </c>
      <c r="T75" s="1610">
        <f t="shared" si="60"/>
        <v>0</v>
      </c>
      <c r="U75" s="1609">
        <f t="shared" si="60"/>
        <v>0</v>
      </c>
      <c r="V75" s="1610">
        <f t="shared" si="60"/>
        <v>0</v>
      </c>
      <c r="W75" s="1609">
        <f t="shared" si="60"/>
        <v>0</v>
      </c>
      <c r="X75" s="1637">
        <f t="shared" ref="X75:Y75" si="61">X73*X74/1000</f>
        <v>0</v>
      </c>
      <c r="Y75" s="1636">
        <f t="shared" si="61"/>
        <v>0</v>
      </c>
      <c r="Z75" s="1687"/>
      <c r="AA75" s="1687"/>
      <c r="AB75" s="1686"/>
      <c r="AC75" s="1677"/>
      <c r="AD75" s="1677"/>
      <c r="AE75" s="1677"/>
      <c r="AF75" s="1677"/>
      <c r="AG75" s="1677"/>
      <c r="AH75" s="1677"/>
      <c r="AI75" s="1686"/>
      <c r="AJ75" s="1688"/>
      <c r="AK75" s="1688"/>
      <c r="AL75" s="1688"/>
      <c r="AM75" s="1688"/>
      <c r="AN75" s="1688"/>
      <c r="AO75" s="1688"/>
      <c r="AP75" s="1686"/>
      <c r="AQ75" s="1686"/>
      <c r="AR75" s="1686"/>
      <c r="AS75" s="1686"/>
      <c r="AT75" s="1686"/>
      <c r="AU75" s="1686"/>
      <c r="AV75" s="1686"/>
      <c r="AW75" s="1686"/>
      <c r="AX75" s="1686"/>
      <c r="AY75" s="1686"/>
      <c r="AZ75" s="1686"/>
      <c r="BA75" s="1686"/>
      <c r="BB75" s="1686"/>
      <c r="BC75" s="1686"/>
      <c r="BD75" s="1686"/>
      <c r="BE75" s="1686"/>
      <c r="BF75" s="1686"/>
      <c r="BG75" s="1686"/>
      <c r="BH75" s="1686"/>
      <c r="BI75" s="1686"/>
      <c r="BJ75" s="1686"/>
      <c r="BK75" s="1686"/>
      <c r="BL75" s="1686"/>
      <c r="BM75" s="1686"/>
      <c r="BN75" s="1686"/>
      <c r="BO75" s="1686"/>
      <c r="BP75" s="1686"/>
      <c r="BQ75" s="1686"/>
      <c r="BR75" s="1686"/>
      <c r="BS75" s="1686"/>
      <c r="BT75" s="1686"/>
      <c r="BU75" s="1686"/>
      <c r="BV75" s="1686"/>
      <c r="BW75" s="1686"/>
      <c r="BX75" s="1686"/>
      <c r="BY75" s="1686"/>
      <c r="BZ75" s="1686"/>
      <c r="CA75" s="1686"/>
      <c r="CB75" s="1686"/>
      <c r="CC75" s="1686"/>
      <c r="CD75" s="1686"/>
      <c r="CE75" s="1686"/>
      <c r="CF75" s="1686"/>
      <c r="CG75" s="1686"/>
      <c r="CH75" s="1686"/>
      <c r="CI75" s="1686"/>
      <c r="CJ75" s="1686"/>
      <c r="CK75" s="1686"/>
      <c r="CL75" s="1686"/>
      <c r="CM75" s="1686"/>
      <c r="CN75" s="1686"/>
      <c r="CO75" s="1686"/>
      <c r="CP75" s="1686"/>
      <c r="CQ75" s="1686"/>
      <c r="CR75" s="1686"/>
      <c r="CS75" s="1686"/>
      <c r="CT75" s="1686"/>
      <c r="CU75" s="1686"/>
      <c r="CV75" s="1686"/>
      <c r="CW75" s="1686"/>
      <c r="CX75" s="1686"/>
      <c r="CY75" s="1686"/>
      <c r="CZ75" s="1686"/>
      <c r="DA75" s="1686"/>
      <c r="DB75" s="1686"/>
      <c r="DC75" s="1686"/>
      <c r="DD75" s="1686"/>
      <c r="DE75" s="1686"/>
      <c r="DF75" s="1686"/>
      <c r="DG75" s="1686"/>
      <c r="DH75" s="1686"/>
      <c r="DI75" s="1686"/>
      <c r="DJ75" s="1686"/>
      <c r="DK75" s="1686"/>
      <c r="DL75" s="1686"/>
      <c r="DM75" s="1686"/>
      <c r="DN75" s="1686"/>
      <c r="DO75" s="1686"/>
      <c r="DP75" s="1686"/>
      <c r="DQ75" s="1686"/>
      <c r="DR75" s="1686"/>
      <c r="DS75" s="1686"/>
      <c r="DT75" s="1686"/>
      <c r="DU75" s="1686"/>
      <c r="DV75" s="1686"/>
      <c r="DW75" s="1686"/>
      <c r="DX75" s="1686"/>
      <c r="DY75" s="1686"/>
      <c r="DZ75" s="1686"/>
      <c r="EA75" s="1686"/>
      <c r="EB75" s="1686"/>
      <c r="EC75" s="1686"/>
      <c r="ED75" s="1686"/>
      <c r="EE75" s="1686"/>
      <c r="EF75" s="1686"/>
      <c r="EG75" s="1686"/>
      <c r="EH75" s="1686"/>
      <c r="EI75" s="1686"/>
      <c r="EJ75" s="1686"/>
      <c r="EK75" s="1686"/>
      <c r="EL75" s="1686"/>
      <c r="EM75" s="1686"/>
      <c r="EN75" s="1686"/>
      <c r="EO75" s="1686"/>
      <c r="EP75" s="1686"/>
      <c r="EQ75" s="1686"/>
      <c r="ER75" s="1686"/>
      <c r="ES75" s="1686"/>
      <c r="ET75" s="1686"/>
      <c r="EU75" s="1686"/>
      <c r="EV75" s="1686"/>
      <c r="EW75" s="1686"/>
      <c r="EX75" s="1686"/>
      <c r="EY75" s="1686"/>
      <c r="EZ75" s="1686"/>
      <c r="FA75" s="1686"/>
      <c r="FB75" s="1686"/>
      <c r="FC75" s="1686"/>
      <c r="FD75" s="1686"/>
      <c r="FE75" s="1686"/>
      <c r="FF75" s="1686"/>
      <c r="FG75" s="1686"/>
      <c r="FH75" s="1686"/>
      <c r="FI75" s="1686"/>
      <c r="FJ75" s="1686"/>
      <c r="FK75" s="1686"/>
      <c r="FL75" s="1686"/>
      <c r="FM75" s="1686"/>
      <c r="FN75" s="1686"/>
      <c r="FO75" s="1686"/>
      <c r="FP75" s="1686"/>
      <c r="FQ75" s="1686"/>
      <c r="FR75" s="1686"/>
      <c r="FS75" s="1686"/>
      <c r="FT75" s="1686"/>
      <c r="FU75" s="1686"/>
      <c r="FV75" s="1686"/>
      <c r="FW75" s="1686"/>
      <c r="FX75" s="1686"/>
      <c r="FY75" s="1686"/>
      <c r="FZ75" s="1686"/>
      <c r="GA75" s="1686"/>
      <c r="GB75" s="1686"/>
      <c r="GC75" s="1686"/>
      <c r="GD75" s="1686"/>
      <c r="GE75" s="1686"/>
      <c r="GF75" s="1686"/>
      <c r="GG75" s="1686"/>
      <c r="GH75" s="1686"/>
      <c r="GI75" s="1686"/>
      <c r="GJ75" s="1686"/>
      <c r="GK75" s="1686"/>
      <c r="GL75" s="1686"/>
      <c r="GM75" s="1686"/>
      <c r="GN75" s="1686"/>
      <c r="GO75" s="1686"/>
      <c r="GP75" s="1686"/>
      <c r="GQ75" s="1686"/>
      <c r="GR75" s="1686"/>
      <c r="GS75" s="1686"/>
      <c r="GT75" s="1686"/>
      <c r="GU75" s="1686"/>
      <c r="GV75" s="1686"/>
      <c r="GW75" s="1686"/>
      <c r="GX75" s="1686"/>
      <c r="GY75" s="1686"/>
      <c r="GZ75" s="1686"/>
      <c r="HA75" s="1686"/>
      <c r="HB75" s="1686"/>
      <c r="HC75" s="1686"/>
      <c r="HD75" s="1686"/>
      <c r="HE75" s="1686"/>
      <c r="HF75" s="1686"/>
      <c r="HG75" s="1686"/>
      <c r="HH75" s="1686"/>
      <c r="HI75" s="1686"/>
      <c r="HJ75" s="1686"/>
      <c r="HK75" s="1686"/>
      <c r="HL75" s="1686"/>
      <c r="HM75" s="1686"/>
      <c r="HN75" s="1686"/>
      <c r="HO75" s="1686"/>
      <c r="HP75" s="1686"/>
      <c r="HQ75" s="1686"/>
      <c r="HR75" s="1686"/>
      <c r="HS75" s="1686"/>
      <c r="HT75" s="1686"/>
      <c r="HU75" s="1686"/>
      <c r="HV75" s="1686"/>
      <c r="HW75" s="1686"/>
      <c r="HX75" s="1686"/>
      <c r="HY75" s="1686"/>
      <c r="HZ75" s="1686"/>
      <c r="IA75" s="1686"/>
      <c r="IB75" s="1686"/>
      <c r="IC75" s="1686"/>
      <c r="ID75" s="1686"/>
      <c r="IE75" s="1686"/>
      <c r="IF75" s="1686"/>
      <c r="IG75" s="1686"/>
      <c r="IH75" s="1686"/>
      <c r="II75" s="1686"/>
      <c r="IJ75" s="1686"/>
      <c r="IK75" s="1686"/>
      <c r="IL75" s="1686"/>
      <c r="IM75" s="1686"/>
      <c r="IN75" s="1686"/>
      <c r="IO75" s="1686"/>
      <c r="IP75" s="1686"/>
      <c r="IQ75" s="1686"/>
      <c r="IR75" s="1686"/>
      <c r="IS75" s="1686"/>
      <c r="IT75" s="1686"/>
      <c r="IU75" s="1686"/>
      <c r="IV75" s="1686"/>
    </row>
    <row r="76" spans="1:256" ht="13.15" hidden="1" customHeight="1" outlineLevel="1" x14ac:dyDescent="0.2">
      <c r="A76" s="4505" t="s">
        <v>1761</v>
      </c>
      <c r="B76" s="1741" t="s">
        <v>1762</v>
      </c>
      <c r="C76" s="1628" t="s">
        <v>1669</v>
      </c>
      <c r="D76" s="1610"/>
      <c r="E76" s="1609"/>
      <c r="F76" s="1610"/>
      <c r="G76" s="1609"/>
      <c r="H76" s="1611">
        <f>J76+L76+N76+P76+R76+T76+V76</f>
        <v>0</v>
      </c>
      <c r="I76" s="1609">
        <f>K76+M76+O76+Q76+S76+U76+W76</f>
        <v>0</v>
      </c>
      <c r="J76" s="1610"/>
      <c r="K76" s="1609"/>
      <c r="L76" s="1610"/>
      <c r="M76" s="1609"/>
      <c r="N76" s="1610"/>
      <c r="O76" s="1609"/>
      <c r="P76" s="1610"/>
      <c r="Q76" s="1609"/>
      <c r="R76" s="1610"/>
      <c r="S76" s="1609"/>
      <c r="T76" s="1610"/>
      <c r="U76" s="1609"/>
      <c r="V76" s="1610"/>
      <c r="W76" s="1613"/>
      <c r="X76" s="1637"/>
      <c r="Y76" s="1642"/>
      <c r="Z76" s="1687"/>
      <c r="AA76" s="1687"/>
      <c r="AB76" s="1686"/>
      <c r="AC76" s="1677"/>
      <c r="AD76" s="1677"/>
      <c r="AE76" s="1677"/>
      <c r="AF76" s="1677"/>
      <c r="AG76" s="1677"/>
      <c r="AH76" s="1677"/>
      <c r="AI76" s="1686"/>
      <c r="AJ76" s="1688"/>
      <c r="AK76" s="1688"/>
      <c r="AL76" s="1688"/>
      <c r="AM76" s="1688"/>
      <c r="AN76" s="1688"/>
      <c r="AO76" s="1688"/>
      <c r="AP76" s="1686"/>
      <c r="AQ76" s="1686"/>
      <c r="AR76" s="1686"/>
      <c r="AS76" s="1686"/>
      <c r="AT76" s="1686"/>
      <c r="AU76" s="1686"/>
      <c r="AV76" s="1686"/>
      <c r="AW76" s="1686"/>
      <c r="AX76" s="1686"/>
      <c r="AY76" s="1686"/>
      <c r="AZ76" s="1686"/>
      <c r="BA76" s="1686"/>
      <c r="BB76" s="1686"/>
      <c r="BC76" s="1686"/>
      <c r="BD76" s="1686"/>
      <c r="BE76" s="1686"/>
      <c r="BF76" s="1686"/>
      <c r="BG76" s="1686"/>
      <c r="BH76" s="1686"/>
      <c r="BI76" s="1686"/>
      <c r="BJ76" s="1686"/>
      <c r="BK76" s="1686"/>
      <c r="BL76" s="1686"/>
      <c r="BM76" s="1686"/>
      <c r="BN76" s="1686"/>
      <c r="BO76" s="1686"/>
      <c r="BP76" s="1686"/>
      <c r="BQ76" s="1686"/>
      <c r="BR76" s="1686"/>
      <c r="BS76" s="1686"/>
      <c r="BT76" s="1686"/>
      <c r="BU76" s="1686"/>
      <c r="BV76" s="1686"/>
      <c r="BW76" s="1686"/>
      <c r="BX76" s="1686"/>
      <c r="BY76" s="1686"/>
      <c r="BZ76" s="1686"/>
      <c r="CA76" s="1686"/>
      <c r="CB76" s="1686"/>
      <c r="CC76" s="1686"/>
      <c r="CD76" s="1686"/>
      <c r="CE76" s="1686"/>
      <c r="CF76" s="1686"/>
      <c r="CG76" s="1686"/>
      <c r="CH76" s="1686"/>
      <c r="CI76" s="1686"/>
      <c r="CJ76" s="1686"/>
      <c r="CK76" s="1686"/>
      <c r="CL76" s="1686"/>
      <c r="CM76" s="1686"/>
      <c r="CN76" s="1686"/>
      <c r="CO76" s="1686"/>
      <c r="CP76" s="1686"/>
      <c r="CQ76" s="1686"/>
      <c r="CR76" s="1686"/>
      <c r="CS76" s="1686"/>
      <c r="CT76" s="1686"/>
      <c r="CU76" s="1686"/>
      <c r="CV76" s="1686"/>
      <c r="CW76" s="1686"/>
      <c r="CX76" s="1686"/>
      <c r="CY76" s="1686"/>
      <c r="CZ76" s="1686"/>
      <c r="DA76" s="1686"/>
      <c r="DB76" s="1686"/>
      <c r="DC76" s="1686"/>
      <c r="DD76" s="1686"/>
      <c r="DE76" s="1686"/>
      <c r="DF76" s="1686"/>
      <c r="DG76" s="1686"/>
      <c r="DH76" s="1686"/>
      <c r="DI76" s="1686"/>
      <c r="DJ76" s="1686"/>
      <c r="DK76" s="1686"/>
      <c r="DL76" s="1686"/>
      <c r="DM76" s="1686"/>
      <c r="DN76" s="1686"/>
      <c r="DO76" s="1686"/>
      <c r="DP76" s="1686"/>
      <c r="DQ76" s="1686"/>
      <c r="DR76" s="1686"/>
      <c r="DS76" s="1686"/>
      <c r="DT76" s="1686"/>
      <c r="DU76" s="1686"/>
      <c r="DV76" s="1686"/>
      <c r="DW76" s="1686"/>
      <c r="DX76" s="1686"/>
      <c r="DY76" s="1686"/>
      <c r="DZ76" s="1686"/>
      <c r="EA76" s="1686"/>
      <c r="EB76" s="1686"/>
      <c r="EC76" s="1686"/>
      <c r="ED76" s="1686"/>
      <c r="EE76" s="1686"/>
      <c r="EF76" s="1686"/>
      <c r="EG76" s="1686"/>
      <c r="EH76" s="1686"/>
      <c r="EI76" s="1686"/>
      <c r="EJ76" s="1686"/>
      <c r="EK76" s="1686"/>
      <c r="EL76" s="1686"/>
      <c r="EM76" s="1686"/>
      <c r="EN76" s="1686"/>
      <c r="EO76" s="1686"/>
      <c r="EP76" s="1686"/>
      <c r="EQ76" s="1686"/>
      <c r="ER76" s="1686"/>
      <c r="ES76" s="1686"/>
      <c r="ET76" s="1686"/>
      <c r="EU76" s="1686"/>
      <c r="EV76" s="1686"/>
      <c r="EW76" s="1686"/>
      <c r="EX76" s="1686"/>
      <c r="EY76" s="1686"/>
      <c r="EZ76" s="1686"/>
      <c r="FA76" s="1686"/>
      <c r="FB76" s="1686"/>
      <c r="FC76" s="1686"/>
      <c r="FD76" s="1686"/>
      <c r="FE76" s="1686"/>
      <c r="FF76" s="1686"/>
      <c r="FG76" s="1686"/>
      <c r="FH76" s="1686"/>
      <c r="FI76" s="1686"/>
      <c r="FJ76" s="1686"/>
      <c r="FK76" s="1686"/>
      <c r="FL76" s="1686"/>
      <c r="FM76" s="1686"/>
      <c r="FN76" s="1686"/>
      <c r="FO76" s="1686"/>
      <c r="FP76" s="1686"/>
      <c r="FQ76" s="1686"/>
      <c r="FR76" s="1686"/>
      <c r="FS76" s="1686"/>
      <c r="FT76" s="1686"/>
      <c r="FU76" s="1686"/>
      <c r="FV76" s="1686"/>
      <c r="FW76" s="1686"/>
      <c r="FX76" s="1686"/>
      <c r="FY76" s="1686"/>
      <c r="FZ76" s="1686"/>
      <c r="GA76" s="1686"/>
      <c r="GB76" s="1686"/>
      <c r="GC76" s="1686"/>
      <c r="GD76" s="1686"/>
      <c r="GE76" s="1686"/>
      <c r="GF76" s="1686"/>
      <c r="GG76" s="1686"/>
      <c r="GH76" s="1686"/>
      <c r="GI76" s="1686"/>
      <c r="GJ76" s="1686"/>
      <c r="GK76" s="1686"/>
      <c r="GL76" s="1686"/>
      <c r="GM76" s="1686"/>
      <c r="GN76" s="1686"/>
      <c r="GO76" s="1686"/>
      <c r="GP76" s="1686"/>
      <c r="GQ76" s="1686"/>
      <c r="GR76" s="1686"/>
      <c r="GS76" s="1686"/>
      <c r="GT76" s="1686"/>
      <c r="GU76" s="1686"/>
      <c r="GV76" s="1686"/>
      <c r="GW76" s="1686"/>
      <c r="GX76" s="1686"/>
      <c r="GY76" s="1686"/>
      <c r="GZ76" s="1686"/>
      <c r="HA76" s="1686"/>
      <c r="HB76" s="1686"/>
      <c r="HC76" s="1686"/>
      <c r="HD76" s="1686"/>
      <c r="HE76" s="1686"/>
      <c r="HF76" s="1686"/>
      <c r="HG76" s="1686"/>
      <c r="HH76" s="1686"/>
      <c r="HI76" s="1686"/>
      <c r="HJ76" s="1686"/>
      <c r="HK76" s="1686"/>
      <c r="HL76" s="1686"/>
      <c r="HM76" s="1686"/>
      <c r="HN76" s="1686"/>
      <c r="HO76" s="1686"/>
      <c r="HP76" s="1686"/>
      <c r="HQ76" s="1686"/>
      <c r="HR76" s="1686"/>
      <c r="HS76" s="1686"/>
      <c r="HT76" s="1686"/>
      <c r="HU76" s="1686"/>
      <c r="HV76" s="1686"/>
      <c r="HW76" s="1686"/>
      <c r="HX76" s="1686"/>
      <c r="HY76" s="1686"/>
      <c r="HZ76" s="1686"/>
      <c r="IA76" s="1686"/>
      <c r="IB76" s="1686"/>
      <c r="IC76" s="1686"/>
      <c r="ID76" s="1686"/>
      <c r="IE76" s="1686"/>
      <c r="IF76" s="1686"/>
      <c r="IG76" s="1686"/>
      <c r="IH76" s="1686"/>
      <c r="II76" s="1686"/>
      <c r="IJ76" s="1686"/>
      <c r="IK76" s="1686"/>
      <c r="IL76" s="1686"/>
      <c r="IM76" s="1686"/>
      <c r="IN76" s="1686"/>
      <c r="IO76" s="1686"/>
      <c r="IP76" s="1686"/>
      <c r="IQ76" s="1686"/>
      <c r="IR76" s="1686"/>
      <c r="IS76" s="1686"/>
      <c r="IT76" s="1686"/>
      <c r="IU76" s="1686"/>
      <c r="IV76" s="1686"/>
    </row>
    <row r="77" spans="1:256" ht="24" hidden="1" customHeight="1" outlineLevel="1" x14ac:dyDescent="0.2">
      <c r="A77" s="4506"/>
      <c r="B77" s="1741" t="s">
        <v>1763</v>
      </c>
      <c r="C77" s="1628" t="s">
        <v>1701</v>
      </c>
      <c r="D77" s="1610">
        <f t="shared" ref="D77:I77" si="62">IF(D76=0,,D78/1000/D76)</f>
        <v>0</v>
      </c>
      <c r="E77" s="1609">
        <f t="shared" si="62"/>
        <v>0</v>
      </c>
      <c r="F77" s="1610"/>
      <c r="G77" s="1609"/>
      <c r="H77" s="1611">
        <f t="shared" si="62"/>
        <v>0</v>
      </c>
      <c r="I77" s="1609">
        <f t="shared" si="62"/>
        <v>0</v>
      </c>
      <c r="J77" s="1610"/>
      <c r="K77" s="1609"/>
      <c r="L77" s="1610"/>
      <c r="M77" s="1609"/>
      <c r="N77" s="1610"/>
      <c r="O77" s="1609"/>
      <c r="P77" s="1610"/>
      <c r="Q77" s="1609"/>
      <c r="R77" s="1610"/>
      <c r="S77" s="1609"/>
      <c r="T77" s="1610"/>
      <c r="U77" s="1609"/>
      <c r="V77" s="1610"/>
      <c r="W77" s="1613"/>
      <c r="X77" s="1637"/>
      <c r="Y77" s="1642"/>
      <c r="Z77" s="1687"/>
      <c r="AA77" s="1687"/>
      <c r="AB77" s="1686"/>
      <c r="AC77" s="1677"/>
      <c r="AD77" s="1677"/>
      <c r="AE77" s="1677"/>
      <c r="AF77" s="1677"/>
      <c r="AG77" s="1677"/>
      <c r="AH77" s="1677"/>
      <c r="AI77" s="1686"/>
      <c r="AJ77" s="1688"/>
      <c r="AK77" s="1688"/>
      <c r="AL77" s="1688"/>
      <c r="AM77" s="1688"/>
      <c r="AN77" s="1688"/>
      <c r="AO77" s="1688"/>
      <c r="AP77" s="1686"/>
      <c r="AQ77" s="1686"/>
      <c r="AR77" s="1686"/>
      <c r="AS77" s="1686"/>
      <c r="AT77" s="1686"/>
      <c r="AU77" s="1686"/>
      <c r="AV77" s="1686"/>
      <c r="AW77" s="1686"/>
      <c r="AX77" s="1686"/>
      <c r="AY77" s="1686"/>
      <c r="AZ77" s="1686"/>
      <c r="BA77" s="1686"/>
      <c r="BB77" s="1686"/>
      <c r="BC77" s="1686"/>
      <c r="BD77" s="1686"/>
      <c r="BE77" s="1686"/>
      <c r="BF77" s="1686"/>
      <c r="BG77" s="1686"/>
      <c r="BH77" s="1686"/>
      <c r="BI77" s="1686"/>
      <c r="BJ77" s="1686"/>
      <c r="BK77" s="1686"/>
      <c r="BL77" s="1686"/>
      <c r="BM77" s="1686"/>
      <c r="BN77" s="1686"/>
      <c r="BO77" s="1686"/>
      <c r="BP77" s="1686"/>
      <c r="BQ77" s="1686"/>
      <c r="BR77" s="1686"/>
      <c r="BS77" s="1686"/>
      <c r="BT77" s="1686"/>
      <c r="BU77" s="1686"/>
      <c r="BV77" s="1686"/>
      <c r="BW77" s="1686"/>
      <c r="BX77" s="1686"/>
      <c r="BY77" s="1686"/>
      <c r="BZ77" s="1686"/>
      <c r="CA77" s="1686"/>
      <c r="CB77" s="1686"/>
      <c r="CC77" s="1686"/>
      <c r="CD77" s="1686"/>
      <c r="CE77" s="1686"/>
      <c r="CF77" s="1686"/>
      <c r="CG77" s="1686"/>
      <c r="CH77" s="1686"/>
      <c r="CI77" s="1686"/>
      <c r="CJ77" s="1686"/>
      <c r="CK77" s="1686"/>
      <c r="CL77" s="1686"/>
      <c r="CM77" s="1686"/>
      <c r="CN77" s="1686"/>
      <c r="CO77" s="1686"/>
      <c r="CP77" s="1686"/>
      <c r="CQ77" s="1686"/>
      <c r="CR77" s="1686"/>
      <c r="CS77" s="1686"/>
      <c r="CT77" s="1686"/>
      <c r="CU77" s="1686"/>
      <c r="CV77" s="1686"/>
      <c r="CW77" s="1686"/>
      <c r="CX77" s="1686"/>
      <c r="CY77" s="1686"/>
      <c r="CZ77" s="1686"/>
      <c r="DA77" s="1686"/>
      <c r="DB77" s="1686"/>
      <c r="DC77" s="1686"/>
      <c r="DD77" s="1686"/>
      <c r="DE77" s="1686"/>
      <c r="DF77" s="1686"/>
      <c r="DG77" s="1686"/>
      <c r="DH77" s="1686"/>
      <c r="DI77" s="1686"/>
      <c r="DJ77" s="1686"/>
      <c r="DK77" s="1686"/>
      <c r="DL77" s="1686"/>
      <c r="DM77" s="1686"/>
      <c r="DN77" s="1686"/>
      <c r="DO77" s="1686"/>
      <c r="DP77" s="1686"/>
      <c r="DQ77" s="1686"/>
      <c r="DR77" s="1686"/>
      <c r="DS77" s="1686"/>
      <c r="DT77" s="1686"/>
      <c r="DU77" s="1686"/>
      <c r="DV77" s="1686"/>
      <c r="DW77" s="1686"/>
      <c r="DX77" s="1686"/>
      <c r="DY77" s="1686"/>
      <c r="DZ77" s="1686"/>
      <c r="EA77" s="1686"/>
      <c r="EB77" s="1686"/>
      <c r="EC77" s="1686"/>
      <c r="ED77" s="1686"/>
      <c r="EE77" s="1686"/>
      <c r="EF77" s="1686"/>
      <c r="EG77" s="1686"/>
      <c r="EH77" s="1686"/>
      <c r="EI77" s="1686"/>
      <c r="EJ77" s="1686"/>
      <c r="EK77" s="1686"/>
      <c r="EL77" s="1686"/>
      <c r="EM77" s="1686"/>
      <c r="EN77" s="1686"/>
      <c r="EO77" s="1686"/>
      <c r="EP77" s="1686"/>
      <c r="EQ77" s="1686"/>
      <c r="ER77" s="1686"/>
      <c r="ES77" s="1686"/>
      <c r="ET77" s="1686"/>
      <c r="EU77" s="1686"/>
      <c r="EV77" s="1686"/>
      <c r="EW77" s="1686"/>
      <c r="EX77" s="1686"/>
      <c r="EY77" s="1686"/>
      <c r="EZ77" s="1686"/>
      <c r="FA77" s="1686"/>
      <c r="FB77" s="1686"/>
      <c r="FC77" s="1686"/>
      <c r="FD77" s="1686"/>
      <c r="FE77" s="1686"/>
      <c r="FF77" s="1686"/>
      <c r="FG77" s="1686"/>
      <c r="FH77" s="1686"/>
      <c r="FI77" s="1686"/>
      <c r="FJ77" s="1686"/>
      <c r="FK77" s="1686"/>
      <c r="FL77" s="1686"/>
      <c r="FM77" s="1686"/>
      <c r="FN77" s="1686"/>
      <c r="FO77" s="1686"/>
      <c r="FP77" s="1686"/>
      <c r="FQ77" s="1686"/>
      <c r="FR77" s="1686"/>
      <c r="FS77" s="1686"/>
      <c r="FT77" s="1686"/>
      <c r="FU77" s="1686"/>
      <c r="FV77" s="1686"/>
      <c r="FW77" s="1686"/>
      <c r="FX77" s="1686"/>
      <c r="FY77" s="1686"/>
      <c r="FZ77" s="1686"/>
      <c r="GA77" s="1686"/>
      <c r="GB77" s="1686"/>
      <c r="GC77" s="1686"/>
      <c r="GD77" s="1686"/>
      <c r="GE77" s="1686"/>
      <c r="GF77" s="1686"/>
      <c r="GG77" s="1686"/>
      <c r="GH77" s="1686"/>
      <c r="GI77" s="1686"/>
      <c r="GJ77" s="1686"/>
      <c r="GK77" s="1686"/>
      <c r="GL77" s="1686"/>
      <c r="GM77" s="1686"/>
      <c r="GN77" s="1686"/>
      <c r="GO77" s="1686"/>
      <c r="GP77" s="1686"/>
      <c r="GQ77" s="1686"/>
      <c r="GR77" s="1686"/>
      <c r="GS77" s="1686"/>
      <c r="GT77" s="1686"/>
      <c r="GU77" s="1686"/>
      <c r="GV77" s="1686"/>
      <c r="GW77" s="1686"/>
      <c r="GX77" s="1686"/>
      <c r="GY77" s="1686"/>
      <c r="GZ77" s="1686"/>
      <c r="HA77" s="1686"/>
      <c r="HB77" s="1686"/>
      <c r="HC77" s="1686"/>
      <c r="HD77" s="1686"/>
      <c r="HE77" s="1686"/>
      <c r="HF77" s="1686"/>
      <c r="HG77" s="1686"/>
      <c r="HH77" s="1686"/>
      <c r="HI77" s="1686"/>
      <c r="HJ77" s="1686"/>
      <c r="HK77" s="1686"/>
      <c r="HL77" s="1686"/>
      <c r="HM77" s="1686"/>
      <c r="HN77" s="1686"/>
      <c r="HO77" s="1686"/>
      <c r="HP77" s="1686"/>
      <c r="HQ77" s="1686"/>
      <c r="HR77" s="1686"/>
      <c r="HS77" s="1686"/>
      <c r="HT77" s="1686"/>
      <c r="HU77" s="1686"/>
      <c r="HV77" s="1686"/>
      <c r="HW77" s="1686"/>
      <c r="HX77" s="1686"/>
      <c r="HY77" s="1686"/>
      <c r="HZ77" s="1686"/>
      <c r="IA77" s="1686"/>
      <c r="IB77" s="1686"/>
      <c r="IC77" s="1686"/>
      <c r="ID77" s="1686"/>
      <c r="IE77" s="1686"/>
      <c r="IF77" s="1686"/>
      <c r="IG77" s="1686"/>
      <c r="IH77" s="1686"/>
      <c r="II77" s="1686"/>
      <c r="IJ77" s="1686"/>
      <c r="IK77" s="1686"/>
      <c r="IL77" s="1686"/>
      <c r="IM77" s="1686"/>
      <c r="IN77" s="1686"/>
      <c r="IO77" s="1686"/>
      <c r="IP77" s="1686"/>
      <c r="IQ77" s="1686"/>
      <c r="IR77" s="1686"/>
      <c r="IS77" s="1686"/>
      <c r="IT77" s="1686"/>
      <c r="IU77" s="1686"/>
      <c r="IV77" s="1686"/>
    </row>
    <row r="78" spans="1:256" ht="24" hidden="1" customHeight="1" outlineLevel="1" x14ac:dyDescent="0.2">
      <c r="A78" s="4507"/>
      <c r="B78" s="1744" t="s">
        <v>1764</v>
      </c>
      <c r="C78" s="1629" t="s">
        <v>1704</v>
      </c>
      <c r="D78" s="1610"/>
      <c r="E78" s="1609"/>
      <c r="F78" s="1610"/>
      <c r="G78" s="1609"/>
      <c r="H78" s="1611">
        <f>J78+L78+N78+P78+R78+T78+V78</f>
        <v>0</v>
      </c>
      <c r="I78" s="1609">
        <f>K78+M78+O78+Q78+S78+U78+W78</f>
        <v>0</v>
      </c>
      <c r="J78" s="1610">
        <f>J76*J77/1000</f>
        <v>0</v>
      </c>
      <c r="K78" s="1609">
        <f t="shared" ref="K78:W78" si="63">K76*K77/1000</f>
        <v>0</v>
      </c>
      <c r="L78" s="1610">
        <f t="shared" si="63"/>
        <v>0</v>
      </c>
      <c r="M78" s="1609">
        <f t="shared" si="63"/>
        <v>0</v>
      </c>
      <c r="N78" s="1610">
        <f t="shared" si="63"/>
        <v>0</v>
      </c>
      <c r="O78" s="1609">
        <f t="shared" si="63"/>
        <v>0</v>
      </c>
      <c r="P78" s="1610">
        <f t="shared" si="63"/>
        <v>0</v>
      </c>
      <c r="Q78" s="1609">
        <f t="shared" si="63"/>
        <v>0</v>
      </c>
      <c r="R78" s="1610">
        <f t="shared" si="63"/>
        <v>0</v>
      </c>
      <c r="S78" s="1609">
        <f t="shared" si="63"/>
        <v>0</v>
      </c>
      <c r="T78" s="1610">
        <f t="shared" si="63"/>
        <v>0</v>
      </c>
      <c r="U78" s="1609">
        <f t="shared" si="63"/>
        <v>0</v>
      </c>
      <c r="V78" s="1610">
        <f t="shared" si="63"/>
        <v>0</v>
      </c>
      <c r="W78" s="1609">
        <f t="shared" si="63"/>
        <v>0</v>
      </c>
      <c r="X78" s="1637">
        <f t="shared" ref="X78:Y78" si="64">X76*X77/1000</f>
        <v>0</v>
      </c>
      <c r="Y78" s="1636">
        <f t="shared" si="64"/>
        <v>0</v>
      </c>
      <c r="Z78" s="1687"/>
      <c r="AA78" s="1687"/>
      <c r="AB78" s="1686"/>
      <c r="AC78" s="1677"/>
      <c r="AD78" s="1677"/>
      <c r="AE78" s="1677"/>
      <c r="AF78" s="1677"/>
      <c r="AG78" s="1677"/>
      <c r="AH78" s="1677"/>
      <c r="AI78" s="1686"/>
      <c r="AJ78" s="1688"/>
      <c r="AK78" s="1688"/>
      <c r="AL78" s="1688"/>
      <c r="AM78" s="1688"/>
      <c r="AN78" s="1688"/>
      <c r="AO78" s="1688"/>
      <c r="AP78" s="1686"/>
      <c r="AQ78" s="1686"/>
      <c r="AR78" s="1686"/>
      <c r="AS78" s="1686"/>
      <c r="AT78" s="1686"/>
      <c r="AU78" s="1686"/>
      <c r="AV78" s="1686"/>
      <c r="AW78" s="1686"/>
      <c r="AX78" s="1686"/>
      <c r="AY78" s="1686"/>
      <c r="AZ78" s="1686"/>
      <c r="BA78" s="1686"/>
      <c r="BB78" s="1686"/>
      <c r="BC78" s="1686"/>
      <c r="BD78" s="1686"/>
      <c r="BE78" s="1686"/>
      <c r="BF78" s="1686"/>
      <c r="BG78" s="1686"/>
      <c r="BH78" s="1686"/>
      <c r="BI78" s="1686"/>
      <c r="BJ78" s="1686"/>
      <c r="BK78" s="1686"/>
      <c r="BL78" s="1686"/>
      <c r="BM78" s="1686"/>
      <c r="BN78" s="1686"/>
      <c r="BO78" s="1686"/>
      <c r="BP78" s="1686"/>
      <c r="BQ78" s="1686"/>
      <c r="BR78" s="1686"/>
      <c r="BS78" s="1686"/>
      <c r="BT78" s="1686"/>
      <c r="BU78" s="1686"/>
      <c r="BV78" s="1686"/>
      <c r="BW78" s="1686"/>
      <c r="BX78" s="1686"/>
      <c r="BY78" s="1686"/>
      <c r="BZ78" s="1686"/>
      <c r="CA78" s="1686"/>
      <c r="CB78" s="1686"/>
      <c r="CC78" s="1686"/>
      <c r="CD78" s="1686"/>
      <c r="CE78" s="1686"/>
      <c r="CF78" s="1686"/>
      <c r="CG78" s="1686"/>
      <c r="CH78" s="1686"/>
      <c r="CI78" s="1686"/>
      <c r="CJ78" s="1686"/>
      <c r="CK78" s="1686"/>
      <c r="CL78" s="1686"/>
      <c r="CM78" s="1686"/>
      <c r="CN78" s="1686"/>
      <c r="CO78" s="1686"/>
      <c r="CP78" s="1686"/>
      <c r="CQ78" s="1686"/>
      <c r="CR78" s="1686"/>
      <c r="CS78" s="1686"/>
      <c r="CT78" s="1686"/>
      <c r="CU78" s="1686"/>
      <c r="CV78" s="1686"/>
      <c r="CW78" s="1686"/>
      <c r="CX78" s="1686"/>
      <c r="CY78" s="1686"/>
      <c r="CZ78" s="1686"/>
      <c r="DA78" s="1686"/>
      <c r="DB78" s="1686"/>
      <c r="DC78" s="1686"/>
      <c r="DD78" s="1686"/>
      <c r="DE78" s="1686"/>
      <c r="DF78" s="1686"/>
      <c r="DG78" s="1686"/>
      <c r="DH78" s="1686"/>
      <c r="DI78" s="1686"/>
      <c r="DJ78" s="1686"/>
      <c r="DK78" s="1686"/>
      <c r="DL78" s="1686"/>
      <c r="DM78" s="1686"/>
      <c r="DN78" s="1686"/>
      <c r="DO78" s="1686"/>
      <c r="DP78" s="1686"/>
      <c r="DQ78" s="1686"/>
      <c r="DR78" s="1686"/>
      <c r="DS78" s="1686"/>
      <c r="DT78" s="1686"/>
      <c r="DU78" s="1686"/>
      <c r="DV78" s="1686"/>
      <c r="DW78" s="1686"/>
      <c r="DX78" s="1686"/>
      <c r="DY78" s="1686"/>
      <c r="DZ78" s="1686"/>
      <c r="EA78" s="1686"/>
      <c r="EB78" s="1686"/>
      <c r="EC78" s="1686"/>
      <c r="ED78" s="1686"/>
      <c r="EE78" s="1686"/>
      <c r="EF78" s="1686"/>
      <c r="EG78" s="1686"/>
      <c r="EH78" s="1686"/>
      <c r="EI78" s="1686"/>
      <c r="EJ78" s="1686"/>
      <c r="EK78" s="1686"/>
      <c r="EL78" s="1686"/>
      <c r="EM78" s="1686"/>
      <c r="EN78" s="1686"/>
      <c r="EO78" s="1686"/>
      <c r="EP78" s="1686"/>
      <c r="EQ78" s="1686"/>
      <c r="ER78" s="1686"/>
      <c r="ES78" s="1686"/>
      <c r="ET78" s="1686"/>
      <c r="EU78" s="1686"/>
      <c r="EV78" s="1686"/>
      <c r="EW78" s="1686"/>
      <c r="EX78" s="1686"/>
      <c r="EY78" s="1686"/>
      <c r="EZ78" s="1686"/>
      <c r="FA78" s="1686"/>
      <c r="FB78" s="1686"/>
      <c r="FC78" s="1686"/>
      <c r="FD78" s="1686"/>
      <c r="FE78" s="1686"/>
      <c r="FF78" s="1686"/>
      <c r="FG78" s="1686"/>
      <c r="FH78" s="1686"/>
      <c r="FI78" s="1686"/>
      <c r="FJ78" s="1686"/>
      <c r="FK78" s="1686"/>
      <c r="FL78" s="1686"/>
      <c r="FM78" s="1686"/>
      <c r="FN78" s="1686"/>
      <c r="FO78" s="1686"/>
      <c r="FP78" s="1686"/>
      <c r="FQ78" s="1686"/>
      <c r="FR78" s="1686"/>
      <c r="FS78" s="1686"/>
      <c r="FT78" s="1686"/>
      <c r="FU78" s="1686"/>
      <c r="FV78" s="1686"/>
      <c r="FW78" s="1686"/>
      <c r="FX78" s="1686"/>
      <c r="FY78" s="1686"/>
      <c r="FZ78" s="1686"/>
      <c r="GA78" s="1686"/>
      <c r="GB78" s="1686"/>
      <c r="GC78" s="1686"/>
      <c r="GD78" s="1686"/>
      <c r="GE78" s="1686"/>
      <c r="GF78" s="1686"/>
      <c r="GG78" s="1686"/>
      <c r="GH78" s="1686"/>
      <c r="GI78" s="1686"/>
      <c r="GJ78" s="1686"/>
      <c r="GK78" s="1686"/>
      <c r="GL78" s="1686"/>
      <c r="GM78" s="1686"/>
      <c r="GN78" s="1686"/>
      <c r="GO78" s="1686"/>
      <c r="GP78" s="1686"/>
      <c r="GQ78" s="1686"/>
      <c r="GR78" s="1686"/>
      <c r="GS78" s="1686"/>
      <c r="GT78" s="1686"/>
      <c r="GU78" s="1686"/>
      <c r="GV78" s="1686"/>
      <c r="GW78" s="1686"/>
      <c r="GX78" s="1686"/>
      <c r="GY78" s="1686"/>
      <c r="GZ78" s="1686"/>
      <c r="HA78" s="1686"/>
      <c r="HB78" s="1686"/>
      <c r="HC78" s="1686"/>
      <c r="HD78" s="1686"/>
      <c r="HE78" s="1686"/>
      <c r="HF78" s="1686"/>
      <c r="HG78" s="1686"/>
      <c r="HH78" s="1686"/>
      <c r="HI78" s="1686"/>
      <c r="HJ78" s="1686"/>
      <c r="HK78" s="1686"/>
      <c r="HL78" s="1686"/>
      <c r="HM78" s="1686"/>
      <c r="HN78" s="1686"/>
      <c r="HO78" s="1686"/>
      <c r="HP78" s="1686"/>
      <c r="HQ78" s="1686"/>
      <c r="HR78" s="1686"/>
      <c r="HS78" s="1686"/>
      <c r="HT78" s="1686"/>
      <c r="HU78" s="1686"/>
      <c r="HV78" s="1686"/>
      <c r="HW78" s="1686"/>
      <c r="HX78" s="1686"/>
      <c r="HY78" s="1686"/>
      <c r="HZ78" s="1686"/>
      <c r="IA78" s="1686"/>
      <c r="IB78" s="1686"/>
      <c r="IC78" s="1686"/>
      <c r="ID78" s="1686"/>
      <c r="IE78" s="1686"/>
      <c r="IF78" s="1686"/>
      <c r="IG78" s="1686"/>
      <c r="IH78" s="1686"/>
      <c r="II78" s="1686"/>
      <c r="IJ78" s="1686"/>
      <c r="IK78" s="1686"/>
      <c r="IL78" s="1686"/>
      <c r="IM78" s="1686"/>
      <c r="IN78" s="1686"/>
      <c r="IO78" s="1686"/>
      <c r="IP78" s="1686"/>
      <c r="IQ78" s="1686"/>
      <c r="IR78" s="1686"/>
      <c r="IS78" s="1686"/>
      <c r="IT78" s="1686"/>
      <c r="IU78" s="1686"/>
      <c r="IV78" s="1686"/>
    </row>
    <row r="79" spans="1:256" ht="13.15" hidden="1" customHeight="1" outlineLevel="1" x14ac:dyDescent="0.2">
      <c r="A79" s="4505" t="s">
        <v>1765</v>
      </c>
      <c r="B79" s="1741" t="s">
        <v>1766</v>
      </c>
      <c r="C79" s="1628" t="s">
        <v>1669</v>
      </c>
      <c r="D79" s="1610"/>
      <c r="E79" s="1609"/>
      <c r="F79" s="1610"/>
      <c r="G79" s="1609"/>
      <c r="H79" s="1611">
        <f>J79+L79+N79+P79+R79+T79+V79</f>
        <v>0</v>
      </c>
      <c r="I79" s="1609">
        <f>K79+M79+O79+Q79+S79+U79+W79</f>
        <v>0</v>
      </c>
      <c r="J79" s="1610"/>
      <c r="K79" s="1609"/>
      <c r="L79" s="1610"/>
      <c r="M79" s="1609"/>
      <c r="N79" s="1610"/>
      <c r="O79" s="1609"/>
      <c r="P79" s="1610"/>
      <c r="Q79" s="1609"/>
      <c r="R79" s="1610"/>
      <c r="S79" s="1609"/>
      <c r="T79" s="1610"/>
      <c r="U79" s="1609"/>
      <c r="V79" s="1610"/>
      <c r="W79" s="1613"/>
      <c r="X79" s="1637"/>
      <c r="Y79" s="1642"/>
      <c r="Z79" s="1687"/>
      <c r="AA79" s="1687"/>
      <c r="AB79" s="1686"/>
      <c r="AC79" s="1677"/>
      <c r="AD79" s="1677"/>
      <c r="AE79" s="1677"/>
      <c r="AF79" s="1677"/>
      <c r="AG79" s="1677"/>
      <c r="AH79" s="1677"/>
      <c r="AI79" s="1686"/>
      <c r="AJ79" s="1688"/>
      <c r="AK79" s="1688"/>
      <c r="AL79" s="1688"/>
      <c r="AM79" s="1688"/>
      <c r="AN79" s="1688"/>
      <c r="AO79" s="1688"/>
      <c r="AP79" s="1686"/>
      <c r="AQ79" s="1686"/>
      <c r="AR79" s="1686"/>
      <c r="AS79" s="1686"/>
      <c r="AT79" s="1686"/>
      <c r="AU79" s="1686"/>
      <c r="AV79" s="1686"/>
      <c r="AW79" s="1686"/>
      <c r="AX79" s="1686"/>
      <c r="AY79" s="1686"/>
      <c r="AZ79" s="1686"/>
      <c r="BA79" s="1686"/>
      <c r="BB79" s="1686"/>
      <c r="BC79" s="1686"/>
      <c r="BD79" s="1686"/>
      <c r="BE79" s="1686"/>
      <c r="BF79" s="1686"/>
      <c r="BG79" s="1686"/>
      <c r="BH79" s="1686"/>
      <c r="BI79" s="1686"/>
      <c r="BJ79" s="1686"/>
      <c r="BK79" s="1686"/>
      <c r="BL79" s="1686"/>
      <c r="BM79" s="1686"/>
      <c r="BN79" s="1686"/>
      <c r="BO79" s="1686"/>
      <c r="BP79" s="1686"/>
      <c r="BQ79" s="1686"/>
      <c r="BR79" s="1686"/>
      <c r="BS79" s="1686"/>
      <c r="BT79" s="1686"/>
      <c r="BU79" s="1686"/>
      <c r="BV79" s="1686"/>
      <c r="BW79" s="1686"/>
      <c r="BX79" s="1686"/>
      <c r="BY79" s="1686"/>
      <c r="BZ79" s="1686"/>
      <c r="CA79" s="1686"/>
      <c r="CB79" s="1686"/>
      <c r="CC79" s="1686"/>
      <c r="CD79" s="1686"/>
      <c r="CE79" s="1686"/>
      <c r="CF79" s="1686"/>
      <c r="CG79" s="1686"/>
      <c r="CH79" s="1686"/>
      <c r="CI79" s="1686"/>
      <c r="CJ79" s="1686"/>
      <c r="CK79" s="1686"/>
      <c r="CL79" s="1686"/>
      <c r="CM79" s="1686"/>
      <c r="CN79" s="1686"/>
      <c r="CO79" s="1686"/>
      <c r="CP79" s="1686"/>
      <c r="CQ79" s="1686"/>
      <c r="CR79" s="1686"/>
      <c r="CS79" s="1686"/>
      <c r="CT79" s="1686"/>
      <c r="CU79" s="1686"/>
      <c r="CV79" s="1686"/>
      <c r="CW79" s="1686"/>
      <c r="CX79" s="1686"/>
      <c r="CY79" s="1686"/>
      <c r="CZ79" s="1686"/>
      <c r="DA79" s="1686"/>
      <c r="DB79" s="1686"/>
      <c r="DC79" s="1686"/>
      <c r="DD79" s="1686"/>
      <c r="DE79" s="1686"/>
      <c r="DF79" s="1686"/>
      <c r="DG79" s="1686"/>
      <c r="DH79" s="1686"/>
      <c r="DI79" s="1686"/>
      <c r="DJ79" s="1686"/>
      <c r="DK79" s="1686"/>
      <c r="DL79" s="1686"/>
      <c r="DM79" s="1686"/>
      <c r="DN79" s="1686"/>
      <c r="DO79" s="1686"/>
      <c r="DP79" s="1686"/>
      <c r="DQ79" s="1686"/>
      <c r="DR79" s="1686"/>
      <c r="DS79" s="1686"/>
      <c r="DT79" s="1686"/>
      <c r="DU79" s="1686"/>
      <c r="DV79" s="1686"/>
      <c r="DW79" s="1686"/>
      <c r="DX79" s="1686"/>
      <c r="DY79" s="1686"/>
      <c r="DZ79" s="1686"/>
      <c r="EA79" s="1686"/>
      <c r="EB79" s="1686"/>
      <c r="EC79" s="1686"/>
      <c r="ED79" s="1686"/>
      <c r="EE79" s="1686"/>
      <c r="EF79" s="1686"/>
      <c r="EG79" s="1686"/>
      <c r="EH79" s="1686"/>
      <c r="EI79" s="1686"/>
      <c r="EJ79" s="1686"/>
      <c r="EK79" s="1686"/>
      <c r="EL79" s="1686"/>
      <c r="EM79" s="1686"/>
      <c r="EN79" s="1686"/>
      <c r="EO79" s="1686"/>
      <c r="EP79" s="1686"/>
      <c r="EQ79" s="1686"/>
      <c r="ER79" s="1686"/>
      <c r="ES79" s="1686"/>
      <c r="ET79" s="1686"/>
      <c r="EU79" s="1686"/>
      <c r="EV79" s="1686"/>
      <c r="EW79" s="1686"/>
      <c r="EX79" s="1686"/>
      <c r="EY79" s="1686"/>
      <c r="EZ79" s="1686"/>
      <c r="FA79" s="1686"/>
      <c r="FB79" s="1686"/>
      <c r="FC79" s="1686"/>
      <c r="FD79" s="1686"/>
      <c r="FE79" s="1686"/>
      <c r="FF79" s="1686"/>
      <c r="FG79" s="1686"/>
      <c r="FH79" s="1686"/>
      <c r="FI79" s="1686"/>
      <c r="FJ79" s="1686"/>
      <c r="FK79" s="1686"/>
      <c r="FL79" s="1686"/>
      <c r="FM79" s="1686"/>
      <c r="FN79" s="1686"/>
      <c r="FO79" s="1686"/>
      <c r="FP79" s="1686"/>
      <c r="FQ79" s="1686"/>
      <c r="FR79" s="1686"/>
      <c r="FS79" s="1686"/>
      <c r="FT79" s="1686"/>
      <c r="FU79" s="1686"/>
      <c r="FV79" s="1686"/>
      <c r="FW79" s="1686"/>
      <c r="FX79" s="1686"/>
      <c r="FY79" s="1686"/>
      <c r="FZ79" s="1686"/>
      <c r="GA79" s="1686"/>
      <c r="GB79" s="1686"/>
      <c r="GC79" s="1686"/>
      <c r="GD79" s="1686"/>
      <c r="GE79" s="1686"/>
      <c r="GF79" s="1686"/>
      <c r="GG79" s="1686"/>
      <c r="GH79" s="1686"/>
      <c r="GI79" s="1686"/>
      <c r="GJ79" s="1686"/>
      <c r="GK79" s="1686"/>
      <c r="GL79" s="1686"/>
      <c r="GM79" s="1686"/>
      <c r="GN79" s="1686"/>
      <c r="GO79" s="1686"/>
      <c r="GP79" s="1686"/>
      <c r="GQ79" s="1686"/>
      <c r="GR79" s="1686"/>
      <c r="GS79" s="1686"/>
      <c r="GT79" s="1686"/>
      <c r="GU79" s="1686"/>
      <c r="GV79" s="1686"/>
      <c r="GW79" s="1686"/>
      <c r="GX79" s="1686"/>
      <c r="GY79" s="1686"/>
      <c r="GZ79" s="1686"/>
      <c r="HA79" s="1686"/>
      <c r="HB79" s="1686"/>
      <c r="HC79" s="1686"/>
      <c r="HD79" s="1686"/>
      <c r="HE79" s="1686"/>
      <c r="HF79" s="1686"/>
      <c r="HG79" s="1686"/>
      <c r="HH79" s="1686"/>
      <c r="HI79" s="1686"/>
      <c r="HJ79" s="1686"/>
      <c r="HK79" s="1686"/>
      <c r="HL79" s="1686"/>
      <c r="HM79" s="1686"/>
      <c r="HN79" s="1686"/>
      <c r="HO79" s="1686"/>
      <c r="HP79" s="1686"/>
      <c r="HQ79" s="1686"/>
      <c r="HR79" s="1686"/>
      <c r="HS79" s="1686"/>
      <c r="HT79" s="1686"/>
      <c r="HU79" s="1686"/>
      <c r="HV79" s="1686"/>
      <c r="HW79" s="1686"/>
      <c r="HX79" s="1686"/>
      <c r="HY79" s="1686"/>
      <c r="HZ79" s="1686"/>
      <c r="IA79" s="1686"/>
      <c r="IB79" s="1686"/>
      <c r="IC79" s="1686"/>
      <c r="ID79" s="1686"/>
      <c r="IE79" s="1686"/>
      <c r="IF79" s="1686"/>
      <c r="IG79" s="1686"/>
      <c r="IH79" s="1686"/>
      <c r="II79" s="1686"/>
      <c r="IJ79" s="1686"/>
      <c r="IK79" s="1686"/>
      <c r="IL79" s="1686"/>
      <c r="IM79" s="1686"/>
      <c r="IN79" s="1686"/>
      <c r="IO79" s="1686"/>
      <c r="IP79" s="1686"/>
      <c r="IQ79" s="1686"/>
      <c r="IR79" s="1686"/>
      <c r="IS79" s="1686"/>
      <c r="IT79" s="1686"/>
      <c r="IU79" s="1686"/>
      <c r="IV79" s="1686"/>
    </row>
    <row r="80" spans="1:256" ht="24" hidden="1" customHeight="1" outlineLevel="1" x14ac:dyDescent="0.2">
      <c r="A80" s="4506"/>
      <c r="B80" s="1741" t="s">
        <v>1767</v>
      </c>
      <c r="C80" s="1628" t="s">
        <v>1701</v>
      </c>
      <c r="D80" s="1610">
        <f t="shared" ref="D80:I80" si="65">IF(D79=0,,D81/1000/D79)</f>
        <v>0</v>
      </c>
      <c r="E80" s="1609">
        <f t="shared" si="65"/>
        <v>0</v>
      </c>
      <c r="F80" s="1610"/>
      <c r="G80" s="1609"/>
      <c r="H80" s="1611">
        <f t="shared" si="65"/>
        <v>0</v>
      </c>
      <c r="I80" s="1609">
        <f t="shared" si="65"/>
        <v>0</v>
      </c>
      <c r="J80" s="1610"/>
      <c r="K80" s="1609"/>
      <c r="L80" s="1610"/>
      <c r="M80" s="1609"/>
      <c r="N80" s="1610"/>
      <c r="O80" s="1609"/>
      <c r="P80" s="1610"/>
      <c r="Q80" s="1609"/>
      <c r="R80" s="1610"/>
      <c r="S80" s="1609"/>
      <c r="T80" s="1610"/>
      <c r="U80" s="1609"/>
      <c r="V80" s="1610"/>
      <c r="W80" s="1613"/>
      <c r="X80" s="1637"/>
      <c r="Y80" s="1642"/>
      <c r="Z80" s="1687"/>
      <c r="AA80" s="1687"/>
      <c r="AB80" s="1686"/>
      <c r="AC80" s="1677"/>
      <c r="AD80" s="1677"/>
      <c r="AE80" s="1677"/>
      <c r="AF80" s="1677"/>
      <c r="AG80" s="1677"/>
      <c r="AH80" s="1677"/>
      <c r="AI80" s="1686"/>
      <c r="AJ80" s="1688"/>
      <c r="AK80" s="1688"/>
      <c r="AL80" s="1688"/>
      <c r="AM80" s="1688"/>
      <c r="AN80" s="1688"/>
      <c r="AO80" s="1688"/>
      <c r="AP80" s="1686"/>
      <c r="AQ80" s="1686"/>
      <c r="AR80" s="1686"/>
      <c r="AS80" s="1686"/>
      <c r="AT80" s="1686"/>
      <c r="AU80" s="1686"/>
      <c r="AV80" s="1686"/>
      <c r="AW80" s="1686"/>
      <c r="AX80" s="1686"/>
      <c r="AY80" s="1686"/>
      <c r="AZ80" s="1686"/>
      <c r="BA80" s="1686"/>
      <c r="BB80" s="1686"/>
      <c r="BC80" s="1686"/>
      <c r="BD80" s="1686"/>
      <c r="BE80" s="1686"/>
      <c r="BF80" s="1686"/>
      <c r="BG80" s="1686"/>
      <c r="BH80" s="1686"/>
      <c r="BI80" s="1686"/>
      <c r="BJ80" s="1686"/>
      <c r="BK80" s="1686"/>
      <c r="BL80" s="1686"/>
      <c r="BM80" s="1686"/>
      <c r="BN80" s="1686"/>
      <c r="BO80" s="1686"/>
      <c r="BP80" s="1686"/>
      <c r="BQ80" s="1686"/>
      <c r="BR80" s="1686"/>
      <c r="BS80" s="1686"/>
      <c r="BT80" s="1686"/>
      <c r="BU80" s="1686"/>
      <c r="BV80" s="1686"/>
      <c r="BW80" s="1686"/>
      <c r="BX80" s="1686"/>
      <c r="BY80" s="1686"/>
      <c r="BZ80" s="1686"/>
      <c r="CA80" s="1686"/>
      <c r="CB80" s="1686"/>
      <c r="CC80" s="1686"/>
      <c r="CD80" s="1686"/>
      <c r="CE80" s="1686"/>
      <c r="CF80" s="1686"/>
      <c r="CG80" s="1686"/>
      <c r="CH80" s="1686"/>
      <c r="CI80" s="1686"/>
      <c r="CJ80" s="1686"/>
      <c r="CK80" s="1686"/>
      <c r="CL80" s="1686"/>
      <c r="CM80" s="1686"/>
      <c r="CN80" s="1686"/>
      <c r="CO80" s="1686"/>
      <c r="CP80" s="1686"/>
      <c r="CQ80" s="1686"/>
      <c r="CR80" s="1686"/>
      <c r="CS80" s="1686"/>
      <c r="CT80" s="1686"/>
      <c r="CU80" s="1686"/>
      <c r="CV80" s="1686"/>
      <c r="CW80" s="1686"/>
      <c r="CX80" s="1686"/>
      <c r="CY80" s="1686"/>
      <c r="CZ80" s="1686"/>
      <c r="DA80" s="1686"/>
      <c r="DB80" s="1686"/>
      <c r="DC80" s="1686"/>
      <c r="DD80" s="1686"/>
      <c r="DE80" s="1686"/>
      <c r="DF80" s="1686"/>
      <c r="DG80" s="1686"/>
      <c r="DH80" s="1686"/>
      <c r="DI80" s="1686"/>
      <c r="DJ80" s="1686"/>
      <c r="DK80" s="1686"/>
      <c r="DL80" s="1686"/>
      <c r="DM80" s="1686"/>
      <c r="DN80" s="1686"/>
      <c r="DO80" s="1686"/>
      <c r="DP80" s="1686"/>
      <c r="DQ80" s="1686"/>
      <c r="DR80" s="1686"/>
      <c r="DS80" s="1686"/>
      <c r="DT80" s="1686"/>
      <c r="DU80" s="1686"/>
      <c r="DV80" s="1686"/>
      <c r="DW80" s="1686"/>
      <c r="DX80" s="1686"/>
      <c r="DY80" s="1686"/>
      <c r="DZ80" s="1686"/>
      <c r="EA80" s="1686"/>
      <c r="EB80" s="1686"/>
      <c r="EC80" s="1686"/>
      <c r="ED80" s="1686"/>
      <c r="EE80" s="1686"/>
      <c r="EF80" s="1686"/>
      <c r="EG80" s="1686"/>
      <c r="EH80" s="1686"/>
      <c r="EI80" s="1686"/>
      <c r="EJ80" s="1686"/>
      <c r="EK80" s="1686"/>
      <c r="EL80" s="1686"/>
      <c r="EM80" s="1686"/>
      <c r="EN80" s="1686"/>
      <c r="EO80" s="1686"/>
      <c r="EP80" s="1686"/>
      <c r="EQ80" s="1686"/>
      <c r="ER80" s="1686"/>
      <c r="ES80" s="1686"/>
      <c r="ET80" s="1686"/>
      <c r="EU80" s="1686"/>
      <c r="EV80" s="1686"/>
      <c r="EW80" s="1686"/>
      <c r="EX80" s="1686"/>
      <c r="EY80" s="1686"/>
      <c r="EZ80" s="1686"/>
      <c r="FA80" s="1686"/>
      <c r="FB80" s="1686"/>
      <c r="FC80" s="1686"/>
      <c r="FD80" s="1686"/>
      <c r="FE80" s="1686"/>
      <c r="FF80" s="1686"/>
      <c r="FG80" s="1686"/>
      <c r="FH80" s="1686"/>
      <c r="FI80" s="1686"/>
      <c r="FJ80" s="1686"/>
      <c r="FK80" s="1686"/>
      <c r="FL80" s="1686"/>
      <c r="FM80" s="1686"/>
      <c r="FN80" s="1686"/>
      <c r="FO80" s="1686"/>
      <c r="FP80" s="1686"/>
      <c r="FQ80" s="1686"/>
      <c r="FR80" s="1686"/>
      <c r="FS80" s="1686"/>
      <c r="FT80" s="1686"/>
      <c r="FU80" s="1686"/>
      <c r="FV80" s="1686"/>
      <c r="FW80" s="1686"/>
      <c r="FX80" s="1686"/>
      <c r="FY80" s="1686"/>
      <c r="FZ80" s="1686"/>
      <c r="GA80" s="1686"/>
      <c r="GB80" s="1686"/>
      <c r="GC80" s="1686"/>
      <c r="GD80" s="1686"/>
      <c r="GE80" s="1686"/>
      <c r="GF80" s="1686"/>
      <c r="GG80" s="1686"/>
      <c r="GH80" s="1686"/>
      <c r="GI80" s="1686"/>
      <c r="GJ80" s="1686"/>
      <c r="GK80" s="1686"/>
      <c r="GL80" s="1686"/>
      <c r="GM80" s="1686"/>
      <c r="GN80" s="1686"/>
      <c r="GO80" s="1686"/>
      <c r="GP80" s="1686"/>
      <c r="GQ80" s="1686"/>
      <c r="GR80" s="1686"/>
      <c r="GS80" s="1686"/>
      <c r="GT80" s="1686"/>
      <c r="GU80" s="1686"/>
      <c r="GV80" s="1686"/>
      <c r="GW80" s="1686"/>
      <c r="GX80" s="1686"/>
      <c r="GY80" s="1686"/>
      <c r="GZ80" s="1686"/>
      <c r="HA80" s="1686"/>
      <c r="HB80" s="1686"/>
      <c r="HC80" s="1686"/>
      <c r="HD80" s="1686"/>
      <c r="HE80" s="1686"/>
      <c r="HF80" s="1686"/>
      <c r="HG80" s="1686"/>
      <c r="HH80" s="1686"/>
      <c r="HI80" s="1686"/>
      <c r="HJ80" s="1686"/>
      <c r="HK80" s="1686"/>
      <c r="HL80" s="1686"/>
      <c r="HM80" s="1686"/>
      <c r="HN80" s="1686"/>
      <c r="HO80" s="1686"/>
      <c r="HP80" s="1686"/>
      <c r="HQ80" s="1686"/>
      <c r="HR80" s="1686"/>
      <c r="HS80" s="1686"/>
      <c r="HT80" s="1686"/>
      <c r="HU80" s="1686"/>
      <c r="HV80" s="1686"/>
      <c r="HW80" s="1686"/>
      <c r="HX80" s="1686"/>
      <c r="HY80" s="1686"/>
      <c r="HZ80" s="1686"/>
      <c r="IA80" s="1686"/>
      <c r="IB80" s="1686"/>
      <c r="IC80" s="1686"/>
      <c r="ID80" s="1686"/>
      <c r="IE80" s="1686"/>
      <c r="IF80" s="1686"/>
      <c r="IG80" s="1686"/>
      <c r="IH80" s="1686"/>
      <c r="II80" s="1686"/>
      <c r="IJ80" s="1686"/>
      <c r="IK80" s="1686"/>
      <c r="IL80" s="1686"/>
      <c r="IM80" s="1686"/>
      <c r="IN80" s="1686"/>
      <c r="IO80" s="1686"/>
      <c r="IP80" s="1686"/>
      <c r="IQ80" s="1686"/>
      <c r="IR80" s="1686"/>
      <c r="IS80" s="1686"/>
      <c r="IT80" s="1686"/>
      <c r="IU80" s="1686"/>
      <c r="IV80" s="1686"/>
    </row>
    <row r="81" spans="1:256" ht="24" hidden="1" customHeight="1" outlineLevel="1" x14ac:dyDescent="0.2">
      <c r="A81" s="4506"/>
      <c r="B81" s="1745" t="s">
        <v>1768</v>
      </c>
      <c r="C81" s="1630" t="s">
        <v>1704</v>
      </c>
      <c r="D81" s="1614"/>
      <c r="E81" s="1615"/>
      <c r="F81" s="1610"/>
      <c r="G81" s="1609"/>
      <c r="H81" s="1724">
        <f>J81+L81+N81+P81+R81+T81+V81</f>
        <v>0</v>
      </c>
      <c r="I81" s="1609">
        <f>K81+M81+O81+Q81+S81+U81+W81</f>
        <v>0</v>
      </c>
      <c r="J81" s="1610">
        <f>J79*J80/1000</f>
        <v>0</v>
      </c>
      <c r="K81" s="1609">
        <f t="shared" ref="K81:W81" si="66">K79*K80/1000</f>
        <v>0</v>
      </c>
      <c r="L81" s="1610">
        <f t="shared" si="66"/>
        <v>0</v>
      </c>
      <c r="M81" s="1609">
        <f t="shared" si="66"/>
        <v>0</v>
      </c>
      <c r="N81" s="1610">
        <f t="shared" si="66"/>
        <v>0</v>
      </c>
      <c r="O81" s="1609">
        <f t="shared" si="66"/>
        <v>0</v>
      </c>
      <c r="P81" s="1610">
        <f t="shared" si="66"/>
        <v>0</v>
      </c>
      <c r="Q81" s="1609">
        <f t="shared" si="66"/>
        <v>0</v>
      </c>
      <c r="R81" s="1610">
        <f t="shared" si="66"/>
        <v>0</v>
      </c>
      <c r="S81" s="1609">
        <f t="shared" si="66"/>
        <v>0</v>
      </c>
      <c r="T81" s="1610">
        <f t="shared" si="66"/>
        <v>0</v>
      </c>
      <c r="U81" s="1609">
        <f t="shared" si="66"/>
        <v>0</v>
      </c>
      <c r="V81" s="1610">
        <f t="shared" si="66"/>
        <v>0</v>
      </c>
      <c r="W81" s="1725">
        <f t="shared" si="66"/>
        <v>0</v>
      </c>
      <c r="X81" s="1643">
        <f t="shared" ref="X81:Y81" si="67">X79*X80/1000</f>
        <v>0</v>
      </c>
      <c r="Y81" s="1644">
        <f t="shared" si="67"/>
        <v>0</v>
      </c>
      <c r="Z81" s="1687"/>
      <c r="AA81" s="1687"/>
      <c r="AB81" s="1686"/>
      <c r="AC81" s="1677"/>
      <c r="AD81" s="1677"/>
      <c r="AE81" s="1677"/>
      <c r="AF81" s="1677"/>
      <c r="AG81" s="1677"/>
      <c r="AH81" s="1677"/>
      <c r="AI81" s="1686"/>
      <c r="AJ81" s="1688"/>
      <c r="AK81" s="1688"/>
      <c r="AL81" s="1688"/>
      <c r="AM81" s="1688"/>
      <c r="AN81" s="1688"/>
      <c r="AO81" s="1688"/>
      <c r="AP81" s="1686"/>
      <c r="AQ81" s="1686"/>
      <c r="AR81" s="1686"/>
      <c r="AS81" s="1686"/>
      <c r="AT81" s="1686"/>
      <c r="AU81" s="1686"/>
      <c r="AV81" s="1686"/>
      <c r="AW81" s="1686"/>
      <c r="AX81" s="1686"/>
      <c r="AY81" s="1686"/>
      <c r="AZ81" s="1686"/>
      <c r="BA81" s="1686"/>
      <c r="BB81" s="1686"/>
      <c r="BC81" s="1686"/>
      <c r="BD81" s="1686"/>
      <c r="BE81" s="1686"/>
      <c r="BF81" s="1686"/>
      <c r="BG81" s="1686"/>
      <c r="BH81" s="1686"/>
      <c r="BI81" s="1686"/>
      <c r="BJ81" s="1686"/>
      <c r="BK81" s="1686"/>
      <c r="BL81" s="1686"/>
      <c r="BM81" s="1686"/>
      <c r="BN81" s="1686"/>
      <c r="BO81" s="1686"/>
      <c r="BP81" s="1686"/>
      <c r="BQ81" s="1686"/>
      <c r="BR81" s="1686"/>
      <c r="BS81" s="1686"/>
      <c r="BT81" s="1686"/>
      <c r="BU81" s="1686"/>
      <c r="BV81" s="1686"/>
      <c r="BW81" s="1686"/>
      <c r="BX81" s="1686"/>
      <c r="BY81" s="1686"/>
      <c r="BZ81" s="1686"/>
      <c r="CA81" s="1686"/>
      <c r="CB81" s="1686"/>
      <c r="CC81" s="1686"/>
      <c r="CD81" s="1686"/>
      <c r="CE81" s="1686"/>
      <c r="CF81" s="1686"/>
      <c r="CG81" s="1686"/>
      <c r="CH81" s="1686"/>
      <c r="CI81" s="1686"/>
      <c r="CJ81" s="1686"/>
      <c r="CK81" s="1686"/>
      <c r="CL81" s="1686"/>
      <c r="CM81" s="1686"/>
      <c r="CN81" s="1686"/>
      <c r="CO81" s="1686"/>
      <c r="CP81" s="1686"/>
      <c r="CQ81" s="1686"/>
      <c r="CR81" s="1686"/>
      <c r="CS81" s="1686"/>
      <c r="CT81" s="1686"/>
      <c r="CU81" s="1686"/>
      <c r="CV81" s="1686"/>
      <c r="CW81" s="1686"/>
      <c r="CX81" s="1686"/>
      <c r="CY81" s="1686"/>
      <c r="CZ81" s="1686"/>
      <c r="DA81" s="1686"/>
      <c r="DB81" s="1686"/>
      <c r="DC81" s="1686"/>
      <c r="DD81" s="1686"/>
      <c r="DE81" s="1686"/>
      <c r="DF81" s="1686"/>
      <c r="DG81" s="1686"/>
      <c r="DH81" s="1686"/>
      <c r="DI81" s="1686"/>
      <c r="DJ81" s="1686"/>
      <c r="DK81" s="1686"/>
      <c r="DL81" s="1686"/>
      <c r="DM81" s="1686"/>
      <c r="DN81" s="1686"/>
      <c r="DO81" s="1686"/>
      <c r="DP81" s="1686"/>
      <c r="DQ81" s="1686"/>
      <c r="DR81" s="1686"/>
      <c r="DS81" s="1686"/>
      <c r="DT81" s="1686"/>
      <c r="DU81" s="1686"/>
      <c r="DV81" s="1686"/>
      <c r="DW81" s="1686"/>
      <c r="DX81" s="1686"/>
      <c r="DY81" s="1686"/>
      <c r="DZ81" s="1686"/>
      <c r="EA81" s="1686"/>
      <c r="EB81" s="1686"/>
      <c r="EC81" s="1686"/>
      <c r="ED81" s="1686"/>
      <c r="EE81" s="1686"/>
      <c r="EF81" s="1686"/>
      <c r="EG81" s="1686"/>
      <c r="EH81" s="1686"/>
      <c r="EI81" s="1686"/>
      <c r="EJ81" s="1686"/>
      <c r="EK81" s="1686"/>
      <c r="EL81" s="1686"/>
      <c r="EM81" s="1686"/>
      <c r="EN81" s="1686"/>
      <c r="EO81" s="1686"/>
      <c r="EP81" s="1686"/>
      <c r="EQ81" s="1686"/>
      <c r="ER81" s="1686"/>
      <c r="ES81" s="1686"/>
      <c r="ET81" s="1686"/>
      <c r="EU81" s="1686"/>
      <c r="EV81" s="1686"/>
      <c r="EW81" s="1686"/>
      <c r="EX81" s="1686"/>
      <c r="EY81" s="1686"/>
      <c r="EZ81" s="1686"/>
      <c r="FA81" s="1686"/>
      <c r="FB81" s="1686"/>
      <c r="FC81" s="1686"/>
      <c r="FD81" s="1686"/>
      <c r="FE81" s="1686"/>
      <c r="FF81" s="1686"/>
      <c r="FG81" s="1686"/>
      <c r="FH81" s="1686"/>
      <c r="FI81" s="1686"/>
      <c r="FJ81" s="1686"/>
      <c r="FK81" s="1686"/>
      <c r="FL81" s="1686"/>
      <c r="FM81" s="1686"/>
      <c r="FN81" s="1686"/>
      <c r="FO81" s="1686"/>
      <c r="FP81" s="1686"/>
      <c r="FQ81" s="1686"/>
      <c r="FR81" s="1686"/>
      <c r="FS81" s="1686"/>
      <c r="FT81" s="1686"/>
      <c r="FU81" s="1686"/>
      <c r="FV81" s="1686"/>
      <c r="FW81" s="1686"/>
      <c r="FX81" s="1686"/>
      <c r="FY81" s="1686"/>
      <c r="FZ81" s="1686"/>
      <c r="GA81" s="1686"/>
      <c r="GB81" s="1686"/>
      <c r="GC81" s="1686"/>
      <c r="GD81" s="1686"/>
      <c r="GE81" s="1686"/>
      <c r="GF81" s="1686"/>
      <c r="GG81" s="1686"/>
      <c r="GH81" s="1686"/>
      <c r="GI81" s="1686"/>
      <c r="GJ81" s="1686"/>
      <c r="GK81" s="1686"/>
      <c r="GL81" s="1686"/>
      <c r="GM81" s="1686"/>
      <c r="GN81" s="1686"/>
      <c r="GO81" s="1686"/>
      <c r="GP81" s="1686"/>
      <c r="GQ81" s="1686"/>
      <c r="GR81" s="1686"/>
      <c r="GS81" s="1686"/>
      <c r="GT81" s="1686"/>
      <c r="GU81" s="1686"/>
      <c r="GV81" s="1686"/>
      <c r="GW81" s="1686"/>
      <c r="GX81" s="1686"/>
      <c r="GY81" s="1686"/>
      <c r="GZ81" s="1686"/>
      <c r="HA81" s="1686"/>
      <c r="HB81" s="1686"/>
      <c r="HC81" s="1686"/>
      <c r="HD81" s="1686"/>
      <c r="HE81" s="1686"/>
      <c r="HF81" s="1686"/>
      <c r="HG81" s="1686"/>
      <c r="HH81" s="1686"/>
      <c r="HI81" s="1686"/>
      <c r="HJ81" s="1686"/>
      <c r="HK81" s="1686"/>
      <c r="HL81" s="1686"/>
      <c r="HM81" s="1686"/>
      <c r="HN81" s="1686"/>
      <c r="HO81" s="1686"/>
      <c r="HP81" s="1686"/>
      <c r="HQ81" s="1686"/>
      <c r="HR81" s="1686"/>
      <c r="HS81" s="1686"/>
      <c r="HT81" s="1686"/>
      <c r="HU81" s="1686"/>
      <c r="HV81" s="1686"/>
      <c r="HW81" s="1686"/>
      <c r="HX81" s="1686"/>
      <c r="HY81" s="1686"/>
      <c r="HZ81" s="1686"/>
      <c r="IA81" s="1686"/>
      <c r="IB81" s="1686"/>
      <c r="IC81" s="1686"/>
      <c r="ID81" s="1686"/>
      <c r="IE81" s="1686"/>
      <c r="IF81" s="1686"/>
      <c r="IG81" s="1686"/>
      <c r="IH81" s="1686"/>
      <c r="II81" s="1686"/>
      <c r="IJ81" s="1686"/>
      <c r="IK81" s="1686"/>
      <c r="IL81" s="1686"/>
      <c r="IM81" s="1686"/>
      <c r="IN81" s="1686"/>
      <c r="IO81" s="1686"/>
      <c r="IP81" s="1686"/>
      <c r="IQ81" s="1686"/>
      <c r="IR81" s="1686"/>
      <c r="IS81" s="1686"/>
      <c r="IT81" s="1686"/>
      <c r="IU81" s="1686"/>
      <c r="IV81" s="1686"/>
    </row>
    <row r="82" spans="1:256" ht="36" hidden="1" customHeight="1" x14ac:dyDescent="0.2">
      <c r="A82" s="1753" t="s">
        <v>1769</v>
      </c>
      <c r="B82" s="691" t="s">
        <v>1770</v>
      </c>
      <c r="C82" s="1628" t="s">
        <v>1669</v>
      </c>
      <c r="D82" s="1610">
        <v>0</v>
      </c>
      <c r="E82" s="1723">
        <v>0</v>
      </c>
      <c r="F82" s="1610"/>
      <c r="G82" s="1609"/>
      <c r="H82" s="1611">
        <v>0</v>
      </c>
      <c r="I82" s="1609">
        <v>0</v>
      </c>
      <c r="J82" s="1610">
        <v>0</v>
      </c>
      <c r="K82" s="1609">
        <v>0</v>
      </c>
      <c r="L82" s="1610">
        <v>0</v>
      </c>
      <c r="M82" s="1609">
        <v>0</v>
      </c>
      <c r="N82" s="1610">
        <v>0</v>
      </c>
      <c r="O82" s="1609">
        <v>0</v>
      </c>
      <c r="P82" s="1610">
        <v>0</v>
      </c>
      <c r="Q82" s="1609">
        <v>0</v>
      </c>
      <c r="R82" s="1610">
        <v>0</v>
      </c>
      <c r="S82" s="1609">
        <v>0</v>
      </c>
      <c r="T82" s="1610">
        <v>0</v>
      </c>
      <c r="U82" s="1609">
        <v>0</v>
      </c>
      <c r="V82" s="1610">
        <v>0</v>
      </c>
      <c r="W82" s="1612">
        <v>0</v>
      </c>
      <c r="X82" s="1637">
        <v>0</v>
      </c>
      <c r="Y82" s="1645">
        <v>0</v>
      </c>
      <c r="Z82" s="1685"/>
      <c r="AA82" s="1685"/>
      <c r="AC82" s="1677"/>
      <c r="AD82" s="1677"/>
      <c r="AE82" s="1677"/>
      <c r="AF82" s="1677"/>
      <c r="AG82" s="1677"/>
      <c r="AH82" s="1677"/>
      <c r="AJ82" s="1677"/>
      <c r="AK82" s="1677"/>
      <c r="AL82" s="1677"/>
      <c r="AM82" s="1677"/>
      <c r="AN82" s="1677"/>
      <c r="AO82" s="1677"/>
    </row>
    <row r="83" spans="1:256" ht="24" hidden="1" customHeight="1" x14ac:dyDescent="0.2">
      <c r="A83" s="1753" t="s">
        <v>1771</v>
      </c>
      <c r="B83" s="691" t="s">
        <v>1772</v>
      </c>
      <c r="C83" s="1628" t="s">
        <v>1701</v>
      </c>
      <c r="D83" s="1610">
        <v>0</v>
      </c>
      <c r="E83" s="1723">
        <v>0</v>
      </c>
      <c r="F83" s="1610"/>
      <c r="G83" s="1609"/>
      <c r="H83" s="1611">
        <v>0</v>
      </c>
      <c r="I83" s="1609">
        <v>0</v>
      </c>
      <c r="J83" s="1610">
        <v>0</v>
      </c>
      <c r="K83" s="1609">
        <v>0</v>
      </c>
      <c r="L83" s="1610">
        <v>0</v>
      </c>
      <c r="M83" s="1609">
        <v>0</v>
      </c>
      <c r="N83" s="1610">
        <v>0</v>
      </c>
      <c r="O83" s="1609">
        <v>0</v>
      </c>
      <c r="P83" s="1610">
        <v>0</v>
      </c>
      <c r="Q83" s="1609">
        <v>0</v>
      </c>
      <c r="R83" s="1610">
        <v>0</v>
      </c>
      <c r="S83" s="1609">
        <v>0</v>
      </c>
      <c r="T83" s="1610">
        <v>0</v>
      </c>
      <c r="U83" s="1609">
        <v>0</v>
      </c>
      <c r="V83" s="1610">
        <v>0</v>
      </c>
      <c r="W83" s="1612">
        <v>0</v>
      </c>
      <c r="X83" s="1637">
        <v>0</v>
      </c>
      <c r="Y83" s="1645">
        <v>0</v>
      </c>
      <c r="Z83" s="1685"/>
      <c r="AA83" s="1685"/>
      <c r="AC83" s="1677"/>
      <c r="AD83" s="1677"/>
      <c r="AE83" s="1677"/>
      <c r="AF83" s="1677"/>
      <c r="AG83" s="1677"/>
      <c r="AH83" s="1677"/>
      <c r="AJ83" s="1677"/>
      <c r="AK83" s="1677"/>
      <c r="AL83" s="1677"/>
      <c r="AM83" s="1677"/>
      <c r="AN83" s="1677"/>
      <c r="AO83" s="1677"/>
    </row>
    <row r="84" spans="1:256" ht="36" hidden="1" customHeight="1" x14ac:dyDescent="0.2">
      <c r="A84" s="1758" t="s">
        <v>1773</v>
      </c>
      <c r="B84" s="1739" t="s">
        <v>1774</v>
      </c>
      <c r="C84" s="1629" t="s">
        <v>1704</v>
      </c>
      <c r="D84" s="1610">
        <f t="shared" ref="D84:W84" si="68">D82*D83/1000</f>
        <v>0</v>
      </c>
      <c r="E84" s="1609">
        <f t="shared" si="68"/>
        <v>0</v>
      </c>
      <c r="F84" s="1610"/>
      <c r="G84" s="1609"/>
      <c r="H84" s="1611">
        <f t="shared" si="68"/>
        <v>0</v>
      </c>
      <c r="I84" s="1609">
        <f t="shared" si="68"/>
        <v>0</v>
      </c>
      <c r="J84" s="1610">
        <f t="shared" si="68"/>
        <v>0</v>
      </c>
      <c r="K84" s="1609">
        <f t="shared" si="68"/>
        <v>0</v>
      </c>
      <c r="L84" s="1610">
        <f t="shared" si="68"/>
        <v>0</v>
      </c>
      <c r="M84" s="1609">
        <f t="shared" si="68"/>
        <v>0</v>
      </c>
      <c r="N84" s="1610">
        <f t="shared" si="68"/>
        <v>0</v>
      </c>
      <c r="O84" s="1609">
        <f t="shared" si="68"/>
        <v>0</v>
      </c>
      <c r="P84" s="1610">
        <f t="shared" si="68"/>
        <v>0</v>
      </c>
      <c r="Q84" s="1609">
        <f t="shared" si="68"/>
        <v>0</v>
      </c>
      <c r="R84" s="1610">
        <f t="shared" si="68"/>
        <v>0</v>
      </c>
      <c r="S84" s="1609">
        <f t="shared" si="68"/>
        <v>0</v>
      </c>
      <c r="T84" s="1610">
        <f t="shared" si="68"/>
        <v>0</v>
      </c>
      <c r="U84" s="1609">
        <f t="shared" si="68"/>
        <v>0</v>
      </c>
      <c r="V84" s="1610">
        <f t="shared" si="68"/>
        <v>0</v>
      </c>
      <c r="W84" s="1609">
        <f t="shared" si="68"/>
        <v>0</v>
      </c>
      <c r="X84" s="1637">
        <f t="shared" ref="X84:Y84" si="69">X82*X83/1000</f>
        <v>0</v>
      </c>
      <c r="Y84" s="1636">
        <f t="shared" si="69"/>
        <v>0</v>
      </c>
      <c r="Z84" s="1687"/>
      <c r="AA84" s="1687"/>
      <c r="AB84" s="1686"/>
      <c r="AC84" s="1677"/>
      <c r="AD84" s="1677"/>
      <c r="AE84" s="1677"/>
      <c r="AF84" s="1677"/>
      <c r="AG84" s="1677"/>
      <c r="AH84" s="1677"/>
      <c r="AI84" s="1686"/>
      <c r="AJ84" s="1688"/>
      <c r="AK84" s="1688"/>
      <c r="AL84" s="1688"/>
      <c r="AM84" s="1688"/>
      <c r="AN84" s="1688"/>
      <c r="AO84" s="1688"/>
      <c r="AP84" s="1686"/>
      <c r="AQ84" s="1686"/>
      <c r="AR84" s="1686"/>
      <c r="AS84" s="1686"/>
      <c r="AT84" s="1686"/>
      <c r="AU84" s="1686"/>
      <c r="AV84" s="1686"/>
      <c r="AW84" s="1686"/>
      <c r="AX84" s="1686"/>
      <c r="AY84" s="1686"/>
      <c r="AZ84" s="1686"/>
      <c r="BA84" s="1686"/>
      <c r="BB84" s="1686"/>
      <c r="BC84" s="1686"/>
      <c r="BD84" s="1686"/>
      <c r="BE84" s="1686"/>
      <c r="BF84" s="1686"/>
      <c r="BG84" s="1686"/>
      <c r="BH84" s="1686"/>
      <c r="BI84" s="1686"/>
      <c r="BJ84" s="1686"/>
      <c r="BK84" s="1686"/>
      <c r="BL84" s="1686"/>
      <c r="BM84" s="1686"/>
      <c r="BN84" s="1686"/>
      <c r="BO84" s="1686"/>
      <c r="BP84" s="1686"/>
      <c r="BQ84" s="1686"/>
      <c r="BR84" s="1686"/>
      <c r="BS84" s="1686"/>
      <c r="BT84" s="1686"/>
      <c r="BU84" s="1686"/>
      <c r="BV84" s="1686"/>
      <c r="BW84" s="1686"/>
      <c r="BX84" s="1686"/>
      <c r="BY84" s="1686"/>
      <c r="BZ84" s="1686"/>
      <c r="CA84" s="1686"/>
      <c r="CB84" s="1686"/>
      <c r="CC84" s="1686"/>
      <c r="CD84" s="1686"/>
      <c r="CE84" s="1686"/>
      <c r="CF84" s="1686"/>
      <c r="CG84" s="1686"/>
      <c r="CH84" s="1686"/>
      <c r="CI84" s="1686"/>
      <c r="CJ84" s="1686"/>
      <c r="CK84" s="1686"/>
      <c r="CL84" s="1686"/>
      <c r="CM84" s="1686"/>
      <c r="CN84" s="1686"/>
      <c r="CO84" s="1686"/>
      <c r="CP84" s="1686"/>
      <c r="CQ84" s="1686"/>
      <c r="CR84" s="1686"/>
      <c r="CS84" s="1686"/>
      <c r="CT84" s="1686"/>
      <c r="CU84" s="1686"/>
      <c r="CV84" s="1686"/>
      <c r="CW84" s="1686"/>
      <c r="CX84" s="1686"/>
      <c r="CY84" s="1686"/>
      <c r="CZ84" s="1686"/>
      <c r="DA84" s="1686"/>
      <c r="DB84" s="1686"/>
      <c r="DC84" s="1686"/>
      <c r="DD84" s="1686"/>
      <c r="DE84" s="1686"/>
      <c r="DF84" s="1686"/>
      <c r="DG84" s="1686"/>
      <c r="DH84" s="1686"/>
      <c r="DI84" s="1686"/>
      <c r="DJ84" s="1686"/>
      <c r="DK84" s="1686"/>
      <c r="DL84" s="1686"/>
      <c r="DM84" s="1686"/>
      <c r="DN84" s="1686"/>
      <c r="DO84" s="1686"/>
      <c r="DP84" s="1686"/>
      <c r="DQ84" s="1686"/>
      <c r="DR84" s="1686"/>
      <c r="DS84" s="1686"/>
      <c r="DT84" s="1686"/>
      <c r="DU84" s="1686"/>
      <c r="DV84" s="1686"/>
      <c r="DW84" s="1686"/>
      <c r="DX84" s="1686"/>
      <c r="DY84" s="1686"/>
      <c r="DZ84" s="1686"/>
      <c r="EA84" s="1686"/>
      <c r="EB84" s="1686"/>
      <c r="EC84" s="1686"/>
      <c r="ED84" s="1686"/>
      <c r="EE84" s="1686"/>
      <c r="EF84" s="1686"/>
      <c r="EG84" s="1686"/>
      <c r="EH84" s="1686"/>
      <c r="EI84" s="1686"/>
      <c r="EJ84" s="1686"/>
      <c r="EK84" s="1686"/>
      <c r="EL84" s="1686"/>
      <c r="EM84" s="1686"/>
      <c r="EN84" s="1686"/>
      <c r="EO84" s="1686"/>
      <c r="EP84" s="1686"/>
      <c r="EQ84" s="1686"/>
      <c r="ER84" s="1686"/>
      <c r="ES84" s="1686"/>
      <c r="ET84" s="1686"/>
      <c r="EU84" s="1686"/>
      <c r="EV84" s="1686"/>
      <c r="EW84" s="1686"/>
      <c r="EX84" s="1686"/>
      <c r="EY84" s="1686"/>
      <c r="EZ84" s="1686"/>
      <c r="FA84" s="1686"/>
      <c r="FB84" s="1686"/>
      <c r="FC84" s="1686"/>
      <c r="FD84" s="1686"/>
      <c r="FE84" s="1686"/>
      <c r="FF84" s="1686"/>
      <c r="FG84" s="1686"/>
      <c r="FH84" s="1686"/>
      <c r="FI84" s="1686"/>
      <c r="FJ84" s="1686"/>
      <c r="FK84" s="1686"/>
      <c r="FL84" s="1686"/>
      <c r="FM84" s="1686"/>
      <c r="FN84" s="1686"/>
      <c r="FO84" s="1686"/>
      <c r="FP84" s="1686"/>
      <c r="FQ84" s="1686"/>
      <c r="FR84" s="1686"/>
      <c r="FS84" s="1686"/>
      <c r="FT84" s="1686"/>
      <c r="FU84" s="1686"/>
      <c r="FV84" s="1686"/>
      <c r="FW84" s="1686"/>
      <c r="FX84" s="1686"/>
      <c r="FY84" s="1686"/>
      <c r="FZ84" s="1686"/>
      <c r="GA84" s="1686"/>
      <c r="GB84" s="1686"/>
      <c r="GC84" s="1686"/>
      <c r="GD84" s="1686"/>
      <c r="GE84" s="1686"/>
      <c r="GF84" s="1686"/>
      <c r="GG84" s="1686"/>
      <c r="GH84" s="1686"/>
      <c r="GI84" s="1686"/>
      <c r="GJ84" s="1686"/>
      <c r="GK84" s="1686"/>
      <c r="GL84" s="1686"/>
      <c r="GM84" s="1686"/>
      <c r="GN84" s="1686"/>
      <c r="GO84" s="1686"/>
      <c r="GP84" s="1686"/>
      <c r="GQ84" s="1686"/>
      <c r="GR84" s="1686"/>
      <c r="GS84" s="1686"/>
      <c r="GT84" s="1686"/>
      <c r="GU84" s="1686"/>
      <c r="GV84" s="1686"/>
      <c r="GW84" s="1686"/>
      <c r="GX84" s="1686"/>
      <c r="GY84" s="1686"/>
      <c r="GZ84" s="1686"/>
      <c r="HA84" s="1686"/>
      <c r="HB84" s="1686"/>
      <c r="HC84" s="1686"/>
      <c r="HD84" s="1686"/>
      <c r="HE84" s="1686"/>
      <c r="HF84" s="1686"/>
      <c r="HG84" s="1686"/>
      <c r="HH84" s="1686"/>
      <c r="HI84" s="1686"/>
      <c r="HJ84" s="1686"/>
      <c r="HK84" s="1686"/>
      <c r="HL84" s="1686"/>
      <c r="HM84" s="1686"/>
      <c r="HN84" s="1686"/>
      <c r="HO84" s="1686"/>
      <c r="HP84" s="1686"/>
      <c r="HQ84" s="1686"/>
      <c r="HR84" s="1686"/>
      <c r="HS84" s="1686"/>
      <c r="HT84" s="1686"/>
      <c r="HU84" s="1686"/>
      <c r="HV84" s="1686"/>
      <c r="HW84" s="1686"/>
      <c r="HX84" s="1686"/>
      <c r="HY84" s="1686"/>
      <c r="HZ84" s="1686"/>
      <c r="IA84" s="1686"/>
      <c r="IB84" s="1686"/>
      <c r="IC84" s="1686"/>
      <c r="ID84" s="1686"/>
      <c r="IE84" s="1686"/>
      <c r="IF84" s="1686"/>
      <c r="IG84" s="1686"/>
      <c r="IH84" s="1686"/>
      <c r="II84" s="1686"/>
      <c r="IJ84" s="1686"/>
      <c r="IK84" s="1686"/>
      <c r="IL84" s="1686"/>
      <c r="IM84" s="1686"/>
      <c r="IN84" s="1686"/>
      <c r="IO84" s="1686"/>
      <c r="IP84" s="1686"/>
      <c r="IQ84" s="1686"/>
      <c r="IR84" s="1686"/>
      <c r="IS84" s="1686"/>
      <c r="IT84" s="1686"/>
      <c r="IU84" s="1686"/>
      <c r="IV84" s="1686"/>
    </row>
    <row r="85" spans="1:256" ht="24" hidden="1" customHeight="1" x14ac:dyDescent="0.2">
      <c r="A85" s="1753" t="s">
        <v>1775</v>
      </c>
      <c r="B85" s="691" t="s">
        <v>1776</v>
      </c>
      <c r="C85" s="1628" t="s">
        <v>1669</v>
      </c>
      <c r="D85" s="1610">
        <v>0</v>
      </c>
      <c r="E85" s="1723">
        <v>0</v>
      </c>
      <c r="F85" s="1610"/>
      <c r="G85" s="1609"/>
      <c r="H85" s="1611">
        <v>0</v>
      </c>
      <c r="I85" s="1609">
        <v>0</v>
      </c>
      <c r="J85" s="1610">
        <v>0</v>
      </c>
      <c r="K85" s="1609">
        <v>0</v>
      </c>
      <c r="L85" s="1610">
        <v>0</v>
      </c>
      <c r="M85" s="1609">
        <v>0</v>
      </c>
      <c r="N85" s="1610">
        <v>0</v>
      </c>
      <c r="O85" s="1609">
        <v>0</v>
      </c>
      <c r="P85" s="1610">
        <v>0</v>
      </c>
      <c r="Q85" s="1609">
        <v>0</v>
      </c>
      <c r="R85" s="1610">
        <v>0</v>
      </c>
      <c r="S85" s="1609">
        <v>0</v>
      </c>
      <c r="T85" s="1610">
        <v>0</v>
      </c>
      <c r="U85" s="1609">
        <v>0</v>
      </c>
      <c r="V85" s="1610">
        <v>0</v>
      </c>
      <c r="W85" s="1612">
        <v>0</v>
      </c>
      <c r="X85" s="1637">
        <v>0</v>
      </c>
      <c r="Y85" s="1645">
        <v>0</v>
      </c>
      <c r="Z85" s="1685"/>
      <c r="AA85" s="1685"/>
      <c r="AC85" s="1677"/>
      <c r="AD85" s="1677"/>
      <c r="AE85" s="1677"/>
      <c r="AF85" s="1677"/>
      <c r="AG85" s="1677"/>
      <c r="AH85" s="1677"/>
      <c r="AJ85" s="1677"/>
      <c r="AK85" s="1677"/>
      <c r="AL85" s="1677"/>
      <c r="AM85" s="1677"/>
      <c r="AN85" s="1677"/>
      <c r="AO85" s="1677"/>
    </row>
    <row r="86" spans="1:256" ht="24" hidden="1" customHeight="1" x14ac:dyDescent="0.2">
      <c r="A86" s="1753" t="s">
        <v>1777</v>
      </c>
      <c r="B86" s="691" t="s">
        <v>1778</v>
      </c>
      <c r="C86" s="1628" t="s">
        <v>1701</v>
      </c>
      <c r="D86" s="1610">
        <v>0</v>
      </c>
      <c r="E86" s="1723">
        <v>0</v>
      </c>
      <c r="F86" s="1610"/>
      <c r="G86" s="1609"/>
      <c r="H86" s="1611">
        <v>0</v>
      </c>
      <c r="I86" s="1609">
        <v>0</v>
      </c>
      <c r="J86" s="1610">
        <v>0</v>
      </c>
      <c r="K86" s="1609">
        <v>0</v>
      </c>
      <c r="L86" s="1610">
        <v>0</v>
      </c>
      <c r="M86" s="1609">
        <v>0</v>
      </c>
      <c r="N86" s="1610">
        <v>0</v>
      </c>
      <c r="O86" s="1609">
        <v>0</v>
      </c>
      <c r="P86" s="1610">
        <v>0</v>
      </c>
      <c r="Q86" s="1609">
        <v>0</v>
      </c>
      <c r="R86" s="1610">
        <v>0</v>
      </c>
      <c r="S86" s="1609">
        <v>0</v>
      </c>
      <c r="T86" s="1610">
        <v>0</v>
      </c>
      <c r="U86" s="1609">
        <v>0</v>
      </c>
      <c r="V86" s="1610">
        <v>0</v>
      </c>
      <c r="W86" s="1612">
        <v>0</v>
      </c>
      <c r="X86" s="1637">
        <v>0</v>
      </c>
      <c r="Y86" s="1645">
        <v>0</v>
      </c>
      <c r="Z86" s="1685"/>
      <c r="AA86" s="1685"/>
      <c r="AC86" s="1677"/>
      <c r="AD86" s="1677"/>
      <c r="AE86" s="1677"/>
      <c r="AF86" s="1677"/>
      <c r="AG86" s="1677"/>
      <c r="AH86" s="1677"/>
      <c r="AJ86" s="1677"/>
      <c r="AK86" s="1677"/>
      <c r="AL86" s="1677"/>
      <c r="AM86" s="1677"/>
      <c r="AN86" s="1677"/>
      <c r="AO86" s="1677"/>
    </row>
    <row r="87" spans="1:256" ht="24" hidden="1" customHeight="1" x14ac:dyDescent="0.2">
      <c r="A87" s="1758" t="s">
        <v>1779</v>
      </c>
      <c r="B87" s="1739" t="s">
        <v>1780</v>
      </c>
      <c r="C87" s="1629" t="s">
        <v>1704</v>
      </c>
      <c r="D87" s="1610">
        <f t="shared" ref="D87:S87" si="70">D85*D86</f>
        <v>0</v>
      </c>
      <c r="E87" s="1609">
        <f t="shared" si="70"/>
        <v>0</v>
      </c>
      <c r="F87" s="1610"/>
      <c r="G87" s="1609"/>
      <c r="H87" s="1611">
        <f t="shared" si="70"/>
        <v>0</v>
      </c>
      <c r="I87" s="1609">
        <f t="shared" si="70"/>
        <v>0</v>
      </c>
      <c r="J87" s="1610">
        <f t="shared" si="70"/>
        <v>0</v>
      </c>
      <c r="K87" s="1609">
        <f t="shared" si="70"/>
        <v>0</v>
      </c>
      <c r="L87" s="1610">
        <f t="shared" si="70"/>
        <v>0</v>
      </c>
      <c r="M87" s="1609">
        <f t="shared" si="70"/>
        <v>0</v>
      </c>
      <c r="N87" s="1610">
        <f t="shared" si="70"/>
        <v>0</v>
      </c>
      <c r="O87" s="1609">
        <f t="shared" si="70"/>
        <v>0</v>
      </c>
      <c r="P87" s="1610">
        <f t="shared" si="70"/>
        <v>0</v>
      </c>
      <c r="Q87" s="1609">
        <f t="shared" si="70"/>
        <v>0</v>
      </c>
      <c r="R87" s="1610">
        <f t="shared" si="70"/>
        <v>0</v>
      </c>
      <c r="S87" s="1609">
        <f t="shared" si="70"/>
        <v>0</v>
      </c>
      <c r="T87" s="1610">
        <f t="shared" ref="T87:Y87" si="71">T85*T86</f>
        <v>0</v>
      </c>
      <c r="U87" s="1609">
        <f t="shared" si="71"/>
        <v>0</v>
      </c>
      <c r="V87" s="1610">
        <f t="shared" si="71"/>
        <v>0</v>
      </c>
      <c r="W87" s="1609">
        <f t="shared" si="71"/>
        <v>0</v>
      </c>
      <c r="X87" s="1637">
        <f t="shared" si="71"/>
        <v>0</v>
      </c>
      <c r="Y87" s="1636">
        <f t="shared" si="71"/>
        <v>0</v>
      </c>
      <c r="Z87" s="1687"/>
      <c r="AA87" s="1687"/>
      <c r="AB87" s="1686"/>
      <c r="AC87" s="1677"/>
      <c r="AD87" s="1677"/>
      <c r="AE87" s="1677"/>
      <c r="AF87" s="1677"/>
      <c r="AG87" s="1677"/>
      <c r="AH87" s="1677"/>
      <c r="AI87" s="1686"/>
      <c r="AJ87" s="1688"/>
      <c r="AK87" s="1688"/>
      <c r="AL87" s="1688"/>
      <c r="AM87" s="1688"/>
      <c r="AN87" s="1688"/>
      <c r="AO87" s="1688"/>
      <c r="AP87" s="1686"/>
      <c r="AQ87" s="1686"/>
      <c r="AR87" s="1686"/>
      <c r="AS87" s="1686"/>
      <c r="AT87" s="1686"/>
      <c r="AU87" s="1686"/>
      <c r="AV87" s="1686"/>
      <c r="AW87" s="1686"/>
      <c r="AX87" s="1686"/>
      <c r="AY87" s="1686"/>
      <c r="AZ87" s="1686"/>
      <c r="BA87" s="1686"/>
      <c r="BB87" s="1686"/>
      <c r="BC87" s="1686"/>
      <c r="BD87" s="1686"/>
      <c r="BE87" s="1686"/>
      <c r="BF87" s="1686"/>
      <c r="BG87" s="1686"/>
      <c r="BH87" s="1686"/>
      <c r="BI87" s="1686"/>
      <c r="BJ87" s="1686"/>
      <c r="BK87" s="1686"/>
      <c r="BL87" s="1686"/>
      <c r="BM87" s="1686"/>
      <c r="BN87" s="1686"/>
      <c r="BO87" s="1686"/>
      <c r="BP87" s="1686"/>
      <c r="BQ87" s="1686"/>
      <c r="BR87" s="1686"/>
      <c r="BS87" s="1686"/>
      <c r="BT87" s="1686"/>
      <c r="BU87" s="1686"/>
      <c r="BV87" s="1686"/>
      <c r="BW87" s="1686"/>
      <c r="BX87" s="1686"/>
      <c r="BY87" s="1686"/>
      <c r="BZ87" s="1686"/>
      <c r="CA87" s="1686"/>
      <c r="CB87" s="1686"/>
      <c r="CC87" s="1686"/>
      <c r="CD87" s="1686"/>
      <c r="CE87" s="1686"/>
      <c r="CF87" s="1686"/>
      <c r="CG87" s="1686"/>
      <c r="CH87" s="1686"/>
      <c r="CI87" s="1686"/>
      <c r="CJ87" s="1686"/>
      <c r="CK87" s="1686"/>
      <c r="CL87" s="1686"/>
      <c r="CM87" s="1686"/>
      <c r="CN87" s="1686"/>
      <c r="CO87" s="1686"/>
      <c r="CP87" s="1686"/>
      <c r="CQ87" s="1686"/>
      <c r="CR87" s="1686"/>
      <c r="CS87" s="1686"/>
      <c r="CT87" s="1686"/>
      <c r="CU87" s="1686"/>
      <c r="CV87" s="1686"/>
      <c r="CW87" s="1686"/>
      <c r="CX87" s="1686"/>
      <c r="CY87" s="1686"/>
      <c r="CZ87" s="1686"/>
      <c r="DA87" s="1686"/>
      <c r="DB87" s="1686"/>
      <c r="DC87" s="1686"/>
      <c r="DD87" s="1686"/>
      <c r="DE87" s="1686"/>
      <c r="DF87" s="1686"/>
      <c r="DG87" s="1686"/>
      <c r="DH87" s="1686"/>
      <c r="DI87" s="1686"/>
      <c r="DJ87" s="1686"/>
      <c r="DK87" s="1686"/>
      <c r="DL87" s="1686"/>
      <c r="DM87" s="1686"/>
      <c r="DN87" s="1686"/>
      <c r="DO87" s="1686"/>
      <c r="DP87" s="1686"/>
      <c r="DQ87" s="1686"/>
      <c r="DR87" s="1686"/>
      <c r="DS87" s="1686"/>
      <c r="DT87" s="1686"/>
      <c r="DU87" s="1686"/>
      <c r="DV87" s="1686"/>
      <c r="DW87" s="1686"/>
      <c r="DX87" s="1686"/>
      <c r="DY87" s="1686"/>
      <c r="DZ87" s="1686"/>
      <c r="EA87" s="1686"/>
      <c r="EB87" s="1686"/>
      <c r="EC87" s="1686"/>
      <c r="ED87" s="1686"/>
      <c r="EE87" s="1686"/>
      <c r="EF87" s="1686"/>
      <c r="EG87" s="1686"/>
      <c r="EH87" s="1686"/>
      <c r="EI87" s="1686"/>
      <c r="EJ87" s="1686"/>
      <c r="EK87" s="1686"/>
      <c r="EL87" s="1686"/>
      <c r="EM87" s="1686"/>
      <c r="EN87" s="1686"/>
      <c r="EO87" s="1686"/>
      <c r="EP87" s="1686"/>
      <c r="EQ87" s="1686"/>
      <c r="ER87" s="1686"/>
      <c r="ES87" s="1686"/>
      <c r="ET87" s="1686"/>
      <c r="EU87" s="1686"/>
      <c r="EV87" s="1686"/>
      <c r="EW87" s="1686"/>
      <c r="EX87" s="1686"/>
      <c r="EY87" s="1686"/>
      <c r="EZ87" s="1686"/>
      <c r="FA87" s="1686"/>
      <c r="FB87" s="1686"/>
      <c r="FC87" s="1686"/>
      <c r="FD87" s="1686"/>
      <c r="FE87" s="1686"/>
      <c r="FF87" s="1686"/>
      <c r="FG87" s="1686"/>
      <c r="FH87" s="1686"/>
      <c r="FI87" s="1686"/>
      <c r="FJ87" s="1686"/>
      <c r="FK87" s="1686"/>
      <c r="FL87" s="1686"/>
      <c r="FM87" s="1686"/>
      <c r="FN87" s="1686"/>
      <c r="FO87" s="1686"/>
      <c r="FP87" s="1686"/>
      <c r="FQ87" s="1686"/>
      <c r="FR87" s="1686"/>
      <c r="FS87" s="1686"/>
      <c r="FT87" s="1686"/>
      <c r="FU87" s="1686"/>
      <c r="FV87" s="1686"/>
      <c r="FW87" s="1686"/>
      <c r="FX87" s="1686"/>
      <c r="FY87" s="1686"/>
      <c r="FZ87" s="1686"/>
      <c r="GA87" s="1686"/>
      <c r="GB87" s="1686"/>
      <c r="GC87" s="1686"/>
      <c r="GD87" s="1686"/>
      <c r="GE87" s="1686"/>
      <c r="GF87" s="1686"/>
      <c r="GG87" s="1686"/>
      <c r="GH87" s="1686"/>
      <c r="GI87" s="1686"/>
      <c r="GJ87" s="1686"/>
      <c r="GK87" s="1686"/>
      <c r="GL87" s="1686"/>
      <c r="GM87" s="1686"/>
      <c r="GN87" s="1686"/>
      <c r="GO87" s="1686"/>
      <c r="GP87" s="1686"/>
      <c r="GQ87" s="1686"/>
      <c r="GR87" s="1686"/>
      <c r="GS87" s="1686"/>
      <c r="GT87" s="1686"/>
      <c r="GU87" s="1686"/>
      <c r="GV87" s="1686"/>
      <c r="GW87" s="1686"/>
      <c r="GX87" s="1686"/>
      <c r="GY87" s="1686"/>
      <c r="GZ87" s="1686"/>
      <c r="HA87" s="1686"/>
      <c r="HB87" s="1686"/>
      <c r="HC87" s="1686"/>
      <c r="HD87" s="1686"/>
      <c r="HE87" s="1686"/>
      <c r="HF87" s="1686"/>
      <c r="HG87" s="1686"/>
      <c r="HH87" s="1686"/>
      <c r="HI87" s="1686"/>
      <c r="HJ87" s="1686"/>
      <c r="HK87" s="1686"/>
      <c r="HL87" s="1686"/>
      <c r="HM87" s="1686"/>
      <c r="HN87" s="1686"/>
      <c r="HO87" s="1686"/>
      <c r="HP87" s="1686"/>
      <c r="HQ87" s="1686"/>
      <c r="HR87" s="1686"/>
      <c r="HS87" s="1686"/>
      <c r="HT87" s="1686"/>
      <c r="HU87" s="1686"/>
      <c r="HV87" s="1686"/>
      <c r="HW87" s="1686"/>
      <c r="HX87" s="1686"/>
      <c r="HY87" s="1686"/>
      <c r="HZ87" s="1686"/>
      <c r="IA87" s="1686"/>
      <c r="IB87" s="1686"/>
      <c r="IC87" s="1686"/>
      <c r="ID87" s="1686"/>
      <c r="IE87" s="1686"/>
      <c r="IF87" s="1686"/>
      <c r="IG87" s="1686"/>
      <c r="IH87" s="1686"/>
      <c r="II87" s="1686"/>
      <c r="IJ87" s="1686"/>
      <c r="IK87" s="1686"/>
      <c r="IL87" s="1686"/>
      <c r="IM87" s="1686"/>
      <c r="IN87" s="1686"/>
      <c r="IO87" s="1686"/>
      <c r="IP87" s="1686"/>
      <c r="IQ87" s="1686"/>
      <c r="IR87" s="1686"/>
      <c r="IS87" s="1686"/>
      <c r="IT87" s="1686"/>
      <c r="IU87" s="1686"/>
      <c r="IV87" s="1686"/>
    </row>
    <row r="88" spans="1:256" s="1655" customFormat="1" ht="24" x14ac:dyDescent="0.2">
      <c r="A88" s="1759" t="s">
        <v>1781</v>
      </c>
      <c r="B88" s="1746" t="s">
        <v>1782</v>
      </c>
      <c r="C88" s="1629" t="s">
        <v>1704</v>
      </c>
      <c r="D88" s="1937">
        <f t="shared" ref="D88:S88" si="72">D33+D84+D87</f>
        <v>432.04</v>
      </c>
      <c r="E88" s="1937">
        <f t="shared" si="72"/>
        <v>98.06</v>
      </c>
      <c r="F88" s="1938">
        <f t="shared" si="72"/>
        <v>436.43</v>
      </c>
      <c r="G88" s="1939">
        <f t="shared" si="72"/>
        <v>103.54</v>
      </c>
      <c r="H88" s="1938">
        <f t="shared" si="72"/>
        <v>682.9</v>
      </c>
      <c r="I88" s="1939">
        <f t="shared" si="72"/>
        <v>184.06</v>
      </c>
      <c r="J88" s="1940">
        <f t="shared" si="72"/>
        <v>40.35</v>
      </c>
      <c r="K88" s="1939">
        <f t="shared" si="72"/>
        <v>10.43</v>
      </c>
      <c r="L88" s="1940">
        <f t="shared" si="72"/>
        <v>637.99</v>
      </c>
      <c r="M88" s="1939">
        <f t="shared" si="72"/>
        <v>169.59</v>
      </c>
      <c r="N88" s="1940">
        <f t="shared" si="72"/>
        <v>0.13</v>
      </c>
      <c r="O88" s="1939">
        <f t="shared" si="72"/>
        <v>0.11</v>
      </c>
      <c r="P88" s="1940">
        <f t="shared" si="72"/>
        <v>1.59</v>
      </c>
      <c r="Q88" s="1939">
        <f t="shared" si="72"/>
        <v>1.41</v>
      </c>
      <c r="R88" s="1940">
        <f t="shared" si="72"/>
        <v>0.94</v>
      </c>
      <c r="S88" s="1939">
        <f t="shared" si="72"/>
        <v>0.84</v>
      </c>
      <c r="T88" s="1940">
        <f t="shared" ref="T88:Y88" si="73">T33+T84+T87</f>
        <v>1.1299999999999999</v>
      </c>
      <c r="U88" s="1939">
        <f t="shared" si="73"/>
        <v>1</v>
      </c>
      <c r="V88" s="1940">
        <f t="shared" si="73"/>
        <v>0.77</v>
      </c>
      <c r="W88" s="1939">
        <f t="shared" si="73"/>
        <v>0.68</v>
      </c>
      <c r="X88" s="1706">
        <f t="shared" si="73"/>
        <v>39.97</v>
      </c>
      <c r="Y88" s="1647">
        <f t="shared" si="73"/>
        <v>9.75</v>
      </c>
      <c r="Z88" s="1689"/>
      <c r="AA88" s="1689"/>
      <c r="AB88" s="1690"/>
      <c r="AC88" s="1691"/>
      <c r="AD88" s="1691"/>
      <c r="AE88" s="1691"/>
      <c r="AF88" s="1691"/>
      <c r="AG88" s="1691"/>
      <c r="AH88" s="1691"/>
      <c r="AI88" s="1690"/>
      <c r="AJ88" s="1692"/>
      <c r="AK88" s="1692"/>
      <c r="AL88" s="1692"/>
      <c r="AM88" s="1692"/>
      <c r="AN88" s="1692"/>
      <c r="AO88" s="1692"/>
      <c r="AP88" s="1690"/>
      <c r="AQ88" s="1690"/>
      <c r="AR88" s="1690"/>
      <c r="AS88" s="1690"/>
      <c r="AT88" s="1690"/>
      <c r="AU88" s="1690"/>
      <c r="AV88" s="1690"/>
      <c r="AW88" s="1690"/>
      <c r="AX88" s="1690"/>
      <c r="AY88" s="1690"/>
      <c r="AZ88" s="1690"/>
      <c r="BA88" s="1690"/>
      <c r="BB88" s="1690"/>
      <c r="BC88" s="1690"/>
      <c r="BD88" s="1690"/>
      <c r="BE88" s="1690"/>
      <c r="BF88" s="1690"/>
      <c r="BG88" s="1690"/>
      <c r="BH88" s="1690"/>
      <c r="BI88" s="1690"/>
      <c r="BJ88" s="1690"/>
      <c r="BK88" s="1690"/>
      <c r="BL88" s="1690"/>
      <c r="BM88" s="1690"/>
      <c r="BN88" s="1690"/>
      <c r="BO88" s="1690"/>
      <c r="BP88" s="1690"/>
      <c r="BQ88" s="1690"/>
      <c r="BR88" s="1690"/>
      <c r="BS88" s="1690"/>
      <c r="BT88" s="1690"/>
      <c r="BU88" s="1690"/>
      <c r="BV88" s="1690"/>
      <c r="BW88" s="1690"/>
      <c r="BX88" s="1690"/>
      <c r="BY88" s="1690"/>
      <c r="BZ88" s="1690"/>
      <c r="CA88" s="1690"/>
      <c r="CB88" s="1690"/>
      <c r="CC88" s="1690"/>
      <c r="CD88" s="1690"/>
      <c r="CE88" s="1690"/>
      <c r="CF88" s="1690"/>
      <c r="CG88" s="1690"/>
      <c r="CH88" s="1690"/>
      <c r="CI88" s="1690"/>
      <c r="CJ88" s="1690"/>
      <c r="CK88" s="1690"/>
      <c r="CL88" s="1690"/>
      <c r="CM88" s="1690"/>
      <c r="CN88" s="1690"/>
      <c r="CO88" s="1690"/>
      <c r="CP88" s="1690"/>
      <c r="CQ88" s="1690"/>
      <c r="CR88" s="1690"/>
      <c r="CS88" s="1690"/>
      <c r="CT88" s="1690"/>
      <c r="CU88" s="1690"/>
      <c r="CV88" s="1690"/>
      <c r="CW88" s="1690"/>
      <c r="CX88" s="1690"/>
      <c r="CY88" s="1690"/>
      <c r="CZ88" s="1690"/>
      <c r="DA88" s="1690"/>
      <c r="DB88" s="1690"/>
      <c r="DC88" s="1690"/>
      <c r="DD88" s="1690"/>
      <c r="DE88" s="1690"/>
      <c r="DF88" s="1690"/>
      <c r="DG88" s="1690"/>
      <c r="DH88" s="1690"/>
      <c r="DI88" s="1690"/>
      <c r="DJ88" s="1690"/>
      <c r="DK88" s="1690"/>
      <c r="DL88" s="1690"/>
      <c r="DM88" s="1690"/>
      <c r="DN88" s="1690"/>
      <c r="DO88" s="1690"/>
      <c r="DP88" s="1690"/>
      <c r="DQ88" s="1690"/>
      <c r="DR88" s="1690"/>
      <c r="DS88" s="1690"/>
      <c r="DT88" s="1690"/>
      <c r="DU88" s="1690"/>
      <c r="DV88" s="1690"/>
      <c r="DW88" s="1690"/>
      <c r="DX88" s="1690"/>
      <c r="DY88" s="1690"/>
      <c r="DZ88" s="1690"/>
      <c r="EA88" s="1690"/>
      <c r="EB88" s="1690"/>
      <c r="EC88" s="1690"/>
      <c r="ED88" s="1690"/>
      <c r="EE88" s="1690"/>
      <c r="EF88" s="1690"/>
      <c r="EG88" s="1690"/>
      <c r="EH88" s="1690"/>
      <c r="EI88" s="1690"/>
      <c r="EJ88" s="1690"/>
      <c r="EK88" s="1690"/>
      <c r="EL88" s="1690"/>
      <c r="EM88" s="1690"/>
      <c r="EN88" s="1690"/>
      <c r="EO88" s="1690"/>
      <c r="EP88" s="1690"/>
      <c r="EQ88" s="1690"/>
      <c r="ER88" s="1690"/>
      <c r="ES88" s="1690"/>
      <c r="ET88" s="1690"/>
      <c r="EU88" s="1690"/>
      <c r="EV88" s="1690"/>
      <c r="EW88" s="1690"/>
      <c r="EX88" s="1690"/>
      <c r="EY88" s="1690"/>
      <c r="EZ88" s="1690"/>
      <c r="FA88" s="1690"/>
      <c r="FB88" s="1690"/>
      <c r="FC88" s="1690"/>
      <c r="FD88" s="1690"/>
      <c r="FE88" s="1690"/>
      <c r="FF88" s="1690"/>
      <c r="FG88" s="1690"/>
      <c r="FH88" s="1690"/>
      <c r="FI88" s="1690"/>
      <c r="FJ88" s="1690"/>
      <c r="FK88" s="1690"/>
      <c r="FL88" s="1690"/>
      <c r="FM88" s="1690"/>
      <c r="FN88" s="1690"/>
      <c r="FO88" s="1690"/>
      <c r="FP88" s="1690"/>
      <c r="FQ88" s="1690"/>
      <c r="FR88" s="1690"/>
      <c r="FS88" s="1690"/>
      <c r="FT88" s="1690"/>
      <c r="FU88" s="1690"/>
      <c r="FV88" s="1690"/>
      <c r="FW88" s="1690"/>
      <c r="FX88" s="1690"/>
      <c r="FY88" s="1690"/>
      <c r="FZ88" s="1690"/>
      <c r="GA88" s="1690"/>
      <c r="GB88" s="1690"/>
      <c r="GC88" s="1690"/>
      <c r="GD88" s="1690"/>
      <c r="GE88" s="1690"/>
      <c r="GF88" s="1690"/>
      <c r="GG88" s="1690"/>
      <c r="GH88" s="1690"/>
      <c r="GI88" s="1690"/>
      <c r="GJ88" s="1690"/>
      <c r="GK88" s="1690"/>
      <c r="GL88" s="1690"/>
      <c r="GM88" s="1690"/>
      <c r="GN88" s="1690"/>
      <c r="GO88" s="1690"/>
      <c r="GP88" s="1690"/>
      <c r="GQ88" s="1690"/>
      <c r="GR88" s="1690"/>
      <c r="GS88" s="1690"/>
      <c r="GT88" s="1690"/>
      <c r="GU88" s="1690"/>
      <c r="GV88" s="1690"/>
      <c r="GW88" s="1690"/>
      <c r="GX88" s="1690"/>
      <c r="GY88" s="1690"/>
      <c r="GZ88" s="1690"/>
      <c r="HA88" s="1690"/>
      <c r="HB88" s="1690"/>
      <c r="HC88" s="1690"/>
      <c r="HD88" s="1690"/>
      <c r="HE88" s="1690"/>
      <c r="HF88" s="1690"/>
      <c r="HG88" s="1690"/>
      <c r="HH88" s="1690"/>
      <c r="HI88" s="1690"/>
      <c r="HJ88" s="1690"/>
      <c r="HK88" s="1690"/>
      <c r="HL88" s="1690"/>
      <c r="HM88" s="1690"/>
      <c r="HN88" s="1690"/>
      <c r="HO88" s="1690"/>
      <c r="HP88" s="1690"/>
      <c r="HQ88" s="1690"/>
      <c r="HR88" s="1690"/>
      <c r="HS88" s="1690"/>
      <c r="HT88" s="1690"/>
      <c r="HU88" s="1690"/>
      <c r="HV88" s="1690"/>
      <c r="HW88" s="1690"/>
      <c r="HX88" s="1690"/>
      <c r="HY88" s="1690"/>
      <c r="HZ88" s="1690"/>
      <c r="IA88" s="1690"/>
      <c r="IB88" s="1690"/>
      <c r="IC88" s="1690"/>
      <c r="ID88" s="1690"/>
      <c r="IE88" s="1690"/>
      <c r="IF88" s="1690"/>
      <c r="IG88" s="1690"/>
      <c r="IH88" s="1690"/>
      <c r="II88" s="1690"/>
      <c r="IJ88" s="1690"/>
      <c r="IK88" s="1690"/>
      <c r="IL88" s="1690"/>
      <c r="IM88" s="1690"/>
      <c r="IN88" s="1690"/>
      <c r="IO88" s="1690"/>
      <c r="IP88" s="1690"/>
      <c r="IQ88" s="1690"/>
      <c r="IR88" s="1690"/>
      <c r="IS88" s="1690"/>
      <c r="IT88" s="1690"/>
      <c r="IU88" s="1690"/>
      <c r="IV88" s="1690"/>
    </row>
    <row r="89" spans="1:256" ht="36" customHeight="1" x14ac:dyDescent="0.2">
      <c r="A89" s="1760" t="s">
        <v>1783</v>
      </c>
      <c r="B89" s="1747" t="s">
        <v>1784</v>
      </c>
      <c r="C89" s="1602" t="s">
        <v>74</v>
      </c>
      <c r="D89" s="1726">
        <f t="shared" ref="D89:U89" si="74">D88/D90</f>
        <v>5.05</v>
      </c>
      <c r="E89" s="1727">
        <f t="shared" si="74"/>
        <v>1.1499999999999999</v>
      </c>
      <c r="F89" s="1728">
        <f t="shared" si="74"/>
        <v>5.0599999999999996</v>
      </c>
      <c r="G89" s="1609">
        <f t="shared" si="74"/>
        <v>1.2</v>
      </c>
      <c r="H89" s="1728">
        <f>J89+L89+N89+P89+R89+T89+V89</f>
        <v>71.7</v>
      </c>
      <c r="I89" s="1728">
        <f>K89+M89+O89+Q89+S89+U89+W89</f>
        <v>19.34</v>
      </c>
      <c r="J89" s="1610">
        <f t="shared" si="74"/>
        <v>3.78</v>
      </c>
      <c r="K89" s="1609">
        <f t="shared" si="74"/>
        <v>0.98</v>
      </c>
      <c r="L89" s="1610">
        <f t="shared" si="74"/>
        <v>67.44</v>
      </c>
      <c r="M89" s="1609">
        <f t="shared" si="74"/>
        <v>17.93</v>
      </c>
      <c r="N89" s="1610">
        <f t="shared" si="74"/>
        <v>0.01</v>
      </c>
      <c r="O89" s="1609">
        <f t="shared" si="74"/>
        <v>0.01</v>
      </c>
      <c r="P89" s="1610">
        <f t="shared" si="74"/>
        <v>0.17</v>
      </c>
      <c r="Q89" s="1609">
        <f t="shared" si="74"/>
        <v>0.15</v>
      </c>
      <c r="R89" s="1610">
        <f t="shared" si="74"/>
        <v>0.1</v>
      </c>
      <c r="S89" s="1609">
        <f t="shared" si="74"/>
        <v>0.09</v>
      </c>
      <c r="T89" s="1610">
        <f t="shared" si="74"/>
        <v>0.12</v>
      </c>
      <c r="U89" s="1609">
        <f t="shared" si="74"/>
        <v>0.11</v>
      </c>
      <c r="V89" s="1610">
        <f>V88/V90</f>
        <v>0.08</v>
      </c>
      <c r="W89" s="1609">
        <f>W88/W90</f>
        <v>7.0000000000000007E-2</v>
      </c>
      <c r="X89" s="1707">
        <f>X88/X90</f>
        <v>4.2300000000000004</v>
      </c>
      <c r="Y89" s="1603">
        <f>Y88/Y90</f>
        <v>1.0309999999999999</v>
      </c>
      <c r="Z89" s="1688"/>
      <c r="AA89" s="1688"/>
      <c r="AB89" s="1686"/>
      <c r="AC89" s="1677"/>
      <c r="AD89" s="1677"/>
      <c r="AE89" s="1677"/>
      <c r="AF89" s="1677"/>
      <c r="AG89" s="1677"/>
      <c r="AH89" s="1677"/>
      <c r="AI89" s="1686"/>
      <c r="AJ89" s="1688"/>
      <c r="AK89" s="1688"/>
      <c r="AL89" s="1688"/>
      <c r="AM89" s="1688"/>
      <c r="AN89" s="1688"/>
      <c r="AO89" s="1688"/>
      <c r="AP89" s="1686"/>
      <c r="AQ89" s="1686"/>
      <c r="AR89" s="1686"/>
      <c r="AS89" s="1686"/>
      <c r="AT89" s="1686"/>
      <c r="AU89" s="1686"/>
      <c r="AV89" s="1686"/>
      <c r="AW89" s="1686"/>
      <c r="AX89" s="1686"/>
      <c r="AY89" s="1686"/>
      <c r="AZ89" s="1686"/>
      <c r="BA89" s="1686"/>
      <c r="BB89" s="1686"/>
      <c r="BC89" s="1686"/>
      <c r="BD89" s="1686"/>
      <c r="BE89" s="1686"/>
      <c r="BF89" s="1686"/>
      <c r="BG89" s="1686"/>
      <c r="BH89" s="1686"/>
      <c r="BI89" s="1686"/>
      <c r="BJ89" s="1686"/>
      <c r="BK89" s="1686"/>
      <c r="BL89" s="1686"/>
      <c r="BM89" s="1686"/>
      <c r="BN89" s="1686"/>
      <c r="BO89" s="1686"/>
      <c r="BP89" s="1686"/>
      <c r="BQ89" s="1686"/>
      <c r="BR89" s="1686"/>
      <c r="BS89" s="1686"/>
      <c r="BT89" s="1686"/>
      <c r="BU89" s="1686"/>
      <c r="BV89" s="1686"/>
      <c r="BW89" s="1686"/>
      <c r="BX89" s="1686"/>
      <c r="BY89" s="1686"/>
      <c r="BZ89" s="1686"/>
      <c r="CA89" s="1686"/>
      <c r="CB89" s="1686"/>
      <c r="CC89" s="1686"/>
      <c r="CD89" s="1686"/>
      <c r="CE89" s="1686"/>
      <c r="CF89" s="1686"/>
      <c r="CG89" s="1686"/>
      <c r="CH89" s="1686"/>
      <c r="CI89" s="1686"/>
      <c r="CJ89" s="1686"/>
      <c r="CK89" s="1686"/>
      <c r="CL89" s="1686"/>
      <c r="CM89" s="1686"/>
      <c r="CN89" s="1686"/>
      <c r="CO89" s="1686"/>
      <c r="CP89" s="1686"/>
      <c r="CQ89" s="1686"/>
      <c r="CR89" s="1686"/>
      <c r="CS89" s="1686"/>
      <c r="CT89" s="1686"/>
      <c r="CU89" s="1686"/>
      <c r="CV89" s="1686"/>
      <c r="CW89" s="1686"/>
      <c r="CX89" s="1686"/>
      <c r="CY89" s="1686"/>
      <c r="CZ89" s="1686"/>
      <c r="DA89" s="1686"/>
      <c r="DB89" s="1686"/>
      <c r="DC89" s="1686"/>
      <c r="DD89" s="1686"/>
      <c r="DE89" s="1686"/>
      <c r="DF89" s="1686"/>
      <c r="DG89" s="1686"/>
      <c r="DH89" s="1686"/>
      <c r="DI89" s="1686"/>
      <c r="DJ89" s="1686"/>
      <c r="DK89" s="1686"/>
      <c r="DL89" s="1686"/>
      <c r="DM89" s="1686"/>
      <c r="DN89" s="1686"/>
      <c r="DO89" s="1686"/>
      <c r="DP89" s="1686"/>
      <c r="DQ89" s="1686"/>
      <c r="DR89" s="1686"/>
      <c r="DS89" s="1686"/>
      <c r="DT89" s="1686"/>
      <c r="DU89" s="1686"/>
      <c r="DV89" s="1686"/>
      <c r="DW89" s="1686"/>
      <c r="DX89" s="1686"/>
      <c r="DY89" s="1686"/>
      <c r="DZ89" s="1686"/>
      <c r="EA89" s="1686"/>
      <c r="EB89" s="1686"/>
      <c r="EC89" s="1686"/>
      <c r="ED89" s="1686"/>
      <c r="EE89" s="1686"/>
      <c r="EF89" s="1686"/>
      <c r="EG89" s="1686"/>
      <c r="EH89" s="1686"/>
      <c r="EI89" s="1686"/>
      <c r="EJ89" s="1686"/>
      <c r="EK89" s="1686"/>
      <c r="EL89" s="1686"/>
      <c r="EM89" s="1686"/>
      <c r="EN89" s="1686"/>
      <c r="EO89" s="1686"/>
      <c r="EP89" s="1686"/>
      <c r="EQ89" s="1686"/>
      <c r="ER89" s="1686"/>
      <c r="ES89" s="1686"/>
      <c r="ET89" s="1686"/>
      <c r="EU89" s="1686"/>
      <c r="EV89" s="1686"/>
      <c r="EW89" s="1686"/>
      <c r="EX89" s="1686"/>
      <c r="EY89" s="1686"/>
      <c r="EZ89" s="1686"/>
      <c r="FA89" s="1686"/>
      <c r="FB89" s="1686"/>
      <c r="FC89" s="1686"/>
      <c r="FD89" s="1686"/>
      <c r="FE89" s="1686"/>
      <c r="FF89" s="1686"/>
      <c r="FG89" s="1686"/>
      <c r="FH89" s="1686"/>
      <c r="FI89" s="1686"/>
      <c r="FJ89" s="1686"/>
      <c r="FK89" s="1686"/>
      <c r="FL89" s="1686"/>
      <c r="FM89" s="1686"/>
      <c r="FN89" s="1686"/>
      <c r="FO89" s="1686"/>
      <c r="FP89" s="1686"/>
      <c r="FQ89" s="1686"/>
      <c r="FR89" s="1686"/>
      <c r="FS89" s="1686"/>
      <c r="FT89" s="1686"/>
      <c r="FU89" s="1686"/>
      <c r="FV89" s="1686"/>
      <c r="FW89" s="1686"/>
      <c r="FX89" s="1686"/>
      <c r="FY89" s="1686"/>
      <c r="FZ89" s="1686"/>
      <c r="GA89" s="1686"/>
      <c r="GB89" s="1686"/>
      <c r="GC89" s="1686"/>
      <c r="GD89" s="1686"/>
      <c r="GE89" s="1686"/>
      <c r="GF89" s="1686"/>
      <c r="GG89" s="1686"/>
      <c r="GH89" s="1686"/>
      <c r="GI89" s="1686"/>
      <c r="GJ89" s="1686"/>
      <c r="GK89" s="1686"/>
      <c r="GL89" s="1686"/>
      <c r="GM89" s="1686"/>
      <c r="GN89" s="1686"/>
      <c r="GO89" s="1686"/>
      <c r="GP89" s="1686"/>
      <c r="GQ89" s="1686"/>
      <c r="GR89" s="1686"/>
      <c r="GS89" s="1686"/>
      <c r="GT89" s="1686"/>
      <c r="GU89" s="1686"/>
      <c r="GV89" s="1686"/>
      <c r="GW89" s="1686"/>
      <c r="GX89" s="1686"/>
      <c r="GY89" s="1686"/>
      <c r="GZ89" s="1686"/>
      <c r="HA89" s="1686"/>
      <c r="HB89" s="1686"/>
      <c r="HC89" s="1686"/>
      <c r="HD89" s="1686"/>
      <c r="HE89" s="1686"/>
      <c r="HF89" s="1686"/>
      <c r="HG89" s="1686"/>
      <c r="HH89" s="1686"/>
      <c r="HI89" s="1686"/>
      <c r="HJ89" s="1686"/>
      <c r="HK89" s="1686"/>
      <c r="HL89" s="1686"/>
      <c r="HM89" s="1686"/>
      <c r="HN89" s="1686"/>
      <c r="HO89" s="1686"/>
      <c r="HP89" s="1686"/>
      <c r="HQ89" s="1686"/>
      <c r="HR89" s="1686"/>
      <c r="HS89" s="1686"/>
      <c r="HT89" s="1686"/>
      <c r="HU89" s="1686"/>
      <c r="HV89" s="1686"/>
      <c r="HW89" s="1686"/>
      <c r="HX89" s="1686"/>
      <c r="HY89" s="1686"/>
      <c r="HZ89" s="1686"/>
      <c r="IA89" s="1686"/>
      <c r="IB89" s="1686"/>
      <c r="IC89" s="1686"/>
      <c r="ID89" s="1686"/>
      <c r="IE89" s="1686"/>
      <c r="IF89" s="1686"/>
      <c r="IG89" s="1686"/>
      <c r="IH89" s="1686"/>
      <c r="II89" s="1686"/>
      <c r="IJ89" s="1686"/>
      <c r="IK89" s="1686"/>
      <c r="IL89" s="1686"/>
      <c r="IM89" s="1686"/>
      <c r="IN89" s="1686"/>
      <c r="IO89" s="1686"/>
      <c r="IP89" s="1686"/>
      <c r="IQ89" s="1686"/>
      <c r="IR89" s="1686"/>
      <c r="IS89" s="1686"/>
      <c r="IT89" s="1686"/>
      <c r="IU89" s="1686"/>
      <c r="IV89" s="1686"/>
    </row>
    <row r="90" spans="1:256" ht="24.6" customHeight="1" thickBot="1" x14ac:dyDescent="0.25">
      <c r="A90" s="1761" t="s">
        <v>1785</v>
      </c>
      <c r="B90" s="1748" t="s">
        <v>1786</v>
      </c>
      <c r="C90" s="1604" t="s">
        <v>1787</v>
      </c>
      <c r="D90" s="1729">
        <f>85495.965/1000</f>
        <v>85.5</v>
      </c>
      <c r="E90" s="1730">
        <f>D90</f>
        <v>85.5</v>
      </c>
      <c r="F90" s="1729">
        <v>86.24</v>
      </c>
      <c r="G90" s="1731">
        <f>F90</f>
        <v>86.24</v>
      </c>
      <c r="H90" s="1732"/>
      <c r="I90" s="1731"/>
      <c r="J90" s="1729">
        <f>'Д 2_Т на В'!H58/1000</f>
        <v>10.67</v>
      </c>
      <c r="K90" s="1731">
        <f t="shared" ref="K90:W90" si="75">J90</f>
        <v>10.67</v>
      </c>
      <c r="L90" s="1729">
        <f>'Д 2_Т на В'!H55/1000</f>
        <v>9.4600000000000009</v>
      </c>
      <c r="M90" s="1731">
        <f t="shared" si="75"/>
        <v>9.4600000000000009</v>
      </c>
      <c r="N90" s="1729">
        <f t="shared" si="75"/>
        <v>9.4600000000000009</v>
      </c>
      <c r="O90" s="1731">
        <f t="shared" si="75"/>
        <v>9.4600000000000009</v>
      </c>
      <c r="P90" s="1729">
        <f t="shared" si="75"/>
        <v>9.4600000000000009</v>
      </c>
      <c r="Q90" s="1731">
        <f t="shared" si="75"/>
        <v>9.4600000000000009</v>
      </c>
      <c r="R90" s="1729">
        <f t="shared" si="75"/>
        <v>9.4600000000000009</v>
      </c>
      <c r="S90" s="1731">
        <f t="shared" si="75"/>
        <v>9.4600000000000009</v>
      </c>
      <c r="T90" s="1729">
        <f t="shared" si="75"/>
        <v>9.4600000000000009</v>
      </c>
      <c r="U90" s="1731">
        <f t="shared" si="75"/>
        <v>9.4600000000000009</v>
      </c>
      <c r="V90" s="1729">
        <f t="shared" si="75"/>
        <v>9.4600000000000009</v>
      </c>
      <c r="W90" s="1731">
        <f t="shared" si="75"/>
        <v>9.4600000000000009</v>
      </c>
      <c r="X90" s="1605">
        <f t="shared" ref="X90:Y90" si="76">W90</f>
        <v>9.4600000000000009</v>
      </c>
      <c r="Y90" s="1606">
        <f t="shared" si="76"/>
        <v>9.4600000000000009</v>
      </c>
      <c r="Z90" s="1688"/>
      <c r="AA90" s="1688"/>
      <c r="AB90" s="1683"/>
      <c r="AC90" s="1677"/>
      <c r="AD90" s="1677"/>
      <c r="AE90" s="1677"/>
      <c r="AF90" s="1677"/>
      <c r="AG90" s="1677"/>
      <c r="AH90" s="1677"/>
      <c r="AI90" s="1683"/>
      <c r="AJ90" s="1688"/>
      <c r="AK90" s="1688"/>
      <c r="AL90" s="1688"/>
      <c r="AM90" s="1688"/>
      <c r="AN90" s="1688"/>
      <c r="AO90" s="1688"/>
      <c r="AP90" s="1683"/>
      <c r="AQ90" s="1683"/>
      <c r="AR90" s="1683"/>
      <c r="AS90" s="1683"/>
      <c r="AT90" s="1683"/>
      <c r="AU90" s="1683"/>
      <c r="AV90" s="1683"/>
      <c r="AW90" s="1683"/>
      <c r="AX90" s="1683"/>
      <c r="AY90" s="1683"/>
      <c r="AZ90" s="1683"/>
      <c r="BA90" s="1683"/>
      <c r="BB90" s="1683"/>
      <c r="BC90" s="1683"/>
      <c r="BD90" s="1683"/>
      <c r="BE90" s="1683"/>
      <c r="BF90" s="1683"/>
      <c r="BG90" s="1683"/>
      <c r="BH90" s="1683"/>
      <c r="BI90" s="1683"/>
      <c r="BJ90" s="1683"/>
      <c r="BK90" s="1683"/>
      <c r="BL90" s="1683"/>
      <c r="BM90" s="1683"/>
      <c r="BN90" s="1683"/>
      <c r="BO90" s="1683"/>
      <c r="BP90" s="1683"/>
      <c r="BQ90" s="1683"/>
      <c r="BR90" s="1683"/>
      <c r="BS90" s="1683"/>
      <c r="BT90" s="1683"/>
      <c r="BU90" s="1683"/>
      <c r="BV90" s="1683"/>
      <c r="BW90" s="1683"/>
      <c r="BX90" s="1683"/>
      <c r="BY90" s="1683"/>
      <c r="BZ90" s="1683"/>
      <c r="CA90" s="1683"/>
      <c r="CB90" s="1683"/>
      <c r="CC90" s="1683"/>
      <c r="CD90" s="1683"/>
      <c r="CE90" s="1683"/>
      <c r="CF90" s="1683"/>
      <c r="CG90" s="1683"/>
      <c r="CH90" s="1683"/>
      <c r="CI90" s="1683"/>
      <c r="CJ90" s="1683"/>
      <c r="CK90" s="1683"/>
      <c r="CL90" s="1683"/>
      <c r="CM90" s="1683"/>
      <c r="CN90" s="1683"/>
      <c r="CO90" s="1683"/>
      <c r="CP90" s="1683"/>
      <c r="CQ90" s="1683"/>
      <c r="CR90" s="1683"/>
      <c r="CS90" s="1683"/>
      <c r="CT90" s="1683"/>
      <c r="CU90" s="1683"/>
      <c r="CV90" s="1683"/>
      <c r="CW90" s="1683"/>
      <c r="CX90" s="1683"/>
      <c r="CY90" s="1683"/>
      <c r="CZ90" s="1683"/>
      <c r="DA90" s="1683"/>
      <c r="DB90" s="1683"/>
      <c r="DC90" s="1683"/>
      <c r="DD90" s="1683"/>
      <c r="DE90" s="1683"/>
      <c r="DF90" s="1683"/>
      <c r="DG90" s="1683"/>
      <c r="DH90" s="1683"/>
      <c r="DI90" s="1683"/>
      <c r="DJ90" s="1683"/>
      <c r="DK90" s="1683"/>
      <c r="DL90" s="1683"/>
      <c r="DM90" s="1683"/>
      <c r="DN90" s="1683"/>
      <c r="DO90" s="1683"/>
      <c r="DP90" s="1683"/>
      <c r="DQ90" s="1683"/>
      <c r="DR90" s="1683"/>
      <c r="DS90" s="1683"/>
      <c r="DT90" s="1683"/>
      <c r="DU90" s="1683"/>
      <c r="DV90" s="1683"/>
      <c r="DW90" s="1683"/>
      <c r="DX90" s="1683"/>
      <c r="DY90" s="1683"/>
      <c r="DZ90" s="1683"/>
      <c r="EA90" s="1683"/>
      <c r="EB90" s="1683"/>
      <c r="EC90" s="1683"/>
      <c r="ED90" s="1683"/>
      <c r="EE90" s="1683"/>
      <c r="EF90" s="1683"/>
      <c r="EG90" s="1683"/>
      <c r="EH90" s="1683"/>
      <c r="EI90" s="1683"/>
      <c r="EJ90" s="1683"/>
      <c r="EK90" s="1683"/>
      <c r="EL90" s="1683"/>
      <c r="EM90" s="1683"/>
      <c r="EN90" s="1683"/>
      <c r="EO90" s="1683"/>
      <c r="EP90" s="1683"/>
      <c r="EQ90" s="1683"/>
      <c r="ER90" s="1683"/>
      <c r="ES90" s="1683"/>
      <c r="ET90" s="1683"/>
      <c r="EU90" s="1683"/>
      <c r="EV90" s="1683"/>
      <c r="EW90" s="1683"/>
      <c r="EX90" s="1683"/>
      <c r="EY90" s="1683"/>
      <c r="EZ90" s="1683"/>
      <c r="FA90" s="1683"/>
      <c r="FB90" s="1683"/>
      <c r="FC90" s="1683"/>
      <c r="FD90" s="1683"/>
      <c r="FE90" s="1683"/>
      <c r="FF90" s="1683"/>
      <c r="FG90" s="1683"/>
      <c r="FH90" s="1683"/>
      <c r="FI90" s="1683"/>
      <c r="FJ90" s="1683"/>
      <c r="FK90" s="1683"/>
      <c r="FL90" s="1683"/>
      <c r="FM90" s="1683"/>
      <c r="FN90" s="1683"/>
      <c r="FO90" s="1683"/>
      <c r="FP90" s="1683"/>
      <c r="FQ90" s="1683"/>
      <c r="FR90" s="1683"/>
      <c r="FS90" s="1683"/>
      <c r="FT90" s="1683"/>
      <c r="FU90" s="1683"/>
      <c r="FV90" s="1683"/>
      <c r="FW90" s="1683"/>
      <c r="FX90" s="1683"/>
      <c r="FY90" s="1683"/>
      <c r="FZ90" s="1683"/>
      <c r="GA90" s="1683"/>
      <c r="GB90" s="1683"/>
      <c r="GC90" s="1683"/>
      <c r="GD90" s="1683"/>
      <c r="GE90" s="1683"/>
      <c r="GF90" s="1683"/>
      <c r="GG90" s="1683"/>
      <c r="GH90" s="1683"/>
      <c r="GI90" s="1683"/>
      <c r="GJ90" s="1683"/>
      <c r="GK90" s="1683"/>
      <c r="GL90" s="1683"/>
      <c r="GM90" s="1683"/>
      <c r="GN90" s="1683"/>
      <c r="GO90" s="1683"/>
      <c r="GP90" s="1683"/>
      <c r="GQ90" s="1683"/>
      <c r="GR90" s="1683"/>
      <c r="GS90" s="1683"/>
      <c r="GT90" s="1683"/>
      <c r="GU90" s="1683"/>
      <c r="GV90" s="1683"/>
      <c r="GW90" s="1683"/>
      <c r="GX90" s="1683"/>
      <c r="GY90" s="1683"/>
      <c r="GZ90" s="1683"/>
      <c r="HA90" s="1683"/>
      <c r="HB90" s="1683"/>
      <c r="HC90" s="1683"/>
      <c r="HD90" s="1683"/>
      <c r="HE90" s="1683"/>
      <c r="HF90" s="1683"/>
      <c r="HG90" s="1683"/>
      <c r="HH90" s="1683"/>
      <c r="HI90" s="1683"/>
      <c r="HJ90" s="1683"/>
      <c r="HK90" s="1683"/>
      <c r="HL90" s="1683"/>
      <c r="HM90" s="1683"/>
      <c r="HN90" s="1683"/>
      <c r="HO90" s="1683"/>
      <c r="HP90" s="1683"/>
      <c r="HQ90" s="1683"/>
      <c r="HR90" s="1683"/>
      <c r="HS90" s="1683"/>
      <c r="HT90" s="1683"/>
      <c r="HU90" s="1683"/>
      <c r="HV90" s="1683"/>
      <c r="HW90" s="1683"/>
      <c r="HX90" s="1683"/>
      <c r="HY90" s="1683"/>
      <c r="HZ90" s="1683"/>
      <c r="IA90" s="1683"/>
      <c r="IB90" s="1683"/>
      <c r="IC90" s="1683"/>
      <c r="ID90" s="1683"/>
      <c r="IE90" s="1683"/>
      <c r="IF90" s="1683"/>
      <c r="IG90" s="1683"/>
      <c r="IH90" s="1683"/>
      <c r="II90" s="1683"/>
      <c r="IJ90" s="1683"/>
      <c r="IK90" s="1683"/>
      <c r="IL90" s="1683"/>
      <c r="IM90" s="1683"/>
      <c r="IN90" s="1683"/>
      <c r="IO90" s="1683"/>
      <c r="IP90" s="1683"/>
      <c r="IQ90" s="1683"/>
      <c r="IR90" s="1683"/>
      <c r="IS90" s="1683"/>
      <c r="IT90" s="1683"/>
      <c r="IU90" s="1683"/>
      <c r="IV90" s="1683"/>
    </row>
    <row r="91" spans="1:256" ht="13.5" thickBot="1" x14ac:dyDescent="0.25">
      <c r="A91" s="4542" t="s">
        <v>1788</v>
      </c>
      <c r="B91" s="4543"/>
      <c r="C91" s="4543"/>
      <c r="D91" s="4543"/>
      <c r="E91" s="4543"/>
      <c r="F91" s="4543"/>
      <c r="G91" s="4543"/>
      <c r="H91" s="4543"/>
      <c r="I91" s="4543"/>
      <c r="J91" s="4543"/>
      <c r="K91" s="4543"/>
      <c r="L91" s="4543"/>
      <c r="M91" s="4543"/>
      <c r="N91" s="4543"/>
      <c r="O91" s="4543"/>
      <c r="P91" s="4543"/>
      <c r="Q91" s="4543"/>
      <c r="R91" s="4543"/>
      <c r="S91" s="4543"/>
      <c r="T91" s="4543"/>
      <c r="U91" s="4543"/>
      <c r="V91" s="1683"/>
      <c r="W91" s="1683"/>
      <c r="X91" s="1683"/>
      <c r="Y91" s="1683"/>
      <c r="Z91" s="1688"/>
      <c r="AA91" s="1688"/>
      <c r="AB91" s="1683"/>
      <c r="AC91" s="1677"/>
      <c r="AD91" s="1677"/>
      <c r="AE91" s="1677"/>
      <c r="AF91" s="1677"/>
      <c r="AG91" s="1677"/>
      <c r="AH91" s="1677"/>
      <c r="AI91" s="1683"/>
      <c r="AJ91" s="1688"/>
      <c r="AK91" s="1688"/>
      <c r="AL91" s="1688"/>
      <c r="AM91" s="1688"/>
      <c r="AN91" s="1688"/>
      <c r="AO91" s="1688"/>
      <c r="AP91" s="1683"/>
      <c r="AQ91" s="1683"/>
      <c r="AR91" s="1683"/>
      <c r="AS91" s="1683"/>
      <c r="AT91" s="1683"/>
      <c r="AU91" s="1683"/>
      <c r="AV91" s="1683"/>
      <c r="AW91" s="1683"/>
      <c r="AX91" s="1683"/>
      <c r="AY91" s="1683"/>
      <c r="AZ91" s="1683"/>
      <c r="BA91" s="1683"/>
      <c r="BB91" s="1683"/>
      <c r="BC91" s="1683"/>
      <c r="BD91" s="1683"/>
      <c r="BE91" s="1683"/>
      <c r="BF91" s="1683"/>
      <c r="BG91" s="1683"/>
      <c r="BH91" s="1683"/>
      <c r="BI91" s="1683"/>
      <c r="BJ91" s="1683"/>
      <c r="BK91" s="1683"/>
      <c r="BL91" s="1683"/>
      <c r="BM91" s="1683"/>
      <c r="BN91" s="1683"/>
      <c r="BO91" s="1683"/>
      <c r="BP91" s="1683"/>
      <c r="BQ91" s="1683"/>
      <c r="BR91" s="1683"/>
      <c r="BS91" s="1683"/>
      <c r="BT91" s="1683"/>
      <c r="BU91" s="1683"/>
      <c r="BV91" s="1683"/>
      <c r="BW91" s="1683"/>
      <c r="BX91" s="1683"/>
      <c r="BY91" s="1683"/>
      <c r="BZ91" s="1683"/>
      <c r="CA91" s="1683"/>
      <c r="CB91" s="1683"/>
      <c r="CC91" s="1683"/>
      <c r="CD91" s="1683"/>
      <c r="CE91" s="1683"/>
      <c r="CF91" s="1683"/>
      <c r="CG91" s="1683"/>
      <c r="CH91" s="1683"/>
      <c r="CI91" s="1683"/>
      <c r="CJ91" s="1683"/>
      <c r="CK91" s="1683"/>
      <c r="CL91" s="1683"/>
      <c r="CM91" s="1683"/>
      <c r="CN91" s="1683"/>
      <c r="CO91" s="1683"/>
      <c r="CP91" s="1683"/>
      <c r="CQ91" s="1683"/>
      <c r="CR91" s="1683"/>
      <c r="CS91" s="1683"/>
      <c r="CT91" s="1683"/>
      <c r="CU91" s="1683"/>
      <c r="CV91" s="1683"/>
      <c r="CW91" s="1683"/>
      <c r="CX91" s="1683"/>
      <c r="CY91" s="1683"/>
      <c r="CZ91" s="1683"/>
      <c r="DA91" s="1683"/>
      <c r="DB91" s="1683"/>
      <c r="DC91" s="1683"/>
      <c r="DD91" s="1683"/>
      <c r="DE91" s="1683"/>
      <c r="DF91" s="1683"/>
      <c r="DG91" s="1683"/>
      <c r="DH91" s="1683"/>
      <c r="DI91" s="1683"/>
      <c r="DJ91" s="1683"/>
      <c r="DK91" s="1683"/>
      <c r="DL91" s="1683"/>
      <c r="DM91" s="1683"/>
      <c r="DN91" s="1683"/>
      <c r="DO91" s="1683"/>
      <c r="DP91" s="1683"/>
      <c r="DQ91" s="1683"/>
      <c r="DR91" s="1683"/>
      <c r="DS91" s="1683"/>
      <c r="DT91" s="1683"/>
      <c r="DU91" s="1683"/>
      <c r="DV91" s="1683"/>
      <c r="DW91" s="1683"/>
      <c r="DX91" s="1683"/>
      <c r="DY91" s="1683"/>
      <c r="DZ91" s="1683"/>
      <c r="EA91" s="1683"/>
      <c r="EB91" s="1683"/>
      <c r="EC91" s="1683"/>
      <c r="ED91" s="1683"/>
      <c r="EE91" s="1683"/>
      <c r="EF91" s="1683"/>
      <c r="EG91" s="1683"/>
      <c r="EH91" s="1683"/>
      <c r="EI91" s="1683"/>
      <c r="EJ91" s="1683"/>
      <c r="EK91" s="1683"/>
      <c r="EL91" s="1683"/>
      <c r="EM91" s="1683"/>
      <c r="EN91" s="1683"/>
      <c r="EO91" s="1683"/>
      <c r="EP91" s="1683"/>
      <c r="EQ91" s="1683"/>
      <c r="ER91" s="1683"/>
      <c r="ES91" s="1683"/>
      <c r="ET91" s="1683"/>
      <c r="EU91" s="1683"/>
      <c r="EV91" s="1683"/>
      <c r="EW91" s="1683"/>
      <c r="EX91" s="1683"/>
      <c r="EY91" s="1683"/>
      <c r="EZ91" s="1683"/>
      <c r="FA91" s="1683"/>
      <c r="FB91" s="1683"/>
      <c r="FC91" s="1683"/>
      <c r="FD91" s="1683"/>
      <c r="FE91" s="1683"/>
      <c r="FF91" s="1683"/>
      <c r="FG91" s="1683"/>
      <c r="FH91" s="1683"/>
      <c r="FI91" s="1683"/>
      <c r="FJ91" s="1683"/>
      <c r="FK91" s="1683"/>
      <c r="FL91" s="1683"/>
      <c r="FM91" s="1683"/>
      <c r="FN91" s="1683"/>
      <c r="FO91" s="1683"/>
      <c r="FP91" s="1683"/>
      <c r="FQ91" s="1683"/>
      <c r="FR91" s="1683"/>
      <c r="FS91" s="1683"/>
      <c r="FT91" s="1683"/>
      <c r="FU91" s="1683"/>
      <c r="FV91" s="1683"/>
      <c r="FW91" s="1683"/>
      <c r="FX91" s="1683"/>
      <c r="FY91" s="1683"/>
      <c r="FZ91" s="1683"/>
      <c r="GA91" s="1683"/>
      <c r="GB91" s="1683"/>
      <c r="GC91" s="1683"/>
      <c r="GD91" s="1683"/>
      <c r="GE91" s="1683"/>
      <c r="GF91" s="1683"/>
      <c r="GG91" s="1683"/>
      <c r="GH91" s="1683"/>
      <c r="GI91" s="1683"/>
      <c r="GJ91" s="1683"/>
      <c r="GK91" s="1683"/>
      <c r="GL91" s="1683"/>
      <c r="GM91" s="1683"/>
      <c r="GN91" s="1683"/>
      <c r="GO91" s="1683"/>
      <c r="GP91" s="1683"/>
      <c r="GQ91" s="1683"/>
      <c r="GR91" s="1683"/>
      <c r="GS91" s="1683"/>
      <c r="GT91" s="1683"/>
      <c r="GU91" s="1683"/>
      <c r="GV91" s="1683"/>
      <c r="GW91" s="1683"/>
      <c r="GX91" s="1683"/>
      <c r="GY91" s="1683"/>
      <c r="GZ91" s="1683"/>
      <c r="HA91" s="1683"/>
      <c r="HB91" s="1683"/>
      <c r="HC91" s="1683"/>
      <c r="HD91" s="1683"/>
      <c r="HE91" s="1683"/>
      <c r="HF91" s="1683"/>
      <c r="HG91" s="1683"/>
      <c r="HH91" s="1683"/>
      <c r="HI91" s="1683"/>
      <c r="HJ91" s="1683"/>
      <c r="HK91" s="1683"/>
      <c r="HL91" s="1683"/>
      <c r="HM91" s="1683"/>
      <c r="HN91" s="1683"/>
      <c r="HO91" s="1683"/>
      <c r="HP91" s="1683"/>
      <c r="HQ91" s="1683"/>
      <c r="HR91" s="1683"/>
      <c r="HS91" s="1683"/>
      <c r="HT91" s="1683"/>
      <c r="HU91" s="1683"/>
      <c r="HV91" s="1683"/>
      <c r="HW91" s="1683"/>
      <c r="HX91" s="1683"/>
      <c r="HY91" s="1683"/>
      <c r="HZ91" s="1683"/>
      <c r="IA91" s="1683"/>
      <c r="IB91" s="1683"/>
      <c r="IC91" s="1683"/>
      <c r="ID91" s="1683"/>
      <c r="IE91" s="1683"/>
      <c r="IF91" s="1683"/>
      <c r="IG91" s="1683"/>
      <c r="IH91" s="1683"/>
      <c r="II91" s="1683"/>
      <c r="IJ91" s="1683"/>
      <c r="IK91" s="1683"/>
      <c r="IL91" s="1683"/>
      <c r="IM91" s="1683"/>
      <c r="IN91" s="1683"/>
      <c r="IO91" s="1683"/>
      <c r="IP91" s="1683"/>
      <c r="IQ91" s="1683"/>
      <c r="IR91" s="1683"/>
      <c r="IS91" s="1683"/>
      <c r="IT91" s="1683"/>
      <c r="IU91" s="1683"/>
      <c r="IV91" s="1683"/>
    </row>
    <row r="92" spans="1:256" ht="36" x14ac:dyDescent="0.2">
      <c r="A92" s="1762" t="s">
        <v>1789</v>
      </c>
      <c r="B92" s="693" t="s">
        <v>1790</v>
      </c>
      <c r="C92" s="694" t="s">
        <v>1669</v>
      </c>
      <c r="D92" s="4540">
        <v>4193.84</v>
      </c>
      <c r="E92" s="4541"/>
      <c r="F92" s="4540">
        <v>4194.4229999999998</v>
      </c>
      <c r="G92" s="4541"/>
      <c r="H92" s="4544">
        <f>'[55]1. Додаток + економ'!$J$92</f>
        <v>0</v>
      </c>
      <c r="I92" s="4545"/>
      <c r="J92" s="1648">
        <f>(J17*J38+K17*K38)/1000</f>
        <v>40.409999999999997</v>
      </c>
      <c r="K92" s="1705">
        <f>J88+L88+N88+P88+R88+T88+V88</f>
        <v>682.9</v>
      </c>
      <c r="L92" s="1649"/>
      <c r="M92" s="1649"/>
      <c r="N92" s="1649"/>
      <c r="O92" s="1649"/>
      <c r="P92" s="1693"/>
      <c r="Q92" s="1694"/>
      <c r="R92" s="1694"/>
      <c r="S92" s="1694"/>
      <c r="T92" s="1694"/>
      <c r="U92" s="1694"/>
      <c r="V92" s="1694"/>
      <c r="W92" s="1694"/>
      <c r="X92" s="1694"/>
      <c r="Y92" s="1695"/>
      <c r="Z92" s="1688"/>
      <c r="AA92" s="1688"/>
      <c r="AB92" s="1686"/>
      <c r="AC92" s="1677"/>
      <c r="AD92" s="1677"/>
      <c r="AE92" s="1677"/>
      <c r="AF92" s="1677"/>
      <c r="AG92" s="1677"/>
      <c r="AH92" s="1677"/>
      <c r="AI92" s="1686"/>
      <c r="AJ92" s="1688"/>
      <c r="AK92" s="1688"/>
      <c r="AL92" s="1688"/>
      <c r="AM92" s="1688"/>
      <c r="AN92" s="1688"/>
      <c r="AO92" s="1688"/>
      <c r="AP92" s="1686"/>
      <c r="AQ92" s="1686"/>
      <c r="AR92" s="1686"/>
      <c r="AS92" s="1686"/>
      <c r="AT92" s="1686"/>
      <c r="AU92" s="1686"/>
      <c r="AV92" s="1686"/>
      <c r="AW92" s="1686"/>
      <c r="AX92" s="1686"/>
      <c r="AY92" s="1686"/>
      <c r="AZ92" s="1686"/>
      <c r="BA92" s="1686"/>
      <c r="BB92" s="1686"/>
      <c r="BC92" s="1686"/>
      <c r="BD92" s="1686"/>
      <c r="BE92" s="1686"/>
      <c r="BF92" s="1686"/>
      <c r="BG92" s="1686"/>
      <c r="BH92" s="1686"/>
      <c r="BI92" s="1686"/>
      <c r="BJ92" s="1686"/>
      <c r="BK92" s="1686"/>
      <c r="BL92" s="1686"/>
      <c r="BM92" s="1686"/>
      <c r="BN92" s="1686"/>
      <c r="BO92" s="1686"/>
      <c r="BP92" s="1686"/>
      <c r="BQ92" s="1686"/>
      <c r="BR92" s="1686"/>
      <c r="BS92" s="1686"/>
      <c r="BT92" s="1686"/>
      <c r="BU92" s="1686"/>
      <c r="BV92" s="1686"/>
      <c r="BW92" s="1686"/>
      <c r="BX92" s="1686"/>
      <c r="BY92" s="1686"/>
      <c r="BZ92" s="1686"/>
      <c r="CA92" s="1686"/>
      <c r="CB92" s="1686"/>
      <c r="CC92" s="1686"/>
      <c r="CD92" s="1686"/>
      <c r="CE92" s="1686"/>
      <c r="CF92" s="1686"/>
      <c r="CG92" s="1686"/>
      <c r="CH92" s="1686"/>
      <c r="CI92" s="1686"/>
      <c r="CJ92" s="1686"/>
      <c r="CK92" s="1686"/>
      <c r="CL92" s="1686"/>
      <c r="CM92" s="1686"/>
      <c r="CN92" s="1686"/>
      <c r="CO92" s="1686"/>
      <c r="CP92" s="1686"/>
      <c r="CQ92" s="1686"/>
      <c r="CR92" s="1686"/>
      <c r="CS92" s="1686"/>
      <c r="CT92" s="1686"/>
      <c r="CU92" s="1686"/>
      <c r="CV92" s="1686"/>
      <c r="CW92" s="1686"/>
      <c r="CX92" s="1686"/>
      <c r="CY92" s="1686"/>
      <c r="CZ92" s="1686"/>
      <c r="DA92" s="1686"/>
      <c r="DB92" s="1686"/>
      <c r="DC92" s="1686"/>
      <c r="DD92" s="1686"/>
      <c r="DE92" s="1686"/>
      <c r="DF92" s="1686"/>
      <c r="DG92" s="1686"/>
      <c r="DH92" s="1686"/>
      <c r="DI92" s="1686"/>
      <c r="DJ92" s="1686"/>
      <c r="DK92" s="1686"/>
      <c r="DL92" s="1686"/>
      <c r="DM92" s="1686"/>
      <c r="DN92" s="1686"/>
      <c r="DO92" s="1686"/>
      <c r="DP92" s="1686"/>
      <c r="DQ92" s="1686"/>
      <c r="DR92" s="1686"/>
      <c r="DS92" s="1686"/>
      <c r="DT92" s="1686"/>
      <c r="DU92" s="1686"/>
      <c r="DV92" s="1686"/>
      <c r="DW92" s="1686"/>
      <c r="DX92" s="1686"/>
      <c r="DY92" s="1686"/>
      <c r="DZ92" s="1686"/>
      <c r="EA92" s="1686"/>
      <c r="EB92" s="1686"/>
      <c r="EC92" s="1686"/>
      <c r="ED92" s="1686"/>
      <c r="EE92" s="1686"/>
      <c r="EF92" s="1686"/>
      <c r="EG92" s="1686"/>
      <c r="EH92" s="1686"/>
      <c r="EI92" s="1686"/>
      <c r="EJ92" s="1686"/>
      <c r="EK92" s="1686"/>
      <c r="EL92" s="1686"/>
      <c r="EM92" s="1686"/>
      <c r="EN92" s="1686"/>
      <c r="EO92" s="1686"/>
      <c r="EP92" s="1686"/>
      <c r="EQ92" s="1686"/>
      <c r="ER92" s="1686"/>
      <c r="ES92" s="1686"/>
      <c r="ET92" s="1686"/>
      <c r="EU92" s="1686"/>
      <c r="EV92" s="1686"/>
      <c r="EW92" s="1686"/>
      <c r="EX92" s="1686"/>
      <c r="EY92" s="1686"/>
      <c r="EZ92" s="1686"/>
      <c r="FA92" s="1686"/>
      <c r="FB92" s="1686"/>
      <c r="FC92" s="1686"/>
      <c r="FD92" s="1686"/>
      <c r="FE92" s="1686"/>
      <c r="FF92" s="1686"/>
      <c r="FG92" s="1686"/>
      <c r="FH92" s="1686"/>
      <c r="FI92" s="1686"/>
      <c r="FJ92" s="1686"/>
      <c r="FK92" s="1686"/>
      <c r="FL92" s="1686"/>
      <c r="FM92" s="1686"/>
      <c r="FN92" s="1686"/>
      <c r="FO92" s="1686"/>
      <c r="FP92" s="1686"/>
      <c r="FQ92" s="1686"/>
      <c r="FR92" s="1686"/>
      <c r="FS92" s="1686"/>
      <c r="FT92" s="1686"/>
      <c r="FU92" s="1686"/>
      <c r="FV92" s="1686"/>
      <c r="FW92" s="1686"/>
      <c r="FX92" s="1686"/>
      <c r="FY92" s="1686"/>
      <c r="FZ92" s="1686"/>
      <c r="GA92" s="1686"/>
      <c r="GB92" s="1686"/>
      <c r="GC92" s="1686"/>
      <c r="GD92" s="1686"/>
      <c r="GE92" s="1686"/>
      <c r="GF92" s="1686"/>
      <c r="GG92" s="1686"/>
      <c r="GH92" s="1686"/>
      <c r="GI92" s="1686"/>
      <c r="GJ92" s="1686"/>
      <c r="GK92" s="1686"/>
      <c r="GL92" s="1686"/>
      <c r="GM92" s="1686"/>
      <c r="GN92" s="1686"/>
      <c r="GO92" s="1686"/>
      <c r="GP92" s="1686"/>
      <c r="GQ92" s="1686"/>
      <c r="GR92" s="1686"/>
      <c r="GS92" s="1686"/>
      <c r="GT92" s="1686"/>
      <c r="GU92" s="1686"/>
      <c r="GV92" s="1686"/>
      <c r="GW92" s="1686"/>
      <c r="GX92" s="1686"/>
      <c r="GY92" s="1686"/>
      <c r="GZ92" s="1686"/>
      <c r="HA92" s="1686"/>
      <c r="HB92" s="1686"/>
      <c r="HC92" s="1686"/>
      <c r="HD92" s="1686"/>
      <c r="HE92" s="1686"/>
      <c r="HF92" s="1686"/>
      <c r="HG92" s="1686"/>
      <c r="HH92" s="1686"/>
      <c r="HI92" s="1686"/>
      <c r="HJ92" s="1686"/>
      <c r="HK92" s="1686"/>
      <c r="HL92" s="1686"/>
      <c r="HM92" s="1686"/>
      <c r="HN92" s="1686"/>
      <c r="HO92" s="1686"/>
      <c r="HP92" s="1686"/>
      <c r="HQ92" s="1686"/>
      <c r="HR92" s="1686"/>
      <c r="HS92" s="1686"/>
      <c r="HT92" s="1686"/>
      <c r="HU92" s="1686"/>
      <c r="HV92" s="1686"/>
      <c r="HW92" s="1686"/>
      <c r="HX92" s="1686"/>
      <c r="HY92" s="1686"/>
      <c r="HZ92" s="1686"/>
      <c r="IA92" s="1686"/>
      <c r="IB92" s="1686"/>
      <c r="IC92" s="1686"/>
      <c r="ID92" s="1686"/>
      <c r="IE92" s="1686"/>
      <c r="IF92" s="1686"/>
      <c r="IG92" s="1686"/>
      <c r="IH92" s="1686"/>
      <c r="II92" s="1686"/>
      <c r="IJ92" s="1686"/>
      <c r="IK92" s="1686"/>
      <c r="IL92" s="1686"/>
      <c r="IM92" s="1686"/>
      <c r="IN92" s="1686"/>
      <c r="IO92" s="1686"/>
      <c r="IP92" s="1686"/>
      <c r="IQ92" s="1686"/>
      <c r="IR92" s="1686"/>
      <c r="IS92" s="1686"/>
      <c r="IT92" s="1686"/>
      <c r="IU92" s="1686"/>
      <c r="IV92" s="1686"/>
    </row>
    <row r="93" spans="1:256" ht="20.25" customHeight="1" x14ac:dyDescent="0.2">
      <c r="A93" s="1763" t="s">
        <v>1791</v>
      </c>
      <c r="B93" s="692" t="s">
        <v>1792</v>
      </c>
      <c r="C93" s="695"/>
      <c r="D93" s="4540">
        <v>149</v>
      </c>
      <c r="E93" s="4541"/>
      <c r="F93" s="4540">
        <v>156</v>
      </c>
      <c r="G93" s="4541"/>
      <c r="H93" s="4551">
        <f>'[55]1. Додаток + економ'!$J$93</f>
        <v>0</v>
      </c>
      <c r="I93" s="4552"/>
      <c r="J93" s="1650">
        <f>(J31*J32+K31*K32)/1000</f>
        <v>50.786300699999998</v>
      </c>
      <c r="K93" s="1649"/>
      <c r="L93" s="1649"/>
      <c r="M93" s="1649"/>
      <c r="N93" s="1649"/>
      <c r="O93" s="1649"/>
      <c r="P93" s="4546"/>
      <c r="Q93" s="4546"/>
      <c r="R93" s="4546"/>
      <c r="S93" s="4546"/>
      <c r="T93" s="4546"/>
      <c r="U93" s="4546"/>
      <c r="V93" s="4546"/>
      <c r="W93" s="4546"/>
      <c r="X93" s="4546"/>
      <c r="Y93" s="4547"/>
      <c r="Z93" s="1688"/>
      <c r="AA93" s="1688"/>
      <c r="AB93" s="1686"/>
      <c r="AC93" s="1677"/>
      <c r="AD93" s="1677"/>
      <c r="AE93" s="1677"/>
      <c r="AF93" s="1677"/>
      <c r="AG93" s="1677"/>
      <c r="AH93" s="1677"/>
      <c r="AI93" s="1686"/>
      <c r="AJ93" s="1688"/>
      <c r="AK93" s="1688"/>
      <c r="AL93" s="1688"/>
      <c r="AM93" s="1688"/>
      <c r="AN93" s="1688"/>
      <c r="AO93" s="1688"/>
      <c r="AP93" s="1686"/>
      <c r="AQ93" s="1686"/>
      <c r="AR93" s="1686"/>
      <c r="AS93" s="1686"/>
      <c r="AT93" s="1686"/>
      <c r="AU93" s="1686"/>
      <c r="AV93" s="1686"/>
      <c r="AW93" s="1686"/>
      <c r="AX93" s="1686"/>
      <c r="AY93" s="1686"/>
      <c r="AZ93" s="1686"/>
      <c r="BA93" s="1686"/>
      <c r="BB93" s="1686"/>
      <c r="BC93" s="1686"/>
      <c r="BD93" s="1686"/>
      <c r="BE93" s="1686"/>
      <c r="BF93" s="1686"/>
      <c r="BG93" s="1686"/>
      <c r="BH93" s="1686"/>
      <c r="BI93" s="1686"/>
      <c r="BJ93" s="1686"/>
      <c r="BK93" s="1686"/>
      <c r="BL93" s="1686"/>
      <c r="BM93" s="1686"/>
      <c r="BN93" s="1686"/>
      <c r="BO93" s="1686"/>
      <c r="BP93" s="1686"/>
      <c r="BQ93" s="1686"/>
      <c r="BR93" s="1686"/>
      <c r="BS93" s="1686"/>
      <c r="BT93" s="1686"/>
      <c r="BU93" s="1686"/>
      <c r="BV93" s="1686"/>
      <c r="BW93" s="1686"/>
      <c r="BX93" s="1686"/>
      <c r="BY93" s="1686"/>
      <c r="BZ93" s="1686"/>
      <c r="CA93" s="1686"/>
      <c r="CB93" s="1686"/>
      <c r="CC93" s="1686"/>
      <c r="CD93" s="1686"/>
      <c r="CE93" s="1686"/>
      <c r="CF93" s="1686"/>
      <c r="CG93" s="1686"/>
      <c r="CH93" s="1686"/>
      <c r="CI93" s="1686"/>
      <c r="CJ93" s="1686"/>
      <c r="CK93" s="1686"/>
      <c r="CL93" s="1686"/>
      <c r="CM93" s="1686"/>
      <c r="CN93" s="1686"/>
      <c r="CO93" s="1686"/>
      <c r="CP93" s="1686"/>
      <c r="CQ93" s="1686"/>
      <c r="CR93" s="1686"/>
      <c r="CS93" s="1686"/>
      <c r="CT93" s="1686"/>
      <c r="CU93" s="1686"/>
      <c r="CV93" s="1686"/>
      <c r="CW93" s="1686"/>
      <c r="CX93" s="1686"/>
      <c r="CY93" s="1686"/>
      <c r="CZ93" s="1686"/>
      <c r="DA93" s="1686"/>
      <c r="DB93" s="1686"/>
      <c r="DC93" s="1686"/>
      <c r="DD93" s="1686"/>
      <c r="DE93" s="1686"/>
      <c r="DF93" s="1686"/>
      <c r="DG93" s="1686"/>
      <c r="DH93" s="1686"/>
      <c r="DI93" s="1686"/>
      <c r="DJ93" s="1686"/>
      <c r="DK93" s="1686"/>
      <c r="DL93" s="1686"/>
      <c r="DM93" s="1686"/>
      <c r="DN93" s="1686"/>
      <c r="DO93" s="1686"/>
      <c r="DP93" s="1686"/>
      <c r="DQ93" s="1686"/>
      <c r="DR93" s="1686"/>
      <c r="DS93" s="1686"/>
      <c r="DT93" s="1686"/>
      <c r="DU93" s="1686"/>
      <c r="DV93" s="1686"/>
      <c r="DW93" s="1686"/>
      <c r="DX93" s="1686"/>
      <c r="DY93" s="1686"/>
      <c r="DZ93" s="1686"/>
      <c r="EA93" s="1686"/>
      <c r="EB93" s="1686"/>
      <c r="EC93" s="1686"/>
      <c r="ED93" s="1686"/>
      <c r="EE93" s="1686"/>
      <c r="EF93" s="1686"/>
      <c r="EG93" s="1686"/>
      <c r="EH93" s="1686"/>
      <c r="EI93" s="1686"/>
      <c r="EJ93" s="1686"/>
      <c r="EK93" s="1686"/>
      <c r="EL93" s="1686"/>
      <c r="EM93" s="1686"/>
      <c r="EN93" s="1686"/>
      <c r="EO93" s="1686"/>
      <c r="EP93" s="1686"/>
      <c r="EQ93" s="1686"/>
      <c r="ER93" s="1686"/>
      <c r="ES93" s="1686"/>
      <c r="ET93" s="1686"/>
      <c r="EU93" s="1686"/>
      <c r="EV93" s="1686"/>
      <c r="EW93" s="1686"/>
      <c r="EX93" s="1686"/>
      <c r="EY93" s="1686"/>
      <c r="EZ93" s="1686"/>
      <c r="FA93" s="1686"/>
      <c r="FB93" s="1686"/>
      <c r="FC93" s="1686"/>
      <c r="FD93" s="1686"/>
      <c r="FE93" s="1686"/>
      <c r="FF93" s="1686"/>
      <c r="FG93" s="1686"/>
      <c r="FH93" s="1686"/>
      <c r="FI93" s="1686"/>
      <c r="FJ93" s="1686"/>
      <c r="FK93" s="1686"/>
      <c r="FL93" s="1686"/>
      <c r="FM93" s="1686"/>
      <c r="FN93" s="1686"/>
      <c r="FO93" s="1686"/>
      <c r="FP93" s="1686"/>
      <c r="FQ93" s="1686"/>
      <c r="FR93" s="1686"/>
      <c r="FS93" s="1686"/>
      <c r="FT93" s="1686"/>
      <c r="FU93" s="1686"/>
      <c r="FV93" s="1686"/>
      <c r="FW93" s="1686"/>
      <c r="FX93" s="1686"/>
      <c r="FY93" s="1686"/>
      <c r="FZ93" s="1686"/>
      <c r="GA93" s="1686"/>
      <c r="GB93" s="1686"/>
      <c r="GC93" s="1686"/>
      <c r="GD93" s="1686"/>
      <c r="GE93" s="1686"/>
      <c r="GF93" s="1686"/>
      <c r="GG93" s="1686"/>
      <c r="GH93" s="1686"/>
      <c r="GI93" s="1686"/>
      <c r="GJ93" s="1686"/>
      <c r="GK93" s="1686"/>
      <c r="GL93" s="1686"/>
      <c r="GM93" s="1686"/>
      <c r="GN93" s="1686"/>
      <c r="GO93" s="1686"/>
      <c r="GP93" s="1686"/>
      <c r="GQ93" s="1686"/>
      <c r="GR93" s="1686"/>
      <c r="GS93" s="1686"/>
      <c r="GT93" s="1686"/>
      <c r="GU93" s="1686"/>
      <c r="GV93" s="1686"/>
      <c r="GW93" s="1686"/>
      <c r="GX93" s="1686"/>
      <c r="GY93" s="1686"/>
      <c r="GZ93" s="1686"/>
      <c r="HA93" s="1686"/>
      <c r="HB93" s="1686"/>
      <c r="HC93" s="1686"/>
      <c r="HD93" s="1686"/>
      <c r="HE93" s="1686"/>
      <c r="HF93" s="1686"/>
      <c r="HG93" s="1686"/>
      <c r="HH93" s="1686"/>
      <c r="HI93" s="1686"/>
      <c r="HJ93" s="1686"/>
      <c r="HK93" s="1686"/>
      <c r="HL93" s="1686"/>
      <c r="HM93" s="1686"/>
      <c r="HN93" s="1686"/>
      <c r="HO93" s="1686"/>
      <c r="HP93" s="1686"/>
      <c r="HQ93" s="1686"/>
      <c r="HR93" s="1686"/>
      <c r="HS93" s="1686"/>
      <c r="HT93" s="1686"/>
      <c r="HU93" s="1686"/>
      <c r="HV93" s="1686"/>
      <c r="HW93" s="1686"/>
      <c r="HX93" s="1686"/>
      <c r="HY93" s="1686"/>
      <c r="HZ93" s="1686"/>
      <c r="IA93" s="1686"/>
      <c r="IB93" s="1686"/>
      <c r="IC93" s="1686"/>
      <c r="ID93" s="1686"/>
      <c r="IE93" s="1686"/>
      <c r="IF93" s="1686"/>
      <c r="IG93" s="1686"/>
      <c r="IH93" s="1686"/>
      <c r="II93" s="1686"/>
      <c r="IJ93" s="1686"/>
      <c r="IK93" s="1686"/>
      <c r="IL93" s="1686"/>
      <c r="IM93" s="1686"/>
      <c r="IN93" s="1686"/>
      <c r="IO93" s="1686"/>
      <c r="IP93" s="1686"/>
      <c r="IQ93" s="1686"/>
      <c r="IR93" s="1686"/>
      <c r="IS93" s="1686"/>
      <c r="IT93" s="1686"/>
      <c r="IU93" s="1686"/>
      <c r="IV93" s="1686"/>
    </row>
    <row r="94" spans="1:256" ht="48" x14ac:dyDescent="0.2">
      <c r="A94" s="1763" t="s">
        <v>1793</v>
      </c>
      <c r="B94" s="692" t="s">
        <v>1794</v>
      </c>
      <c r="C94" s="695" t="s">
        <v>1669</v>
      </c>
      <c r="D94" s="4540">
        <v>4193.84</v>
      </c>
      <c r="E94" s="4541"/>
      <c r="F94" s="4540">
        <v>4194.43</v>
      </c>
      <c r="G94" s="4541"/>
      <c r="H94" s="4548">
        <f>'[55]1. Додаток + економ'!$J$94</f>
        <v>0</v>
      </c>
      <c r="I94" s="4541"/>
      <c r="J94" s="1651"/>
      <c r="K94" s="1652"/>
      <c r="L94" s="1652"/>
      <c r="M94" s="1652"/>
      <c r="N94" s="1652"/>
      <c r="O94" s="1652"/>
      <c r="P94" s="4546"/>
      <c r="Q94" s="4546"/>
      <c r="R94" s="4546"/>
      <c r="S94" s="4546"/>
      <c r="T94" s="4546"/>
      <c r="U94" s="4546"/>
      <c r="V94" s="4546"/>
      <c r="W94" s="4546"/>
      <c r="X94" s="4546"/>
      <c r="Y94" s="4547"/>
      <c r="Z94" s="1688"/>
      <c r="AA94" s="1688"/>
      <c r="AB94" s="1686"/>
      <c r="AC94" s="1677"/>
      <c r="AD94" s="1677"/>
      <c r="AE94" s="1677"/>
      <c r="AF94" s="1677"/>
      <c r="AG94" s="1677"/>
      <c r="AH94" s="1677"/>
      <c r="AI94" s="1686"/>
      <c r="AJ94" s="1688"/>
      <c r="AK94" s="1688"/>
      <c r="AL94" s="1688"/>
      <c r="AM94" s="1688"/>
      <c r="AN94" s="1688"/>
      <c r="AO94" s="1688"/>
      <c r="AP94" s="1686"/>
      <c r="AQ94" s="1686"/>
      <c r="AR94" s="1686"/>
      <c r="AS94" s="1686"/>
      <c r="AT94" s="1686"/>
      <c r="AU94" s="1686"/>
      <c r="AV94" s="1686"/>
      <c r="AW94" s="1686"/>
      <c r="AX94" s="1686"/>
      <c r="AY94" s="1686"/>
      <c r="AZ94" s="1686"/>
      <c r="BA94" s="1686"/>
      <c r="BB94" s="1686"/>
      <c r="BC94" s="1686"/>
      <c r="BD94" s="1686"/>
      <c r="BE94" s="1686"/>
      <c r="BF94" s="1686"/>
      <c r="BG94" s="1686"/>
      <c r="BH94" s="1686"/>
      <c r="BI94" s="1686"/>
      <c r="BJ94" s="1686"/>
      <c r="BK94" s="1686"/>
      <c r="BL94" s="1686"/>
      <c r="BM94" s="1686"/>
      <c r="BN94" s="1686"/>
      <c r="BO94" s="1686"/>
      <c r="BP94" s="1686"/>
      <c r="BQ94" s="1686"/>
      <c r="BR94" s="1686"/>
      <c r="BS94" s="1686"/>
      <c r="BT94" s="1686"/>
      <c r="BU94" s="1686"/>
      <c r="BV94" s="1686"/>
      <c r="BW94" s="1686"/>
      <c r="BX94" s="1686"/>
      <c r="BY94" s="1686"/>
      <c r="BZ94" s="1686"/>
      <c r="CA94" s="1686"/>
      <c r="CB94" s="1686"/>
      <c r="CC94" s="1686"/>
      <c r="CD94" s="1686"/>
      <c r="CE94" s="1686"/>
      <c r="CF94" s="1686"/>
      <c r="CG94" s="1686"/>
      <c r="CH94" s="1686"/>
      <c r="CI94" s="1686"/>
      <c r="CJ94" s="1686"/>
      <c r="CK94" s="1686"/>
      <c r="CL94" s="1686"/>
      <c r="CM94" s="1686"/>
      <c r="CN94" s="1686"/>
      <c r="CO94" s="1686"/>
      <c r="CP94" s="1686"/>
      <c r="CQ94" s="1686"/>
      <c r="CR94" s="1686"/>
      <c r="CS94" s="1686"/>
      <c r="CT94" s="1686"/>
      <c r="CU94" s="1686"/>
      <c r="CV94" s="1686"/>
      <c r="CW94" s="1686"/>
      <c r="CX94" s="1686"/>
      <c r="CY94" s="1686"/>
      <c r="CZ94" s="1686"/>
      <c r="DA94" s="1686"/>
      <c r="DB94" s="1686"/>
      <c r="DC94" s="1686"/>
      <c r="DD94" s="1686"/>
      <c r="DE94" s="1686"/>
      <c r="DF94" s="1686"/>
      <c r="DG94" s="1686"/>
      <c r="DH94" s="1686"/>
      <c r="DI94" s="1686"/>
      <c r="DJ94" s="1686"/>
      <c r="DK94" s="1686"/>
      <c r="DL94" s="1686"/>
      <c r="DM94" s="1686"/>
      <c r="DN94" s="1686"/>
      <c r="DO94" s="1686"/>
      <c r="DP94" s="1686"/>
      <c r="DQ94" s="1686"/>
      <c r="DR94" s="1686"/>
      <c r="DS94" s="1686"/>
      <c r="DT94" s="1686"/>
      <c r="DU94" s="1686"/>
      <c r="DV94" s="1686"/>
      <c r="DW94" s="1686"/>
      <c r="DX94" s="1686"/>
      <c r="DY94" s="1686"/>
      <c r="DZ94" s="1686"/>
      <c r="EA94" s="1686"/>
      <c r="EB94" s="1686"/>
      <c r="EC94" s="1686"/>
      <c r="ED94" s="1686"/>
      <c r="EE94" s="1686"/>
      <c r="EF94" s="1686"/>
      <c r="EG94" s="1686"/>
      <c r="EH94" s="1686"/>
      <c r="EI94" s="1686"/>
      <c r="EJ94" s="1686"/>
      <c r="EK94" s="1686"/>
      <c r="EL94" s="1686"/>
      <c r="EM94" s="1686"/>
      <c r="EN94" s="1686"/>
      <c r="EO94" s="1686"/>
      <c r="EP94" s="1686"/>
      <c r="EQ94" s="1686"/>
      <c r="ER94" s="1686"/>
      <c r="ES94" s="1686"/>
      <c r="ET94" s="1686"/>
      <c r="EU94" s="1686"/>
      <c r="EV94" s="1686"/>
      <c r="EW94" s="1686"/>
      <c r="EX94" s="1686"/>
      <c r="EY94" s="1686"/>
      <c r="EZ94" s="1686"/>
      <c r="FA94" s="1686"/>
      <c r="FB94" s="1686"/>
      <c r="FC94" s="1686"/>
      <c r="FD94" s="1686"/>
      <c r="FE94" s="1686"/>
      <c r="FF94" s="1686"/>
      <c r="FG94" s="1686"/>
      <c r="FH94" s="1686"/>
      <c r="FI94" s="1686"/>
      <c r="FJ94" s="1686"/>
      <c r="FK94" s="1686"/>
      <c r="FL94" s="1686"/>
      <c r="FM94" s="1686"/>
      <c r="FN94" s="1686"/>
      <c r="FO94" s="1686"/>
      <c r="FP94" s="1686"/>
      <c r="FQ94" s="1686"/>
      <c r="FR94" s="1686"/>
      <c r="FS94" s="1686"/>
      <c r="FT94" s="1686"/>
      <c r="FU94" s="1686"/>
      <c r="FV94" s="1686"/>
      <c r="FW94" s="1686"/>
      <c r="FX94" s="1686"/>
      <c r="FY94" s="1686"/>
      <c r="FZ94" s="1686"/>
      <c r="GA94" s="1686"/>
      <c r="GB94" s="1686"/>
      <c r="GC94" s="1686"/>
      <c r="GD94" s="1686"/>
      <c r="GE94" s="1686"/>
      <c r="GF94" s="1686"/>
      <c r="GG94" s="1686"/>
      <c r="GH94" s="1686"/>
      <c r="GI94" s="1686"/>
      <c r="GJ94" s="1686"/>
      <c r="GK94" s="1686"/>
      <c r="GL94" s="1686"/>
      <c r="GM94" s="1686"/>
      <c r="GN94" s="1686"/>
      <c r="GO94" s="1686"/>
      <c r="GP94" s="1686"/>
      <c r="GQ94" s="1686"/>
      <c r="GR94" s="1686"/>
      <c r="GS94" s="1686"/>
      <c r="GT94" s="1686"/>
      <c r="GU94" s="1686"/>
      <c r="GV94" s="1686"/>
      <c r="GW94" s="1686"/>
      <c r="GX94" s="1686"/>
      <c r="GY94" s="1686"/>
      <c r="GZ94" s="1686"/>
      <c r="HA94" s="1686"/>
      <c r="HB94" s="1686"/>
      <c r="HC94" s="1686"/>
      <c r="HD94" s="1686"/>
      <c r="HE94" s="1686"/>
      <c r="HF94" s="1686"/>
      <c r="HG94" s="1686"/>
      <c r="HH94" s="1686"/>
      <c r="HI94" s="1686"/>
      <c r="HJ94" s="1686"/>
      <c r="HK94" s="1686"/>
      <c r="HL94" s="1686"/>
      <c r="HM94" s="1686"/>
      <c r="HN94" s="1686"/>
      <c r="HO94" s="1686"/>
      <c r="HP94" s="1686"/>
      <c r="HQ94" s="1686"/>
      <c r="HR94" s="1686"/>
      <c r="HS94" s="1686"/>
      <c r="HT94" s="1686"/>
      <c r="HU94" s="1686"/>
      <c r="HV94" s="1686"/>
      <c r="HW94" s="1686"/>
      <c r="HX94" s="1686"/>
      <c r="HY94" s="1686"/>
      <c r="HZ94" s="1686"/>
      <c r="IA94" s="1686"/>
      <c r="IB94" s="1686"/>
      <c r="IC94" s="1686"/>
      <c r="ID94" s="1686"/>
      <c r="IE94" s="1686"/>
      <c r="IF94" s="1686"/>
      <c r="IG94" s="1686"/>
      <c r="IH94" s="1686"/>
      <c r="II94" s="1686"/>
      <c r="IJ94" s="1686"/>
      <c r="IK94" s="1686"/>
      <c r="IL94" s="1686"/>
      <c r="IM94" s="1686"/>
      <c r="IN94" s="1686"/>
      <c r="IO94" s="1686"/>
      <c r="IP94" s="1686"/>
      <c r="IQ94" s="1686"/>
      <c r="IR94" s="1686"/>
      <c r="IS94" s="1686"/>
      <c r="IT94" s="1686"/>
      <c r="IU94" s="1686"/>
      <c r="IV94" s="1686"/>
    </row>
    <row r="95" spans="1:256" ht="24" customHeight="1" x14ac:dyDescent="0.2">
      <c r="A95" s="1763" t="s">
        <v>1795</v>
      </c>
      <c r="B95" s="692" t="s">
        <v>1796</v>
      </c>
      <c r="C95" s="695"/>
      <c r="D95" s="4540">
        <v>149</v>
      </c>
      <c r="E95" s="4541"/>
      <c r="F95" s="4540">
        <v>156</v>
      </c>
      <c r="G95" s="4541"/>
      <c r="H95" s="4551">
        <f>'[55]1. Додаток + економ'!$J$95</f>
        <v>0</v>
      </c>
      <c r="I95" s="4552"/>
      <c r="J95" s="1650"/>
      <c r="K95" s="1649"/>
      <c r="L95" s="1649"/>
      <c r="M95" s="1649"/>
      <c r="N95" s="1649"/>
      <c r="O95" s="1649"/>
      <c r="P95" s="1686"/>
      <c r="Q95" s="1686"/>
      <c r="R95" s="1686"/>
      <c r="S95" s="1686"/>
      <c r="T95" s="1686"/>
      <c r="U95" s="1686"/>
      <c r="V95" s="1686"/>
      <c r="W95" s="1686"/>
      <c r="X95" s="1686"/>
      <c r="Y95" s="1686"/>
      <c r="Z95" s="1688"/>
      <c r="AA95" s="1688"/>
      <c r="AB95" s="1686"/>
      <c r="AC95" s="1677"/>
      <c r="AD95" s="1677"/>
      <c r="AE95" s="1677"/>
      <c r="AF95" s="1677"/>
      <c r="AG95" s="1677"/>
      <c r="AH95" s="1677"/>
      <c r="AI95" s="1686"/>
      <c r="AJ95" s="1688"/>
      <c r="AK95" s="1688"/>
      <c r="AL95" s="1688"/>
      <c r="AM95" s="1688"/>
      <c r="AN95" s="1688"/>
      <c r="AO95" s="1688"/>
      <c r="AP95" s="1686"/>
      <c r="AQ95" s="1686"/>
      <c r="AR95" s="1686"/>
      <c r="AS95" s="1686"/>
      <c r="AT95" s="1686"/>
      <c r="AU95" s="1686"/>
      <c r="AV95" s="1686"/>
      <c r="AW95" s="1686"/>
      <c r="AX95" s="1686"/>
      <c r="AY95" s="1686"/>
      <c r="AZ95" s="1686"/>
      <c r="BA95" s="1686"/>
      <c r="BB95" s="1686"/>
      <c r="BC95" s="1686"/>
      <c r="BD95" s="1686"/>
      <c r="BE95" s="1686"/>
      <c r="BF95" s="1686"/>
      <c r="BG95" s="1686"/>
      <c r="BH95" s="1686"/>
      <c r="BI95" s="1686"/>
      <c r="BJ95" s="1686"/>
      <c r="BK95" s="1686"/>
      <c r="BL95" s="1686"/>
      <c r="BM95" s="1686"/>
      <c r="BN95" s="1686"/>
      <c r="BO95" s="1686"/>
      <c r="BP95" s="1686"/>
      <c r="BQ95" s="1686"/>
      <c r="BR95" s="1686"/>
      <c r="BS95" s="1686"/>
      <c r="BT95" s="1686"/>
      <c r="BU95" s="1686"/>
      <c r="BV95" s="1686"/>
      <c r="BW95" s="1686"/>
      <c r="BX95" s="1686"/>
      <c r="BY95" s="1686"/>
      <c r="BZ95" s="1686"/>
      <c r="CA95" s="1686"/>
      <c r="CB95" s="1686"/>
      <c r="CC95" s="1686"/>
      <c r="CD95" s="1686"/>
      <c r="CE95" s="1686"/>
      <c r="CF95" s="1686"/>
      <c r="CG95" s="1686"/>
      <c r="CH95" s="1686"/>
      <c r="CI95" s="1686"/>
      <c r="CJ95" s="1686"/>
      <c r="CK95" s="1686"/>
      <c r="CL95" s="1686"/>
      <c r="CM95" s="1686"/>
      <c r="CN95" s="1686"/>
      <c r="CO95" s="1686"/>
      <c r="CP95" s="1686"/>
      <c r="CQ95" s="1686"/>
      <c r="CR95" s="1686"/>
      <c r="CS95" s="1686"/>
      <c r="CT95" s="1686"/>
      <c r="CU95" s="1686"/>
      <c r="CV95" s="1686"/>
      <c r="CW95" s="1686"/>
      <c r="CX95" s="1686"/>
      <c r="CY95" s="1686"/>
      <c r="CZ95" s="1686"/>
      <c r="DA95" s="1686"/>
      <c r="DB95" s="1686"/>
      <c r="DC95" s="1686"/>
      <c r="DD95" s="1686"/>
      <c r="DE95" s="1686"/>
      <c r="DF95" s="1686"/>
      <c r="DG95" s="1686"/>
      <c r="DH95" s="1686"/>
      <c r="DI95" s="1686"/>
      <c r="DJ95" s="1686"/>
      <c r="DK95" s="1686"/>
      <c r="DL95" s="1686"/>
      <c r="DM95" s="1686"/>
      <c r="DN95" s="1686"/>
      <c r="DO95" s="1686"/>
      <c r="DP95" s="1686"/>
      <c r="DQ95" s="1686"/>
      <c r="DR95" s="1686"/>
      <c r="DS95" s="1686"/>
      <c r="DT95" s="1686"/>
      <c r="DU95" s="1686"/>
      <c r="DV95" s="1686"/>
      <c r="DW95" s="1686"/>
      <c r="DX95" s="1686"/>
      <c r="DY95" s="1686"/>
      <c r="DZ95" s="1686"/>
      <c r="EA95" s="1686"/>
      <c r="EB95" s="1686"/>
      <c r="EC95" s="1686"/>
      <c r="ED95" s="1686"/>
      <c r="EE95" s="1686"/>
      <c r="EF95" s="1686"/>
      <c r="EG95" s="1686"/>
      <c r="EH95" s="1686"/>
      <c r="EI95" s="1686"/>
      <c r="EJ95" s="1686"/>
      <c r="EK95" s="1686"/>
      <c r="EL95" s="1686"/>
      <c r="EM95" s="1686"/>
      <c r="EN95" s="1686"/>
      <c r="EO95" s="1686"/>
      <c r="EP95" s="1686"/>
      <c r="EQ95" s="1686"/>
      <c r="ER95" s="1686"/>
      <c r="ES95" s="1686"/>
      <c r="ET95" s="1686"/>
      <c r="EU95" s="1686"/>
      <c r="EV95" s="1686"/>
      <c r="EW95" s="1686"/>
      <c r="EX95" s="1686"/>
      <c r="EY95" s="1686"/>
      <c r="EZ95" s="1686"/>
      <c r="FA95" s="1686"/>
      <c r="FB95" s="1686"/>
      <c r="FC95" s="1686"/>
      <c r="FD95" s="1686"/>
      <c r="FE95" s="1686"/>
      <c r="FF95" s="1686"/>
      <c r="FG95" s="1686"/>
      <c r="FH95" s="1686"/>
      <c r="FI95" s="1686"/>
      <c r="FJ95" s="1686"/>
      <c r="FK95" s="1686"/>
      <c r="FL95" s="1686"/>
      <c r="FM95" s="1686"/>
      <c r="FN95" s="1686"/>
      <c r="FO95" s="1686"/>
      <c r="FP95" s="1686"/>
      <c r="FQ95" s="1686"/>
      <c r="FR95" s="1686"/>
      <c r="FS95" s="1686"/>
      <c r="FT95" s="1686"/>
      <c r="FU95" s="1686"/>
      <c r="FV95" s="1686"/>
      <c r="FW95" s="1686"/>
      <c r="FX95" s="1686"/>
      <c r="FY95" s="1686"/>
      <c r="FZ95" s="1686"/>
      <c r="GA95" s="1686"/>
      <c r="GB95" s="1686"/>
      <c r="GC95" s="1686"/>
      <c r="GD95" s="1686"/>
      <c r="GE95" s="1686"/>
      <c r="GF95" s="1686"/>
      <c r="GG95" s="1686"/>
      <c r="GH95" s="1686"/>
      <c r="GI95" s="1686"/>
      <c r="GJ95" s="1686"/>
      <c r="GK95" s="1686"/>
      <c r="GL95" s="1686"/>
      <c r="GM95" s="1686"/>
      <c r="GN95" s="1686"/>
      <c r="GO95" s="1686"/>
      <c r="GP95" s="1686"/>
      <c r="GQ95" s="1686"/>
      <c r="GR95" s="1686"/>
      <c r="GS95" s="1686"/>
      <c r="GT95" s="1686"/>
      <c r="GU95" s="1686"/>
      <c r="GV95" s="1686"/>
      <c r="GW95" s="1686"/>
      <c r="GX95" s="1686"/>
      <c r="GY95" s="1686"/>
      <c r="GZ95" s="1686"/>
      <c r="HA95" s="1686"/>
      <c r="HB95" s="1686"/>
      <c r="HC95" s="1686"/>
      <c r="HD95" s="1686"/>
      <c r="HE95" s="1686"/>
      <c r="HF95" s="1686"/>
      <c r="HG95" s="1686"/>
      <c r="HH95" s="1686"/>
      <c r="HI95" s="1686"/>
      <c r="HJ95" s="1686"/>
      <c r="HK95" s="1686"/>
      <c r="HL95" s="1686"/>
      <c r="HM95" s="1686"/>
      <c r="HN95" s="1686"/>
      <c r="HO95" s="1686"/>
      <c r="HP95" s="1686"/>
      <c r="HQ95" s="1686"/>
      <c r="HR95" s="1686"/>
      <c r="HS95" s="1686"/>
      <c r="HT95" s="1686"/>
      <c r="HU95" s="1686"/>
      <c r="HV95" s="1686"/>
      <c r="HW95" s="1686"/>
      <c r="HX95" s="1686"/>
      <c r="HY95" s="1686"/>
      <c r="HZ95" s="1686"/>
      <c r="IA95" s="1686"/>
      <c r="IB95" s="1686"/>
      <c r="IC95" s="1686"/>
      <c r="ID95" s="1686"/>
      <c r="IE95" s="1686"/>
      <c r="IF95" s="1686"/>
      <c r="IG95" s="1686"/>
      <c r="IH95" s="1686"/>
      <c r="II95" s="1686"/>
      <c r="IJ95" s="1686"/>
      <c r="IK95" s="1686"/>
      <c r="IL95" s="1686"/>
      <c r="IM95" s="1686"/>
      <c r="IN95" s="1686"/>
      <c r="IO95" s="1686"/>
      <c r="IP95" s="1686"/>
      <c r="IQ95" s="1686"/>
      <c r="IR95" s="1686"/>
      <c r="IS95" s="1686"/>
      <c r="IT95" s="1686"/>
      <c r="IU95" s="1686"/>
      <c r="IV95" s="1686"/>
    </row>
    <row r="96" spans="1:256" ht="36.75" thickBot="1" x14ac:dyDescent="0.25">
      <c r="A96" s="1764" t="s">
        <v>1797</v>
      </c>
      <c r="B96" s="696" t="s">
        <v>1798</v>
      </c>
      <c r="C96" s="697" t="s">
        <v>1669</v>
      </c>
      <c r="D96" s="4549"/>
      <c r="E96" s="4550"/>
      <c r="F96" s="4549"/>
      <c r="G96" s="4550"/>
      <c r="H96" s="4549"/>
      <c r="I96" s="4550"/>
      <c r="J96" s="1650"/>
      <c r="K96" s="1649"/>
      <c r="L96" s="1649"/>
      <c r="M96" s="1649"/>
      <c r="N96" s="1649"/>
      <c r="O96" s="1649"/>
      <c r="P96" s="1686"/>
      <c r="Q96" s="1686"/>
      <c r="R96" s="1686"/>
      <c r="S96" s="1686"/>
      <c r="T96" s="1686"/>
      <c r="U96" s="1686"/>
      <c r="V96" s="1686"/>
      <c r="W96" s="1686"/>
      <c r="X96" s="1686"/>
      <c r="Y96" s="1686"/>
      <c r="Z96" s="1688"/>
      <c r="AA96" s="1688"/>
      <c r="AB96" s="1686"/>
      <c r="AC96" s="1677"/>
      <c r="AD96" s="1677"/>
      <c r="AE96" s="1677"/>
      <c r="AF96" s="1677"/>
      <c r="AG96" s="1677"/>
      <c r="AH96" s="1677"/>
      <c r="AI96" s="1686"/>
      <c r="AJ96" s="1688"/>
      <c r="AK96" s="1688"/>
      <c r="AL96" s="1688"/>
      <c r="AM96" s="1688"/>
      <c r="AN96" s="1688"/>
      <c r="AO96" s="1688"/>
      <c r="AP96" s="1686"/>
      <c r="AQ96" s="1686"/>
      <c r="AR96" s="1686"/>
      <c r="AS96" s="1686"/>
      <c r="AT96" s="1686"/>
      <c r="AU96" s="1686"/>
      <c r="AV96" s="1686"/>
      <c r="AW96" s="1686"/>
      <c r="AX96" s="1686"/>
      <c r="AY96" s="1686"/>
      <c r="AZ96" s="1686"/>
      <c r="BA96" s="1686"/>
      <c r="BB96" s="1686"/>
      <c r="BC96" s="1686"/>
      <c r="BD96" s="1686"/>
      <c r="BE96" s="1686"/>
      <c r="BF96" s="1686"/>
      <c r="BG96" s="1686"/>
      <c r="BH96" s="1686"/>
      <c r="BI96" s="1686"/>
      <c r="BJ96" s="1686"/>
      <c r="BK96" s="1686"/>
      <c r="BL96" s="1686"/>
      <c r="BM96" s="1686"/>
      <c r="BN96" s="1686"/>
      <c r="BO96" s="1686"/>
      <c r="BP96" s="1686"/>
      <c r="BQ96" s="1686"/>
      <c r="BR96" s="1686"/>
      <c r="BS96" s="1686"/>
      <c r="BT96" s="1686"/>
      <c r="BU96" s="1686"/>
      <c r="BV96" s="1686"/>
      <c r="BW96" s="1686"/>
      <c r="BX96" s="1686"/>
      <c r="BY96" s="1686"/>
      <c r="BZ96" s="1686"/>
      <c r="CA96" s="1686"/>
      <c r="CB96" s="1686"/>
      <c r="CC96" s="1686"/>
      <c r="CD96" s="1686"/>
      <c r="CE96" s="1686"/>
      <c r="CF96" s="1686"/>
      <c r="CG96" s="1686"/>
      <c r="CH96" s="1686"/>
      <c r="CI96" s="1686"/>
      <c r="CJ96" s="1686"/>
      <c r="CK96" s="1686"/>
      <c r="CL96" s="1686"/>
      <c r="CM96" s="1686"/>
      <c r="CN96" s="1686"/>
      <c r="CO96" s="1686"/>
      <c r="CP96" s="1686"/>
      <c r="CQ96" s="1686"/>
      <c r="CR96" s="1686"/>
      <c r="CS96" s="1686"/>
      <c r="CT96" s="1686"/>
      <c r="CU96" s="1686"/>
      <c r="CV96" s="1686"/>
      <c r="CW96" s="1686"/>
      <c r="CX96" s="1686"/>
      <c r="CY96" s="1686"/>
      <c r="CZ96" s="1686"/>
      <c r="DA96" s="1686"/>
      <c r="DB96" s="1686"/>
      <c r="DC96" s="1686"/>
      <c r="DD96" s="1686"/>
      <c r="DE96" s="1686"/>
      <c r="DF96" s="1686"/>
      <c r="DG96" s="1686"/>
      <c r="DH96" s="1686"/>
      <c r="DI96" s="1686"/>
      <c r="DJ96" s="1686"/>
      <c r="DK96" s="1686"/>
      <c r="DL96" s="1686"/>
      <c r="DM96" s="1686"/>
      <c r="DN96" s="1686"/>
      <c r="DO96" s="1686"/>
      <c r="DP96" s="1686"/>
      <c r="DQ96" s="1686"/>
      <c r="DR96" s="1686"/>
      <c r="DS96" s="1686"/>
      <c r="DT96" s="1686"/>
      <c r="DU96" s="1686"/>
      <c r="DV96" s="1686"/>
      <c r="DW96" s="1686"/>
      <c r="DX96" s="1686"/>
      <c r="DY96" s="1686"/>
      <c r="DZ96" s="1686"/>
      <c r="EA96" s="1686"/>
      <c r="EB96" s="1686"/>
      <c r="EC96" s="1686"/>
      <c r="ED96" s="1686"/>
      <c r="EE96" s="1686"/>
      <c r="EF96" s="1686"/>
      <c r="EG96" s="1686"/>
      <c r="EH96" s="1686"/>
      <c r="EI96" s="1686"/>
      <c r="EJ96" s="1686"/>
      <c r="EK96" s="1686"/>
      <c r="EL96" s="1686"/>
      <c r="EM96" s="1686"/>
      <c r="EN96" s="1686"/>
      <c r="EO96" s="1686"/>
      <c r="EP96" s="1686"/>
      <c r="EQ96" s="1686"/>
      <c r="ER96" s="1686"/>
      <c r="ES96" s="1686"/>
      <c r="ET96" s="1686"/>
      <c r="EU96" s="1686"/>
      <c r="EV96" s="1686"/>
      <c r="EW96" s="1686"/>
      <c r="EX96" s="1686"/>
      <c r="EY96" s="1686"/>
      <c r="EZ96" s="1686"/>
      <c r="FA96" s="1686"/>
      <c r="FB96" s="1686"/>
      <c r="FC96" s="1686"/>
      <c r="FD96" s="1686"/>
      <c r="FE96" s="1686"/>
      <c r="FF96" s="1686"/>
      <c r="FG96" s="1686"/>
      <c r="FH96" s="1686"/>
      <c r="FI96" s="1686"/>
      <c r="FJ96" s="1686"/>
      <c r="FK96" s="1686"/>
      <c r="FL96" s="1686"/>
      <c r="FM96" s="1686"/>
      <c r="FN96" s="1686"/>
      <c r="FO96" s="1686"/>
      <c r="FP96" s="1686"/>
      <c r="FQ96" s="1686"/>
      <c r="FR96" s="1686"/>
      <c r="FS96" s="1686"/>
      <c r="FT96" s="1686"/>
      <c r="FU96" s="1686"/>
      <c r="FV96" s="1686"/>
      <c r="FW96" s="1686"/>
      <c r="FX96" s="1686"/>
      <c r="FY96" s="1686"/>
      <c r="FZ96" s="1686"/>
      <c r="GA96" s="1686"/>
      <c r="GB96" s="1686"/>
      <c r="GC96" s="1686"/>
      <c r="GD96" s="1686"/>
      <c r="GE96" s="1686"/>
      <c r="GF96" s="1686"/>
      <c r="GG96" s="1686"/>
      <c r="GH96" s="1686"/>
      <c r="GI96" s="1686"/>
      <c r="GJ96" s="1686"/>
      <c r="GK96" s="1686"/>
      <c r="GL96" s="1686"/>
      <c r="GM96" s="1686"/>
      <c r="GN96" s="1686"/>
      <c r="GO96" s="1686"/>
      <c r="GP96" s="1686"/>
      <c r="GQ96" s="1686"/>
      <c r="GR96" s="1686"/>
      <c r="GS96" s="1686"/>
      <c r="GT96" s="1686"/>
      <c r="GU96" s="1686"/>
      <c r="GV96" s="1686"/>
      <c r="GW96" s="1686"/>
      <c r="GX96" s="1686"/>
      <c r="GY96" s="1686"/>
      <c r="GZ96" s="1686"/>
      <c r="HA96" s="1686"/>
      <c r="HB96" s="1686"/>
      <c r="HC96" s="1686"/>
      <c r="HD96" s="1686"/>
      <c r="HE96" s="1686"/>
      <c r="HF96" s="1686"/>
      <c r="HG96" s="1686"/>
      <c r="HH96" s="1686"/>
      <c r="HI96" s="1686"/>
      <c r="HJ96" s="1686"/>
      <c r="HK96" s="1686"/>
      <c r="HL96" s="1686"/>
      <c r="HM96" s="1686"/>
      <c r="HN96" s="1686"/>
      <c r="HO96" s="1686"/>
      <c r="HP96" s="1686"/>
      <c r="HQ96" s="1686"/>
      <c r="HR96" s="1686"/>
      <c r="HS96" s="1686"/>
      <c r="HT96" s="1686"/>
      <c r="HU96" s="1686"/>
      <c r="HV96" s="1686"/>
      <c r="HW96" s="1686"/>
      <c r="HX96" s="1686"/>
      <c r="HY96" s="1686"/>
      <c r="HZ96" s="1686"/>
      <c r="IA96" s="1686"/>
      <c r="IB96" s="1686"/>
      <c r="IC96" s="1686"/>
      <c r="ID96" s="1686"/>
      <c r="IE96" s="1686"/>
      <c r="IF96" s="1686"/>
      <c r="IG96" s="1686"/>
      <c r="IH96" s="1686"/>
      <c r="II96" s="1686"/>
      <c r="IJ96" s="1686"/>
      <c r="IK96" s="1686"/>
      <c r="IL96" s="1686"/>
      <c r="IM96" s="1686"/>
      <c r="IN96" s="1686"/>
      <c r="IO96" s="1686"/>
      <c r="IP96" s="1686"/>
      <c r="IQ96" s="1686"/>
      <c r="IR96" s="1686"/>
      <c r="IS96" s="1686"/>
      <c r="IT96" s="1686"/>
      <c r="IU96" s="1686"/>
      <c r="IV96" s="1686"/>
    </row>
    <row r="97" spans="1:256" x14ac:dyDescent="0.2">
      <c r="A97" s="1765"/>
      <c r="B97" s="1686"/>
      <c r="C97" s="1696"/>
      <c r="D97" s="1686"/>
      <c r="E97" s="1686"/>
      <c r="F97" s="1686"/>
      <c r="G97" s="1686"/>
      <c r="H97" s="1686"/>
      <c r="I97" s="1686"/>
      <c r="P97" s="1686"/>
      <c r="Q97" s="1686"/>
      <c r="R97" s="1686"/>
      <c r="S97" s="1686"/>
      <c r="T97" s="1686"/>
      <c r="U97" s="1686"/>
      <c r="V97" s="1686"/>
      <c r="W97" s="1686"/>
      <c r="X97" s="1688"/>
      <c r="Y97" s="1688"/>
      <c r="Z97" s="1688"/>
      <c r="AA97" s="1688"/>
      <c r="AB97" s="1686"/>
      <c r="AC97" s="1677"/>
      <c r="AD97" s="1677"/>
      <c r="AE97" s="1677"/>
      <c r="AF97" s="1677"/>
      <c r="AG97" s="1677"/>
      <c r="AH97" s="1677"/>
      <c r="AI97" s="1686"/>
      <c r="AJ97" s="1688"/>
      <c r="AK97" s="1688"/>
      <c r="AL97" s="1688"/>
      <c r="AM97" s="1688"/>
      <c r="AN97" s="1688"/>
      <c r="AO97" s="1688"/>
      <c r="AP97" s="1686"/>
      <c r="AQ97" s="1686"/>
      <c r="AR97" s="1686"/>
      <c r="AS97" s="1686"/>
      <c r="AT97" s="1686"/>
      <c r="AU97" s="1686"/>
      <c r="AV97" s="1686"/>
      <c r="AW97" s="1686"/>
      <c r="AX97" s="1686"/>
      <c r="AY97" s="1686"/>
      <c r="AZ97" s="1686"/>
      <c r="BA97" s="1686"/>
      <c r="BB97" s="1686"/>
      <c r="BC97" s="1686"/>
      <c r="BD97" s="1686"/>
      <c r="BE97" s="1686"/>
      <c r="BF97" s="1686"/>
      <c r="BG97" s="1686"/>
      <c r="BH97" s="1686"/>
      <c r="BI97" s="1686"/>
      <c r="BJ97" s="1686"/>
      <c r="BK97" s="1686"/>
      <c r="BL97" s="1686"/>
      <c r="BM97" s="1686"/>
      <c r="BN97" s="1686"/>
      <c r="BO97" s="1686"/>
      <c r="BP97" s="1686"/>
      <c r="BQ97" s="1686"/>
      <c r="BR97" s="1686"/>
      <c r="BS97" s="1686"/>
      <c r="BT97" s="1686"/>
      <c r="BU97" s="1686"/>
      <c r="BV97" s="1686"/>
      <c r="BW97" s="1686"/>
      <c r="BX97" s="1686"/>
      <c r="BY97" s="1686"/>
      <c r="BZ97" s="1686"/>
      <c r="CA97" s="1686"/>
      <c r="CB97" s="1686"/>
      <c r="CC97" s="1686"/>
      <c r="CD97" s="1686"/>
      <c r="CE97" s="1686"/>
      <c r="CF97" s="1686"/>
      <c r="CG97" s="1686"/>
      <c r="CH97" s="1686"/>
      <c r="CI97" s="1686"/>
      <c r="CJ97" s="1686"/>
      <c r="CK97" s="1686"/>
      <c r="CL97" s="1686"/>
      <c r="CM97" s="1686"/>
      <c r="CN97" s="1686"/>
      <c r="CO97" s="1686"/>
      <c r="CP97" s="1686"/>
      <c r="CQ97" s="1686"/>
      <c r="CR97" s="1686"/>
      <c r="CS97" s="1686"/>
      <c r="CT97" s="1686"/>
      <c r="CU97" s="1686"/>
      <c r="CV97" s="1686"/>
      <c r="CW97" s="1686"/>
      <c r="CX97" s="1686"/>
      <c r="CY97" s="1686"/>
      <c r="CZ97" s="1686"/>
      <c r="DA97" s="1686"/>
      <c r="DB97" s="1686"/>
      <c r="DC97" s="1686"/>
      <c r="DD97" s="1686"/>
      <c r="DE97" s="1686"/>
      <c r="DF97" s="1686"/>
      <c r="DG97" s="1686"/>
      <c r="DH97" s="1686"/>
      <c r="DI97" s="1686"/>
      <c r="DJ97" s="1686"/>
      <c r="DK97" s="1686"/>
      <c r="DL97" s="1686"/>
      <c r="DM97" s="1686"/>
      <c r="DN97" s="1686"/>
      <c r="DO97" s="1686"/>
      <c r="DP97" s="1686"/>
      <c r="DQ97" s="1686"/>
      <c r="DR97" s="1686"/>
      <c r="DS97" s="1686"/>
      <c r="DT97" s="1686"/>
      <c r="DU97" s="1686"/>
      <c r="DV97" s="1686"/>
      <c r="DW97" s="1686"/>
      <c r="DX97" s="1686"/>
      <c r="DY97" s="1686"/>
      <c r="DZ97" s="1686"/>
      <c r="EA97" s="1686"/>
      <c r="EB97" s="1686"/>
      <c r="EC97" s="1686"/>
      <c r="ED97" s="1686"/>
      <c r="EE97" s="1686"/>
      <c r="EF97" s="1686"/>
      <c r="EG97" s="1686"/>
      <c r="EH97" s="1686"/>
      <c r="EI97" s="1686"/>
      <c r="EJ97" s="1686"/>
      <c r="EK97" s="1686"/>
      <c r="EL97" s="1686"/>
      <c r="EM97" s="1686"/>
      <c r="EN97" s="1686"/>
      <c r="EO97" s="1686"/>
      <c r="EP97" s="1686"/>
      <c r="EQ97" s="1686"/>
      <c r="ER97" s="1686"/>
      <c r="ES97" s="1686"/>
      <c r="ET97" s="1686"/>
      <c r="EU97" s="1686"/>
      <c r="EV97" s="1686"/>
      <c r="EW97" s="1686"/>
      <c r="EX97" s="1686"/>
      <c r="EY97" s="1686"/>
      <c r="EZ97" s="1686"/>
      <c r="FA97" s="1686"/>
      <c r="FB97" s="1686"/>
      <c r="FC97" s="1686"/>
      <c r="FD97" s="1686"/>
      <c r="FE97" s="1686"/>
      <c r="FF97" s="1686"/>
      <c r="FG97" s="1686"/>
      <c r="FH97" s="1686"/>
      <c r="FI97" s="1686"/>
      <c r="FJ97" s="1686"/>
      <c r="FK97" s="1686"/>
      <c r="FL97" s="1686"/>
      <c r="FM97" s="1686"/>
      <c r="FN97" s="1686"/>
      <c r="FO97" s="1686"/>
      <c r="FP97" s="1686"/>
      <c r="FQ97" s="1686"/>
      <c r="FR97" s="1686"/>
      <c r="FS97" s="1686"/>
      <c r="FT97" s="1686"/>
      <c r="FU97" s="1686"/>
      <c r="FV97" s="1686"/>
      <c r="FW97" s="1686"/>
      <c r="FX97" s="1686"/>
      <c r="FY97" s="1686"/>
      <c r="FZ97" s="1686"/>
      <c r="GA97" s="1686"/>
      <c r="GB97" s="1686"/>
      <c r="GC97" s="1686"/>
      <c r="GD97" s="1686"/>
      <c r="GE97" s="1686"/>
      <c r="GF97" s="1686"/>
      <c r="GG97" s="1686"/>
      <c r="GH97" s="1686"/>
      <c r="GI97" s="1686"/>
      <c r="GJ97" s="1686"/>
      <c r="GK97" s="1686"/>
      <c r="GL97" s="1686"/>
      <c r="GM97" s="1686"/>
      <c r="GN97" s="1686"/>
      <c r="GO97" s="1686"/>
      <c r="GP97" s="1686"/>
      <c r="GQ97" s="1686"/>
      <c r="GR97" s="1686"/>
      <c r="GS97" s="1686"/>
      <c r="GT97" s="1686"/>
      <c r="GU97" s="1686"/>
      <c r="GV97" s="1686"/>
      <c r="GW97" s="1686"/>
      <c r="GX97" s="1686"/>
      <c r="GY97" s="1686"/>
      <c r="GZ97" s="1686"/>
      <c r="HA97" s="1686"/>
      <c r="HB97" s="1686"/>
      <c r="HC97" s="1686"/>
      <c r="HD97" s="1686"/>
      <c r="HE97" s="1686"/>
      <c r="HF97" s="1686"/>
      <c r="HG97" s="1686"/>
      <c r="HH97" s="1686"/>
      <c r="HI97" s="1686"/>
      <c r="HJ97" s="1686"/>
      <c r="HK97" s="1686"/>
      <c r="HL97" s="1686"/>
      <c r="HM97" s="1686"/>
      <c r="HN97" s="1686"/>
      <c r="HO97" s="1686"/>
      <c r="HP97" s="1686"/>
      <c r="HQ97" s="1686"/>
      <c r="HR97" s="1686"/>
      <c r="HS97" s="1686"/>
      <c r="HT97" s="1686"/>
      <c r="HU97" s="1686"/>
      <c r="HV97" s="1686"/>
      <c r="HW97" s="1686"/>
      <c r="HX97" s="1686"/>
      <c r="HY97" s="1686"/>
      <c r="HZ97" s="1686"/>
      <c r="IA97" s="1686"/>
      <c r="IB97" s="1686"/>
      <c r="IC97" s="1686"/>
      <c r="ID97" s="1686"/>
      <c r="IE97" s="1686"/>
      <c r="IF97" s="1686"/>
      <c r="IG97" s="1686"/>
      <c r="IH97" s="1686"/>
      <c r="II97" s="1686"/>
      <c r="IJ97" s="1686"/>
      <c r="IK97" s="1686"/>
      <c r="IL97" s="1686"/>
      <c r="IM97" s="1686"/>
      <c r="IN97" s="1686"/>
      <c r="IO97" s="1686"/>
      <c r="IP97" s="1686"/>
      <c r="IQ97" s="1686"/>
      <c r="IR97" s="1686"/>
      <c r="IS97" s="1686"/>
      <c r="IT97" s="1686"/>
      <c r="IU97" s="1686"/>
      <c r="IV97" s="1686"/>
    </row>
    <row r="98" spans="1:256" x14ac:dyDescent="0.2">
      <c r="X98" s="1677"/>
      <c r="Y98" s="1677"/>
      <c r="Z98" s="1677"/>
      <c r="AA98" s="1677"/>
      <c r="AC98" s="1677"/>
      <c r="AD98" s="1677"/>
      <c r="AE98" s="1677"/>
      <c r="AF98" s="1677"/>
      <c r="AG98" s="1677"/>
      <c r="AH98" s="1677"/>
      <c r="AJ98" s="1677"/>
      <c r="AK98" s="1677"/>
      <c r="AL98" s="1677"/>
      <c r="AM98" s="1677"/>
      <c r="AN98" s="1677"/>
      <c r="AO98" s="1677"/>
    </row>
    <row r="101" spans="1:256" x14ac:dyDescent="0.2">
      <c r="D101" s="4502" t="s">
        <v>1799</v>
      </c>
      <c r="E101" s="4502"/>
      <c r="F101" s="4502"/>
      <c r="G101" s="4502"/>
      <c r="H101" s="4502"/>
      <c r="I101" s="4502"/>
      <c r="P101" s="4502" t="s">
        <v>625</v>
      </c>
      <c r="Q101" s="4502"/>
      <c r="R101" s="4502"/>
      <c r="S101" s="4502"/>
      <c r="T101" s="4502"/>
    </row>
    <row r="102" spans="1:256" ht="15.75" x14ac:dyDescent="0.25">
      <c r="D102" s="1697"/>
      <c r="E102" s="1698"/>
      <c r="F102" s="1698"/>
      <c r="G102" s="1698"/>
      <c r="H102" s="1698"/>
      <c r="I102" s="1698"/>
      <c r="J102" s="1698"/>
      <c r="K102" s="1698"/>
      <c r="L102" s="1698"/>
      <c r="M102" s="1698"/>
      <c r="N102" s="1698"/>
      <c r="O102" s="1698"/>
      <c r="P102" s="1698"/>
      <c r="Q102" s="1698"/>
      <c r="R102" s="1698"/>
      <c r="S102" s="1698"/>
      <c r="T102" s="1698"/>
    </row>
    <row r="103" spans="1:256" ht="15.75" x14ac:dyDescent="0.25">
      <c r="B103" s="1699" t="s">
        <v>626</v>
      </c>
      <c r="C103" s="1700"/>
      <c r="D103" s="1699"/>
      <c r="E103" s="1698"/>
      <c r="F103" s="1698"/>
      <c r="G103" s="1698"/>
      <c r="H103" s="1698"/>
      <c r="I103" s="1698"/>
      <c r="J103" s="1698"/>
      <c r="K103" s="1698"/>
      <c r="L103" s="1698"/>
      <c r="M103" s="1698"/>
      <c r="N103" s="1698"/>
      <c r="O103" s="1698"/>
      <c r="P103" s="1698"/>
      <c r="Q103" s="1698"/>
      <c r="R103" s="1698"/>
      <c r="S103" s="1698"/>
      <c r="T103" s="1698"/>
    </row>
    <row r="104" spans="1:256" ht="15.75" x14ac:dyDescent="0.25">
      <c r="D104" s="1698"/>
      <c r="E104" s="1698"/>
      <c r="F104" s="1698"/>
      <c r="G104" s="1698"/>
      <c r="H104" s="1698"/>
      <c r="I104" s="1698"/>
      <c r="J104" s="1698"/>
      <c r="K104" s="1698"/>
      <c r="L104" s="1698"/>
      <c r="M104" s="1698"/>
      <c r="N104" s="1698"/>
      <c r="O104" s="1698"/>
      <c r="P104" s="1698"/>
      <c r="Q104" s="1698"/>
      <c r="R104" s="1698"/>
      <c r="S104" s="1698"/>
      <c r="T104" s="1698"/>
    </row>
    <row r="105" spans="1:256" ht="15.75" x14ac:dyDescent="0.25">
      <c r="D105" s="1698"/>
      <c r="E105" s="1698"/>
      <c r="F105" s="1698"/>
      <c r="G105" s="1698"/>
      <c r="H105" s="1698"/>
      <c r="I105" s="1698"/>
      <c r="J105" s="1698"/>
      <c r="K105" s="1698"/>
      <c r="L105" s="1698"/>
      <c r="M105" s="1698"/>
      <c r="N105" s="1698"/>
      <c r="O105" s="1698"/>
      <c r="P105" s="1698"/>
      <c r="Q105" s="1698"/>
      <c r="R105" s="1698"/>
      <c r="S105" s="1698"/>
      <c r="T105" s="1698"/>
    </row>
    <row r="106" spans="1:256" ht="15.75" x14ac:dyDescent="0.25">
      <c r="D106" s="1698"/>
      <c r="E106" s="1698"/>
      <c r="F106" s="1698"/>
      <c r="G106" s="1698"/>
      <c r="H106" s="1698"/>
      <c r="I106" s="1698"/>
      <c r="J106" s="1698"/>
      <c r="K106" s="1698"/>
      <c r="L106" s="1698"/>
      <c r="M106" s="1698"/>
      <c r="N106" s="1698"/>
      <c r="O106" s="1698"/>
      <c r="P106" s="1698"/>
      <c r="Q106" s="1698"/>
      <c r="R106" s="1698"/>
      <c r="S106" s="1698"/>
      <c r="T106" s="1698"/>
    </row>
    <row r="107" spans="1:256" x14ac:dyDescent="0.2">
      <c r="G107" s="1653" t="s">
        <v>1376</v>
      </c>
      <c r="H107" s="1653" t="s">
        <v>2365</v>
      </c>
      <c r="I107" s="1653" t="s">
        <v>2704</v>
      </c>
      <c r="J107" s="1660">
        <f>J108+K108</f>
        <v>50.78</v>
      </c>
      <c r="L107" s="1660">
        <f>L108+M108</f>
        <v>807.57</v>
      </c>
      <c r="N107" s="1660">
        <f>N108+O108</f>
        <v>0.24</v>
      </c>
      <c r="P107" s="1660">
        <f>P108+Q108</f>
        <v>3</v>
      </c>
      <c r="R107" s="1660">
        <f>R108+S108</f>
        <v>1.78</v>
      </c>
      <c r="T107" s="1660">
        <f>T108+U108</f>
        <v>2.13</v>
      </c>
      <c r="V107" s="1660">
        <f>V108+W108</f>
        <v>0</v>
      </c>
    </row>
    <row r="108" spans="1:256" x14ac:dyDescent="0.2">
      <c r="B108" s="1653" t="s">
        <v>2703</v>
      </c>
      <c r="G108" s="2093">
        <f>H108+I108</f>
        <v>866.95</v>
      </c>
      <c r="H108" s="2093">
        <f>SUM(H109:H110)</f>
        <v>682.9</v>
      </c>
      <c r="I108" s="2093">
        <f>SUM(I109:I110)</f>
        <v>184.05</v>
      </c>
      <c r="J108" s="2093">
        <f t="shared" ref="J108:W108" si="77">SUM(J109:J110)</f>
        <v>40.35</v>
      </c>
      <c r="K108" s="2093">
        <f t="shared" si="77"/>
        <v>10.43</v>
      </c>
      <c r="L108" s="2093">
        <f t="shared" si="77"/>
        <v>637.99</v>
      </c>
      <c r="M108" s="2093">
        <f t="shared" si="77"/>
        <v>169.58</v>
      </c>
      <c r="N108" s="2093">
        <f t="shared" si="77"/>
        <v>0.13</v>
      </c>
      <c r="O108" s="2093">
        <f t="shared" si="77"/>
        <v>0.11</v>
      </c>
      <c r="P108" s="2093">
        <f t="shared" si="77"/>
        <v>1.59</v>
      </c>
      <c r="Q108" s="2093">
        <f t="shared" si="77"/>
        <v>1.41</v>
      </c>
      <c r="R108" s="2093">
        <f t="shared" si="77"/>
        <v>0.94</v>
      </c>
      <c r="S108" s="2093">
        <f t="shared" si="77"/>
        <v>0.84</v>
      </c>
      <c r="T108" s="2093">
        <f t="shared" si="77"/>
        <v>1.1299999999999999</v>
      </c>
      <c r="U108" s="2093">
        <f t="shared" si="77"/>
        <v>1</v>
      </c>
      <c r="V108" s="2093">
        <f t="shared" si="77"/>
        <v>0</v>
      </c>
      <c r="W108" s="2093">
        <f t="shared" si="77"/>
        <v>0</v>
      </c>
    </row>
    <row r="109" spans="1:256" x14ac:dyDescent="0.2">
      <c r="B109" s="1653" t="s">
        <v>2701</v>
      </c>
      <c r="G109" s="1660">
        <f>H109+I109</f>
        <v>833.71</v>
      </c>
      <c r="H109" s="1660">
        <f>H17*H32/1000</f>
        <v>662.54</v>
      </c>
      <c r="I109" s="1660">
        <f>I17*I32/1000</f>
        <v>171.17</v>
      </c>
      <c r="J109" s="1660">
        <f t="shared" ref="J109:W109" si="78">J17*J32/1000</f>
        <v>32.11</v>
      </c>
      <c r="K109" s="1660">
        <f t="shared" si="78"/>
        <v>8.3000000000000007</v>
      </c>
      <c r="L109" s="1660">
        <f t="shared" si="78"/>
        <v>630.42999999999995</v>
      </c>
      <c r="M109" s="1660">
        <f t="shared" si="78"/>
        <v>162.87</v>
      </c>
      <c r="N109" s="1660">
        <f t="shared" si="78"/>
        <v>0</v>
      </c>
      <c r="O109" s="1660">
        <f t="shared" si="78"/>
        <v>0</v>
      </c>
      <c r="P109" s="1660">
        <f t="shared" si="78"/>
        <v>0</v>
      </c>
      <c r="Q109" s="1660">
        <f t="shared" si="78"/>
        <v>0</v>
      </c>
      <c r="R109" s="1660">
        <f t="shared" si="78"/>
        <v>0</v>
      </c>
      <c r="S109" s="1660">
        <f t="shared" si="78"/>
        <v>0</v>
      </c>
      <c r="T109" s="1660">
        <f t="shared" si="78"/>
        <v>0</v>
      </c>
      <c r="U109" s="1660">
        <f t="shared" si="78"/>
        <v>0</v>
      </c>
      <c r="V109" s="1660">
        <f t="shared" si="78"/>
        <v>0</v>
      </c>
      <c r="W109" s="1660">
        <f t="shared" si="78"/>
        <v>0</v>
      </c>
    </row>
    <row r="110" spans="1:256" x14ac:dyDescent="0.2">
      <c r="B110" s="1653" t="s">
        <v>2702</v>
      </c>
      <c r="G110" s="1660">
        <f>H110+I110</f>
        <v>33.24</v>
      </c>
      <c r="H110" s="1660">
        <f>H28*H32/1000</f>
        <v>20.36</v>
      </c>
      <c r="I110" s="1660">
        <f>I28*I32/1000</f>
        <v>12.88</v>
      </c>
      <c r="J110" s="1660">
        <f t="shared" ref="J110:W110" si="79">J28*J32/1000</f>
        <v>8.24</v>
      </c>
      <c r="K110" s="1660">
        <f t="shared" si="79"/>
        <v>2.13</v>
      </c>
      <c r="L110" s="1660">
        <f t="shared" si="79"/>
        <v>7.56</v>
      </c>
      <c r="M110" s="1660">
        <f t="shared" si="79"/>
        <v>6.71</v>
      </c>
      <c r="N110" s="1660">
        <f t="shared" si="79"/>
        <v>0.13</v>
      </c>
      <c r="O110" s="1660">
        <f t="shared" si="79"/>
        <v>0.11</v>
      </c>
      <c r="P110" s="1660">
        <f t="shared" si="79"/>
        <v>1.59</v>
      </c>
      <c r="Q110" s="1660">
        <f t="shared" si="79"/>
        <v>1.41</v>
      </c>
      <c r="R110" s="1660">
        <f t="shared" si="79"/>
        <v>0.94</v>
      </c>
      <c r="S110" s="1660">
        <f t="shared" si="79"/>
        <v>0.84</v>
      </c>
      <c r="T110" s="1660">
        <f t="shared" si="79"/>
        <v>1.1299999999999999</v>
      </c>
      <c r="U110" s="1660">
        <f t="shared" si="79"/>
        <v>1</v>
      </c>
      <c r="V110" s="1660">
        <f t="shared" si="79"/>
        <v>0</v>
      </c>
      <c r="W110" s="1660">
        <f t="shared" si="79"/>
        <v>0</v>
      </c>
    </row>
  </sheetData>
  <mergeCells count="61">
    <mergeCell ref="P93:Y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 ref="A73:A75"/>
    <mergeCell ref="A76:A78"/>
    <mergeCell ref="A79:A81"/>
    <mergeCell ref="D92:E92"/>
    <mergeCell ref="F92:G92"/>
    <mergeCell ref="A91:U91"/>
    <mergeCell ref="H92:I92"/>
    <mergeCell ref="A70:A72"/>
    <mergeCell ref="A37:A39"/>
    <mergeCell ref="A40:A42"/>
    <mergeCell ref="A43:A45"/>
    <mergeCell ref="A46:A48"/>
    <mergeCell ref="A49:A51"/>
    <mergeCell ref="A52:A54"/>
    <mergeCell ref="A55:A57"/>
    <mergeCell ref="A58:A60"/>
    <mergeCell ref="A61:A63"/>
    <mergeCell ref="A64:A66"/>
    <mergeCell ref="A67:A69"/>
    <mergeCell ref="AC12:AH12"/>
    <mergeCell ref="AJ12:AO12"/>
    <mergeCell ref="A15:W15"/>
    <mergeCell ref="R12:S12"/>
    <mergeCell ref="T12:U12"/>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Y30"/>
    <mergeCell ref="U6:W6"/>
    <mergeCell ref="U3:W3"/>
    <mergeCell ref="U4:W4"/>
    <mergeCell ref="F5:G5"/>
    <mergeCell ref="M5:N5"/>
    <mergeCell ref="U5:W5"/>
  </mergeCells>
  <conditionalFormatting sqref="O1:W33 M1:N4 M6:N33 F1:G4 A82:W86 F6:G81 A1:E81 H1:L33 X1:IV96 A97:F65541 A96:J96 J94:J95 A94:D95 N95:Y96 O87:Y91 A16:C93 A87:E93 F87:F95 H93:I95 G87:P93 D16:Y86 D31:W90 G108 X97:XFD65541 G109:W65541 G97:W107">
    <cfRule type="cellIs" dxfId="0" priority="8"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2" tint="-0.499984740745262"/>
    <pageSetUpPr fitToPage="1"/>
  </sheetPr>
  <dimension ref="B1:L45"/>
  <sheetViews>
    <sheetView topLeftCell="B25" workbookViewId="0">
      <selection activeCell="I42" sqref="I42"/>
    </sheetView>
  </sheetViews>
  <sheetFormatPr defaultColWidth="8.85546875" defaultRowHeight="15.75" x14ac:dyDescent="0.25"/>
  <cols>
    <col min="1" max="1" width="3.7109375" style="584" customWidth="1"/>
    <col min="2" max="2" width="4.7109375" style="584" customWidth="1"/>
    <col min="3" max="3" width="8.140625" style="584" customWidth="1"/>
    <col min="4" max="4" width="23.28515625" style="584" customWidth="1"/>
    <col min="5" max="5" width="9.7109375" style="584" customWidth="1"/>
    <col min="6" max="6" width="9.28515625" style="584" customWidth="1"/>
    <col min="7" max="7" width="17.28515625" style="584" customWidth="1"/>
    <col min="8" max="8" width="11.7109375" style="584" customWidth="1"/>
    <col min="9" max="9" width="11.28515625" style="584" customWidth="1"/>
    <col min="10" max="10" width="47.5703125" style="584" customWidth="1"/>
    <col min="11" max="11" width="19.28515625" style="1851" customWidth="1"/>
    <col min="12" max="16384" width="8.85546875" style="584"/>
  </cols>
  <sheetData>
    <row r="1" spans="2:12" x14ac:dyDescent="0.25">
      <c r="I1" s="584" t="s">
        <v>1079</v>
      </c>
    </row>
    <row r="3" spans="2:12" x14ac:dyDescent="0.25">
      <c r="B3" s="4554" t="s">
        <v>1820</v>
      </c>
      <c r="C3" s="4554"/>
      <c r="D3" s="4554"/>
      <c r="E3" s="4554"/>
      <c r="F3" s="4554"/>
      <c r="G3" s="4554"/>
      <c r="H3" s="4554"/>
      <c r="I3" s="4554"/>
    </row>
    <row r="4" spans="2:12" x14ac:dyDescent="0.25">
      <c r="B4" s="631"/>
      <c r="C4" s="631"/>
      <c r="D4" s="4570" t="str">
        <f>'Вхідні дані'!$F$5</f>
        <v>ЧФ ДП "АМПУ"</v>
      </c>
      <c r="E4" s="4570"/>
      <c r="F4" s="4570"/>
      <c r="G4" s="631" t="s">
        <v>460</v>
      </c>
      <c r="H4" s="1025" t="str">
        <f>'Вхідні дані'!$F$6</f>
        <v>2022-2023</v>
      </c>
      <c r="I4" s="631" t="s">
        <v>647</v>
      </c>
    </row>
    <row r="5" spans="2:12" x14ac:dyDescent="0.25">
      <c r="B5" s="631"/>
      <c r="C5" s="631"/>
      <c r="D5" s="631"/>
      <c r="E5" s="631"/>
      <c r="F5" s="631"/>
      <c r="G5" s="631"/>
      <c r="H5" s="631"/>
      <c r="I5" s="631"/>
    </row>
    <row r="6" spans="2:12" ht="16.5" thickBot="1" x14ac:dyDescent="0.3"/>
    <row r="7" spans="2:12" ht="15.75" customHeight="1" x14ac:dyDescent="0.25">
      <c r="B7" s="4555" t="s">
        <v>993</v>
      </c>
      <c r="C7" s="4558" t="s">
        <v>1533</v>
      </c>
      <c r="D7" s="4561" t="s">
        <v>1534</v>
      </c>
      <c r="E7" s="4564" t="s">
        <v>1535</v>
      </c>
      <c r="F7" s="4564" t="s">
        <v>1536</v>
      </c>
      <c r="G7" s="4558" t="s">
        <v>1537</v>
      </c>
      <c r="H7" s="4558" t="s">
        <v>1821</v>
      </c>
      <c r="I7" s="4567" t="s">
        <v>1538</v>
      </c>
      <c r="J7" s="585"/>
    </row>
    <row r="8" spans="2:12" x14ac:dyDescent="0.25">
      <c r="B8" s="4556"/>
      <c r="C8" s="4559"/>
      <c r="D8" s="4562"/>
      <c r="E8" s="4565"/>
      <c r="F8" s="4565"/>
      <c r="G8" s="4559"/>
      <c r="H8" s="4559"/>
      <c r="I8" s="4568"/>
      <c r="J8" s="585"/>
    </row>
    <row r="9" spans="2:12" x14ac:dyDescent="0.25">
      <c r="B9" s="4556"/>
      <c r="C9" s="4559"/>
      <c r="D9" s="4562"/>
      <c r="E9" s="4565"/>
      <c r="F9" s="4565"/>
      <c r="G9" s="4559"/>
      <c r="H9" s="4559"/>
      <c r="I9" s="4568"/>
      <c r="J9" s="585"/>
    </row>
    <row r="10" spans="2:12" ht="16.5" thickBot="1" x14ac:dyDescent="0.3">
      <c r="B10" s="4557"/>
      <c r="C10" s="4560"/>
      <c r="D10" s="4563"/>
      <c r="E10" s="4566"/>
      <c r="F10" s="4566"/>
      <c r="G10" s="4560"/>
      <c r="H10" s="4560"/>
      <c r="I10" s="4569"/>
      <c r="J10" s="585"/>
    </row>
    <row r="11" spans="2:12" ht="16.5" thickBot="1" x14ac:dyDescent="0.3">
      <c r="B11" s="805">
        <v>1</v>
      </c>
      <c r="C11" s="833">
        <v>2</v>
      </c>
      <c r="D11" s="833">
        <v>3</v>
      </c>
      <c r="E11" s="833">
        <v>4</v>
      </c>
      <c r="F11" s="833">
        <v>5</v>
      </c>
      <c r="G11" s="833">
        <v>6</v>
      </c>
      <c r="H11" s="833">
        <v>7</v>
      </c>
      <c r="I11" s="1394">
        <v>8</v>
      </c>
      <c r="J11" s="585"/>
    </row>
    <row r="12" spans="2:12" ht="22.5" x14ac:dyDescent="0.25">
      <c r="B12" s="804">
        <v>1</v>
      </c>
      <c r="C12" s="594">
        <v>1045</v>
      </c>
      <c r="D12" s="595" t="s">
        <v>1539</v>
      </c>
      <c r="E12" s="596" t="s">
        <v>1540</v>
      </c>
      <c r="F12" s="596">
        <v>2005</v>
      </c>
      <c r="G12" s="596" t="s">
        <v>988</v>
      </c>
      <c r="H12" s="806"/>
      <c r="I12" s="1395">
        <f>8500+2000+2500</f>
        <v>13000</v>
      </c>
      <c r="J12" s="585" t="s">
        <v>2494</v>
      </c>
      <c r="K12" s="1851" t="s">
        <v>2492</v>
      </c>
      <c r="L12" s="1864" t="s">
        <v>2493</v>
      </c>
    </row>
    <row r="13" spans="2:12" ht="22.5" x14ac:dyDescent="0.25">
      <c r="B13" s="797">
        <f>B12+1</f>
        <v>2</v>
      </c>
      <c r="C13" s="586">
        <v>3</v>
      </c>
      <c r="D13" s="587" t="s">
        <v>1541</v>
      </c>
      <c r="E13" s="588" t="s">
        <v>1542</v>
      </c>
      <c r="F13" s="588">
        <v>2004</v>
      </c>
      <c r="G13" s="588" t="s">
        <v>987</v>
      </c>
      <c r="H13" s="807"/>
      <c r="I13" s="1396">
        <f>1000+2500+3000+5000</f>
        <v>11500</v>
      </c>
      <c r="J13" s="585" t="s">
        <v>2495</v>
      </c>
    </row>
    <row r="14" spans="2:12" ht="22.5" x14ac:dyDescent="0.25">
      <c r="B14" s="797">
        <f t="shared" ref="B14:B38" si="0">B13+1</f>
        <v>3</v>
      </c>
      <c r="C14" s="586"/>
      <c r="D14" s="587" t="s">
        <v>2455</v>
      </c>
      <c r="E14" s="588"/>
      <c r="F14" s="588"/>
      <c r="G14" s="596" t="s">
        <v>988</v>
      </c>
      <c r="H14" s="807"/>
      <c r="I14" s="1396">
        <v>20000</v>
      </c>
      <c r="J14" s="585" t="s">
        <v>2496</v>
      </c>
    </row>
    <row r="15" spans="2:12" ht="22.5" x14ac:dyDescent="0.25">
      <c r="B15" s="797">
        <f t="shared" si="0"/>
        <v>4</v>
      </c>
      <c r="C15" s="586">
        <v>10358</v>
      </c>
      <c r="D15" s="587" t="s">
        <v>1543</v>
      </c>
      <c r="E15" s="588" t="s">
        <v>1544</v>
      </c>
      <c r="F15" s="588">
        <v>1994</v>
      </c>
      <c r="G15" s="588" t="s">
        <v>987</v>
      </c>
      <c r="H15" s="807"/>
      <c r="I15" s="1396">
        <f>2500+5000</f>
        <v>7500</v>
      </c>
      <c r="J15" s="585" t="s">
        <v>2497</v>
      </c>
    </row>
    <row r="16" spans="2:12" x14ac:dyDescent="0.25">
      <c r="B16" s="797">
        <f t="shared" si="0"/>
        <v>5</v>
      </c>
      <c r="C16" s="586">
        <v>1038</v>
      </c>
      <c r="D16" s="587" t="s">
        <v>1545</v>
      </c>
      <c r="E16" s="588" t="s">
        <v>1546</v>
      </c>
      <c r="F16" s="588">
        <v>1994</v>
      </c>
      <c r="G16" s="588" t="s">
        <v>983</v>
      </c>
      <c r="H16" s="807"/>
      <c r="I16" s="1396">
        <f>10000+4000</f>
        <v>14000</v>
      </c>
      <c r="J16" s="585" t="s">
        <v>2498</v>
      </c>
    </row>
    <row r="17" spans="2:11" x14ac:dyDescent="0.25">
      <c r="B17" s="797">
        <f t="shared" si="0"/>
        <v>6</v>
      </c>
      <c r="C17" s="586">
        <v>1042</v>
      </c>
      <c r="D17" s="587" t="s">
        <v>1547</v>
      </c>
      <c r="E17" s="588" t="s">
        <v>1548</v>
      </c>
      <c r="F17" s="588">
        <v>1996</v>
      </c>
      <c r="G17" s="588" t="s">
        <v>983</v>
      </c>
      <c r="H17" s="807"/>
      <c r="I17" s="1396"/>
      <c r="J17" s="585"/>
    </row>
    <row r="18" spans="2:11" x14ac:dyDescent="0.25">
      <c r="B18" s="797">
        <f t="shared" si="0"/>
        <v>7</v>
      </c>
      <c r="C18" s="586">
        <v>5</v>
      </c>
      <c r="D18" s="587" t="s">
        <v>1549</v>
      </c>
      <c r="E18" s="588" t="s">
        <v>1550</v>
      </c>
      <c r="F18" s="588">
        <v>2008</v>
      </c>
      <c r="G18" s="588" t="s">
        <v>983</v>
      </c>
      <c r="H18" s="807"/>
      <c r="I18" s="1396">
        <v>7000</v>
      </c>
      <c r="J18" s="585" t="s">
        <v>2496</v>
      </c>
    </row>
    <row r="19" spans="2:11" ht="25.5" x14ac:dyDescent="0.25">
      <c r="B19" s="797">
        <f t="shared" si="0"/>
        <v>8</v>
      </c>
      <c r="C19" s="586">
        <v>2197</v>
      </c>
      <c r="D19" s="587" t="s">
        <v>2501</v>
      </c>
      <c r="E19" s="588" t="s">
        <v>1551</v>
      </c>
      <c r="F19" s="588">
        <v>1991</v>
      </c>
      <c r="G19" s="588" t="s">
        <v>983</v>
      </c>
      <c r="H19" s="807"/>
      <c r="I19" s="1396"/>
      <c r="J19" s="585"/>
    </row>
    <row r="20" spans="2:11" ht="25.5" x14ac:dyDescent="0.25">
      <c r="B20" s="797">
        <f t="shared" si="0"/>
        <v>9</v>
      </c>
      <c r="C20" s="586">
        <v>3441</v>
      </c>
      <c r="D20" s="587" t="s">
        <v>1552</v>
      </c>
      <c r="E20" s="588" t="s">
        <v>1553</v>
      </c>
      <c r="F20" s="588">
        <v>2019</v>
      </c>
      <c r="G20" s="588" t="s">
        <v>983</v>
      </c>
      <c r="H20" s="807"/>
      <c r="I20" s="1396">
        <f>6201.59/1.2</f>
        <v>5167.99</v>
      </c>
      <c r="J20" s="585"/>
    </row>
    <row r="21" spans="2:11" x14ac:dyDescent="0.25">
      <c r="B21" s="797">
        <f t="shared" si="0"/>
        <v>10</v>
      </c>
      <c r="C21" s="586">
        <v>3005</v>
      </c>
      <c r="D21" s="587" t="s">
        <v>1554</v>
      </c>
      <c r="E21" s="588"/>
      <c r="F21" s="588">
        <v>2010</v>
      </c>
      <c r="G21" s="588" t="s">
        <v>983</v>
      </c>
      <c r="H21" s="807"/>
      <c r="I21" s="1396">
        <f>H21</f>
        <v>0</v>
      </c>
      <c r="J21" s="585"/>
    </row>
    <row r="22" spans="2:11" x14ac:dyDescent="0.25">
      <c r="B22" s="797">
        <f t="shared" si="0"/>
        <v>11</v>
      </c>
      <c r="C22" s="586" t="s">
        <v>1555</v>
      </c>
      <c r="D22" s="587" t="s">
        <v>1556</v>
      </c>
      <c r="E22" s="588"/>
      <c r="F22" s="588"/>
      <c r="G22" s="588" t="s">
        <v>983</v>
      </c>
      <c r="H22" s="807"/>
      <c r="I22" s="1396">
        <f>H22</f>
        <v>0</v>
      </c>
      <c r="J22" s="585"/>
    </row>
    <row r="23" spans="2:11" x14ac:dyDescent="0.25">
      <c r="B23" s="797">
        <f t="shared" si="0"/>
        <v>12</v>
      </c>
      <c r="C23" s="586">
        <v>2</v>
      </c>
      <c r="D23" s="587" t="s">
        <v>1557</v>
      </c>
      <c r="E23" s="588" t="s">
        <v>1558</v>
      </c>
      <c r="F23" s="588">
        <v>2004</v>
      </c>
      <c r="G23" s="588" t="s">
        <v>983</v>
      </c>
      <c r="H23" s="807"/>
      <c r="I23" s="807">
        <f>4963.15/1.2+7000</f>
        <v>11135.96</v>
      </c>
      <c r="J23" s="585" t="s">
        <v>2500</v>
      </c>
      <c r="K23" s="1851" t="s">
        <v>2456</v>
      </c>
    </row>
    <row r="24" spans="2:11" x14ac:dyDescent="0.25">
      <c r="B24" s="797">
        <f t="shared" si="0"/>
        <v>13</v>
      </c>
      <c r="C24" s="586">
        <v>1036</v>
      </c>
      <c r="D24" s="591" t="s">
        <v>1559</v>
      </c>
      <c r="E24" s="592">
        <v>641700</v>
      </c>
      <c r="F24" s="588">
        <v>1994</v>
      </c>
      <c r="G24" s="588" t="s">
        <v>983</v>
      </c>
      <c r="H24" s="807"/>
      <c r="I24" s="807">
        <f>8740+2000</f>
        <v>10740</v>
      </c>
      <c r="J24" s="585" t="s">
        <v>2499</v>
      </c>
      <c r="K24" s="1851" t="s">
        <v>2457</v>
      </c>
    </row>
    <row r="25" spans="2:11" x14ac:dyDescent="0.25">
      <c r="B25" s="797">
        <f t="shared" si="0"/>
        <v>14</v>
      </c>
      <c r="C25" s="586">
        <v>2959</v>
      </c>
      <c r="D25" s="591" t="s">
        <v>1560</v>
      </c>
      <c r="E25" s="592"/>
      <c r="F25" s="588">
        <v>1989</v>
      </c>
      <c r="G25" s="588" t="s">
        <v>983</v>
      </c>
      <c r="H25" s="807"/>
      <c r="I25" s="1396"/>
      <c r="J25" s="585"/>
    </row>
    <row r="26" spans="2:11" x14ac:dyDescent="0.25">
      <c r="B26" s="797">
        <f t="shared" si="0"/>
        <v>15</v>
      </c>
      <c r="C26" s="586">
        <v>1044</v>
      </c>
      <c r="D26" s="591" t="s">
        <v>1561</v>
      </c>
      <c r="E26" s="592"/>
      <c r="F26" s="588">
        <v>2003</v>
      </c>
      <c r="G26" s="588" t="s">
        <v>983</v>
      </c>
      <c r="H26" s="807"/>
      <c r="I26" s="1396"/>
      <c r="J26" s="585"/>
    </row>
    <row r="27" spans="2:11" ht="13.5" customHeight="1" x14ac:dyDescent="0.25">
      <c r="B27" s="797">
        <f t="shared" si="0"/>
        <v>16</v>
      </c>
      <c r="C27" s="586">
        <v>1043</v>
      </c>
      <c r="D27" s="587" t="s">
        <v>1562</v>
      </c>
      <c r="E27" s="588" t="s">
        <v>1563</v>
      </c>
      <c r="F27" s="588">
        <v>2002</v>
      </c>
      <c r="G27" s="588" t="s">
        <v>983</v>
      </c>
      <c r="H27" s="807"/>
      <c r="I27" s="1396">
        <v>20000</v>
      </c>
      <c r="J27" s="585" t="s">
        <v>2496</v>
      </c>
    </row>
    <row r="28" spans="2:11" ht="25.5" x14ac:dyDescent="0.25">
      <c r="B28" s="797">
        <f t="shared" si="0"/>
        <v>17</v>
      </c>
      <c r="C28" s="586">
        <v>1039</v>
      </c>
      <c r="D28" s="587" t="s">
        <v>1564</v>
      </c>
      <c r="E28" s="588"/>
      <c r="F28" s="588">
        <v>1989</v>
      </c>
      <c r="G28" s="588" t="s">
        <v>987</v>
      </c>
      <c r="H28" s="807"/>
      <c r="I28" s="1396">
        <v>30000</v>
      </c>
      <c r="J28" s="585" t="s">
        <v>2496</v>
      </c>
    </row>
    <row r="29" spans="2:11" ht="25.5" x14ac:dyDescent="0.25">
      <c r="B29" s="797">
        <f t="shared" si="0"/>
        <v>18</v>
      </c>
      <c r="C29" s="586">
        <v>4</v>
      </c>
      <c r="D29" s="587" t="s">
        <v>1565</v>
      </c>
      <c r="E29" s="588"/>
      <c r="F29" s="588">
        <v>2007</v>
      </c>
      <c r="G29" s="588" t="s">
        <v>983</v>
      </c>
      <c r="H29" s="807"/>
      <c r="I29" s="1396"/>
      <c r="J29" s="585"/>
    </row>
    <row r="30" spans="2:11" ht="25.5" x14ac:dyDescent="0.25">
      <c r="B30" s="797">
        <f t="shared" si="0"/>
        <v>19</v>
      </c>
      <c r="C30" s="586" t="s">
        <v>1566</v>
      </c>
      <c r="D30" s="587" t="s">
        <v>1567</v>
      </c>
      <c r="E30" s="588"/>
      <c r="F30" s="588">
        <v>2010</v>
      </c>
      <c r="G30" s="588" t="s">
        <v>983</v>
      </c>
      <c r="H30" s="807"/>
      <c r="I30" s="1396"/>
      <c r="J30" s="585"/>
    </row>
    <row r="31" spans="2:11" ht="25.5" x14ac:dyDescent="0.25">
      <c r="B31" s="797">
        <f t="shared" si="0"/>
        <v>20</v>
      </c>
      <c r="C31" s="586" t="s">
        <v>1568</v>
      </c>
      <c r="D31" s="587" t="s">
        <v>1569</v>
      </c>
      <c r="E31" s="588"/>
      <c r="F31" s="588"/>
      <c r="G31" s="834" t="s">
        <v>982</v>
      </c>
      <c r="H31" s="807"/>
      <c r="I31" s="1396"/>
      <c r="J31" s="585"/>
    </row>
    <row r="32" spans="2:11" x14ac:dyDescent="0.25">
      <c r="B32" s="797">
        <f t="shared" si="0"/>
        <v>21</v>
      </c>
      <c r="C32" s="586">
        <v>3123</v>
      </c>
      <c r="D32" s="587" t="s">
        <v>1570</v>
      </c>
      <c r="E32" s="588"/>
      <c r="F32" s="588">
        <v>2013</v>
      </c>
      <c r="G32" s="834" t="s">
        <v>982</v>
      </c>
      <c r="H32" s="807"/>
      <c r="I32" s="1396">
        <f>H32</f>
        <v>0</v>
      </c>
      <c r="J32" s="585"/>
    </row>
    <row r="33" spans="2:11" x14ac:dyDescent="0.25">
      <c r="B33" s="797">
        <f t="shared" si="0"/>
        <v>22</v>
      </c>
      <c r="C33" s="586">
        <v>1037</v>
      </c>
      <c r="D33" s="587" t="s">
        <v>1571</v>
      </c>
      <c r="E33" s="588"/>
      <c r="F33" s="588">
        <v>1994</v>
      </c>
      <c r="G33" s="588" t="s">
        <v>983</v>
      </c>
      <c r="H33" s="807"/>
      <c r="I33" s="1396"/>
      <c r="J33" s="585"/>
    </row>
    <row r="34" spans="2:11" x14ac:dyDescent="0.25">
      <c r="B34" s="797">
        <f t="shared" si="0"/>
        <v>23</v>
      </c>
      <c r="C34" s="586">
        <v>23</v>
      </c>
      <c r="D34" s="587" t="s">
        <v>1572</v>
      </c>
      <c r="E34" s="588"/>
      <c r="F34" s="588">
        <v>1997</v>
      </c>
      <c r="G34" s="588" t="s">
        <v>983</v>
      </c>
      <c r="H34" s="807"/>
      <c r="I34" s="1396"/>
      <c r="J34" s="585"/>
    </row>
    <row r="35" spans="2:11" x14ac:dyDescent="0.25">
      <c r="B35" s="797">
        <f t="shared" si="0"/>
        <v>24</v>
      </c>
      <c r="C35" s="594">
        <v>22215</v>
      </c>
      <c r="D35" s="595" t="s">
        <v>1572</v>
      </c>
      <c r="E35" s="596"/>
      <c r="F35" s="596">
        <v>1997</v>
      </c>
      <c r="G35" s="596" t="s">
        <v>983</v>
      </c>
      <c r="H35" s="807"/>
      <c r="I35" s="1396"/>
      <c r="J35" s="585"/>
    </row>
    <row r="36" spans="2:11" ht="25.5" x14ac:dyDescent="0.25">
      <c r="B36" s="797">
        <f t="shared" si="0"/>
        <v>25</v>
      </c>
      <c r="C36" s="586">
        <v>2065</v>
      </c>
      <c r="D36" s="587" t="s">
        <v>2490</v>
      </c>
      <c r="E36" s="588"/>
      <c r="F36" s="588">
        <v>1983</v>
      </c>
      <c r="G36" s="588" t="s">
        <v>983</v>
      </c>
      <c r="H36" s="807"/>
      <c r="I36" s="1396"/>
      <c r="J36" s="585"/>
    </row>
    <row r="37" spans="2:11" ht="25.5" x14ac:dyDescent="0.25">
      <c r="B37" s="797">
        <f t="shared" si="0"/>
        <v>26</v>
      </c>
      <c r="C37" s="586">
        <v>3127</v>
      </c>
      <c r="D37" s="587" t="s">
        <v>1574</v>
      </c>
      <c r="E37" s="588"/>
      <c r="F37" s="588">
        <v>2013</v>
      </c>
      <c r="G37" s="588" t="s">
        <v>983</v>
      </c>
      <c r="H37" s="807"/>
      <c r="I37" s="1396"/>
      <c r="J37" s="585"/>
    </row>
    <row r="38" spans="2:11" ht="16.5" thickBot="1" x14ac:dyDescent="0.3">
      <c r="B38" s="797">
        <f t="shared" si="0"/>
        <v>27</v>
      </c>
      <c r="C38" s="967">
        <v>3128</v>
      </c>
      <c r="D38" s="968" t="s">
        <v>1575</v>
      </c>
      <c r="E38" s="969"/>
      <c r="F38" s="969">
        <v>2013</v>
      </c>
      <c r="G38" s="1026" t="s">
        <v>983</v>
      </c>
      <c r="H38" s="1027"/>
      <c r="I38" s="1397"/>
      <c r="J38" s="585"/>
    </row>
    <row r="39" spans="2:11" ht="16.5" thickBot="1" x14ac:dyDescent="0.3">
      <c r="B39" s="1028"/>
      <c r="C39" s="977"/>
      <c r="D39" s="977" t="s">
        <v>495</v>
      </c>
      <c r="E39" s="978"/>
      <c r="F39" s="978"/>
      <c r="G39" s="1029"/>
      <c r="H39" s="1030"/>
      <c r="I39" s="1398">
        <f>SUM(I12:I38)</f>
        <v>150043.95000000001</v>
      </c>
      <c r="J39" s="585"/>
    </row>
    <row r="40" spans="2:11" x14ac:dyDescent="0.25">
      <c r="B40" s="970"/>
      <c r="C40" s="971"/>
      <c r="D40" s="971" t="s">
        <v>1822</v>
      </c>
      <c r="E40" s="972"/>
      <c r="F40" s="972"/>
      <c r="G40" s="972"/>
      <c r="H40" s="806"/>
      <c r="I40" s="1395">
        <f>I31+I32</f>
        <v>0</v>
      </c>
      <c r="J40" s="585"/>
    </row>
    <row r="41" spans="2:11" x14ac:dyDescent="0.25">
      <c r="B41" s="798"/>
      <c r="C41" s="590"/>
      <c r="D41" s="590" t="s">
        <v>1823</v>
      </c>
      <c r="E41" s="585"/>
      <c r="F41" s="585"/>
      <c r="G41" s="585"/>
      <c r="H41" s="807"/>
      <c r="I41" s="1396">
        <f>I16+I17+I18+I19+I20+I21+I22+I23+I24+I25+I26+I27+I29+I30+I33+I34+I35+I36+I37+I38</f>
        <v>68043.95</v>
      </c>
      <c r="J41" s="585"/>
    </row>
    <row r="42" spans="2:11" x14ac:dyDescent="0.25">
      <c r="B42" s="798"/>
      <c r="C42" s="590"/>
      <c r="D42" s="590" t="s">
        <v>1824</v>
      </c>
      <c r="E42" s="585"/>
      <c r="F42" s="585"/>
      <c r="G42" s="585"/>
      <c r="H42" s="807"/>
      <c r="I42" s="1396">
        <f>I13+I15+I28</f>
        <v>49000</v>
      </c>
      <c r="J42" s="585"/>
    </row>
    <row r="43" spans="2:11" ht="16.5" thickBot="1" x14ac:dyDescent="0.3">
      <c r="B43" s="799"/>
      <c r="C43" s="800"/>
      <c r="D43" s="800" t="s">
        <v>1825</v>
      </c>
      <c r="E43" s="801"/>
      <c r="F43" s="801"/>
      <c r="G43" s="801"/>
      <c r="H43" s="808"/>
      <c r="I43" s="1396">
        <f>I12+I14</f>
        <v>33000</v>
      </c>
      <c r="J43" s="585"/>
    </row>
    <row r="45" spans="2:11" s="598" customFormat="1" ht="13.15" customHeight="1" x14ac:dyDescent="0.2">
      <c r="C45" s="4553" t="s">
        <v>2454</v>
      </c>
      <c r="D45" s="4553"/>
      <c r="E45" s="4553"/>
      <c r="F45" s="4553"/>
      <c r="H45" s="598" t="s">
        <v>1577</v>
      </c>
      <c r="K45" s="1851"/>
    </row>
  </sheetData>
  <mergeCells count="11">
    <mergeCell ref="C45:F45"/>
    <mergeCell ref="B3:I3"/>
    <mergeCell ref="B7:B10"/>
    <mergeCell ref="C7:C10"/>
    <mergeCell ref="D7:D10"/>
    <mergeCell ref="E7:E10"/>
    <mergeCell ref="F7:F10"/>
    <mergeCell ref="G7:G10"/>
    <mergeCell ref="H7:H10"/>
    <mergeCell ref="I7:I10"/>
    <mergeCell ref="D4:F4"/>
  </mergeCells>
  <dataValidations count="1">
    <dataValidation type="list" allowBlank="1" showInputMessage="1" showErrorMessage="1" sqref="G12:G39" xr:uid="{00000000-0002-0000-4800-000000000000}">
      <formula1>$G$20:$G$26</formula1>
    </dataValidation>
  </dataValidations>
  <pageMargins left="0.53" right="0.15748031496062992" top="0.35433070866141736" bottom="0.35433070866141736" header="0.31496062992125984" footer="0.31496062992125984"/>
  <pageSetup paperSize="9" scale="97"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0.499984740745262"/>
  </sheetPr>
  <dimension ref="B1:M49"/>
  <sheetViews>
    <sheetView topLeftCell="A5" workbookViewId="0">
      <selection activeCell="I15" sqref="I15"/>
    </sheetView>
  </sheetViews>
  <sheetFormatPr defaultColWidth="8.85546875" defaultRowHeight="15.75" x14ac:dyDescent="0.25"/>
  <cols>
    <col min="1" max="1" width="3.85546875" style="584" customWidth="1"/>
    <col min="2" max="2" width="4.7109375" style="584" customWidth="1"/>
    <col min="3" max="3" width="8.140625" style="584" customWidth="1"/>
    <col min="4" max="4" width="22.42578125" style="584" customWidth="1"/>
    <col min="5" max="5" width="9.7109375" style="584" customWidth="1"/>
    <col min="6" max="6" width="9.28515625" style="584" customWidth="1"/>
    <col min="7" max="7" width="16.140625" style="584" customWidth="1"/>
    <col min="8" max="8" width="11.7109375" style="584" customWidth="1"/>
    <col min="9" max="16384" width="8.85546875" style="584"/>
  </cols>
  <sheetData>
    <row r="1" spans="2:13" x14ac:dyDescent="0.25">
      <c r="H1" s="584" t="s">
        <v>951</v>
      </c>
    </row>
    <row r="3" spans="2:13" x14ac:dyDescent="0.25">
      <c r="B3" s="4554" t="s">
        <v>1916</v>
      </c>
      <c r="C3" s="4554"/>
      <c r="D3" s="4554"/>
      <c r="E3" s="4554"/>
      <c r="F3" s="4554"/>
      <c r="G3" s="4554"/>
      <c r="H3" s="4554"/>
      <c r="I3" s="4554"/>
    </row>
    <row r="4" spans="2:13" x14ac:dyDescent="0.25">
      <c r="B4" s="631"/>
      <c r="C4" s="1023" t="str">
        <f>'Вхідні дані'!$F$5</f>
        <v>ЧФ ДП "АМПУ"</v>
      </c>
      <c r="D4" s="1023"/>
      <c r="E4" s="1023"/>
      <c r="F4" s="933"/>
      <c r="G4" s="836" t="s">
        <v>460</v>
      </c>
      <c r="H4" s="1024" t="str">
        <f>'Вхідні дані'!$F$6</f>
        <v>2022-2023</v>
      </c>
      <c r="I4" s="584" t="s">
        <v>647</v>
      </c>
      <c r="J4" s="932"/>
    </row>
    <row r="5" spans="2:13" ht="16.5" thickBot="1" x14ac:dyDescent="0.3"/>
    <row r="6" spans="2:13" x14ac:dyDescent="0.25">
      <c r="B6" s="4555" t="s">
        <v>993</v>
      </c>
      <c r="C6" s="4558" t="s">
        <v>1533</v>
      </c>
      <c r="D6" s="4561" t="s">
        <v>1534</v>
      </c>
      <c r="E6" s="4564" t="s">
        <v>1535</v>
      </c>
      <c r="F6" s="4564" t="s">
        <v>1536</v>
      </c>
      <c r="G6" s="4567" t="s">
        <v>1537</v>
      </c>
      <c r="H6" s="4571" t="s">
        <v>1578</v>
      </c>
      <c r="I6" s="4574" t="s">
        <v>1538</v>
      </c>
    </row>
    <row r="7" spans="2:13" x14ac:dyDescent="0.25">
      <c r="B7" s="4556"/>
      <c r="C7" s="4559"/>
      <c r="D7" s="4562"/>
      <c r="E7" s="4565"/>
      <c r="F7" s="4565"/>
      <c r="G7" s="4568"/>
      <c r="H7" s="4572"/>
      <c r="I7" s="4575"/>
    </row>
    <row r="8" spans="2:13" x14ac:dyDescent="0.25">
      <c r="B8" s="4556"/>
      <c r="C8" s="4559"/>
      <c r="D8" s="4562"/>
      <c r="E8" s="4565"/>
      <c r="F8" s="4565"/>
      <c r="G8" s="4568"/>
      <c r="H8" s="4572"/>
      <c r="I8" s="4575"/>
    </row>
    <row r="9" spans="2:13" ht="16.5" thickBot="1" x14ac:dyDescent="0.3">
      <c r="B9" s="4557"/>
      <c r="C9" s="4560"/>
      <c r="D9" s="4563"/>
      <c r="E9" s="4566"/>
      <c r="F9" s="4566"/>
      <c r="G9" s="4569"/>
      <c r="H9" s="4573"/>
      <c r="I9" s="4576"/>
    </row>
    <row r="10" spans="2:13" ht="16.5" thickBot="1" x14ac:dyDescent="0.3">
      <c r="B10" s="802">
        <v>1</v>
      </c>
      <c r="C10" s="803">
        <v>2</v>
      </c>
      <c r="D10" s="803">
        <v>3</v>
      </c>
      <c r="E10" s="803">
        <v>4</v>
      </c>
      <c r="F10" s="803">
        <v>5</v>
      </c>
      <c r="G10" s="803">
        <v>6</v>
      </c>
      <c r="H10" s="961">
        <v>7</v>
      </c>
      <c r="I10" s="964">
        <v>8</v>
      </c>
    </row>
    <row r="11" spans="2:13" ht="16.5" thickBot="1" x14ac:dyDescent="0.3">
      <c r="B11" s="975"/>
      <c r="C11" s="976"/>
      <c r="D11" s="977" t="s">
        <v>495</v>
      </c>
      <c r="E11" s="978"/>
      <c r="F11" s="978"/>
      <c r="G11" s="979"/>
      <c r="H11" s="980"/>
      <c r="I11" s="981">
        <f>SUM(I16:I42)</f>
        <v>11700</v>
      </c>
      <c r="J11" s="1855">
        <v>11700</v>
      </c>
      <c r="K11" s="1856" t="s">
        <v>2475</v>
      </c>
    </row>
    <row r="12" spans="2:13" x14ac:dyDescent="0.25">
      <c r="B12" s="970"/>
      <c r="C12" s="971"/>
      <c r="D12" s="971" t="s">
        <v>1822</v>
      </c>
      <c r="E12" s="972"/>
      <c r="F12" s="972"/>
      <c r="G12" s="972"/>
      <c r="H12" s="973"/>
      <c r="I12" s="974">
        <f>I35+I36</f>
        <v>0</v>
      </c>
    </row>
    <row r="13" spans="2:13" x14ac:dyDescent="0.25">
      <c r="B13" s="798"/>
      <c r="C13" s="590"/>
      <c r="D13" s="590" t="s">
        <v>1823</v>
      </c>
      <c r="E13" s="585"/>
      <c r="F13" s="585"/>
      <c r="G13" s="585"/>
      <c r="H13" s="962"/>
      <c r="I13" s="965">
        <f>I20+I21+I22+I31</f>
        <v>5200</v>
      </c>
    </row>
    <row r="14" spans="2:13" x14ac:dyDescent="0.25">
      <c r="B14" s="798"/>
      <c r="C14" s="590"/>
      <c r="D14" s="590" t="s">
        <v>1824</v>
      </c>
      <c r="E14" s="585"/>
      <c r="F14" s="585"/>
      <c r="G14" s="585"/>
      <c r="H14" s="962"/>
      <c r="I14" s="965">
        <f>I19</f>
        <v>1300</v>
      </c>
    </row>
    <row r="15" spans="2:13" ht="16.5" thickBot="1" x14ac:dyDescent="0.3">
      <c r="B15" s="799"/>
      <c r="C15" s="800"/>
      <c r="D15" s="800" t="s">
        <v>1825</v>
      </c>
      <c r="E15" s="801"/>
      <c r="F15" s="801"/>
      <c r="G15" s="801"/>
      <c r="H15" s="963"/>
      <c r="I15" s="966">
        <f>I17</f>
        <v>1300</v>
      </c>
    </row>
    <row r="16" spans="2:13" ht="22.5" x14ac:dyDescent="0.25">
      <c r="B16" s="797">
        <v>1</v>
      </c>
      <c r="C16" s="586">
        <v>1045</v>
      </c>
      <c r="D16" s="587" t="s">
        <v>1539</v>
      </c>
      <c r="E16" s="588" t="s">
        <v>1540</v>
      </c>
      <c r="F16" s="588">
        <v>2005</v>
      </c>
      <c r="G16" s="589" t="s">
        <v>988</v>
      </c>
      <c r="H16" s="1415"/>
      <c r="I16" s="965"/>
      <c r="J16" s="599" t="s">
        <v>1579</v>
      </c>
      <c r="K16" s="599"/>
      <c r="L16" s="599" t="s">
        <v>1580</v>
      </c>
      <c r="M16" s="599"/>
    </row>
    <row r="17" spans="2:13" ht="22.5" x14ac:dyDescent="0.25">
      <c r="B17" s="797">
        <f>B16+1</f>
        <v>2</v>
      </c>
      <c r="C17" s="586"/>
      <c r="D17" s="587" t="s">
        <v>2491</v>
      </c>
      <c r="E17" s="588"/>
      <c r="F17" s="588"/>
      <c r="G17" s="589" t="s">
        <v>988</v>
      </c>
      <c r="H17" s="1415">
        <v>2021</v>
      </c>
      <c r="I17" s="965">
        <v>1300</v>
      </c>
      <c r="J17" s="599"/>
      <c r="K17" s="599"/>
      <c r="L17" s="599"/>
      <c r="M17" s="599"/>
    </row>
    <row r="18" spans="2:13" ht="22.5" x14ac:dyDescent="0.25">
      <c r="B18" s="797">
        <f t="shared" ref="B18:B42" si="0">B17+1</f>
        <v>3</v>
      </c>
      <c r="C18" s="586">
        <v>3</v>
      </c>
      <c r="D18" s="587" t="s">
        <v>1541</v>
      </c>
      <c r="E18" s="588" t="s">
        <v>1542</v>
      </c>
      <c r="F18" s="588">
        <v>2004</v>
      </c>
      <c r="G18" s="589" t="s">
        <v>987</v>
      </c>
      <c r="H18" s="1415"/>
      <c r="I18" s="965"/>
    </row>
    <row r="19" spans="2:13" ht="22.5" x14ac:dyDescent="0.25">
      <c r="B19" s="797">
        <f t="shared" si="0"/>
        <v>4</v>
      </c>
      <c r="C19" s="586">
        <v>10358</v>
      </c>
      <c r="D19" s="587" t="s">
        <v>1543</v>
      </c>
      <c r="E19" s="588" t="s">
        <v>1544</v>
      </c>
      <c r="F19" s="588">
        <v>1994</v>
      </c>
      <c r="G19" s="589" t="s">
        <v>987</v>
      </c>
      <c r="H19" s="1415">
        <v>2021</v>
      </c>
      <c r="I19" s="965">
        <v>1300</v>
      </c>
    </row>
    <row r="20" spans="2:13" x14ac:dyDescent="0.25">
      <c r="B20" s="797">
        <f t="shared" si="0"/>
        <v>5</v>
      </c>
      <c r="C20" s="586">
        <v>1038</v>
      </c>
      <c r="D20" s="587" t="s">
        <v>1545</v>
      </c>
      <c r="E20" s="588" t="s">
        <v>1546</v>
      </c>
      <c r="F20" s="588">
        <v>1994</v>
      </c>
      <c r="G20" s="589" t="s">
        <v>983</v>
      </c>
      <c r="H20" s="1415">
        <v>2021</v>
      </c>
      <c r="I20" s="965">
        <v>1300</v>
      </c>
    </row>
    <row r="21" spans="2:13" x14ac:dyDescent="0.25">
      <c r="B21" s="797">
        <f t="shared" si="0"/>
        <v>6</v>
      </c>
      <c r="C21" s="586">
        <v>1042</v>
      </c>
      <c r="D21" s="587" t="s">
        <v>1547</v>
      </c>
      <c r="E21" s="588" t="s">
        <v>1548</v>
      </c>
      <c r="F21" s="588">
        <v>1996</v>
      </c>
      <c r="G21" s="589" t="s">
        <v>983</v>
      </c>
      <c r="H21" s="1415">
        <v>2021</v>
      </c>
      <c r="I21" s="965">
        <v>1300</v>
      </c>
    </row>
    <row r="22" spans="2:13" x14ac:dyDescent="0.25">
      <c r="B22" s="797">
        <f t="shared" si="0"/>
        <v>7</v>
      </c>
      <c r="C22" s="586">
        <v>5</v>
      </c>
      <c r="D22" s="587" t="s">
        <v>1549</v>
      </c>
      <c r="E22" s="588" t="s">
        <v>1550</v>
      </c>
      <c r="F22" s="588">
        <v>2008</v>
      </c>
      <c r="G22" s="589" t="s">
        <v>983</v>
      </c>
      <c r="H22" s="1415">
        <v>2021</v>
      </c>
      <c r="I22" s="965">
        <v>1300</v>
      </c>
    </row>
    <row r="23" spans="2:13" ht="25.5" x14ac:dyDescent="0.25">
      <c r="B23" s="797">
        <f t="shared" si="0"/>
        <v>8</v>
      </c>
      <c r="C23" s="586">
        <v>2197</v>
      </c>
      <c r="D23" s="587" t="s">
        <v>2501</v>
      </c>
      <c r="E23" s="588" t="s">
        <v>1551</v>
      </c>
      <c r="F23" s="588">
        <v>1991</v>
      </c>
      <c r="G23" s="589" t="s">
        <v>983</v>
      </c>
      <c r="H23" s="1415">
        <v>2021</v>
      </c>
      <c r="I23" s="965">
        <v>1300</v>
      </c>
    </row>
    <row r="24" spans="2:13" ht="25.5" x14ac:dyDescent="0.25">
      <c r="B24" s="797">
        <f t="shared" si="0"/>
        <v>9</v>
      </c>
      <c r="C24" s="586">
        <v>3441</v>
      </c>
      <c r="D24" s="587" t="s">
        <v>1552</v>
      </c>
      <c r="E24" s="588" t="s">
        <v>1553</v>
      </c>
      <c r="F24" s="588">
        <v>2019</v>
      </c>
      <c r="G24" s="589" t="s">
        <v>983</v>
      </c>
      <c r="H24" s="1415"/>
      <c r="I24" s="965"/>
    </row>
    <row r="25" spans="2:13" x14ac:dyDescent="0.25">
      <c r="B25" s="797">
        <f t="shared" si="0"/>
        <v>10</v>
      </c>
      <c r="C25" s="586">
        <v>3005</v>
      </c>
      <c r="D25" s="587" t="s">
        <v>1554</v>
      </c>
      <c r="E25" s="588"/>
      <c r="F25" s="588">
        <v>2010</v>
      </c>
      <c r="G25" s="589" t="s">
        <v>983</v>
      </c>
      <c r="H25" s="1415"/>
      <c r="I25" s="965"/>
    </row>
    <row r="26" spans="2:13" x14ac:dyDescent="0.25">
      <c r="B26" s="797">
        <f t="shared" si="0"/>
        <v>11</v>
      </c>
      <c r="C26" s="586" t="s">
        <v>1555</v>
      </c>
      <c r="D26" s="587" t="s">
        <v>1556</v>
      </c>
      <c r="E26" s="588"/>
      <c r="F26" s="588"/>
      <c r="G26" s="589" t="s">
        <v>983</v>
      </c>
      <c r="H26" s="1415"/>
      <c r="I26" s="965"/>
    </row>
    <row r="27" spans="2:13" ht="13.15" customHeight="1" x14ac:dyDescent="0.25">
      <c r="B27" s="797">
        <f t="shared" si="0"/>
        <v>12</v>
      </c>
      <c r="C27" s="586">
        <v>2</v>
      </c>
      <c r="D27" s="587" t="s">
        <v>1557</v>
      </c>
      <c r="E27" s="588" t="s">
        <v>1558</v>
      </c>
      <c r="F27" s="588">
        <v>2004</v>
      </c>
      <c r="G27" s="589" t="s">
        <v>983</v>
      </c>
      <c r="H27" s="1415">
        <v>2021</v>
      </c>
      <c r="I27" s="965">
        <v>1300</v>
      </c>
      <c r="J27" s="584" t="s">
        <v>1581</v>
      </c>
    </row>
    <row r="28" spans="2:13" x14ac:dyDescent="0.25">
      <c r="B28" s="797">
        <f t="shared" si="0"/>
        <v>13</v>
      </c>
      <c r="C28" s="586">
        <v>1036</v>
      </c>
      <c r="D28" s="591" t="s">
        <v>1559</v>
      </c>
      <c r="E28" s="592">
        <v>641700</v>
      </c>
      <c r="F28" s="588">
        <v>1994</v>
      </c>
      <c r="G28" s="589" t="s">
        <v>983</v>
      </c>
      <c r="H28" s="1415">
        <v>2021</v>
      </c>
      <c r="I28" s="965">
        <v>1300</v>
      </c>
    </row>
    <row r="29" spans="2:13" ht="14.45" customHeight="1" x14ac:dyDescent="0.25">
      <c r="B29" s="797">
        <f t="shared" si="0"/>
        <v>14</v>
      </c>
      <c r="C29" s="586">
        <v>2959</v>
      </c>
      <c r="D29" s="591" t="s">
        <v>1560</v>
      </c>
      <c r="E29" s="592"/>
      <c r="F29" s="588">
        <v>1989</v>
      </c>
      <c r="G29" s="589" t="s">
        <v>983</v>
      </c>
      <c r="H29" s="1415"/>
      <c r="I29" s="965"/>
    </row>
    <row r="30" spans="2:13" ht="12.6" customHeight="1" x14ac:dyDescent="0.25">
      <c r="B30" s="797">
        <f t="shared" si="0"/>
        <v>15</v>
      </c>
      <c r="C30" s="586">
        <v>1044</v>
      </c>
      <c r="D30" s="591" t="s">
        <v>1561</v>
      </c>
      <c r="E30" s="592"/>
      <c r="F30" s="588">
        <v>2003</v>
      </c>
      <c r="G30" s="589" t="s">
        <v>983</v>
      </c>
      <c r="H30" s="1415"/>
      <c r="I30" s="965"/>
    </row>
    <row r="31" spans="2:13" ht="25.5" x14ac:dyDescent="0.25">
      <c r="B31" s="797">
        <f t="shared" si="0"/>
        <v>16</v>
      </c>
      <c r="C31" s="586">
        <v>1043</v>
      </c>
      <c r="D31" s="587" t="s">
        <v>1562</v>
      </c>
      <c r="E31" s="588" t="s">
        <v>1563</v>
      </c>
      <c r="F31" s="588">
        <v>2002</v>
      </c>
      <c r="G31" s="589" t="s">
        <v>983</v>
      </c>
      <c r="H31" s="1415">
        <v>2021</v>
      </c>
      <c r="I31" s="965">
        <v>1300</v>
      </c>
    </row>
    <row r="32" spans="2:13" ht="25.5" x14ac:dyDescent="0.25">
      <c r="B32" s="797">
        <f t="shared" si="0"/>
        <v>17</v>
      </c>
      <c r="C32" s="586">
        <v>1039</v>
      </c>
      <c r="D32" s="587" t="s">
        <v>1564</v>
      </c>
      <c r="E32" s="588"/>
      <c r="F32" s="588">
        <v>1989</v>
      </c>
      <c r="G32" s="589" t="s">
        <v>987</v>
      </c>
      <c r="H32" s="1416"/>
      <c r="I32" s="965"/>
    </row>
    <row r="33" spans="2:9" ht="25.5" x14ac:dyDescent="0.25">
      <c r="B33" s="797">
        <f t="shared" si="0"/>
        <v>18</v>
      </c>
      <c r="C33" s="586">
        <v>4</v>
      </c>
      <c r="D33" s="587" t="s">
        <v>1565</v>
      </c>
      <c r="E33" s="588"/>
      <c r="F33" s="588">
        <v>2007</v>
      </c>
      <c r="G33" s="589" t="s">
        <v>983</v>
      </c>
      <c r="H33" s="1416"/>
      <c r="I33" s="965"/>
    </row>
    <row r="34" spans="2:9" ht="25.5" x14ac:dyDescent="0.25">
      <c r="B34" s="797">
        <f t="shared" si="0"/>
        <v>19</v>
      </c>
      <c r="C34" s="586" t="s">
        <v>1566</v>
      </c>
      <c r="D34" s="587" t="s">
        <v>1567</v>
      </c>
      <c r="E34" s="588"/>
      <c r="F34" s="588">
        <v>2010</v>
      </c>
      <c r="G34" s="589" t="s">
        <v>983</v>
      </c>
      <c r="H34" s="1416"/>
      <c r="I34" s="965"/>
    </row>
    <row r="35" spans="2:9" ht="25.5" x14ac:dyDescent="0.25">
      <c r="B35" s="797">
        <f t="shared" si="0"/>
        <v>20</v>
      </c>
      <c r="C35" s="586" t="s">
        <v>1568</v>
      </c>
      <c r="D35" s="587" t="s">
        <v>1569</v>
      </c>
      <c r="E35" s="588"/>
      <c r="F35" s="588"/>
      <c r="G35" s="593" t="s">
        <v>982</v>
      </c>
      <c r="H35" s="1416"/>
      <c r="I35" s="965"/>
    </row>
    <row r="36" spans="2:9" x14ac:dyDescent="0.25">
      <c r="B36" s="797">
        <f t="shared" si="0"/>
        <v>21</v>
      </c>
      <c r="C36" s="586">
        <v>3123</v>
      </c>
      <c r="D36" s="587" t="s">
        <v>1570</v>
      </c>
      <c r="E36" s="588"/>
      <c r="F36" s="588">
        <v>2013</v>
      </c>
      <c r="G36" s="593" t="s">
        <v>982</v>
      </c>
      <c r="H36" s="962"/>
      <c r="I36" s="965"/>
    </row>
    <row r="37" spans="2:9" x14ac:dyDescent="0.25">
      <c r="B37" s="797">
        <f t="shared" si="0"/>
        <v>22</v>
      </c>
      <c r="C37" s="586">
        <v>1037</v>
      </c>
      <c r="D37" s="587" t="s">
        <v>1571</v>
      </c>
      <c r="E37" s="588"/>
      <c r="F37" s="588">
        <v>1994</v>
      </c>
      <c r="G37" s="589" t="s">
        <v>983</v>
      </c>
      <c r="H37" s="962"/>
      <c r="I37" s="965"/>
    </row>
    <row r="38" spans="2:9" x14ac:dyDescent="0.25">
      <c r="B38" s="797">
        <f t="shared" si="0"/>
        <v>23</v>
      </c>
      <c r="C38" s="586">
        <v>23</v>
      </c>
      <c r="D38" s="587" t="s">
        <v>1572</v>
      </c>
      <c r="E38" s="588"/>
      <c r="F38" s="588">
        <v>1997</v>
      </c>
      <c r="G38" s="589" t="s">
        <v>983</v>
      </c>
      <c r="H38" s="962"/>
      <c r="I38" s="965"/>
    </row>
    <row r="39" spans="2:9" x14ac:dyDescent="0.25">
      <c r="B39" s="797">
        <f t="shared" si="0"/>
        <v>24</v>
      </c>
      <c r="C39" s="594">
        <v>22215</v>
      </c>
      <c r="D39" s="595" t="s">
        <v>1572</v>
      </c>
      <c r="E39" s="596"/>
      <c r="F39" s="596">
        <v>1997</v>
      </c>
      <c r="G39" s="597" t="s">
        <v>983</v>
      </c>
      <c r="H39" s="962"/>
      <c r="I39" s="965"/>
    </row>
    <row r="40" spans="2:9" ht="25.5" x14ac:dyDescent="0.25">
      <c r="B40" s="797">
        <f t="shared" si="0"/>
        <v>25</v>
      </c>
      <c r="C40" s="586">
        <v>2065</v>
      </c>
      <c r="D40" s="587" t="s">
        <v>1573</v>
      </c>
      <c r="E40" s="588"/>
      <c r="F40" s="588">
        <v>1983</v>
      </c>
      <c r="G40" s="589" t="s">
        <v>983</v>
      </c>
      <c r="H40" s="962"/>
      <c r="I40" s="965"/>
    </row>
    <row r="41" spans="2:9" ht="25.5" x14ac:dyDescent="0.25">
      <c r="B41" s="797">
        <f t="shared" si="0"/>
        <v>26</v>
      </c>
      <c r="C41" s="586">
        <v>3127</v>
      </c>
      <c r="D41" s="587" t="s">
        <v>1574</v>
      </c>
      <c r="E41" s="588"/>
      <c r="F41" s="588">
        <v>2013</v>
      </c>
      <c r="G41" s="589" t="s">
        <v>983</v>
      </c>
      <c r="H41" s="962"/>
      <c r="I41" s="965"/>
    </row>
    <row r="42" spans="2:9" ht="16.5" thickBot="1" x14ac:dyDescent="0.3">
      <c r="B42" s="797">
        <f t="shared" si="0"/>
        <v>27</v>
      </c>
      <c r="C42" s="1860">
        <v>3128</v>
      </c>
      <c r="D42" s="1861" t="s">
        <v>1575</v>
      </c>
      <c r="E42" s="1862"/>
      <c r="F42" s="1862">
        <v>2013</v>
      </c>
      <c r="G42" s="1863" t="s">
        <v>983</v>
      </c>
      <c r="H42" s="963"/>
      <c r="I42" s="966"/>
    </row>
    <row r="43" spans="2:9" hidden="1" x14ac:dyDescent="0.25"/>
    <row r="44" spans="2:9" hidden="1" x14ac:dyDescent="0.25"/>
    <row r="45" spans="2:9" hidden="1" x14ac:dyDescent="0.25"/>
    <row r="46" spans="2:9" hidden="1" x14ac:dyDescent="0.25"/>
    <row r="47" spans="2:9" hidden="1" x14ac:dyDescent="0.25"/>
    <row r="49" spans="3:8" s="598" customFormat="1" ht="12.75" x14ac:dyDescent="0.2">
      <c r="C49" s="4553" t="s">
        <v>1576</v>
      </c>
      <c r="D49" s="4553"/>
      <c r="E49" s="4553"/>
      <c r="F49" s="4553"/>
      <c r="G49" s="4553"/>
      <c r="H49" s="598" t="s">
        <v>1577</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xr:uid="{00000000-0002-0000-4900-000000000000}">
      <formula1>$G$24:$G$30</formula1>
    </dataValidation>
  </dataValidations>
  <pageMargins left="0.7" right="0.23" top="0.39" bottom="0.28999999999999998"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C20C5"/>
    <pageSetUpPr fitToPage="1"/>
  </sheetPr>
  <dimension ref="A1:L51"/>
  <sheetViews>
    <sheetView zoomScaleNormal="100" workbookViewId="0">
      <selection activeCell="B21" sqref="B21"/>
    </sheetView>
  </sheetViews>
  <sheetFormatPr defaultColWidth="9.140625" defaultRowHeight="15" x14ac:dyDescent="0.25"/>
  <cols>
    <col min="1" max="1" width="7.85546875" style="1791" customWidth="1"/>
    <col min="2" max="2" width="56.42578125" style="18" customWidth="1"/>
    <col min="3" max="3" width="14.7109375" style="18" customWidth="1"/>
    <col min="4" max="4" width="13.42578125" style="1791" customWidth="1"/>
    <col min="5" max="5" width="11.42578125" style="18" customWidth="1"/>
    <col min="6" max="7" width="14.42578125" style="18" customWidth="1"/>
    <col min="8" max="8" width="7.7109375" style="18" customWidth="1"/>
    <col min="9" max="16384" width="9.140625" style="18"/>
  </cols>
  <sheetData>
    <row r="1" spans="1:12" ht="75.75" customHeight="1" x14ac:dyDescent="0.25">
      <c r="A1" s="3553"/>
      <c r="D1" s="4577" t="s">
        <v>3517</v>
      </c>
      <c r="E1" s="4577"/>
      <c r="F1" s="4577"/>
      <c r="G1" s="4577"/>
    </row>
    <row r="2" spans="1:12" ht="20.25" customHeight="1" x14ac:dyDescent="0.25">
      <c r="A2" s="3553"/>
      <c r="F2" s="3542"/>
      <c r="G2" s="3542"/>
    </row>
    <row r="3" spans="1:12" ht="47.25" customHeight="1" x14ac:dyDescent="0.25">
      <c r="A3" s="4021" t="s">
        <v>3508</v>
      </c>
      <c r="B3" s="4021"/>
      <c r="C3" s="4021"/>
      <c r="D3" s="4021"/>
      <c r="E3" s="4021"/>
      <c r="F3" s="4021"/>
      <c r="G3" s="4021"/>
    </row>
    <row r="4" spans="1:12" ht="15.75" thickBot="1" x14ac:dyDescent="0.3">
      <c r="G4" s="18" t="s">
        <v>1649</v>
      </c>
    </row>
    <row r="5" spans="1:12" ht="30" customHeight="1" thickBot="1" x14ac:dyDescent="0.3">
      <c r="A5" s="4022" t="s">
        <v>7</v>
      </c>
      <c r="B5" s="4022" t="s">
        <v>619</v>
      </c>
      <c r="C5" s="4022" t="s">
        <v>2766</v>
      </c>
      <c r="D5" s="4025" t="s">
        <v>2767</v>
      </c>
      <c r="E5" s="4026"/>
      <c r="F5" s="4026"/>
      <c r="G5" s="4027"/>
      <c r="H5" s="108"/>
      <c r="I5" s="108"/>
    </row>
    <row r="6" spans="1:12" ht="75" customHeight="1" thickBot="1" x14ac:dyDescent="0.3">
      <c r="A6" s="4023"/>
      <c r="B6" s="4024"/>
      <c r="C6" s="4024"/>
      <c r="D6" s="2176" t="s">
        <v>2768</v>
      </c>
      <c r="E6" s="2176" t="s">
        <v>2769</v>
      </c>
      <c r="F6" s="2176" t="s">
        <v>2770</v>
      </c>
      <c r="G6" s="2176" t="s">
        <v>2771</v>
      </c>
      <c r="H6" s="108"/>
      <c r="I6" s="108"/>
    </row>
    <row r="7" spans="1:12" ht="15.75" thickBot="1" x14ac:dyDescent="0.3">
      <c r="A7" s="2177">
        <v>1</v>
      </c>
      <c r="B7" s="2178">
        <v>2</v>
      </c>
      <c r="C7" s="2163">
        <v>3</v>
      </c>
      <c r="D7" s="2177">
        <v>4</v>
      </c>
      <c r="E7" s="2163">
        <v>5</v>
      </c>
      <c r="F7" s="2178">
        <v>6</v>
      </c>
      <c r="G7" s="2164">
        <v>7</v>
      </c>
    </row>
    <row r="8" spans="1:12" ht="15.75" thickBot="1" x14ac:dyDescent="0.3">
      <c r="A8" s="2205" t="s">
        <v>3060</v>
      </c>
      <c r="B8" s="4028" t="s">
        <v>2772</v>
      </c>
      <c r="C8" s="4029"/>
      <c r="D8" s="4029"/>
      <c r="E8" s="4029"/>
      <c r="F8" s="4029"/>
      <c r="G8" s="4030"/>
    </row>
    <row r="9" spans="1:12" ht="16.899999999999999" customHeight="1" x14ac:dyDescent="0.25">
      <c r="A9" s="2180" t="s">
        <v>2773</v>
      </c>
      <c r="B9" s="2181" t="s">
        <v>2774</v>
      </c>
      <c r="C9" s="2180" t="s">
        <v>233</v>
      </c>
      <c r="D9" s="2180">
        <f>SUM(D10:D12)</f>
        <v>0</v>
      </c>
      <c r="E9" s="2182">
        <f t="shared" ref="E9:G9" si="0">SUM(E10:E12)</f>
        <v>0</v>
      </c>
      <c r="F9" s="2180">
        <f t="shared" si="0"/>
        <v>0</v>
      </c>
      <c r="G9" s="2183">
        <f t="shared" si="0"/>
        <v>9940.18</v>
      </c>
      <c r="H9" s="863"/>
      <c r="I9" s="863"/>
      <c r="J9" s="863"/>
      <c r="K9" s="863"/>
      <c r="L9" s="863"/>
    </row>
    <row r="10" spans="1:12" ht="27.75" customHeight="1" x14ac:dyDescent="0.25">
      <c r="A10" s="2184" t="s">
        <v>1672</v>
      </c>
      <c r="B10" s="2185" t="s">
        <v>2775</v>
      </c>
      <c r="C10" s="2184" t="s">
        <v>233</v>
      </c>
      <c r="D10" s="2184">
        <f>'Додаток 3 до рішення'!D8</f>
        <v>0</v>
      </c>
      <c r="E10" s="2184">
        <f>IF(E11=0,0,'Додаток 3 до рішення'!E8)</f>
        <v>0</v>
      </c>
      <c r="F10" s="2184">
        <f>'Додаток 3 до рішення'!F8</f>
        <v>0</v>
      </c>
      <c r="G10" s="2184">
        <f>'Додаток 3 до рішення'!G8</f>
        <v>7163.27</v>
      </c>
      <c r="H10" s="863"/>
      <c r="I10" s="863"/>
      <c r="J10" s="863"/>
      <c r="K10" s="863"/>
      <c r="L10" s="863"/>
    </row>
    <row r="11" spans="1:12" ht="42" customHeight="1" x14ac:dyDescent="0.25">
      <c r="A11" s="2184" t="s">
        <v>1674</v>
      </c>
      <c r="B11" s="2186" t="s">
        <v>2776</v>
      </c>
      <c r="C11" s="2184" t="s">
        <v>233</v>
      </c>
      <c r="D11" s="2184">
        <f>'Додаток 4 до рішення'!D8</f>
        <v>0</v>
      </c>
      <c r="E11" s="2184">
        <f>'Додаток 4 до рішення'!E8</f>
        <v>0</v>
      </c>
      <c r="F11" s="2184">
        <f>'Додаток 4 до рішення'!F8</f>
        <v>0</v>
      </c>
      <c r="G11" s="2184">
        <f>'Додаток 4 до рішення'!G8</f>
        <v>2667.5</v>
      </c>
      <c r="H11" s="863"/>
      <c r="I11" s="863"/>
      <c r="J11" s="863"/>
      <c r="K11" s="863"/>
      <c r="L11" s="863"/>
    </row>
    <row r="12" spans="1:12" ht="16.899999999999999" customHeight="1" thickBot="1" x14ac:dyDescent="0.3">
      <c r="A12" s="2187" t="s">
        <v>1677</v>
      </c>
      <c r="B12" s="2188" t="s">
        <v>2777</v>
      </c>
      <c r="C12" s="2187" t="s">
        <v>233</v>
      </c>
      <c r="D12" s="2187">
        <f>'Додаток 6 до рішення'!D8</f>
        <v>0</v>
      </c>
      <c r="E12" s="2187">
        <f>IF(E11=0,0,'Додаток 6 до рішення'!E8)</f>
        <v>0</v>
      </c>
      <c r="F12" s="2187">
        <f>'Додаток 6 до рішення'!F8</f>
        <v>0</v>
      </c>
      <c r="G12" s="2187">
        <f>'Додаток 6 до рішення'!G8</f>
        <v>109.41</v>
      </c>
      <c r="H12" s="863"/>
      <c r="I12" s="863"/>
      <c r="J12" s="863"/>
      <c r="K12" s="863"/>
      <c r="L12" s="863"/>
    </row>
    <row r="13" spans="1:12" ht="18.75" customHeight="1" thickBot="1" x14ac:dyDescent="0.3">
      <c r="A13" s="2189" t="s">
        <v>2778</v>
      </c>
      <c r="B13" s="4028" t="s">
        <v>3062</v>
      </c>
      <c r="C13" s="4031"/>
      <c r="D13" s="4031"/>
      <c r="E13" s="4031"/>
      <c r="F13" s="4031"/>
      <c r="G13" s="4032"/>
      <c r="H13" s="2145"/>
    </row>
    <row r="14" spans="1:12" s="23" customFormat="1" ht="14.25" x14ac:dyDescent="0.2">
      <c r="A14" s="2190" t="s">
        <v>1670</v>
      </c>
      <c r="B14" s="2191" t="s">
        <v>2780</v>
      </c>
      <c r="C14" s="2184">
        <f>C15+C20+C21+C25</f>
        <v>10985.54</v>
      </c>
      <c r="D14" s="2184">
        <f t="shared" ref="D14:G14" si="1">D15+D20+D21+D25</f>
        <v>0</v>
      </c>
      <c r="E14" s="2184">
        <f t="shared" si="1"/>
        <v>0</v>
      </c>
      <c r="F14" s="2184">
        <f t="shared" si="1"/>
        <v>0</v>
      </c>
      <c r="G14" s="2184">
        <f t="shared" si="1"/>
        <v>8075.46</v>
      </c>
      <c r="H14" s="2145"/>
    </row>
    <row r="15" spans="1:12" x14ac:dyDescent="0.25">
      <c r="A15" s="2192" t="s">
        <v>1672</v>
      </c>
      <c r="B15" s="90" t="s">
        <v>2781</v>
      </c>
      <c r="C15" s="2193">
        <f>SUM(C16:C19)</f>
        <v>7614.83</v>
      </c>
      <c r="D15" s="2193">
        <f t="shared" ref="D15:G15" si="2">SUM(D16:D19)</f>
        <v>0</v>
      </c>
      <c r="E15" s="2193">
        <f t="shared" si="2"/>
        <v>0</v>
      </c>
      <c r="F15" s="2193">
        <f t="shared" si="2"/>
        <v>0</v>
      </c>
      <c r="G15" s="2193">
        <f t="shared" si="2"/>
        <v>5502.29</v>
      </c>
      <c r="H15" s="2145"/>
      <c r="I15" s="863"/>
    </row>
    <row r="16" spans="1:12" x14ac:dyDescent="0.25">
      <c r="A16" s="2192" t="s">
        <v>2782</v>
      </c>
      <c r="B16" s="90" t="s">
        <v>2783</v>
      </c>
      <c r="C16" s="2193">
        <f>'Додаток 3 до рішення'!I12</f>
        <v>7143.47</v>
      </c>
      <c r="D16" s="2193">
        <f>'Додаток 3 до рішення'!D12</f>
        <v>0</v>
      </c>
      <c r="E16" s="2193">
        <f>IF(E11=0,0,'Додаток 3 до рішення'!E12)</f>
        <v>0</v>
      </c>
      <c r="F16" s="2193">
        <f>'Додаток 3 до рішення'!F12</f>
        <v>0</v>
      </c>
      <c r="G16" s="2193">
        <f>'Додаток 3 до рішення'!G12</f>
        <v>5120.62</v>
      </c>
      <c r="H16" s="2145"/>
    </row>
    <row r="17" spans="1:8" x14ac:dyDescent="0.25">
      <c r="A17" s="2192" t="s">
        <v>2784</v>
      </c>
      <c r="B17" s="90" t="s">
        <v>2785</v>
      </c>
      <c r="C17" s="2193">
        <f>'Додаток 3 до рішення'!I13+'Додаток 4 до рішення'!C12</f>
        <v>351</v>
      </c>
      <c r="D17" s="2193">
        <f>'Додаток 3 до рішення'!D13+'Додаток 4 до рішення'!D12</f>
        <v>0</v>
      </c>
      <c r="E17" s="2193">
        <f>IF(E11=0,0,'Додаток 3 до рішення'!E13+'Додаток 4 до рішення'!E12)</f>
        <v>0</v>
      </c>
      <c r="F17" s="2193">
        <f>'Додаток 3 до рішення'!F13+'Додаток 4 до рішення'!F12</f>
        <v>0</v>
      </c>
      <c r="G17" s="2193">
        <f>'Додаток 3 до рішення'!G13+'Додаток 4 до рішення'!G12</f>
        <v>285.64999999999998</v>
      </c>
      <c r="H17" s="2145"/>
    </row>
    <row r="18" spans="1:8" x14ac:dyDescent="0.25">
      <c r="A18" s="2192" t="s">
        <v>2786</v>
      </c>
      <c r="B18" s="90" t="s">
        <v>2787</v>
      </c>
      <c r="C18" s="2193">
        <f>'Додаток 3 до рішення'!I14+'Додаток 4 до рішення'!C13</f>
        <v>65.12</v>
      </c>
      <c r="D18" s="2193">
        <f>'Додаток 3 до рішення'!D14+'Додаток 4 до рішення'!D13</f>
        <v>0</v>
      </c>
      <c r="E18" s="2193">
        <f>IF(E11=0,0,'Додаток 3 до рішення'!E14+'Додаток 4 до рішення'!E13)</f>
        <v>0</v>
      </c>
      <c r="F18" s="2193">
        <f>'Додаток 3 до рішення'!F14+'Додаток 4 до рішення'!F13</f>
        <v>0</v>
      </c>
      <c r="G18" s="2193">
        <f>'Додаток 3 до рішення'!G14+'Додаток 4 до рішення'!G13</f>
        <v>53.73</v>
      </c>
      <c r="H18" s="2145"/>
    </row>
    <row r="19" spans="1:8" x14ac:dyDescent="0.25">
      <c r="A19" s="2192" t="s">
        <v>2788</v>
      </c>
      <c r="B19" s="90" t="s">
        <v>2151</v>
      </c>
      <c r="C19" s="2193">
        <f>'Додаток 3 до рішення'!I15+'Додаток 4 до рішення'!C14+'Додаток 6 до рішення'!I11</f>
        <v>55.24</v>
      </c>
      <c r="D19" s="2193">
        <f>'Додаток 3 до рішення'!D15+'Додаток 4 до рішення'!D14+'Додаток 6 до рішення'!D11</f>
        <v>0</v>
      </c>
      <c r="E19" s="2193">
        <f>IF(E11=0,0,'Додаток 3 до рішення'!E15+'Додаток 4 до рішення'!E14+'Додаток 6 до рішення'!E11)</f>
        <v>0</v>
      </c>
      <c r="F19" s="2193">
        <f>'Додаток 3 до рішення'!F15+'Додаток 4 до рішення'!F14+'Додаток 6 до рішення'!F11</f>
        <v>0</v>
      </c>
      <c r="G19" s="2193">
        <f>'Додаток 3 до рішення'!G15+'Додаток 4 до рішення'!G14+'Додаток 6 до рішення'!G11</f>
        <v>42.29</v>
      </c>
      <c r="H19" s="2145"/>
    </row>
    <row r="20" spans="1:8" x14ac:dyDescent="0.25">
      <c r="A20" s="2194" t="s">
        <v>1674</v>
      </c>
      <c r="B20" s="174" t="s">
        <v>2789</v>
      </c>
      <c r="C20" s="2184">
        <f>'Додаток 3 до рішення'!I16+'Додаток 4 до рішення'!C15+'Додаток 6 до рішення'!I12</f>
        <v>1329.16</v>
      </c>
      <c r="D20" s="2184">
        <f>'Додаток 3 до рішення'!D16+'Додаток 4 до рішення'!D15+'Додаток 6 до рішення'!D12</f>
        <v>0</v>
      </c>
      <c r="E20" s="2184">
        <f>IF(E11=0,0,'Додаток 3 до рішення'!E16+'Додаток 4 до рішення'!E15+'Додаток 6 до рішення'!E12)</f>
        <v>0</v>
      </c>
      <c r="F20" s="2184">
        <f>'Додаток 3 до рішення'!F16+'Додаток 4 до рішення'!F15+'Додаток 6 до рішення'!F12</f>
        <v>0</v>
      </c>
      <c r="G20" s="2184">
        <f>'Додаток 3 до рішення'!G16+'Додаток 4 до рішення'!G15+'Додаток 6 до рішення'!G12</f>
        <v>1031.6099999999999</v>
      </c>
      <c r="H20" s="2145"/>
    </row>
    <row r="21" spans="1:8" x14ac:dyDescent="0.25">
      <c r="A21" s="2194" t="s">
        <v>1677</v>
      </c>
      <c r="B21" s="174" t="s">
        <v>2790</v>
      </c>
      <c r="C21" s="2184">
        <f>C22+C23+C24</f>
        <v>1511.84</v>
      </c>
      <c r="D21" s="2184">
        <f t="shared" ref="D21:G21" si="3">D22+D23+D24</f>
        <v>0</v>
      </c>
      <c r="E21" s="2184">
        <f t="shared" si="3"/>
        <v>0</v>
      </c>
      <c r="F21" s="2184">
        <f t="shared" si="3"/>
        <v>0</v>
      </c>
      <c r="G21" s="2184">
        <f t="shared" si="3"/>
        <v>1152.1500000000001</v>
      </c>
      <c r="H21" s="2145"/>
    </row>
    <row r="22" spans="1:8" x14ac:dyDescent="0.25">
      <c r="A22" s="2192" t="s">
        <v>2791</v>
      </c>
      <c r="B22" s="90" t="s">
        <v>2792</v>
      </c>
      <c r="C22" s="2193">
        <f>'Додаток 3 до рішення'!I18+'Додаток 4 до рішення'!C17+'Додаток 6 до рішення'!I14</f>
        <v>292.41000000000003</v>
      </c>
      <c r="D22" s="2193">
        <f>'Додаток 3 до рішення'!D18+'Додаток 4 до рішення'!D17+'Додаток 6 до рішення'!D14</f>
        <v>0</v>
      </c>
      <c r="E22" s="2193">
        <f>IF(E11=0,0,'Додаток 3 до рішення'!E18+'Додаток 4 до рішення'!E17+'Додаток 6 до рішення'!E14)</f>
        <v>0</v>
      </c>
      <c r="F22" s="2193">
        <f>'Додаток 3 до рішення'!F18+'Додаток 4 до рішення'!F17+'Додаток 6 до рішення'!F14</f>
        <v>0</v>
      </c>
      <c r="G22" s="2193">
        <f>'Додаток 3 до рішення'!G18+'Додаток 4 до рішення'!G17+'Додаток 6 до рішення'!G14</f>
        <v>226.95</v>
      </c>
      <c r="H22" s="2145"/>
    </row>
    <row r="23" spans="1:8" x14ac:dyDescent="0.25">
      <c r="A23" s="2192" t="s">
        <v>2793</v>
      </c>
      <c r="B23" s="90" t="s">
        <v>2794</v>
      </c>
      <c r="C23" s="2193">
        <f>'Додаток 3 до рішення'!I19+'Додаток 4 до рішення'!C18+'Додаток 6 до рішення'!I15</f>
        <v>327.42</v>
      </c>
      <c r="D23" s="2193">
        <f>'Додаток 3 до рішення'!D19+'Додаток 4 до рішення'!D18+'Додаток 6 до рішення'!D15</f>
        <v>0</v>
      </c>
      <c r="E23" s="2193">
        <f>IF(E11=0,0,'Додаток 3 до рішення'!E19+'Додаток 4 до рішення'!E18+'Додаток 6 до рішення'!E15)</f>
        <v>0</v>
      </c>
      <c r="F23" s="2193">
        <f>'Додаток 3 до рішення'!F19+'Додаток 4 до рішення'!F18+'Додаток 6 до рішення'!F15</f>
        <v>0</v>
      </c>
      <c r="G23" s="2193">
        <f>'Додаток 3 до рішення'!G19+'Додаток 4 до рішення'!G18+'Додаток 6 до рішення'!G15</f>
        <v>238.52</v>
      </c>
      <c r="H23" s="2145"/>
    </row>
    <row r="24" spans="1:8" x14ac:dyDescent="0.25">
      <c r="A24" s="2192" t="s">
        <v>2795</v>
      </c>
      <c r="B24" s="90" t="s">
        <v>82</v>
      </c>
      <c r="C24" s="2193">
        <f>'Додаток 3 до рішення'!I20+'Додаток 4 до рішення'!C19+'Додаток 6 до рішення'!I16</f>
        <v>892.01</v>
      </c>
      <c r="D24" s="2193">
        <f>'Додаток 3 до рішення'!D20+'Додаток 4 до рішення'!D19+'Додаток 6 до рішення'!D16</f>
        <v>0</v>
      </c>
      <c r="E24" s="2193">
        <f>IF(E11=0,0,'Додаток 3 до рішення'!E20+'Додаток 4 до рішення'!E19+'Додаток 6 до рішення'!E16)</f>
        <v>0</v>
      </c>
      <c r="F24" s="2193">
        <f>'Додаток 3 до рішення'!F20+'Додаток 4 до рішення'!F19+'Додаток 6 до рішення'!F16</f>
        <v>0</v>
      </c>
      <c r="G24" s="2193">
        <f>'Додаток 3 до рішення'!G20+'Додаток 4 до рішення'!G19+'Додаток 6 до рішення'!G16</f>
        <v>686.68</v>
      </c>
      <c r="H24" s="2145"/>
    </row>
    <row r="25" spans="1:8" s="23" customFormat="1" ht="14.25" x14ac:dyDescent="0.2">
      <c r="A25" s="2194" t="s">
        <v>1679</v>
      </c>
      <c r="B25" s="174" t="s">
        <v>2796</v>
      </c>
      <c r="C25" s="2184">
        <f>C26+C27+C28+C29</f>
        <v>529.71</v>
      </c>
      <c r="D25" s="2184">
        <f t="shared" ref="D25:G25" si="4">D26+D27+D28+D29</f>
        <v>0</v>
      </c>
      <c r="E25" s="2184">
        <f t="shared" si="4"/>
        <v>0</v>
      </c>
      <c r="F25" s="2184">
        <f t="shared" si="4"/>
        <v>0</v>
      </c>
      <c r="G25" s="2184">
        <f t="shared" si="4"/>
        <v>389.41</v>
      </c>
      <c r="H25" s="2145"/>
    </row>
    <row r="26" spans="1:8" x14ac:dyDescent="0.25">
      <c r="A26" s="2195" t="s">
        <v>2797</v>
      </c>
      <c r="B26" s="90" t="s">
        <v>2798</v>
      </c>
      <c r="C26" s="2193">
        <f>'Додаток 3 до рішення'!I22+'Додаток 4 до рішення'!C21+'Додаток 6 до рішення'!I18</f>
        <v>352.79</v>
      </c>
      <c r="D26" s="2193">
        <f>'Додаток 3 до рішення'!D22+'Додаток 4 до рішення'!D21+'Додаток 6 до рішення'!D18</f>
        <v>0</v>
      </c>
      <c r="E26" s="2193">
        <f>IF(E11=0,0,'Додаток 3 до рішення'!E22+'Додаток 4 до рішення'!E21+'Додаток 6 до рішення'!E18)</f>
        <v>0</v>
      </c>
      <c r="F26" s="2193">
        <f>'Додаток 3 до рішення'!F22+'Додаток 4 до рішення'!F21+'Додаток 6 до рішення'!F18</f>
        <v>0</v>
      </c>
      <c r="G26" s="2193">
        <f>'Додаток 3 до рішення'!G22+'Додаток 4 до рішення'!G21+'Додаток 6 до рішення'!G18</f>
        <v>259.35000000000002</v>
      </c>
      <c r="H26" s="2145"/>
    </row>
    <row r="27" spans="1:8" x14ac:dyDescent="0.25">
      <c r="A27" s="2195" t="s">
        <v>2799</v>
      </c>
      <c r="B27" s="90" t="s">
        <v>2153</v>
      </c>
      <c r="C27" s="2193">
        <f>'Додаток 3 до рішення'!I23+'Додаток 4 до рішення'!C22+'Додаток 6 до рішення'!I19</f>
        <v>77.61</v>
      </c>
      <c r="D27" s="2193">
        <f>'Додаток 3 до рішення'!D23+'Додаток 4 до рішення'!D22+'Додаток 6 до рішення'!D19</f>
        <v>0</v>
      </c>
      <c r="E27" s="2193">
        <f>IF(E11=0,0,'Додаток 3 до рішення'!E23+'Додаток 4 до рішення'!E22+'Додаток 6 до рішення'!E19)</f>
        <v>0</v>
      </c>
      <c r="F27" s="2193">
        <f>'Додаток 3 до рішення'!F23+'Додаток 4 до рішення'!F22+'Додаток 6 до рішення'!F19</f>
        <v>0</v>
      </c>
      <c r="G27" s="2193">
        <f>'Додаток 3 до рішення'!G23+'Додаток 4 до рішення'!G22+'Додаток 6 до рішення'!G19</f>
        <v>57.06</v>
      </c>
      <c r="H27" s="2145"/>
    </row>
    <row r="28" spans="1:8" x14ac:dyDescent="0.25">
      <c r="A28" s="2195" t="s">
        <v>2800</v>
      </c>
      <c r="B28" s="90" t="s">
        <v>2794</v>
      </c>
      <c r="C28" s="2193">
        <f>'Додаток 3 до рішення'!I24+'Додаток 4 до рішення'!C23+'Додаток 6 до рішення'!I20</f>
        <v>4.8099999999999996</v>
      </c>
      <c r="D28" s="2193">
        <f>'Додаток 3 до рішення'!D24+'Додаток 4 до рішення'!D23+'Додаток 6 до рішення'!D20</f>
        <v>0</v>
      </c>
      <c r="E28" s="2193">
        <f>IF(E11=0,0,'Додаток 3 до рішення'!E24+'Додаток 4 до рішення'!E23+'Додаток 6 до рішення'!E20)</f>
        <v>0</v>
      </c>
      <c r="F28" s="2193">
        <f>'Додаток 3 до рішення'!F24+'Додаток 4 до рішення'!F23+'Додаток 6 до рішення'!F20</f>
        <v>0</v>
      </c>
      <c r="G28" s="2193">
        <f>'Додаток 3 до рішення'!G24+'Додаток 4 до рішення'!G23+'Додаток 6 до рішення'!G20</f>
        <v>3.53</v>
      </c>
      <c r="H28" s="2145"/>
    </row>
    <row r="29" spans="1:8" x14ac:dyDescent="0.25">
      <c r="A29" s="2195" t="s">
        <v>2801</v>
      </c>
      <c r="B29" s="90" t="s">
        <v>58</v>
      </c>
      <c r="C29" s="2193">
        <f>'Додаток 3 до рішення'!I25+'Додаток 4 до рішення'!C24+'Додаток 6 до рішення'!I21</f>
        <v>94.5</v>
      </c>
      <c r="D29" s="2193">
        <f>'Додаток 3 до рішення'!D25+'Додаток 4 до рішення'!D24+'Додаток 6 до рішення'!D21</f>
        <v>0</v>
      </c>
      <c r="E29" s="2193">
        <f>IF(E11=0,0,'Додаток 3 до рішення'!E25+'Додаток 4 до рішення'!E24+'Додаток 6 до рішення'!E21)</f>
        <v>0</v>
      </c>
      <c r="F29" s="2193">
        <f>'Додаток 3 до рішення'!F25+'Додаток 4 до рішення'!F24+'Додаток 6 до рішення'!F21</f>
        <v>0</v>
      </c>
      <c r="G29" s="2193">
        <f>'Додаток 3 до рішення'!G25+'Додаток 4 до рішення'!G24+'Додаток 6 до рішення'!G21</f>
        <v>69.47</v>
      </c>
      <c r="H29" s="2145"/>
    </row>
    <row r="30" spans="1:8" s="23" customFormat="1" ht="14.25" x14ac:dyDescent="0.2">
      <c r="A30" s="2190" t="s">
        <v>1692</v>
      </c>
      <c r="B30" s="174" t="s">
        <v>2802</v>
      </c>
      <c r="C30" s="2184">
        <f>C31+C32+C33+C34</f>
        <v>211.2</v>
      </c>
      <c r="D30" s="2184">
        <f t="shared" ref="D30:G30" si="5">D31+D32+D33+D34</f>
        <v>0</v>
      </c>
      <c r="E30" s="2184">
        <f t="shared" si="5"/>
        <v>0</v>
      </c>
      <c r="F30" s="2184">
        <f t="shared" si="5"/>
        <v>0</v>
      </c>
      <c r="G30" s="2184">
        <f t="shared" si="5"/>
        <v>155.26</v>
      </c>
      <c r="H30" s="2145"/>
    </row>
    <row r="31" spans="1:8" x14ac:dyDescent="0.25">
      <c r="A31" s="2195" t="s">
        <v>2803</v>
      </c>
      <c r="B31" s="90" t="s">
        <v>55</v>
      </c>
      <c r="C31" s="2193">
        <f>'Додаток 3 до рішення'!I27+'Додаток 4 до рішення'!C26+'Додаток 6 до рішення'!I23</f>
        <v>131.5</v>
      </c>
      <c r="D31" s="2193">
        <f>'Додаток 3 до рішення'!D27+'Додаток 4 до рішення'!D26+'Додаток 6 до рішення'!D23</f>
        <v>0</v>
      </c>
      <c r="E31" s="2193">
        <f>IF(E11=0,0,'Додаток 3 до рішення'!E27+'Додаток 4 до рішення'!E26+'Додаток 6 до рішення'!E23)</f>
        <v>0</v>
      </c>
      <c r="F31" s="2193">
        <f>'Додаток 3 до рішення'!F27+'Додаток 4 до рішення'!F26+'Додаток 6 до рішення'!F23</f>
        <v>0</v>
      </c>
      <c r="G31" s="2193">
        <f>'Додаток 3 до рішення'!G27+'Додаток 4 до рішення'!G26+'Додаток 6 до рішення'!G23</f>
        <v>96.67</v>
      </c>
      <c r="H31" s="2145"/>
    </row>
    <row r="32" spans="1:8" x14ac:dyDescent="0.25">
      <c r="A32" s="2195" t="s">
        <v>2804</v>
      </c>
      <c r="B32" s="90" t="s">
        <v>2805</v>
      </c>
      <c r="C32" s="2193">
        <f>'Додаток 3 до рішення'!I28+'Додаток 4 до рішення'!C27+'Додаток 6 до рішення'!I24</f>
        <v>28.93</v>
      </c>
      <c r="D32" s="2193">
        <f>'Додаток 3 до рішення'!D28+'Додаток 4 до рішення'!D27+'Додаток 6 до рішення'!D24</f>
        <v>0</v>
      </c>
      <c r="E32" s="2193">
        <f>IF(E11=0,0,'Додаток 3 до рішення'!E28+'Додаток 4 до рішення'!E27+'Додаток 6 до рішення'!E24)</f>
        <v>0</v>
      </c>
      <c r="F32" s="2193">
        <f>'Додаток 3 до рішення'!F28+'Додаток 4 до рішення'!F27+'Додаток 6 до рішення'!F24</f>
        <v>0</v>
      </c>
      <c r="G32" s="2193">
        <f>'Додаток 3 до рішення'!G28+'Додаток 4 до рішення'!G27+'Додаток 6 до рішення'!G24</f>
        <v>21.28</v>
      </c>
      <c r="H32" s="2145"/>
    </row>
    <row r="33" spans="1:9" x14ac:dyDescent="0.25">
      <c r="A33" s="2195" t="s">
        <v>2806</v>
      </c>
      <c r="B33" s="90" t="s">
        <v>2794</v>
      </c>
      <c r="C33" s="2193">
        <f>'Додаток 3 до рішення'!I29+'Додаток 4 до рішення'!C28+'Додаток 6 до рішення'!I25</f>
        <v>3.34</v>
      </c>
      <c r="D33" s="2193">
        <f>'Додаток 3 до рішення'!D29+'Додаток 4 до рішення'!D28+'Додаток 6 до рішення'!D25</f>
        <v>0</v>
      </c>
      <c r="E33" s="2193">
        <f>IF(E11=0,0,'Додаток 3 до рішення'!E29+'Додаток 4 до рішення'!E28+'Додаток 6 до рішення'!E25)</f>
        <v>0</v>
      </c>
      <c r="F33" s="2193">
        <f>'Додаток 3 до рішення'!F29+'Додаток 4 до рішення'!F28+'Додаток 6 до рішення'!F25</f>
        <v>0</v>
      </c>
      <c r="G33" s="2193">
        <f>'Додаток 3 до рішення'!G29+'Додаток 4 до рішення'!G28+'Додаток 6 до рішення'!G25</f>
        <v>2.4500000000000002</v>
      </c>
      <c r="H33" s="2145"/>
    </row>
    <row r="34" spans="1:9" x14ac:dyDescent="0.25">
      <c r="A34" s="2195" t="s">
        <v>2807</v>
      </c>
      <c r="B34" s="90" t="s">
        <v>2808</v>
      </c>
      <c r="C34" s="2193">
        <f>'Додаток 3 до рішення'!I30+'Додаток 4 до рішення'!C29+'Додаток 6 до рішення'!I26</f>
        <v>47.43</v>
      </c>
      <c r="D34" s="2193">
        <f>'Додаток 3 до рішення'!D30+'Додаток 4 до рішення'!D29+'Додаток 6 до рішення'!D26</f>
        <v>0</v>
      </c>
      <c r="E34" s="2193">
        <f>IF(E11=0,0,'Додаток 3 до рішення'!E30+'Додаток 4 до рішення'!E29+'Додаток 6 до рішення'!E26)</f>
        <v>0</v>
      </c>
      <c r="F34" s="2193">
        <f>'Додаток 3 до рішення'!F30+'Додаток 4 до рішення'!F29+'Додаток 6 до рішення'!F26</f>
        <v>0</v>
      </c>
      <c r="G34" s="2193">
        <f>'Додаток 3 до рішення'!G30+'Додаток 4 до рішення'!G29+'Додаток 6 до рішення'!G26</f>
        <v>34.86</v>
      </c>
      <c r="H34" s="2145"/>
    </row>
    <row r="35" spans="1:9" s="23" customFormat="1" ht="14.25" x14ac:dyDescent="0.2">
      <c r="A35" s="2190" t="s">
        <v>1694</v>
      </c>
      <c r="B35" s="174" t="s">
        <v>2809</v>
      </c>
      <c r="C35" s="2190">
        <v>0</v>
      </c>
      <c r="D35" s="2190">
        <v>0</v>
      </c>
      <c r="E35" s="2190">
        <v>0</v>
      </c>
      <c r="F35" s="2190">
        <v>0</v>
      </c>
      <c r="G35" s="2190">
        <v>0</v>
      </c>
      <c r="H35" s="2145"/>
    </row>
    <row r="36" spans="1:9" s="23" customFormat="1" ht="42.75" x14ac:dyDescent="0.2">
      <c r="A36" s="2190" t="s">
        <v>1697</v>
      </c>
      <c r="B36" s="2196" t="s">
        <v>2810</v>
      </c>
      <c r="C36" s="2184">
        <f>'Додаток 4 до рішення'!C32</f>
        <v>1406.22</v>
      </c>
      <c r="D36" s="2184">
        <f>'Додаток 4 до рішення'!D32</f>
        <v>0</v>
      </c>
      <c r="E36" s="2184">
        <f>IF(E11=0,0,'Додаток 4 до рішення'!E32)</f>
        <v>0</v>
      </c>
      <c r="F36" s="2184">
        <f>'Додаток 4 до рішення'!F32</f>
        <v>0</v>
      </c>
      <c r="G36" s="2184">
        <f>'Додаток 4 до рішення'!G32</f>
        <v>1173.0899999999999</v>
      </c>
      <c r="H36" s="2145"/>
      <c r="I36" s="2637">
        <f>G36*C47-C36</f>
        <v>0</v>
      </c>
    </row>
    <row r="37" spans="1:9" s="23" customFormat="1" ht="14.25" x14ac:dyDescent="0.2">
      <c r="A37" s="2190" t="s">
        <v>1769</v>
      </c>
      <c r="B37" s="174" t="s">
        <v>2811</v>
      </c>
      <c r="C37" s="2184">
        <f>'Додаток 3 до рішення'!I32+'Додаток 4 до рішення'!C33+'Додаток 6 до рішення'!I28</f>
        <v>0</v>
      </c>
      <c r="D37" s="2184">
        <f>'Додаток 3 до рішення'!D32+'Додаток 4 до рішення'!D33+'Додаток 6 до рішення'!D28</f>
        <v>0</v>
      </c>
      <c r="E37" s="2184">
        <f>IF(E11=0,0,'Додаток 3 до рішення'!E32+'Додаток 4 до рішення'!E33+'Додаток 6 до рішення'!E28)</f>
        <v>0</v>
      </c>
      <c r="F37" s="2184">
        <f>'Додаток 3 до рішення'!F32+'Додаток 4 до рішення'!F33+'Додаток 6 до рішення'!F28</f>
        <v>0</v>
      </c>
      <c r="G37" s="2184">
        <f>'Додаток 3 до рішення'!G32+'Додаток 4 до рішення'!G33+'Додаток 6 до рішення'!G28</f>
        <v>0</v>
      </c>
      <c r="H37" s="2145"/>
    </row>
    <row r="38" spans="1:9" s="23" customFormat="1" ht="14.25" x14ac:dyDescent="0.2">
      <c r="A38" s="2190" t="s">
        <v>1775</v>
      </c>
      <c r="B38" s="174" t="s">
        <v>2812</v>
      </c>
      <c r="C38" s="2190">
        <v>0</v>
      </c>
      <c r="D38" s="2190">
        <v>0</v>
      </c>
      <c r="E38" s="2190">
        <v>0</v>
      </c>
      <c r="F38" s="2190">
        <v>0</v>
      </c>
      <c r="G38" s="2190">
        <v>0</v>
      </c>
      <c r="H38" s="2145"/>
    </row>
    <row r="39" spans="1:9" s="2224" customFormat="1" ht="14.25" x14ac:dyDescent="0.2">
      <c r="A39" s="2220" t="s">
        <v>1781</v>
      </c>
      <c r="B39" s="2221" t="s">
        <v>2813</v>
      </c>
      <c r="C39" s="2222">
        <f>'Додаток 3 до рішення'!I34</f>
        <v>0</v>
      </c>
      <c r="D39" s="2222">
        <f>'Додаток 3 до рішення'!D34</f>
        <v>0</v>
      </c>
      <c r="E39" s="2222">
        <f>IF(E11=0,0,'Додаток 3 до рішення'!E34)</f>
        <v>0</v>
      </c>
      <c r="F39" s="2222">
        <f>'Додаток 3 до рішення'!F34</f>
        <v>0</v>
      </c>
      <c r="G39" s="2222">
        <f>'Додаток 3 до рішення'!G34</f>
        <v>0</v>
      </c>
      <c r="H39" s="2223"/>
    </row>
    <row r="40" spans="1:9" s="23" customFormat="1" ht="14.25" x14ac:dyDescent="0.2">
      <c r="A40" s="2190" t="s">
        <v>1783</v>
      </c>
      <c r="B40" s="174" t="s">
        <v>2814</v>
      </c>
      <c r="C40" s="2184">
        <f>SUM(C41:C44)</f>
        <v>718.87</v>
      </c>
      <c r="D40" s="2184">
        <f t="shared" ref="D40:G40" si="6">SUM(D41:D44)</f>
        <v>0</v>
      </c>
      <c r="E40" s="2184">
        <f t="shared" si="6"/>
        <v>0</v>
      </c>
      <c r="F40" s="2184">
        <f t="shared" si="6"/>
        <v>0</v>
      </c>
      <c r="G40" s="2184">
        <f t="shared" si="6"/>
        <v>536.39</v>
      </c>
      <c r="H40" s="2145"/>
    </row>
    <row r="41" spans="1:9" x14ac:dyDescent="0.25">
      <c r="A41" s="2195" t="s">
        <v>1098</v>
      </c>
      <c r="B41" s="90" t="s">
        <v>65</v>
      </c>
      <c r="C41" s="2193">
        <f>'Додаток 3 до рішення'!I36+'Додаток 4 до рішення'!C37+'Додаток 6 до рішення'!I32</f>
        <v>90.74</v>
      </c>
      <c r="D41" s="2193">
        <f>'Додаток 3 до рішення'!D36+'Додаток 4 до рішення'!D37+'Додаток 6 до рішення'!D32</f>
        <v>0</v>
      </c>
      <c r="E41" s="2193">
        <f>IF(E11=0,0,'Додаток 3 до рішення'!E36+'Додаток 4 до рішення'!E37+'Додаток 6 до рішення'!E32)</f>
        <v>0</v>
      </c>
      <c r="F41" s="2193">
        <f>'Додаток 3 до рішення'!F36+'Додаток 4 до рішення'!F37+'Додаток 6 до рішення'!F32</f>
        <v>0</v>
      </c>
      <c r="G41" s="2193">
        <f>'Додаток 3 до рішення'!G36+'Додаток 4 до рішення'!G37+'Додаток 6 до рішення'!G32</f>
        <v>67.709999999999994</v>
      </c>
      <c r="H41" s="2145"/>
    </row>
    <row r="42" spans="1:9" x14ac:dyDescent="0.25">
      <c r="A42" s="2195" t="s">
        <v>2815</v>
      </c>
      <c r="B42" s="90" t="s">
        <v>85</v>
      </c>
      <c r="C42" s="2193">
        <f>'Додаток 3 до рішення'!I37+'Додаток 4 до рішення'!C38+'Додаток 6 до рішення'!I33</f>
        <v>124.02</v>
      </c>
      <c r="D42" s="2193">
        <f>'Додаток 3 до рішення'!D37+'Додаток 4 до рішення'!D38+'Додаток 6 до рішення'!D33</f>
        <v>0</v>
      </c>
      <c r="E42" s="2193">
        <f>IF(E11=0,0,'Додаток 3 до рішення'!E37+'Додаток 4 до рішення'!E38+'Додаток 6 до рішення'!E33)</f>
        <v>0</v>
      </c>
      <c r="F42" s="2193">
        <f>'Додаток 3 до рішення'!F37+'Додаток 4 до рішення'!F38+'Додаток 6 до рішення'!F33</f>
        <v>0</v>
      </c>
      <c r="G42" s="2193">
        <f>'Додаток 3 до рішення'!G37+'Додаток 4 до рішення'!G38+'Додаток 6 до рішення'!G33</f>
        <v>92.53</v>
      </c>
      <c r="H42" s="2145"/>
    </row>
    <row r="43" spans="1:9" x14ac:dyDescent="0.25">
      <c r="A43" s="2195" t="s">
        <v>2816</v>
      </c>
      <c r="B43" s="90" t="s">
        <v>71</v>
      </c>
      <c r="C43" s="2193">
        <f>'Додаток 3 до рішення'!I38+'Додаток 4 до рішення'!C39+'Додаток 6 до рішення'!I34</f>
        <v>0</v>
      </c>
      <c r="D43" s="2193">
        <f>'Додаток 3 до рішення'!D38+'Додаток 4 до рішення'!D39+'Додаток 6 до рішення'!D34</f>
        <v>0</v>
      </c>
      <c r="E43" s="2193">
        <f>IF(E11=0,0,'Додаток 3 до рішення'!E38+'Додаток 4 до рішення'!E39+'Додаток 6 до рішення'!E34)</f>
        <v>0</v>
      </c>
      <c r="F43" s="2193">
        <f>'Додаток 3 до рішення'!F38+'Додаток 4 до рішення'!F39+'Додаток 6 до рішення'!F34</f>
        <v>0</v>
      </c>
      <c r="G43" s="2193">
        <f>'Додаток 3 до рішення'!G38+'Додаток 4 до рішення'!G39+'Додаток 6 до рішення'!G34</f>
        <v>0</v>
      </c>
      <c r="H43" s="2145"/>
    </row>
    <row r="44" spans="1:9" ht="15.75" thickBot="1" x14ac:dyDescent="0.3">
      <c r="A44" s="2197" t="s">
        <v>2817</v>
      </c>
      <c r="B44" s="2198" t="s">
        <v>2375</v>
      </c>
      <c r="C44" s="2199">
        <f>'Додаток 3 до рішення'!I39+'Додаток 4 до рішення'!C40+'Додаток 6 до рішення'!I35</f>
        <v>504.11</v>
      </c>
      <c r="D44" s="2199">
        <f>'Додаток 3 до рішення'!D39+'Додаток 4 до рішення'!D40+'Додаток 6 до рішення'!D35</f>
        <v>0</v>
      </c>
      <c r="E44" s="2199">
        <f>IF(E11=0,0,'Додаток 3 до рішення'!E39+'Додаток 4 до рішення'!E40+'Додаток 6 до рішення'!E35)</f>
        <v>0</v>
      </c>
      <c r="F44" s="2199">
        <f>'Додаток 3 до рішення'!F39+'Додаток 4 до рішення'!F40+'Додаток 6 до рішення'!F35</f>
        <v>0</v>
      </c>
      <c r="G44" s="2199">
        <f>'Додаток 3 до рішення'!G39+'Додаток 4 до рішення'!G40+'Додаток 6 до рішення'!G35</f>
        <v>376.15</v>
      </c>
      <c r="H44" s="2145"/>
    </row>
    <row r="45" spans="1:9" ht="15.75" thickBot="1" x14ac:dyDescent="0.3">
      <c r="A45" s="2189" t="s">
        <v>1785</v>
      </c>
      <c r="B45" s="2200" t="s">
        <v>2818</v>
      </c>
      <c r="C45" s="2201">
        <f>C14+C30+C35+C36+C37+C38+C39+C40</f>
        <v>13321.83</v>
      </c>
      <c r="D45" s="2201">
        <f t="shared" ref="D45:G45" si="7">D14+D30+D35+D36+D37+D38+D39+D40</f>
        <v>0</v>
      </c>
      <c r="E45" s="2201">
        <f t="shared" si="7"/>
        <v>0</v>
      </c>
      <c r="F45" s="2201">
        <f t="shared" si="7"/>
        <v>0</v>
      </c>
      <c r="G45" s="2201">
        <f t="shared" si="7"/>
        <v>9940.2000000000007</v>
      </c>
      <c r="H45" s="2145"/>
    </row>
    <row r="46" spans="1:9" s="23" customFormat="1" ht="32.25" thickBot="1" x14ac:dyDescent="0.25">
      <c r="A46" s="2189" t="s">
        <v>1789</v>
      </c>
      <c r="B46" s="1218" t="s">
        <v>3091</v>
      </c>
      <c r="C46" s="2636">
        <f>'Додаток 3 до рішення'!I8</f>
        <v>1.3950400000000001</v>
      </c>
      <c r="D46" s="2201">
        <f>'Додаток 3 до рішення'!J8</f>
        <v>0</v>
      </c>
      <c r="E46" s="2201">
        <f>'Додаток 3 до рішення'!K8</f>
        <v>0</v>
      </c>
      <c r="F46" s="2201">
        <f>'Додаток 3 до рішення'!L8</f>
        <v>0</v>
      </c>
      <c r="G46" s="2636">
        <f>'Додаток 3 до рішення'!M8</f>
        <v>1.3950400000000001</v>
      </c>
      <c r="H46" s="2145"/>
    </row>
    <row r="47" spans="1:9" s="23" customFormat="1" ht="30.75" customHeight="1" thickBot="1" x14ac:dyDescent="0.25">
      <c r="A47" s="2189" t="s">
        <v>1791</v>
      </c>
      <c r="B47" s="91" t="s">
        <v>3426</v>
      </c>
      <c r="C47" s="2636">
        <f>'Додаток 6 до рішення'!I8</f>
        <v>1.1987300000000001</v>
      </c>
      <c r="D47" s="2201">
        <f>'Додаток 6 до рішення'!J8</f>
        <v>0</v>
      </c>
      <c r="E47" s="2201">
        <f>'Додаток 6 до рішення'!K8</f>
        <v>0</v>
      </c>
      <c r="F47" s="2201">
        <f>'Додаток 6 до рішення'!L8</f>
        <v>0</v>
      </c>
      <c r="G47" s="2636">
        <f>'Додаток 6 до рішення'!M8</f>
        <v>1.1987300000000001</v>
      </c>
      <c r="H47" s="2145"/>
    </row>
    <row r="48" spans="1:9" x14ac:dyDescent="0.25">
      <c r="B48" s="863"/>
      <c r="C48" s="3560"/>
      <c r="D48" s="2202"/>
      <c r="E48" s="2202"/>
      <c r="F48" s="2202"/>
      <c r="G48" s="2202"/>
    </row>
    <row r="49" spans="2:7" x14ac:dyDescent="0.25">
      <c r="C49" s="3561"/>
      <c r="D49" s="2204"/>
      <c r="E49" s="2202"/>
      <c r="F49" s="2202"/>
      <c r="G49" s="2202"/>
    </row>
    <row r="50" spans="2:7" ht="15.75" x14ac:dyDescent="0.25">
      <c r="B50" s="58" t="s">
        <v>2846</v>
      </c>
      <c r="C50" s="3560"/>
      <c r="D50" s="2202"/>
      <c r="E50" s="2202"/>
      <c r="F50" s="2202" t="s">
        <v>3516</v>
      </c>
      <c r="G50" s="2202"/>
    </row>
    <row r="51" spans="2:7" x14ac:dyDescent="0.25">
      <c r="B51" s="1251"/>
      <c r="C51" s="167"/>
    </row>
  </sheetData>
  <mergeCells count="8">
    <mergeCell ref="D1:G1"/>
    <mergeCell ref="B13:G13"/>
    <mergeCell ref="A5:A6"/>
    <mergeCell ref="B5:B6"/>
    <mergeCell ref="C5:C6"/>
    <mergeCell ref="D5:G5"/>
    <mergeCell ref="B8:G8"/>
    <mergeCell ref="A3:G3"/>
  </mergeCells>
  <pageMargins left="0.78740157480314965" right="0.23622047244094491" top="0.78740157480314965" bottom="0.74803149606299213" header="0.31496062992125984" footer="0.31496062992125984"/>
  <pageSetup paperSize="9" scale="69" fitToHeight="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C20C5"/>
    <pageSetUpPr fitToPage="1"/>
  </sheetPr>
  <dimension ref="A1:L54"/>
  <sheetViews>
    <sheetView zoomScaleNormal="100" workbookViewId="0">
      <selection activeCell="B4" sqref="B4"/>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76.5" customHeight="1" x14ac:dyDescent="0.25">
      <c r="A1" s="3553"/>
      <c r="E1" s="4020" t="s">
        <v>3518</v>
      </c>
      <c r="F1" s="4020"/>
      <c r="G1" s="4020"/>
    </row>
    <row r="2" spans="1:12" ht="20.25" hidden="1" customHeight="1" x14ac:dyDescent="0.25">
      <c r="A2" s="3553"/>
      <c r="F2" s="3542"/>
      <c r="G2" s="3542"/>
    </row>
    <row r="3" spans="1:12" ht="61.5" customHeight="1" x14ac:dyDescent="0.25">
      <c r="A3" s="18"/>
      <c r="B3" s="4021" t="s">
        <v>3525</v>
      </c>
      <c r="C3" s="4021"/>
      <c r="D3" s="4021"/>
      <c r="E3" s="4021"/>
      <c r="F3" s="4021"/>
      <c r="G3" s="1876"/>
    </row>
    <row r="4" spans="1:12" ht="15.75" thickBot="1" x14ac:dyDescent="0.3">
      <c r="G4" s="18" t="s">
        <v>1649</v>
      </c>
    </row>
    <row r="5" spans="1:12" ht="30" customHeight="1" thickBot="1" x14ac:dyDescent="0.3">
      <c r="A5" s="4022" t="s">
        <v>7</v>
      </c>
      <c r="B5" s="4022" t="s">
        <v>619</v>
      </c>
      <c r="C5" s="4022" t="s">
        <v>2766</v>
      </c>
      <c r="D5" s="4025" t="s">
        <v>2767</v>
      </c>
      <c r="E5" s="4026"/>
      <c r="F5" s="4026"/>
      <c r="G5" s="4027"/>
      <c r="H5" s="108"/>
      <c r="I5" s="108"/>
    </row>
    <row r="6" spans="1:12" ht="75" customHeight="1" thickBot="1" x14ac:dyDescent="0.3">
      <c r="A6" s="4023"/>
      <c r="B6" s="4024"/>
      <c r="C6" s="4024"/>
      <c r="D6" s="2176" t="s">
        <v>2768</v>
      </c>
      <c r="E6" s="2176" t="s">
        <v>2769</v>
      </c>
      <c r="F6" s="2176" t="s">
        <v>2770</v>
      </c>
      <c r="G6" s="2176" t="s">
        <v>2771</v>
      </c>
      <c r="H6" s="108"/>
      <c r="I6" s="108"/>
    </row>
    <row r="7" spans="1:12" ht="15.75" thickBot="1" x14ac:dyDescent="0.3">
      <c r="A7" s="2177">
        <v>1</v>
      </c>
      <c r="B7" s="2178">
        <v>2</v>
      </c>
      <c r="C7" s="2163">
        <v>3</v>
      </c>
      <c r="D7" s="2177">
        <v>4</v>
      </c>
      <c r="E7" s="2163">
        <v>5</v>
      </c>
      <c r="F7" s="2178">
        <v>6</v>
      </c>
      <c r="G7" s="2164">
        <v>7</v>
      </c>
    </row>
    <row r="8" spans="1:12" ht="15.75" thickBot="1" x14ac:dyDescent="0.3">
      <c r="A8" s="2179"/>
      <c r="B8" s="4028" t="s">
        <v>2772</v>
      </c>
      <c r="C8" s="4029"/>
      <c r="D8" s="4029"/>
      <c r="E8" s="4029"/>
      <c r="F8" s="4029"/>
      <c r="G8" s="4030"/>
    </row>
    <row r="9" spans="1:12" ht="35.25" customHeight="1" x14ac:dyDescent="0.25">
      <c r="A9" s="2180" t="s">
        <v>2773</v>
      </c>
      <c r="B9" s="2180" t="s">
        <v>2774</v>
      </c>
      <c r="C9" s="2180" t="s">
        <v>233</v>
      </c>
      <c r="D9" s="2180">
        <f>SUM(D10:D12)</f>
        <v>0</v>
      </c>
      <c r="E9" s="2182">
        <f t="shared" ref="E9:G9" si="0">SUM(E10:E12)</f>
        <v>0</v>
      </c>
      <c r="F9" s="2180">
        <f t="shared" si="0"/>
        <v>0</v>
      </c>
      <c r="G9" s="2183">
        <f t="shared" si="0"/>
        <v>9260.0300000000007</v>
      </c>
      <c r="H9" s="863"/>
      <c r="I9" s="863"/>
      <c r="J9" s="863"/>
      <c r="K9" s="863"/>
      <c r="L9" s="863"/>
    </row>
    <row r="10" spans="1:12" ht="35.25" customHeight="1" x14ac:dyDescent="0.25">
      <c r="A10" s="2184" t="s">
        <v>1672</v>
      </c>
      <c r="B10" s="2185" t="s">
        <v>2775</v>
      </c>
      <c r="C10" s="2184" t="s">
        <v>233</v>
      </c>
      <c r="D10" s="2184">
        <f>'Додаток 3 до рішення'!D8</f>
        <v>0</v>
      </c>
      <c r="E10" s="2184">
        <f>'Додаток 3 до рішення'!E8</f>
        <v>0</v>
      </c>
      <c r="F10" s="2184">
        <f>'Додаток 3 до рішення'!F8</f>
        <v>0</v>
      </c>
      <c r="G10" s="2184">
        <f>'Додаток 3 до рішення'!G8</f>
        <v>7163.27</v>
      </c>
      <c r="H10" s="863"/>
      <c r="I10" s="863"/>
      <c r="J10" s="863"/>
      <c r="K10" s="863"/>
      <c r="L10" s="863"/>
    </row>
    <row r="11" spans="1:12" ht="50.25" customHeight="1" x14ac:dyDescent="0.25">
      <c r="A11" s="2184" t="s">
        <v>1674</v>
      </c>
      <c r="B11" s="2186" t="s">
        <v>2822</v>
      </c>
      <c r="C11" s="2184" t="s">
        <v>233</v>
      </c>
      <c r="D11" s="2184">
        <f>'Додаток 5 до рішення'!D8</f>
        <v>0</v>
      </c>
      <c r="E11" s="2184">
        <f>'Додаток 5 до рішення'!E8</f>
        <v>0</v>
      </c>
      <c r="F11" s="2184">
        <f>'Додаток 5 до рішення'!F8</f>
        <v>0</v>
      </c>
      <c r="G11" s="2184">
        <f>'Додаток 5 до рішення'!G8</f>
        <v>1987.35</v>
      </c>
      <c r="H11" s="863"/>
      <c r="I11" s="863"/>
      <c r="J11" s="863"/>
      <c r="K11" s="863"/>
      <c r="L11" s="863"/>
    </row>
    <row r="12" spans="1:12" ht="35.25" customHeight="1" thickBot="1" x14ac:dyDescent="0.3">
      <c r="A12" s="2187" t="s">
        <v>1677</v>
      </c>
      <c r="B12" s="2188" t="s">
        <v>2777</v>
      </c>
      <c r="C12" s="2187" t="s">
        <v>233</v>
      </c>
      <c r="D12" s="2187">
        <f>'Додаток 6 до рішення'!D8</f>
        <v>0</v>
      </c>
      <c r="E12" s="2187">
        <f>'Додаток 6 до рішення'!E8</f>
        <v>0</v>
      </c>
      <c r="F12" s="2187">
        <f>'Додаток 6 до рішення'!F8</f>
        <v>0</v>
      </c>
      <c r="G12" s="2187">
        <f>'Додаток 6 до рішення'!G8</f>
        <v>109.41</v>
      </c>
      <c r="H12" s="863"/>
      <c r="I12" s="863"/>
      <c r="J12" s="863"/>
      <c r="K12" s="863"/>
      <c r="L12" s="863"/>
    </row>
    <row r="13" spans="1:12" ht="18.75" customHeight="1" thickBot="1" x14ac:dyDescent="0.3">
      <c r="A13" s="2189" t="s">
        <v>2778</v>
      </c>
      <c r="B13" s="4028" t="s">
        <v>3115</v>
      </c>
      <c r="C13" s="4031"/>
      <c r="D13" s="4031"/>
      <c r="E13" s="4031"/>
      <c r="F13" s="4031"/>
      <c r="G13" s="4032"/>
      <c r="H13" s="2145"/>
    </row>
    <row r="14" spans="1:12" s="23" customFormat="1" ht="14.25" x14ac:dyDescent="0.2">
      <c r="A14" s="2190" t="s">
        <v>1670</v>
      </c>
      <c r="B14" s="2191" t="s">
        <v>2780</v>
      </c>
      <c r="C14" s="2184">
        <f>C15+C20+C21+C25</f>
        <v>70616.31</v>
      </c>
      <c r="D14" s="2184">
        <f>D15+D20+D21+D25</f>
        <v>0</v>
      </c>
      <c r="E14" s="2184">
        <f>E15+E20+E21+E25</f>
        <v>0</v>
      </c>
      <c r="F14" s="2184">
        <f>F15+F20+F21+F25</f>
        <v>0</v>
      </c>
      <c r="G14" s="2184">
        <f>G15+G20+G21+G25</f>
        <v>7733.05</v>
      </c>
      <c r="H14" s="2145"/>
    </row>
    <row r="15" spans="1:12" x14ac:dyDescent="0.25">
      <c r="A15" s="2192" t="s">
        <v>1672</v>
      </c>
      <c r="B15" s="90" t="s">
        <v>2781</v>
      </c>
      <c r="C15" s="2193">
        <f>SUM(C16:C19)</f>
        <v>50364.4</v>
      </c>
      <c r="D15" s="2193">
        <f t="shared" ref="D15:G15" si="1">SUM(D16:D19)</f>
        <v>0</v>
      </c>
      <c r="E15" s="2193">
        <f t="shared" si="1"/>
        <v>0</v>
      </c>
      <c r="F15" s="2193">
        <f t="shared" si="1"/>
        <v>0</v>
      </c>
      <c r="G15" s="2193">
        <f t="shared" si="1"/>
        <v>5460.24</v>
      </c>
      <c r="H15" s="2145"/>
      <c r="I15" s="863"/>
    </row>
    <row r="16" spans="1:12" x14ac:dyDescent="0.25">
      <c r="A16" s="2192" t="s">
        <v>2782</v>
      </c>
      <c r="B16" s="90" t="s">
        <v>2783</v>
      </c>
      <c r="C16" s="2193">
        <f>'Додаток 3 до рішення'!N12</f>
        <v>47487.57</v>
      </c>
      <c r="D16" s="2193">
        <f>'Додаток 3 до рішення'!D12</f>
        <v>0</v>
      </c>
      <c r="E16" s="2193">
        <f>'Додаток 3 до рішення'!E12</f>
        <v>0</v>
      </c>
      <c r="F16" s="2193">
        <f>'Додаток 3 до рішення'!F12</f>
        <v>0</v>
      </c>
      <c r="G16" s="2193">
        <f>'Додаток 3 до рішення'!G12</f>
        <v>5120.62</v>
      </c>
      <c r="H16" s="2145"/>
    </row>
    <row r="17" spans="1:8" x14ac:dyDescent="0.25">
      <c r="A17" s="2192" t="s">
        <v>2784</v>
      </c>
      <c r="B17" s="90" t="s">
        <v>2785</v>
      </c>
      <c r="C17" s="2193">
        <f>'Додаток 3 до рішення'!N13+'Додаток 5 до рішення'!C12</f>
        <v>2081.2600000000002</v>
      </c>
      <c r="D17" s="2193">
        <f>'Додаток 3 до рішення'!D13+'Додаток 5 до рішення'!D12</f>
        <v>0</v>
      </c>
      <c r="E17" s="2193">
        <f>'Додаток 3 до рішення'!E13+'Додаток 5 до рішення'!E12</f>
        <v>0</v>
      </c>
      <c r="F17" s="2193">
        <f>'Додаток 3 до рішення'!F13+'Додаток 5 до рішення'!F12</f>
        <v>0</v>
      </c>
      <c r="G17" s="2193">
        <f>'Додаток 3 до рішення'!G13+'Додаток 5 до рішення'!G12</f>
        <v>246.59</v>
      </c>
      <c r="H17" s="2145"/>
    </row>
    <row r="18" spans="1:8" x14ac:dyDescent="0.25">
      <c r="A18" s="2192" t="s">
        <v>2786</v>
      </c>
      <c r="B18" s="90" t="s">
        <v>2787</v>
      </c>
      <c r="C18" s="2193">
        <f>'Додаток 3 до рішення'!N14+'Додаток 5 до рішення'!C13</f>
        <v>447.58</v>
      </c>
      <c r="D18" s="2193">
        <f>'Додаток 3 до рішення'!D14+'Додаток 5 до рішення'!D13</f>
        <v>0</v>
      </c>
      <c r="E18" s="2193">
        <f>'Додаток 3 до рішення'!E14+'Додаток 5 до рішення'!E13</f>
        <v>0</v>
      </c>
      <c r="F18" s="2193">
        <f>'Додаток 3 до рішення'!F14+'Додаток 5 до рішення'!F13</f>
        <v>0</v>
      </c>
      <c r="G18" s="2193">
        <f>'Додаток 3 до рішення'!G14+'Додаток 5 до рішення'!G13</f>
        <v>53.74</v>
      </c>
      <c r="H18" s="2145"/>
    </row>
    <row r="19" spans="1:8" x14ac:dyDescent="0.25">
      <c r="A19" s="2192" t="s">
        <v>2788</v>
      </c>
      <c r="B19" s="90" t="s">
        <v>2151</v>
      </c>
      <c r="C19" s="2193">
        <f>'Додаток 3 до рішення'!N15+'Додаток 5 до рішення'!C14+'Додаток 6 до рішення'!N11</f>
        <v>347.99</v>
      </c>
      <c r="D19" s="2193">
        <f>'Додаток 3 до рішення'!D15+'Додаток 5 до рішення'!D14+'Додаток 6 до рішення'!D11</f>
        <v>0</v>
      </c>
      <c r="E19" s="2193">
        <f>'Додаток 3 до рішення'!E15+'Додаток 5 до рішення'!E14+'Додаток 6 до рішення'!E11</f>
        <v>0</v>
      </c>
      <c r="F19" s="2193">
        <f>'Додаток 3 до рішення'!F15+'Додаток 5 до рішення'!F14+'Додаток 6 до рішення'!F11</f>
        <v>0</v>
      </c>
      <c r="G19" s="2193">
        <f>'Додаток 3 до рішення'!G15+'Додаток 5 до рішення'!G14+'Додаток 6 до рішення'!G11</f>
        <v>39.29</v>
      </c>
      <c r="H19" s="2145"/>
    </row>
    <row r="20" spans="1:8" x14ac:dyDescent="0.25">
      <c r="A20" s="2194" t="s">
        <v>1674</v>
      </c>
      <c r="B20" s="174" t="s">
        <v>2789</v>
      </c>
      <c r="C20" s="2184">
        <f>'Додаток 3 до рішення'!N16+'Додаток 5 до рішення'!C15+'Додаток 6 до рішення'!N12</f>
        <v>7335.79</v>
      </c>
      <c r="D20" s="2184">
        <f>'Додаток 3 до рішення'!D16+'Додаток 5 до рішення'!D15+'Додаток 6 до рішення'!D12</f>
        <v>0</v>
      </c>
      <c r="E20" s="2184">
        <f>'Додаток 3 до рішення'!E16+'Додаток 5 до рішення'!E15+'Додаток 6 до рішення'!E12</f>
        <v>0</v>
      </c>
      <c r="F20" s="2184">
        <f>'Додаток 3 до рішення'!F16+'Додаток 5 до рішення'!F15+'Додаток 6 до рішення'!F12</f>
        <v>0</v>
      </c>
      <c r="G20" s="2184">
        <f>'Додаток 3 до рішення'!G16+'Додаток 5 до рішення'!G15+'Додаток 6 до рішення'!G12</f>
        <v>830.22</v>
      </c>
      <c r="H20" s="2145"/>
    </row>
    <row r="21" spans="1:8" x14ac:dyDescent="0.25">
      <c r="A21" s="2194" t="s">
        <v>1677</v>
      </c>
      <c r="B21" s="174" t="s">
        <v>2790</v>
      </c>
      <c r="C21" s="2184">
        <f>C22+C23+C24</f>
        <v>9511.7900000000009</v>
      </c>
      <c r="D21" s="2184">
        <f t="shared" ref="D21:G21" si="2">D22+D23+D24</f>
        <v>0</v>
      </c>
      <c r="E21" s="2184">
        <f t="shared" si="2"/>
        <v>0</v>
      </c>
      <c r="F21" s="2184">
        <f t="shared" si="2"/>
        <v>0</v>
      </c>
      <c r="G21" s="2184">
        <f t="shared" si="2"/>
        <v>1069.78</v>
      </c>
      <c r="H21" s="2145"/>
    </row>
    <row r="22" spans="1:8" x14ac:dyDescent="0.25">
      <c r="A22" s="2192" t="s">
        <v>2791</v>
      </c>
      <c r="B22" s="90" t="s">
        <v>2792</v>
      </c>
      <c r="C22" s="2193">
        <f>'Додаток 3 до рішення'!N18+'Додаток 5 до рішення'!C17+'Додаток 6 до рішення'!N14</f>
        <v>1613.88</v>
      </c>
      <c r="D22" s="2193">
        <f>'Додаток 3 до рішення'!D18+'Додаток 5 до рішення'!D17+'Додаток 6 до рішення'!D14</f>
        <v>0</v>
      </c>
      <c r="E22" s="2193">
        <f>'Додаток 3 до рішення'!E18+'Додаток 5 до рішення'!E17+'Додаток 6 до рішення'!E14</f>
        <v>0</v>
      </c>
      <c r="F22" s="2193">
        <f>'Додаток 3 до рішення'!F18+'Додаток 5 до рішення'!F17+'Додаток 6 до рішення'!F14</f>
        <v>0</v>
      </c>
      <c r="G22" s="2193">
        <f>'Додаток 3 до рішення'!G18+'Додаток 5 до рішення'!G17+'Додаток 6 до рішення'!G14</f>
        <v>182.65</v>
      </c>
      <c r="H22" s="2145"/>
    </row>
    <row r="23" spans="1:8" x14ac:dyDescent="0.25">
      <c r="A23" s="2192" t="s">
        <v>2793</v>
      </c>
      <c r="B23" s="90" t="s">
        <v>2794</v>
      </c>
      <c r="C23" s="2193">
        <f>'Додаток 3 до рішення'!N19+'Додаток 5 до рішення'!C18+'Додаток 6 до рішення'!N15</f>
        <v>2155.46</v>
      </c>
      <c r="D23" s="2193">
        <f>'Додаток 3 до рішення'!D19+'Додаток 5 до рішення'!D18+'Додаток 6 до рішення'!D15</f>
        <v>0</v>
      </c>
      <c r="E23" s="2193">
        <f>'Додаток 3 до рішення'!E19+'Додаток 5 до рішення'!E18+'Додаток 6 до рішення'!E15</f>
        <v>0</v>
      </c>
      <c r="F23" s="2193">
        <f>'Додаток 3 до рішення'!F19+'Додаток 5 до рішення'!F18+'Додаток 6 до рішення'!F15</f>
        <v>0</v>
      </c>
      <c r="G23" s="2193">
        <f>'Додаток 3 до рішення'!G19+'Додаток 5 до рішення'!G18+'Додаток 6 до рішення'!G15</f>
        <v>235</v>
      </c>
      <c r="H23" s="2145"/>
    </row>
    <row r="24" spans="1:8" x14ac:dyDescent="0.25">
      <c r="A24" s="2192" t="s">
        <v>2795</v>
      </c>
      <c r="B24" s="90" t="s">
        <v>82</v>
      </c>
      <c r="C24" s="2193">
        <f>'Додаток 3 до рішення'!N20+'Додаток 5 до рішення'!C19+'Додаток 6 до рішення'!N16</f>
        <v>5742.45</v>
      </c>
      <c r="D24" s="2193">
        <f>'Додаток 3 до рішення'!D20+'Додаток 5 до рішення'!D19+'Додаток 6 до рішення'!D16</f>
        <v>0</v>
      </c>
      <c r="E24" s="2193">
        <f>'Додаток 3 до рішення'!E20+'Додаток 5 до рішення'!E19+'Додаток 6 до рішення'!E16</f>
        <v>0</v>
      </c>
      <c r="F24" s="2193">
        <f>'Додаток 3 до рішення'!F20+'Додаток 5 до рішення'!F19+'Додаток 6 до рішення'!F16</f>
        <v>0</v>
      </c>
      <c r="G24" s="2193">
        <f>'Додаток 3 до рішення'!G20+'Додаток 5 до рішення'!G19+'Додаток 6 до рішення'!G16</f>
        <v>652.13</v>
      </c>
      <c r="H24" s="2145"/>
    </row>
    <row r="25" spans="1:8" s="23" customFormat="1" ht="14.25" x14ac:dyDescent="0.2">
      <c r="A25" s="2194" t="s">
        <v>1679</v>
      </c>
      <c r="B25" s="174" t="s">
        <v>2796</v>
      </c>
      <c r="C25" s="2184">
        <f>C26+C27+C28+C29</f>
        <v>3404.33</v>
      </c>
      <c r="D25" s="177">
        <f t="shared" ref="D25:G25" si="3">D26+D27+D28+D29</f>
        <v>0</v>
      </c>
      <c r="E25" s="177">
        <f t="shared" si="3"/>
        <v>0</v>
      </c>
      <c r="F25" s="177">
        <f t="shared" si="3"/>
        <v>0</v>
      </c>
      <c r="G25" s="177">
        <f t="shared" si="3"/>
        <v>372.81</v>
      </c>
      <c r="H25" s="2145"/>
    </row>
    <row r="26" spans="1:8" x14ac:dyDescent="0.25">
      <c r="A26" s="2195" t="s">
        <v>2797</v>
      </c>
      <c r="B26" s="90" t="s">
        <v>2798</v>
      </c>
      <c r="C26" s="2193">
        <f>'Додаток 3 до рішення'!N22+'Додаток 5 до рішення'!C21+'Додаток 6 до рішення'!N18</f>
        <v>2267.2399999999998</v>
      </c>
      <c r="D26" s="2193">
        <f>'Додаток 3 до рішення'!D22+'Додаток 5 до рішення'!D21+'Додаток 6 до рішення'!D18</f>
        <v>0</v>
      </c>
      <c r="E26" s="2193">
        <f>'Додаток 3 до рішення'!E22+'Додаток 5 до рішення'!E21+'Додаток 6 до рішення'!E18</f>
        <v>0</v>
      </c>
      <c r="F26" s="2193">
        <f>'Додаток 3 до рішення'!F22+'Додаток 5 до рішення'!F21+'Додаток 6 до рішення'!F18</f>
        <v>0</v>
      </c>
      <c r="G26" s="2193">
        <f>'Додаток 3 до рішення'!G22+'Додаток 5 до рішення'!G21+'Додаток 6 до рішення'!G18</f>
        <v>248.29</v>
      </c>
      <c r="H26" s="2145"/>
    </row>
    <row r="27" spans="1:8" x14ac:dyDescent="0.25">
      <c r="A27" s="2195" t="s">
        <v>2799</v>
      </c>
      <c r="B27" s="90" t="s">
        <v>2153</v>
      </c>
      <c r="C27" s="2193">
        <f>'Додаток 3 до рішення'!N23+'Додаток 5 до рішення'!C22+'Додаток 6 до рішення'!N19</f>
        <v>498.8</v>
      </c>
      <c r="D27" s="2193">
        <f>'Додаток 3 до рішення'!D23+'Додаток 5 до рішення'!D22+'Додаток 6 до рішення'!D19</f>
        <v>0</v>
      </c>
      <c r="E27" s="2193">
        <f>'Додаток 3 до рішення'!E23+'Додаток 5 до рішення'!E22+'Додаток 6 до рішення'!E19</f>
        <v>0</v>
      </c>
      <c r="F27" s="2193">
        <f>'Додаток 3 до рішення'!F23+'Додаток 5 до рішення'!F22+'Додаток 6 до рішення'!F19</f>
        <v>0</v>
      </c>
      <c r="G27" s="2193">
        <f>'Додаток 3 до рішення'!G23+'Додаток 5 до рішення'!G22+'Додаток 6 до рішення'!G19</f>
        <v>54.62</v>
      </c>
      <c r="H27" s="2145"/>
    </row>
    <row r="28" spans="1:8" x14ac:dyDescent="0.25">
      <c r="A28" s="2195" t="s">
        <v>2800</v>
      </c>
      <c r="B28" s="90" t="s">
        <v>2794</v>
      </c>
      <c r="C28" s="2193">
        <f>'Додаток 3 до рішення'!N24+'Додаток 5 до рішення'!C23+'Додаток 6 до рішення'!N20</f>
        <v>30.94</v>
      </c>
      <c r="D28" s="2193">
        <f>'Додаток 3 до рішення'!D24+'Додаток 5 до рішення'!D23+'Додаток 6 до рішення'!D20</f>
        <v>0</v>
      </c>
      <c r="E28" s="2193">
        <f>'Додаток 3 до рішення'!E24+'Додаток 5 до рішення'!E23+'Додаток 6 до рішення'!E20</f>
        <v>0</v>
      </c>
      <c r="F28" s="2193">
        <f>'Додаток 3 до рішення'!F24+'Додаток 5 до рішення'!F23+'Додаток 6 до рішення'!F20</f>
        <v>0</v>
      </c>
      <c r="G28" s="2193">
        <f>'Додаток 3 до рішення'!G24+'Додаток 5 до рішення'!G23+'Додаток 6 до рішення'!G20</f>
        <v>3.38</v>
      </c>
      <c r="H28" s="2145"/>
    </row>
    <row r="29" spans="1:8" x14ac:dyDescent="0.25">
      <c r="A29" s="2195" t="s">
        <v>2801</v>
      </c>
      <c r="B29" s="90" t="s">
        <v>58</v>
      </c>
      <c r="C29" s="2193">
        <f>'Додаток 3 до рішення'!N25+'Додаток 5 до рішення'!C24+'Додаток 6 до рішення'!N21</f>
        <v>607.35</v>
      </c>
      <c r="D29" s="2193">
        <f>'Додаток 3 до рішення'!D25+'Додаток 5 до рішення'!D24+'Додаток 6 до рішення'!D21</f>
        <v>0</v>
      </c>
      <c r="E29" s="2193">
        <f>'Додаток 3 до рішення'!E25+'Додаток 5 до рішення'!E24+'Додаток 6 до рішення'!E21</f>
        <v>0</v>
      </c>
      <c r="F29" s="2193">
        <f>'Додаток 3 до рішення'!F25+'Додаток 5 до рішення'!F24+'Додаток 6 до рішення'!F21</f>
        <v>0</v>
      </c>
      <c r="G29" s="2193">
        <f>'Додаток 3 до рішення'!G25+'Додаток 5 до рішення'!G24+'Додаток 6 до рішення'!G21</f>
        <v>66.52</v>
      </c>
      <c r="H29" s="2145"/>
    </row>
    <row r="30" spans="1:8" s="23" customFormat="1" ht="14.25" x14ac:dyDescent="0.2">
      <c r="A30" s="2190" t="s">
        <v>1692</v>
      </c>
      <c r="B30" s="174" t="s">
        <v>2802</v>
      </c>
      <c r="C30" s="2184">
        <f>C31+C32+C33+C34</f>
        <v>1357.28</v>
      </c>
      <c r="D30" s="177">
        <f t="shared" ref="D30:E30" si="4">D31+D32+D33+D34</f>
        <v>0</v>
      </c>
      <c r="E30" s="177">
        <f t="shared" si="4"/>
        <v>0</v>
      </c>
      <c r="F30" s="177">
        <f>F31+F32+F33+F34</f>
        <v>0</v>
      </c>
      <c r="G30" s="177">
        <f t="shared" ref="G30" si="5">G31+G32+G33+G34</f>
        <v>148.75</v>
      </c>
      <c r="H30" s="2145"/>
    </row>
    <row r="31" spans="1:8" x14ac:dyDescent="0.25">
      <c r="A31" s="2195" t="s">
        <v>2803</v>
      </c>
      <c r="B31" s="90" t="s">
        <v>55</v>
      </c>
      <c r="C31" s="2193">
        <f>'Додаток 3 до рішення'!N27+'Додаток 5 до рішення'!C26+'Додаток 6 до рішення'!N23</f>
        <v>845.2</v>
      </c>
      <c r="D31" s="2193">
        <f>'Додаток 3 до рішення'!D27+'Додаток 5 до рішення'!D26+'Додаток 6 до рішення'!D23</f>
        <v>0</v>
      </c>
      <c r="E31" s="2193">
        <f>'Додаток 3 до рішення'!E27+'Додаток 5 до рішення'!E26+'Додаток 6 до рішення'!E23</f>
        <v>0</v>
      </c>
      <c r="F31" s="2193">
        <f>'Додаток 3 до рішення'!F27+'Додаток 5 до рішення'!F26+'Додаток 6 до рішення'!F23</f>
        <v>0</v>
      </c>
      <c r="G31" s="2193">
        <f>'Додаток 3 до рішення'!G27+'Додаток 5 до рішення'!G26+'Додаток 6 до рішення'!G23</f>
        <v>92.55</v>
      </c>
      <c r="H31" s="2145"/>
    </row>
    <row r="32" spans="1:8" x14ac:dyDescent="0.25">
      <c r="A32" s="2195" t="s">
        <v>2804</v>
      </c>
      <c r="B32" s="90" t="s">
        <v>2805</v>
      </c>
      <c r="C32" s="2193">
        <f>'Додаток 3 до рішення'!N28+'Додаток 5 до рішення'!C27+'Додаток 6 до рішення'!N24</f>
        <v>185.95</v>
      </c>
      <c r="D32" s="2193">
        <f>'Додаток 3 до рішення'!D28+'Додаток 5 до рішення'!D27+'Додаток 6 до рішення'!D24</f>
        <v>0</v>
      </c>
      <c r="E32" s="2193">
        <f>'Додаток 3 до рішення'!E28+'Додаток 5 до рішення'!E27+'Додаток 6 до рішення'!E24</f>
        <v>0</v>
      </c>
      <c r="F32" s="2193">
        <f>'Додаток 3 до рішення'!F28+'Додаток 5 до рішення'!F27+'Додаток 6 до рішення'!F24</f>
        <v>0</v>
      </c>
      <c r="G32" s="2193">
        <f>'Додаток 3 до рішення'!G28+'Додаток 5 до рішення'!G27+'Додаток 6 до рішення'!G24</f>
        <v>20.37</v>
      </c>
      <c r="H32" s="2145"/>
    </row>
    <row r="33" spans="1:8" x14ac:dyDescent="0.25">
      <c r="A33" s="2195" t="s">
        <v>2806</v>
      </c>
      <c r="B33" s="90" t="s">
        <v>2794</v>
      </c>
      <c r="C33" s="2193">
        <f>'Додаток 3 до рішення'!N29+'Додаток 5 до рішення'!C28+'Додаток 6 до рішення'!N25</f>
        <v>21.44</v>
      </c>
      <c r="D33" s="2193">
        <f>'Додаток 3 до рішення'!D29+'Додаток 5 до рішення'!D28+'Додаток 6 до рішення'!D25</f>
        <v>0</v>
      </c>
      <c r="E33" s="2193">
        <f>'Додаток 3 до рішення'!E29+'Додаток 5 до рішення'!E28+'Додаток 6 до рішення'!E25</f>
        <v>0</v>
      </c>
      <c r="F33" s="2193">
        <f>'Додаток 3 до рішення'!F29+'Додаток 5 до рішення'!F28+'Додаток 6 до рішення'!F25</f>
        <v>0</v>
      </c>
      <c r="G33" s="2193">
        <f>'Додаток 3 до рішення'!G29+'Додаток 5 до рішення'!G28+'Додаток 6 до рішення'!G25</f>
        <v>2.35</v>
      </c>
      <c r="H33" s="2145"/>
    </row>
    <row r="34" spans="1:8" x14ac:dyDescent="0.25">
      <c r="A34" s="2195" t="s">
        <v>2807</v>
      </c>
      <c r="B34" s="90" t="s">
        <v>2808</v>
      </c>
      <c r="C34" s="2193">
        <f>'Додаток 3 до рішення'!N30+'Додаток 5 до рішення'!C29+'Додаток 6 до рішення'!N26</f>
        <v>304.69</v>
      </c>
      <c r="D34" s="2193">
        <f>'Додаток 3 до рішення'!D30+'Додаток 5 до рішення'!D29+'Додаток 6 до рішення'!D26</f>
        <v>0</v>
      </c>
      <c r="E34" s="2193">
        <f>'Додаток 3 до рішення'!E30+'Додаток 5 до рішення'!E29+'Додаток 6 до рішення'!E26</f>
        <v>0</v>
      </c>
      <c r="F34" s="2193">
        <f>'Додаток 3 до рішення'!F30+'Додаток 5 до рішення'!F29+'Додаток 6 до рішення'!F26</f>
        <v>0</v>
      </c>
      <c r="G34" s="2193">
        <f>'Додаток 3 до рішення'!G30+'Додаток 5 до рішення'!G29+'Додаток 6 до рішення'!G26</f>
        <v>33.479999999999997</v>
      </c>
      <c r="H34" s="2145"/>
    </row>
    <row r="35" spans="1:8" s="23" customFormat="1" ht="14.25" x14ac:dyDescent="0.2">
      <c r="A35" s="2190" t="s">
        <v>1694</v>
      </c>
      <c r="B35" s="174" t="s">
        <v>2809</v>
      </c>
      <c r="C35" s="2190">
        <v>0</v>
      </c>
      <c r="D35" s="2190">
        <v>0</v>
      </c>
      <c r="E35" s="2190">
        <v>0</v>
      </c>
      <c r="F35" s="2190">
        <v>0</v>
      </c>
      <c r="G35" s="2190">
        <v>0</v>
      </c>
      <c r="H35" s="2145"/>
    </row>
    <row r="36" spans="1:8" s="23" customFormat="1" ht="42.75" x14ac:dyDescent="0.2">
      <c r="A36" s="2190" t="s">
        <v>1697</v>
      </c>
      <c r="B36" s="2196" t="s">
        <v>2810</v>
      </c>
      <c r="C36" s="2184">
        <f>'Додаток 5 до рішення'!C32</f>
        <v>7257.47</v>
      </c>
      <c r="D36" s="2184">
        <f>'Додаток 5 до рішення'!D32</f>
        <v>0</v>
      </c>
      <c r="E36" s="2184">
        <f>'Додаток 5 до рішення'!E32</f>
        <v>0</v>
      </c>
      <c r="F36" s="2184">
        <f>'Додаток 5 до рішення'!F32</f>
        <v>0</v>
      </c>
      <c r="G36" s="2184">
        <f>'Додаток 5 до рішення'!G32</f>
        <v>878.56</v>
      </c>
      <c r="H36" s="2145"/>
    </row>
    <row r="37" spans="1:8" s="23" customFormat="1" ht="14.25" x14ac:dyDescent="0.2">
      <c r="A37" s="2190" t="s">
        <v>1769</v>
      </c>
      <c r="B37" s="174" t="s">
        <v>2811</v>
      </c>
      <c r="C37" s="2184">
        <f>'Додаток 3 до рішення'!N32+'Додаток 5 до рішення'!C33+'Додаток 6 до рішення'!N28</f>
        <v>0</v>
      </c>
      <c r="D37" s="2184">
        <f>'Додаток 3 до рішення'!D32+'Додаток 5 до рішення'!D33+'Додаток 6 до рішення'!D28</f>
        <v>0</v>
      </c>
      <c r="E37" s="2184">
        <f>'Додаток 3 до рішення'!E32+'Додаток 5 до рішення'!E33+'Додаток 6 до рішення'!E28</f>
        <v>0</v>
      </c>
      <c r="F37" s="2184">
        <f>'Додаток 3 до рішення'!F32+'Додаток 5 до рішення'!F33+'Додаток 6 до рішення'!F28</f>
        <v>0</v>
      </c>
      <c r="G37" s="2184">
        <f>'Додаток 3 до рішення'!G32+'Додаток 5 до рішення'!G33+'Додаток 6 до рішення'!G28</f>
        <v>0</v>
      </c>
      <c r="H37" s="2145"/>
    </row>
    <row r="38" spans="1:8" s="23" customFormat="1" ht="14.25" x14ac:dyDescent="0.2">
      <c r="A38" s="2190" t="s">
        <v>1775</v>
      </c>
      <c r="B38" s="174" t="s">
        <v>2812</v>
      </c>
      <c r="C38" s="2190">
        <v>0</v>
      </c>
      <c r="D38" s="2190">
        <v>0</v>
      </c>
      <c r="E38" s="2190">
        <v>0</v>
      </c>
      <c r="F38" s="2190">
        <v>0</v>
      </c>
      <c r="G38" s="2190">
        <v>0</v>
      </c>
      <c r="H38" s="2145"/>
    </row>
    <row r="39" spans="1:8" s="2224" customFormat="1" ht="14.25" x14ac:dyDescent="0.2">
      <c r="A39" s="2220" t="s">
        <v>1781</v>
      </c>
      <c r="B39" s="2221" t="s">
        <v>2813</v>
      </c>
      <c r="C39" s="2222">
        <f>'Додаток 3 до рішення'!N34</f>
        <v>0</v>
      </c>
      <c r="D39" s="2222">
        <f>'Додаток 3 до рішення'!D34</f>
        <v>0</v>
      </c>
      <c r="E39" s="2222">
        <f>'Додаток 3 до рішення'!E34</f>
        <v>0</v>
      </c>
      <c r="F39" s="2222">
        <f>'Додаток 3 до рішення'!F34</f>
        <v>0</v>
      </c>
      <c r="G39" s="2222">
        <f>'Додаток 3 до рішення'!G34</f>
        <v>0</v>
      </c>
      <c r="H39" s="2223"/>
    </row>
    <row r="40" spans="1:8" s="23" customFormat="1" ht="14.25" x14ac:dyDescent="0.2">
      <c r="A40" s="2190" t="s">
        <v>1783</v>
      </c>
      <c r="B40" s="174" t="s">
        <v>2814</v>
      </c>
      <c r="C40" s="2184">
        <f>SUM(C41:C44)</f>
        <v>4519.33</v>
      </c>
      <c r="D40" s="2184">
        <f t="shared" ref="D40:G40" si="6">SUM(D41:D44)</f>
        <v>0</v>
      </c>
      <c r="E40" s="2184">
        <f t="shared" si="6"/>
        <v>0</v>
      </c>
      <c r="F40" s="2184">
        <f t="shared" si="6"/>
        <v>0</v>
      </c>
      <c r="G40" s="2184">
        <f t="shared" si="6"/>
        <v>499.69</v>
      </c>
      <c r="H40" s="2145"/>
    </row>
    <row r="41" spans="1:8" x14ac:dyDescent="0.25">
      <c r="A41" s="2195" t="s">
        <v>1098</v>
      </c>
      <c r="B41" s="90" t="s">
        <v>65</v>
      </c>
      <c r="C41" s="2193">
        <f>'Додаток 3 до рішення'!N36+'Додаток 5 до рішення'!C37+'Додаток 6 до рішення'!N32</f>
        <v>570.47</v>
      </c>
      <c r="D41" s="2193">
        <f>'Додаток 3 до рішення'!D36+'Додаток 5 до рішення'!D37+'Додаток 6 до рішення'!D32</f>
        <v>0</v>
      </c>
      <c r="E41" s="2193">
        <f>'Додаток 3 до рішення'!E36+'Додаток 5 до рішення'!E37+'Додаток 6 до рішення'!E32</f>
        <v>0</v>
      </c>
      <c r="F41" s="2193">
        <f>'Додаток 3 до рішення'!F36+'Додаток 5 до рішення'!F37+'Додаток 6 до рішення'!F32</f>
        <v>0</v>
      </c>
      <c r="G41" s="2193">
        <f>'Додаток 3 до рішення'!G36+'Додаток 5 до рішення'!G37+'Додаток 6 до рішення'!G32</f>
        <v>63.08</v>
      </c>
      <c r="H41" s="2145"/>
    </row>
    <row r="42" spans="1:8" x14ac:dyDescent="0.25">
      <c r="A42" s="2195" t="s">
        <v>2815</v>
      </c>
      <c r="B42" s="90" t="s">
        <v>85</v>
      </c>
      <c r="C42" s="2193">
        <f>'Додаток 3 до рішення'!N37+'Додаток 5 до рішення'!C38+'Додаток 6 до рішення'!N33</f>
        <v>779.62</v>
      </c>
      <c r="D42" s="2193">
        <f>'Додаток 3 до рішення'!D37+'Додаток 5 до рішення'!D38+'Додаток 6 до рішення'!D33</f>
        <v>0</v>
      </c>
      <c r="E42" s="2193">
        <f>'Додаток 3 до рішення'!E37+'Додаток 5 до рішення'!E38+'Додаток 6 до рішення'!E33</f>
        <v>0</v>
      </c>
      <c r="F42" s="2193">
        <f>'Додаток 3 до рішення'!F37+'Додаток 5 до рішення'!F38+'Додаток 6 до рішення'!F33</f>
        <v>0</v>
      </c>
      <c r="G42" s="2193">
        <f>'Додаток 3 до рішення'!G37+'Додаток 5 до рішення'!G38+'Додаток 6 до рішення'!G33</f>
        <v>86.2</v>
      </c>
      <c r="H42" s="2145"/>
    </row>
    <row r="43" spans="1:8" x14ac:dyDescent="0.25">
      <c r="A43" s="2195" t="s">
        <v>2816</v>
      </c>
      <c r="B43" s="90" t="s">
        <v>71</v>
      </c>
      <c r="C43" s="2193">
        <f>'Додаток 3 до рішення'!N38+'Додаток 5 до рішення'!C39+'Додаток 6 до рішення'!N34</f>
        <v>0</v>
      </c>
      <c r="D43" s="2193">
        <f>'Додаток 3 до рішення'!D38+'Додаток 5 до рішення'!D39+'Додаток 6 до рішення'!D34</f>
        <v>0</v>
      </c>
      <c r="E43" s="2193">
        <f>'Додаток 3 до рішення'!E38+'Додаток 5 до рішення'!E39+'Додаток 6 до рішення'!E34</f>
        <v>0</v>
      </c>
      <c r="F43" s="2193">
        <f>'Додаток 3 до рішення'!F38+'Додаток 5 до рішення'!F39+'Додаток 6 до рішення'!F34</f>
        <v>0</v>
      </c>
      <c r="G43" s="2193">
        <f>'Додаток 3 до рішення'!G38+'Додаток 5 до рішення'!G39+'Додаток 6 до рішення'!G34</f>
        <v>0</v>
      </c>
      <c r="H43" s="2145"/>
    </row>
    <row r="44" spans="1:8" ht="15.75" thickBot="1" x14ac:dyDescent="0.3">
      <c r="A44" s="2197" t="s">
        <v>2817</v>
      </c>
      <c r="B44" s="2198" t="s">
        <v>2375</v>
      </c>
      <c r="C44" s="2199">
        <f>'Додаток 3 до рішення'!N39+'Додаток 5 до рішення'!C40+'Додаток 6 до рішення'!N35</f>
        <v>3169.24</v>
      </c>
      <c r="D44" s="2199">
        <f>'Додаток 3 до рішення'!D39+'Додаток 5 до рішення'!D40+'Додаток 6 до рішення'!D35</f>
        <v>0</v>
      </c>
      <c r="E44" s="2199">
        <f>'Додаток 3 до рішення'!E39+'Додаток 5 до рішення'!E40+'Додаток 6 до рішення'!E35</f>
        <v>0</v>
      </c>
      <c r="F44" s="2199">
        <f>'Додаток 3 до рішення'!F39+'Додаток 5 до рішення'!F40+'Додаток 6 до рішення'!F35</f>
        <v>0</v>
      </c>
      <c r="G44" s="2199">
        <f>'Додаток 3 до рішення'!G39+'Додаток 5 до рішення'!G40+'Додаток 6 до рішення'!G35</f>
        <v>350.41</v>
      </c>
      <c r="H44" s="2145"/>
    </row>
    <row r="45" spans="1:8" ht="15.75" thickBot="1" x14ac:dyDescent="0.3">
      <c r="A45" s="2189" t="s">
        <v>1785</v>
      </c>
      <c r="B45" s="2200" t="s">
        <v>2818</v>
      </c>
      <c r="C45" s="2201">
        <f>C14+C30+C35+C36+C37+C38+C39+C40</f>
        <v>83750.39</v>
      </c>
      <c r="D45" s="2201">
        <f t="shared" ref="D45:G45" si="7">D14+D30+D35+D36+D37+D38+D39+D40</f>
        <v>0</v>
      </c>
      <c r="E45" s="2201">
        <f t="shared" si="7"/>
        <v>0</v>
      </c>
      <c r="F45" s="2201">
        <f t="shared" si="7"/>
        <v>0</v>
      </c>
      <c r="G45" s="2201">
        <f t="shared" si="7"/>
        <v>9260.0499999999993</v>
      </c>
      <c r="H45" s="2145"/>
    </row>
    <row r="46" spans="1:8" ht="32.25" thickBot="1" x14ac:dyDescent="0.3">
      <c r="A46" s="2189" t="s">
        <v>1789</v>
      </c>
      <c r="B46" s="1218" t="s">
        <v>3091</v>
      </c>
      <c r="C46" s="2636">
        <f>'Додаток 3 до рішення'!N8</f>
        <v>9.2737999999999996</v>
      </c>
      <c r="D46" s="2201">
        <f>'Додаток 3 до рішення'!O8</f>
        <v>0</v>
      </c>
      <c r="E46" s="2201">
        <f>'Додаток 3 до рішення'!P8</f>
        <v>0</v>
      </c>
      <c r="F46" s="2201">
        <f>'Додаток 3 до рішення'!Q8</f>
        <v>0</v>
      </c>
      <c r="G46" s="2636">
        <f>'Додаток 3 до рішення'!R8</f>
        <v>9.2737999999999996</v>
      </c>
      <c r="H46" s="2145"/>
    </row>
    <row r="47" spans="1:8" s="23" customFormat="1" ht="29.25" thickBot="1" x14ac:dyDescent="0.25">
      <c r="A47" s="2189" t="s">
        <v>1791</v>
      </c>
      <c r="B47" s="2200" t="s">
        <v>3426</v>
      </c>
      <c r="C47" s="2636">
        <f>'Додаток 6 до рішення'!N8</f>
        <v>8.26065</v>
      </c>
      <c r="D47" s="2201">
        <f>'Додаток 6 до рішення'!O8</f>
        <v>0</v>
      </c>
      <c r="E47" s="2201">
        <f>'Додаток 6 до рішення'!P8</f>
        <v>0</v>
      </c>
      <c r="F47" s="2201">
        <f>'Додаток 6 до рішення'!Q8</f>
        <v>0</v>
      </c>
      <c r="G47" s="2636">
        <f>'Додаток 6 до рішення'!R8</f>
        <v>8.26065</v>
      </c>
      <c r="H47" s="2145"/>
    </row>
    <row r="48" spans="1:8" x14ac:dyDescent="0.25">
      <c r="C48" s="3638"/>
    </row>
    <row r="49" spans="2:7" ht="15.75" x14ac:dyDescent="0.25">
      <c r="B49" s="58" t="s">
        <v>2846</v>
      </c>
      <c r="C49" s="3560"/>
      <c r="D49" s="2202"/>
      <c r="E49" s="2202"/>
      <c r="F49" s="2202" t="s">
        <v>2847</v>
      </c>
      <c r="G49" s="2202"/>
    </row>
    <row r="50" spans="2:7" x14ac:dyDescent="0.25">
      <c r="C50" s="3561"/>
      <c r="D50" s="2204"/>
      <c r="E50" s="2202"/>
      <c r="F50" s="2403"/>
      <c r="G50" s="2202"/>
    </row>
    <row r="51" spans="2:7" x14ac:dyDescent="0.25">
      <c r="C51" s="3560"/>
      <c r="D51" s="2202"/>
      <c r="E51" s="2202"/>
      <c r="F51" s="2202"/>
      <c r="G51" s="2202"/>
    </row>
    <row r="52" spans="2:7" x14ac:dyDescent="0.25">
      <c r="C52" s="3460">
        <f>C50+'Додаток 1 до рішення'!C49</f>
        <v>0</v>
      </c>
    </row>
    <row r="53" spans="2:7" x14ac:dyDescent="0.25">
      <c r="C53" s="3460">
        <f>КОНТРОЛЬ!O32</f>
        <v>97072.22</v>
      </c>
    </row>
    <row r="54" spans="2:7" x14ac:dyDescent="0.25">
      <c r="C54" s="3461">
        <f>сведено!G14</f>
        <v>97072.26</v>
      </c>
    </row>
  </sheetData>
  <mergeCells count="8">
    <mergeCell ref="E1:G1"/>
    <mergeCell ref="B8:G8"/>
    <mergeCell ref="B13:G13"/>
    <mergeCell ref="B3:F3"/>
    <mergeCell ref="A5:A6"/>
    <mergeCell ref="B5:B6"/>
    <mergeCell ref="C5:C6"/>
    <mergeCell ref="D5:G5"/>
  </mergeCells>
  <pageMargins left="0.78740157480314965" right="0.35433070866141736" top="0.78740157480314965" bottom="0.47244094488188981" header="0.31496062992125984" footer="0.31496062992125984"/>
  <pageSetup paperSize="9" scale="66" fitToHeight="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C20C5"/>
    <pageSetUpPr fitToPage="1"/>
  </sheetPr>
  <dimension ref="A1:V48"/>
  <sheetViews>
    <sheetView zoomScaleNormal="100" workbookViewId="0">
      <selection activeCell="A3" sqref="A3:G3"/>
    </sheetView>
  </sheetViews>
  <sheetFormatPr defaultColWidth="9.140625" defaultRowHeight="15" x14ac:dyDescent="0.25"/>
  <cols>
    <col min="1" max="1" width="7.85546875" style="1791" customWidth="1"/>
    <col min="2" max="2" width="45.5703125" style="18" customWidth="1"/>
    <col min="3" max="3" width="11.85546875" style="18" customWidth="1"/>
    <col min="4" max="4" width="11.5703125" style="1791" customWidth="1"/>
    <col min="5" max="5" width="13.7109375" style="18" customWidth="1"/>
    <col min="6" max="6" width="14.42578125" style="18" customWidth="1"/>
    <col min="7" max="7" width="14.7109375" style="18" customWidth="1"/>
    <col min="8" max="8" width="13.28515625" style="1251" hidden="1" customWidth="1"/>
    <col min="9" max="13" width="12" style="18" hidden="1" customWidth="1"/>
    <col min="14" max="14" width="11.7109375" style="18" hidden="1" customWidth="1"/>
    <col min="15" max="18" width="12" style="18" hidden="1" customWidth="1"/>
    <col min="19" max="16384" width="9.140625" style="18"/>
  </cols>
  <sheetData>
    <row r="1" spans="1:18" ht="81.599999999999994" customHeight="1" x14ac:dyDescent="0.25">
      <c r="A1" s="3553"/>
      <c r="E1" s="4577" t="s">
        <v>3519</v>
      </c>
      <c r="F1" s="4577"/>
      <c r="G1" s="4577"/>
    </row>
    <row r="2" spans="1:18" ht="20.25" hidden="1" customHeight="1" x14ac:dyDescent="0.25">
      <c r="A2" s="3553"/>
      <c r="E2" s="231"/>
      <c r="F2" s="231"/>
      <c r="G2" s="231"/>
    </row>
    <row r="3" spans="1:18" ht="53.25" customHeight="1" x14ac:dyDescent="0.25">
      <c r="A3" s="4021" t="s">
        <v>3509</v>
      </c>
      <c r="B3" s="4021"/>
      <c r="C3" s="4021"/>
      <c r="D3" s="4021"/>
      <c r="E3" s="4021"/>
      <c r="F3" s="4021"/>
      <c r="G3" s="4021"/>
    </row>
    <row r="4" spans="1:18" ht="15.75" thickBot="1" x14ac:dyDescent="0.3">
      <c r="G4" s="18" t="s">
        <v>1649</v>
      </c>
      <c r="I4" s="821" t="s">
        <v>2221</v>
      </c>
      <c r="J4" s="821"/>
      <c r="K4" s="821"/>
      <c r="L4" s="821"/>
      <c r="M4" s="821"/>
      <c r="N4" s="821" t="s">
        <v>2222</v>
      </c>
      <c r="O4" s="821"/>
      <c r="P4" s="821"/>
      <c r="Q4" s="821"/>
      <c r="R4" s="821"/>
    </row>
    <row r="5" spans="1:18" ht="15.75" thickBot="1" x14ac:dyDescent="0.3">
      <c r="A5" s="4022" t="s">
        <v>7</v>
      </c>
      <c r="B5" s="4022" t="s">
        <v>619</v>
      </c>
      <c r="C5" s="4022" t="s">
        <v>2766</v>
      </c>
      <c r="D5" s="4025" t="s">
        <v>2767</v>
      </c>
      <c r="E5" s="4026"/>
      <c r="F5" s="4026"/>
      <c r="G5" s="4027"/>
      <c r="H5" s="1252"/>
      <c r="I5" s="4022" t="s">
        <v>2766</v>
      </c>
      <c r="J5" s="2215"/>
      <c r="K5" s="2215"/>
      <c r="L5" s="2215"/>
      <c r="M5" s="2215"/>
      <c r="N5" s="4022" t="s">
        <v>2766</v>
      </c>
      <c r="O5" s="2215"/>
      <c r="P5" s="2215"/>
      <c r="Q5" s="2215"/>
      <c r="R5" s="2215"/>
    </row>
    <row r="6" spans="1:18" ht="57.6" customHeight="1" thickBot="1" x14ac:dyDescent="0.3">
      <c r="A6" s="4023"/>
      <c r="B6" s="4024"/>
      <c r="C6" s="4024"/>
      <c r="D6" s="2176" t="s">
        <v>2768</v>
      </c>
      <c r="E6" s="2176" t="s">
        <v>2769</v>
      </c>
      <c r="F6" s="2176" t="s">
        <v>3058</v>
      </c>
      <c r="G6" s="2176" t="s">
        <v>2835</v>
      </c>
      <c r="I6" s="4024"/>
      <c r="J6" s="2176" t="s">
        <v>2768</v>
      </c>
      <c r="K6" s="2176" t="s">
        <v>2769</v>
      </c>
      <c r="L6" s="2176" t="s">
        <v>2770</v>
      </c>
      <c r="M6" s="2176" t="s">
        <v>2835</v>
      </c>
      <c r="N6" s="4024"/>
      <c r="O6" s="2176" t="s">
        <v>2768</v>
      </c>
      <c r="P6" s="2176" t="s">
        <v>2769</v>
      </c>
      <c r="Q6" s="2176" t="s">
        <v>2770</v>
      </c>
      <c r="R6" s="2176" t="s">
        <v>2835</v>
      </c>
    </row>
    <row r="7" spans="1:18" ht="15.75" thickBot="1" x14ac:dyDescent="0.3">
      <c r="A7" s="2177">
        <v>1</v>
      </c>
      <c r="B7" s="2178">
        <v>2</v>
      </c>
      <c r="C7" s="2163">
        <v>3</v>
      </c>
      <c r="D7" s="2177">
        <v>4</v>
      </c>
      <c r="E7" s="2163">
        <v>5</v>
      </c>
      <c r="F7" s="2178">
        <v>6</v>
      </c>
      <c r="G7" s="2164">
        <v>7</v>
      </c>
    </row>
    <row r="8" spans="1:18" ht="29.25" thickBot="1" x14ac:dyDescent="0.3">
      <c r="A8" s="2205" t="s">
        <v>2773</v>
      </c>
      <c r="B8" s="2206" t="s">
        <v>2823</v>
      </c>
      <c r="C8" s="2201" t="s">
        <v>326</v>
      </c>
      <c r="D8" s="2201">
        <f>D40</f>
        <v>0</v>
      </c>
      <c r="E8" s="2201">
        <f>E40</f>
        <v>0</v>
      </c>
      <c r="F8" s="2201">
        <f>F40</f>
        <v>0</v>
      </c>
      <c r="G8" s="2201">
        <f>G40</f>
        <v>7163.27</v>
      </c>
      <c r="H8" s="2635">
        <f>I8+N8</f>
        <v>10.668839999999999</v>
      </c>
      <c r="I8" s="2634">
        <f>'Д 8_Паливо'!D66/1000</f>
        <v>1.3950400000000001</v>
      </c>
      <c r="J8" s="2634">
        <f>'Д 8_Паливо'!D67/1000</f>
        <v>0</v>
      </c>
      <c r="K8" s="2634">
        <f>'Д 8_Паливо'!D68/1000</f>
        <v>0</v>
      </c>
      <c r="L8" s="2634">
        <f>'Д 8_Паливо'!D69/1000</f>
        <v>0</v>
      </c>
      <c r="M8" s="2634">
        <f>I8</f>
        <v>1.3950400000000001</v>
      </c>
      <c r="N8" s="2634">
        <f>'Д 8_Паливо'!E66/1000</f>
        <v>9.2737999999999996</v>
      </c>
      <c r="O8" s="2634">
        <f>'Д 8_Паливо'!E67/1000</f>
        <v>0</v>
      </c>
      <c r="P8" s="2634">
        <f>'Д 8_Паливо'!E68/1000</f>
        <v>0</v>
      </c>
      <c r="Q8" s="2634">
        <f>'Д 8_Паливо'!E69/1000</f>
        <v>0</v>
      </c>
      <c r="R8" s="2634">
        <f>'Д 8_Паливо'!E70/1000</f>
        <v>9.2737999999999996</v>
      </c>
    </row>
    <row r="9" spans="1:18" ht="15.75" thickBot="1" x14ac:dyDescent="0.3">
      <c r="A9" s="2189" t="s">
        <v>2778</v>
      </c>
      <c r="B9" s="4028" t="s">
        <v>3057</v>
      </c>
      <c r="C9" s="4033"/>
      <c r="D9" s="4033"/>
      <c r="E9" s="4033"/>
      <c r="F9" s="4033"/>
      <c r="G9" s="4034"/>
    </row>
    <row r="10" spans="1:18" s="23" customFormat="1" ht="42.75" x14ac:dyDescent="0.2">
      <c r="A10" s="2190" t="s">
        <v>1670</v>
      </c>
      <c r="B10" s="2191" t="s">
        <v>3461</v>
      </c>
      <c r="C10" s="2184">
        <f>C11+C16+C17+C21</f>
        <v>70936.5</v>
      </c>
      <c r="D10" s="2184">
        <f>D11+D16+D17+D21</f>
        <v>0</v>
      </c>
      <c r="E10" s="2184">
        <f>E11+E16+E17+E21</f>
        <v>0</v>
      </c>
      <c r="F10" s="2184">
        <f>F11+F16+F17+F21</f>
        <v>0</v>
      </c>
      <c r="G10" s="2184">
        <f>G11+G16+G17+G21</f>
        <v>6648.94</v>
      </c>
      <c r="H10" s="2217">
        <f>I10+N10-C10</f>
        <v>0</v>
      </c>
      <c r="I10" s="2184">
        <f>I11+I16+I17+I21</f>
        <v>9275.5400000000009</v>
      </c>
      <c r="J10" s="2184">
        <f t="shared" ref="J10:R10" si="0">J11+J16+J17+J21</f>
        <v>0</v>
      </c>
      <c r="K10" s="2184">
        <f t="shared" si="0"/>
        <v>0</v>
      </c>
      <c r="L10" s="2184">
        <f t="shared" si="0"/>
        <v>0</v>
      </c>
      <c r="M10" s="2184">
        <f>M11+M16+M17+M21</f>
        <v>9275.5400000000009</v>
      </c>
      <c r="N10" s="2184">
        <f t="shared" si="0"/>
        <v>61660.959999999999</v>
      </c>
      <c r="O10" s="2184">
        <f t="shared" si="0"/>
        <v>0</v>
      </c>
      <c r="P10" s="2184">
        <f t="shared" si="0"/>
        <v>0</v>
      </c>
      <c r="Q10" s="2184">
        <f t="shared" si="0"/>
        <v>0</v>
      </c>
      <c r="R10" s="2184">
        <f t="shared" si="0"/>
        <v>61660.959999999999</v>
      </c>
    </row>
    <row r="11" spans="1:18" x14ac:dyDescent="0.25">
      <c r="A11" s="2192" t="s">
        <v>1672</v>
      </c>
      <c r="B11" s="2364" t="s">
        <v>2781</v>
      </c>
      <c r="C11" s="2193">
        <f>SUM(C12:C15)</f>
        <v>55382.93</v>
      </c>
      <c r="D11" s="2193">
        <f>SUM(D12:D15)</f>
        <v>0</v>
      </c>
      <c r="E11" s="2193">
        <v>0</v>
      </c>
      <c r="F11" s="2193">
        <v>0</v>
      </c>
      <c r="G11" s="2193">
        <f>C11/C41</f>
        <v>5191.09</v>
      </c>
      <c r="H11" s="2217">
        <f t="shared" ref="H11:H39" si="1">I11+N11-C11</f>
        <v>0</v>
      </c>
      <c r="I11" s="2193">
        <f>SUM(I12:I15)</f>
        <v>7241.79</v>
      </c>
      <c r="J11" s="2193">
        <f t="shared" ref="J11:R11" si="2">SUM(J12:J15)</f>
        <v>0</v>
      </c>
      <c r="K11" s="2193">
        <f t="shared" si="2"/>
        <v>0</v>
      </c>
      <c r="L11" s="2193">
        <f t="shared" si="2"/>
        <v>0</v>
      </c>
      <c r="M11" s="2193">
        <f>SUM(M12:M15)</f>
        <v>7241.79</v>
      </c>
      <c r="N11" s="2193">
        <f t="shared" si="2"/>
        <v>48141.14</v>
      </c>
      <c r="O11" s="2193">
        <f t="shared" si="2"/>
        <v>0</v>
      </c>
      <c r="P11" s="2193">
        <f t="shared" si="2"/>
        <v>0</v>
      </c>
      <c r="Q11" s="2193">
        <f t="shared" si="2"/>
        <v>0</v>
      </c>
      <c r="R11" s="2193">
        <f t="shared" si="2"/>
        <v>48141.14</v>
      </c>
    </row>
    <row r="12" spans="1:18" ht="30" x14ac:dyDescent="0.25">
      <c r="A12" s="2192" t="s">
        <v>2782</v>
      </c>
      <c r="B12" s="2364" t="s">
        <v>2783</v>
      </c>
      <c r="C12" s="2193">
        <f>Виробництво_Транспортування_1ст!F11</f>
        <v>54631.040000000001</v>
      </c>
      <c r="D12" s="2193">
        <v>0</v>
      </c>
      <c r="E12" s="2193">
        <v>0</v>
      </c>
      <c r="F12" s="2193">
        <v>0</v>
      </c>
      <c r="G12" s="2193">
        <f>'Д 2_Т на В'!X14/'Д 2_Т на В'!X$58*1000</f>
        <v>5120.62</v>
      </c>
      <c r="H12" s="2217">
        <f>I12+N12-C12</f>
        <v>0</v>
      </c>
      <c r="I12" s="2218">
        <f>SUM(J12:M12)</f>
        <v>7143.47</v>
      </c>
      <c r="J12" s="88">
        <f>J$8*D12</f>
        <v>0</v>
      </c>
      <c r="K12" s="88">
        <f t="shared" ref="K12:L27" si="3">K$8*E12</f>
        <v>0</v>
      </c>
      <c r="L12" s="88">
        <f t="shared" si="3"/>
        <v>0</v>
      </c>
      <c r="M12" s="88">
        <f>C12/$H$8*$M$8</f>
        <v>7143.47</v>
      </c>
      <c r="N12" s="2218">
        <f>SUM(O12:R12)</f>
        <v>47487.57</v>
      </c>
      <c r="O12" s="88">
        <f>O$8*D12</f>
        <v>0</v>
      </c>
      <c r="P12" s="88">
        <f t="shared" ref="P12:Q27" si="4">P$8*E12</f>
        <v>0</v>
      </c>
      <c r="Q12" s="88">
        <f t="shared" si="4"/>
        <v>0</v>
      </c>
      <c r="R12" s="88">
        <f>C12/$H$8*$R$8</f>
        <v>47487.57</v>
      </c>
    </row>
    <row r="13" spans="1:18" ht="30" x14ac:dyDescent="0.25">
      <c r="A13" s="2192" t="s">
        <v>2784</v>
      </c>
      <c r="B13" s="2364" t="s">
        <v>2785</v>
      </c>
      <c r="C13" s="2193">
        <f>Виробництво_Транспортування_1ст!F15</f>
        <v>466.11</v>
      </c>
      <c r="D13" s="2193">
        <v>0</v>
      </c>
      <c r="E13" s="2193">
        <v>0</v>
      </c>
      <c r="F13" s="2193">
        <v>0</v>
      </c>
      <c r="G13" s="2193">
        <f>'Д 2_Т на В'!X18/'Д 2_Т на В'!X$58*1000</f>
        <v>43.69</v>
      </c>
      <c r="H13" s="2217">
        <f t="shared" si="1"/>
        <v>0</v>
      </c>
      <c r="I13" s="2218">
        <f t="shared" ref="I13:I39" si="5">SUM(J13:M13)</f>
        <v>60.95</v>
      </c>
      <c r="J13" s="88">
        <f t="shared" ref="J13:L40" si="6">J$8*D13</f>
        <v>0</v>
      </c>
      <c r="K13" s="88">
        <f t="shared" si="3"/>
        <v>0</v>
      </c>
      <c r="L13" s="88">
        <f t="shared" si="3"/>
        <v>0</v>
      </c>
      <c r="M13" s="88">
        <f t="shared" ref="M13:M39" si="7">C13/$H$8*$M$8</f>
        <v>60.95</v>
      </c>
      <c r="N13" s="2218">
        <f t="shared" ref="N13:N39" si="8">SUM(O13:R13)</f>
        <v>405.16</v>
      </c>
      <c r="O13" s="88">
        <f t="shared" ref="O13:Q40" si="9">O$8*D13</f>
        <v>0</v>
      </c>
      <c r="P13" s="88">
        <f t="shared" si="4"/>
        <v>0</v>
      </c>
      <c r="Q13" s="88">
        <f t="shared" si="4"/>
        <v>0</v>
      </c>
      <c r="R13" s="88">
        <f t="shared" ref="R13:R39" si="10">C13/$H$8*$R$8</f>
        <v>405.16</v>
      </c>
    </row>
    <row r="14" spans="1:18" ht="30" x14ac:dyDescent="0.25">
      <c r="A14" s="2192" t="s">
        <v>2786</v>
      </c>
      <c r="B14" s="2364" t="s">
        <v>2787</v>
      </c>
      <c r="C14" s="2193">
        <f>Виробництво_Транспортування_1ст!F16</f>
        <v>38.79</v>
      </c>
      <c r="D14" s="2193">
        <v>0</v>
      </c>
      <c r="E14" s="2193">
        <v>0</v>
      </c>
      <c r="F14" s="2193">
        <v>0</v>
      </c>
      <c r="G14" s="2193">
        <f>'Д 2_Т на В'!X22/'Д 2_Т на В'!X$58*1000</f>
        <v>3.64</v>
      </c>
      <c r="H14" s="2217">
        <f t="shared" si="1"/>
        <v>0</v>
      </c>
      <c r="I14" s="2218">
        <f t="shared" si="5"/>
        <v>5.07</v>
      </c>
      <c r="J14" s="88">
        <f t="shared" si="6"/>
        <v>0</v>
      </c>
      <c r="K14" s="88">
        <f t="shared" si="3"/>
        <v>0</v>
      </c>
      <c r="L14" s="88">
        <f t="shared" si="3"/>
        <v>0</v>
      </c>
      <c r="M14" s="88">
        <f t="shared" si="7"/>
        <v>5.07</v>
      </c>
      <c r="N14" s="2218">
        <f t="shared" si="8"/>
        <v>33.72</v>
      </c>
      <c r="O14" s="88">
        <f t="shared" si="9"/>
        <v>0</v>
      </c>
      <c r="P14" s="88">
        <f t="shared" si="4"/>
        <v>0</v>
      </c>
      <c r="Q14" s="88">
        <f t="shared" si="4"/>
        <v>0</v>
      </c>
      <c r="R14" s="88">
        <f t="shared" si="10"/>
        <v>33.72</v>
      </c>
    </row>
    <row r="15" spans="1:18" ht="30" x14ac:dyDescent="0.25">
      <c r="A15" s="2192" t="s">
        <v>2788</v>
      </c>
      <c r="B15" s="2364" t="s">
        <v>2151</v>
      </c>
      <c r="C15" s="2193">
        <f>Виробництво_Транспортування_1ст!F10-Виробництво_Транспортування_1ст!F11-Виробництво_Транспортування_1ст!F16-Виробництво_Транспортування_1ст!F15</f>
        <v>246.99</v>
      </c>
      <c r="D15" s="2193">
        <v>0</v>
      </c>
      <c r="E15" s="2193">
        <v>0</v>
      </c>
      <c r="F15" s="2193">
        <v>0</v>
      </c>
      <c r="G15" s="2193">
        <f>'Д 2_Т на В'!X23/'Д 2_Т на В'!X$58*1000</f>
        <v>23.15</v>
      </c>
      <c r="H15" s="2217">
        <f t="shared" si="1"/>
        <v>0</v>
      </c>
      <c r="I15" s="2218">
        <f t="shared" si="5"/>
        <v>32.299999999999997</v>
      </c>
      <c r="J15" s="88">
        <f t="shared" si="6"/>
        <v>0</v>
      </c>
      <c r="K15" s="88">
        <f t="shared" si="3"/>
        <v>0</v>
      </c>
      <c r="L15" s="88">
        <f t="shared" si="3"/>
        <v>0</v>
      </c>
      <c r="M15" s="88">
        <f t="shared" si="7"/>
        <v>32.299999999999997</v>
      </c>
      <c r="N15" s="2218">
        <f t="shared" si="8"/>
        <v>214.69</v>
      </c>
      <c r="O15" s="88">
        <f t="shared" si="9"/>
        <v>0</v>
      </c>
      <c r="P15" s="88">
        <f t="shared" si="4"/>
        <v>0</v>
      </c>
      <c r="Q15" s="88">
        <f t="shared" si="4"/>
        <v>0</v>
      </c>
      <c r="R15" s="88">
        <f t="shared" si="10"/>
        <v>214.69</v>
      </c>
    </row>
    <row r="16" spans="1:18" x14ac:dyDescent="0.25">
      <c r="A16" s="2192" t="s">
        <v>1674</v>
      </c>
      <c r="B16" s="2364" t="s">
        <v>2789</v>
      </c>
      <c r="C16" s="2193">
        <f>Виробництво_Транспортування_1ст!F28</f>
        <v>5029.51</v>
      </c>
      <c r="D16" s="2193">
        <v>0</v>
      </c>
      <c r="E16" s="2193">
        <v>0</v>
      </c>
      <c r="F16" s="2193">
        <v>0</v>
      </c>
      <c r="G16" s="2193">
        <f>'Д 2_Т на В'!X24/'Д 2_Т на В'!X$58*1000</f>
        <v>471.42</v>
      </c>
      <c r="H16" s="2217">
        <f t="shared" si="1"/>
        <v>0</v>
      </c>
      <c r="I16" s="2218">
        <f t="shared" si="5"/>
        <v>657.65</v>
      </c>
      <c r="J16" s="88">
        <f t="shared" si="6"/>
        <v>0</v>
      </c>
      <c r="K16" s="88">
        <f t="shared" si="3"/>
        <v>0</v>
      </c>
      <c r="L16" s="88">
        <f t="shared" si="3"/>
        <v>0</v>
      </c>
      <c r="M16" s="88">
        <f t="shared" si="7"/>
        <v>657.65</v>
      </c>
      <c r="N16" s="2218">
        <f t="shared" si="8"/>
        <v>4371.8599999999997</v>
      </c>
      <c r="O16" s="88">
        <f t="shared" si="9"/>
        <v>0</v>
      </c>
      <c r="P16" s="88">
        <f t="shared" si="4"/>
        <v>0</v>
      </c>
      <c r="Q16" s="88">
        <f t="shared" si="4"/>
        <v>0</v>
      </c>
      <c r="R16" s="88">
        <f t="shared" si="10"/>
        <v>4371.8599999999997</v>
      </c>
    </row>
    <row r="17" spans="1:18" x14ac:dyDescent="0.25">
      <c r="A17" s="2192" t="s">
        <v>1677</v>
      </c>
      <c r="B17" s="2364" t="s">
        <v>2790</v>
      </c>
      <c r="C17" s="2193">
        <f>C18+C19+C20</f>
        <v>7104.5</v>
      </c>
      <c r="D17" s="2193">
        <v>0</v>
      </c>
      <c r="E17" s="2193">
        <v>0</v>
      </c>
      <c r="F17" s="2193">
        <v>0</v>
      </c>
      <c r="G17" s="2193">
        <f>'Д 2_Т на В'!X25/'Д 2_Т на В'!X$58*1000</f>
        <v>665.91</v>
      </c>
      <c r="H17" s="2217">
        <f t="shared" si="1"/>
        <v>0</v>
      </c>
      <c r="I17" s="2218">
        <f t="shared" si="5"/>
        <v>928.97</v>
      </c>
      <c r="J17" s="88">
        <f t="shared" si="6"/>
        <v>0</v>
      </c>
      <c r="K17" s="88">
        <f t="shared" si="3"/>
        <v>0</v>
      </c>
      <c r="L17" s="88">
        <f t="shared" si="3"/>
        <v>0</v>
      </c>
      <c r="M17" s="88">
        <f t="shared" si="7"/>
        <v>928.97</v>
      </c>
      <c r="N17" s="2218">
        <f t="shared" si="8"/>
        <v>6175.53</v>
      </c>
      <c r="O17" s="88">
        <f t="shared" si="9"/>
        <v>0</v>
      </c>
      <c r="P17" s="88">
        <f t="shared" si="4"/>
        <v>0</v>
      </c>
      <c r="Q17" s="88">
        <f t="shared" si="4"/>
        <v>0</v>
      </c>
      <c r="R17" s="88">
        <f t="shared" si="10"/>
        <v>6175.53</v>
      </c>
    </row>
    <row r="18" spans="1:18" x14ac:dyDescent="0.25">
      <c r="A18" s="2192" t="s">
        <v>2791</v>
      </c>
      <c r="B18" s="2364" t="s">
        <v>2792</v>
      </c>
      <c r="C18" s="2193">
        <f>Виробництво_Транспортування_1ст!F31</f>
        <v>1106.49</v>
      </c>
      <c r="D18" s="2193">
        <v>0</v>
      </c>
      <c r="E18" s="2193">
        <v>0</v>
      </c>
      <c r="F18" s="2193">
        <v>0</v>
      </c>
      <c r="G18" s="2193">
        <f>'Д 2_Т на В'!X26/'Д 2_Т на В'!X$58*1000</f>
        <v>103.71</v>
      </c>
      <c r="H18" s="2217">
        <f t="shared" si="1"/>
        <v>0</v>
      </c>
      <c r="I18" s="2218">
        <f t="shared" si="5"/>
        <v>144.68</v>
      </c>
      <c r="J18" s="88">
        <f t="shared" si="6"/>
        <v>0</v>
      </c>
      <c r="K18" s="88">
        <f t="shared" si="3"/>
        <v>0</v>
      </c>
      <c r="L18" s="88">
        <f t="shared" si="3"/>
        <v>0</v>
      </c>
      <c r="M18" s="88">
        <f t="shared" si="7"/>
        <v>144.68</v>
      </c>
      <c r="N18" s="2218">
        <f t="shared" si="8"/>
        <v>961.81</v>
      </c>
      <c r="O18" s="88">
        <f t="shared" si="9"/>
        <v>0</v>
      </c>
      <c r="P18" s="88">
        <f t="shared" si="4"/>
        <v>0</v>
      </c>
      <c r="Q18" s="88">
        <f t="shared" si="4"/>
        <v>0</v>
      </c>
      <c r="R18" s="88">
        <f t="shared" si="10"/>
        <v>961.81</v>
      </c>
    </row>
    <row r="19" spans="1:18" x14ac:dyDescent="0.25">
      <c r="A19" s="2192" t="s">
        <v>2793</v>
      </c>
      <c r="B19" s="2364" t="s">
        <v>2794</v>
      </c>
      <c r="C19" s="2193">
        <f>Виробництво_Транспортування_1ст!F32+Виробництво_Транспортування_1ст!F33</f>
        <v>2255</v>
      </c>
      <c r="D19" s="2193">
        <v>0</v>
      </c>
      <c r="E19" s="2193">
        <v>0</v>
      </c>
      <c r="F19" s="2193">
        <v>0</v>
      </c>
      <c r="G19" s="2193">
        <f>'Д 2_Т на В'!X27/'Д 2_Т на В'!X$58*1000</f>
        <v>211.36</v>
      </c>
      <c r="H19" s="2217">
        <f t="shared" si="1"/>
        <v>0</v>
      </c>
      <c r="I19" s="2218">
        <f t="shared" si="5"/>
        <v>294.86</v>
      </c>
      <c r="J19" s="88">
        <f t="shared" si="6"/>
        <v>0</v>
      </c>
      <c r="K19" s="88">
        <f t="shared" si="3"/>
        <v>0</v>
      </c>
      <c r="L19" s="88">
        <f t="shared" si="3"/>
        <v>0</v>
      </c>
      <c r="M19" s="88">
        <f t="shared" si="7"/>
        <v>294.86</v>
      </c>
      <c r="N19" s="2218">
        <f t="shared" si="8"/>
        <v>1960.14</v>
      </c>
      <c r="O19" s="88">
        <f t="shared" si="9"/>
        <v>0</v>
      </c>
      <c r="P19" s="88">
        <f t="shared" si="4"/>
        <v>0</v>
      </c>
      <c r="Q19" s="88">
        <f t="shared" si="4"/>
        <v>0</v>
      </c>
      <c r="R19" s="88">
        <f t="shared" si="10"/>
        <v>1960.14</v>
      </c>
    </row>
    <row r="20" spans="1:18" x14ac:dyDescent="0.25">
      <c r="A20" s="2192" t="s">
        <v>2795</v>
      </c>
      <c r="B20" s="2364" t="s">
        <v>82</v>
      </c>
      <c r="C20" s="2193">
        <f>Виробництво_Транспортування_1ст!F30-Виробництво_Транспортування_1ст!F31-Виробництво_Транспортування_1ст!F32-Виробництво_Транспортування_1ст!F33</f>
        <v>3743.01</v>
      </c>
      <c r="D20" s="2193">
        <v>0</v>
      </c>
      <c r="E20" s="2193">
        <v>0</v>
      </c>
      <c r="F20" s="2193">
        <v>0</v>
      </c>
      <c r="G20" s="2193">
        <f>'Д 2_Т на В'!X28/'Д 2_Т на В'!X$58*1000</f>
        <v>350.84</v>
      </c>
      <c r="H20" s="2217">
        <f t="shared" si="1"/>
        <v>0</v>
      </c>
      <c r="I20" s="2218">
        <f t="shared" si="5"/>
        <v>489.43</v>
      </c>
      <c r="J20" s="88">
        <f t="shared" si="6"/>
        <v>0</v>
      </c>
      <c r="K20" s="88">
        <f t="shared" si="3"/>
        <v>0</v>
      </c>
      <c r="L20" s="88">
        <f t="shared" si="3"/>
        <v>0</v>
      </c>
      <c r="M20" s="88">
        <f t="shared" si="7"/>
        <v>489.43</v>
      </c>
      <c r="N20" s="2218">
        <f t="shared" si="8"/>
        <v>3253.58</v>
      </c>
      <c r="O20" s="88">
        <f t="shared" si="9"/>
        <v>0</v>
      </c>
      <c r="P20" s="88">
        <f t="shared" si="4"/>
        <v>0</v>
      </c>
      <c r="Q20" s="88">
        <f t="shared" si="4"/>
        <v>0</v>
      </c>
      <c r="R20" s="88">
        <f t="shared" si="10"/>
        <v>3253.58</v>
      </c>
    </row>
    <row r="21" spans="1:18" s="23" customFormat="1" x14ac:dyDescent="0.25">
      <c r="A21" s="2194" t="s">
        <v>1679</v>
      </c>
      <c r="B21" s="2191" t="s">
        <v>2796</v>
      </c>
      <c r="C21" s="2184">
        <f>C22+C23+C24+C25</f>
        <v>3419.56</v>
      </c>
      <c r="D21" s="177">
        <f t="shared" ref="D21:G21" si="11">D22+D23+D24+D25</f>
        <v>0</v>
      </c>
      <c r="E21" s="177">
        <f t="shared" si="11"/>
        <v>0</v>
      </c>
      <c r="F21" s="177">
        <f t="shared" si="11"/>
        <v>0</v>
      </c>
      <c r="G21" s="177">
        <f t="shared" si="11"/>
        <v>320.52</v>
      </c>
      <c r="H21" s="2217">
        <f t="shared" si="1"/>
        <v>0</v>
      </c>
      <c r="I21" s="2218">
        <f t="shared" si="5"/>
        <v>447.13</v>
      </c>
      <c r="J21" s="88">
        <f t="shared" si="6"/>
        <v>0</v>
      </c>
      <c r="K21" s="88">
        <f t="shared" si="3"/>
        <v>0</v>
      </c>
      <c r="L21" s="88">
        <f t="shared" si="3"/>
        <v>0</v>
      </c>
      <c r="M21" s="88">
        <f>M22+M23+M24+M25</f>
        <v>447.13</v>
      </c>
      <c r="N21" s="2218">
        <f t="shared" si="8"/>
        <v>2972.43</v>
      </c>
      <c r="O21" s="88">
        <f t="shared" si="9"/>
        <v>0</v>
      </c>
      <c r="P21" s="88">
        <f t="shared" si="4"/>
        <v>0</v>
      </c>
      <c r="Q21" s="88">
        <f t="shared" si="4"/>
        <v>0</v>
      </c>
      <c r="R21" s="88">
        <f>R22+R23+R24+R25</f>
        <v>2972.43</v>
      </c>
    </row>
    <row r="22" spans="1:18" x14ac:dyDescent="0.25">
      <c r="A22" s="2195" t="s">
        <v>2797</v>
      </c>
      <c r="B22" s="2364" t="s">
        <v>2798</v>
      </c>
      <c r="C22" s="2193">
        <f>ЗВВ_1ст!G21</f>
        <v>2277.36</v>
      </c>
      <c r="D22" s="2193">
        <v>0</v>
      </c>
      <c r="E22" s="2193">
        <v>0</v>
      </c>
      <c r="F22" s="2193">
        <v>0</v>
      </c>
      <c r="G22" s="2193">
        <f>'Д 2_Т на В'!X30/'Д 2_Т на В'!X$58*1000</f>
        <v>213.46</v>
      </c>
      <c r="H22" s="2217">
        <f t="shared" si="1"/>
        <v>0</v>
      </c>
      <c r="I22" s="2218">
        <f t="shared" si="5"/>
        <v>297.77999999999997</v>
      </c>
      <c r="J22" s="88">
        <f t="shared" si="6"/>
        <v>0</v>
      </c>
      <c r="K22" s="88">
        <f t="shared" si="3"/>
        <v>0</v>
      </c>
      <c r="L22" s="88">
        <f t="shared" si="3"/>
        <v>0</v>
      </c>
      <c r="M22" s="88">
        <f t="shared" si="7"/>
        <v>297.77999999999997</v>
      </c>
      <c r="N22" s="2218">
        <f t="shared" si="8"/>
        <v>1979.58</v>
      </c>
      <c r="O22" s="88">
        <f t="shared" si="9"/>
        <v>0</v>
      </c>
      <c r="P22" s="88">
        <f t="shared" si="4"/>
        <v>0</v>
      </c>
      <c r="Q22" s="88">
        <f t="shared" si="4"/>
        <v>0</v>
      </c>
      <c r="R22" s="88">
        <f t="shared" si="10"/>
        <v>1979.58</v>
      </c>
    </row>
    <row r="23" spans="1:18" x14ac:dyDescent="0.25">
      <c r="A23" s="2195" t="s">
        <v>2799</v>
      </c>
      <c r="B23" s="2364" t="s">
        <v>2153</v>
      </c>
      <c r="C23" s="2193">
        <f>ЗВВ_1ст!G23</f>
        <v>501.02</v>
      </c>
      <c r="D23" s="2193">
        <v>0</v>
      </c>
      <c r="E23" s="2193">
        <v>0</v>
      </c>
      <c r="F23" s="2193">
        <v>0</v>
      </c>
      <c r="G23" s="2193">
        <f>'Д 2_Т на В'!X31/'Д 2_Т на В'!X$58*1000</f>
        <v>46.96</v>
      </c>
      <c r="H23" s="2217">
        <f t="shared" si="1"/>
        <v>0</v>
      </c>
      <c r="I23" s="2218">
        <f t="shared" si="5"/>
        <v>65.510000000000005</v>
      </c>
      <c r="J23" s="88">
        <f t="shared" si="6"/>
        <v>0</v>
      </c>
      <c r="K23" s="88">
        <f t="shared" si="3"/>
        <v>0</v>
      </c>
      <c r="L23" s="88">
        <f t="shared" si="3"/>
        <v>0</v>
      </c>
      <c r="M23" s="88">
        <f t="shared" si="7"/>
        <v>65.510000000000005</v>
      </c>
      <c r="N23" s="2218">
        <f t="shared" si="8"/>
        <v>435.51</v>
      </c>
      <c r="O23" s="88">
        <f t="shared" si="9"/>
        <v>0</v>
      </c>
      <c r="P23" s="88">
        <f t="shared" si="4"/>
        <v>0</v>
      </c>
      <c r="Q23" s="88">
        <f t="shared" si="4"/>
        <v>0</v>
      </c>
      <c r="R23" s="88">
        <f t="shared" si="10"/>
        <v>435.51</v>
      </c>
    </row>
    <row r="24" spans="1:18" x14ac:dyDescent="0.25">
      <c r="A24" s="2195" t="s">
        <v>2800</v>
      </c>
      <c r="B24" s="2364" t="s">
        <v>2794</v>
      </c>
      <c r="C24" s="2193">
        <f>ЗВВ_1ст!G37+ЗВВ_1ст!G38</f>
        <v>31.07</v>
      </c>
      <c r="D24" s="2193">
        <v>0</v>
      </c>
      <c r="E24" s="2193">
        <v>0</v>
      </c>
      <c r="F24" s="2193">
        <v>0</v>
      </c>
      <c r="G24" s="2193">
        <f>C24/'Д 2_Т на В'!$X$58*1000</f>
        <v>2.91</v>
      </c>
      <c r="H24" s="2217">
        <f t="shared" si="1"/>
        <v>0</v>
      </c>
      <c r="I24" s="2218">
        <f t="shared" si="5"/>
        <v>4.0599999999999996</v>
      </c>
      <c r="J24" s="88">
        <f t="shared" si="6"/>
        <v>0</v>
      </c>
      <c r="K24" s="88">
        <f t="shared" si="3"/>
        <v>0</v>
      </c>
      <c r="L24" s="88">
        <f t="shared" si="3"/>
        <v>0</v>
      </c>
      <c r="M24" s="88">
        <f t="shared" si="7"/>
        <v>4.0599999999999996</v>
      </c>
      <c r="N24" s="2218">
        <f t="shared" si="8"/>
        <v>27.01</v>
      </c>
      <c r="O24" s="88">
        <f t="shared" si="9"/>
        <v>0</v>
      </c>
      <c r="P24" s="88">
        <f t="shared" si="4"/>
        <v>0</v>
      </c>
      <c r="Q24" s="88">
        <f t="shared" si="4"/>
        <v>0</v>
      </c>
      <c r="R24" s="88">
        <f t="shared" si="10"/>
        <v>27.01</v>
      </c>
    </row>
    <row r="25" spans="1:18" x14ac:dyDescent="0.25">
      <c r="A25" s="2195" t="s">
        <v>2801</v>
      </c>
      <c r="B25" s="2364" t="s">
        <v>58</v>
      </c>
      <c r="C25" s="2193">
        <f>ЗВВ_1ст!G9+ЗВВ_1ст!G24+ЗВВ_1ст!G39</f>
        <v>610.11</v>
      </c>
      <c r="D25" s="2193">
        <v>0</v>
      </c>
      <c r="E25" s="2193">
        <v>0</v>
      </c>
      <c r="F25" s="2193">
        <v>0</v>
      </c>
      <c r="G25" s="2193">
        <f>C25/'Д 2_Т на В'!$X$58*1000</f>
        <v>57.19</v>
      </c>
      <c r="H25" s="2217">
        <f t="shared" si="1"/>
        <v>0</v>
      </c>
      <c r="I25" s="2218">
        <f t="shared" si="5"/>
        <v>79.78</v>
      </c>
      <c r="J25" s="88">
        <f t="shared" si="6"/>
        <v>0</v>
      </c>
      <c r="K25" s="88">
        <f t="shared" si="3"/>
        <v>0</v>
      </c>
      <c r="L25" s="88">
        <f t="shared" si="3"/>
        <v>0</v>
      </c>
      <c r="M25" s="88">
        <f t="shared" si="7"/>
        <v>79.78</v>
      </c>
      <c r="N25" s="2218">
        <f t="shared" si="8"/>
        <v>530.33000000000004</v>
      </c>
      <c r="O25" s="88">
        <f t="shared" si="9"/>
        <v>0</v>
      </c>
      <c r="P25" s="88">
        <f t="shared" si="4"/>
        <v>0</v>
      </c>
      <c r="Q25" s="88">
        <f t="shared" si="4"/>
        <v>0</v>
      </c>
      <c r="R25" s="88">
        <f t="shared" si="10"/>
        <v>530.33000000000004</v>
      </c>
    </row>
    <row r="26" spans="1:18" s="23" customFormat="1" x14ac:dyDescent="0.25">
      <c r="A26" s="2190" t="s">
        <v>1692</v>
      </c>
      <c r="B26" s="2191" t="s">
        <v>2802</v>
      </c>
      <c r="C26" s="2184">
        <f>C27+C28+C29+C30</f>
        <v>1363.33</v>
      </c>
      <c r="D26" s="177">
        <f t="shared" ref="D26:E26" si="12">D27+D28+D29+D30</f>
        <v>0</v>
      </c>
      <c r="E26" s="177">
        <f t="shared" si="12"/>
        <v>0</v>
      </c>
      <c r="F26" s="177">
        <f>F27+F28+F29+F30</f>
        <v>0</v>
      </c>
      <c r="G26" s="177">
        <f t="shared" ref="G26" si="13">G27+G28+G29+G30</f>
        <v>127.79</v>
      </c>
      <c r="H26" s="2217">
        <f t="shared" si="1"/>
        <v>0</v>
      </c>
      <c r="I26" s="2218">
        <f t="shared" si="5"/>
        <v>178.27</v>
      </c>
      <c r="J26" s="88">
        <f t="shared" si="6"/>
        <v>0</v>
      </c>
      <c r="K26" s="88">
        <f t="shared" si="3"/>
        <v>0</v>
      </c>
      <c r="L26" s="88">
        <f t="shared" si="3"/>
        <v>0</v>
      </c>
      <c r="M26" s="88">
        <f t="shared" si="7"/>
        <v>178.27</v>
      </c>
      <c r="N26" s="2218">
        <f t="shared" si="8"/>
        <v>1185.06</v>
      </c>
      <c r="O26" s="88">
        <f t="shared" si="9"/>
        <v>0</v>
      </c>
      <c r="P26" s="88">
        <f t="shared" si="4"/>
        <v>0</v>
      </c>
      <c r="Q26" s="88">
        <f t="shared" si="4"/>
        <v>0</v>
      </c>
      <c r="R26" s="88">
        <f t="shared" si="10"/>
        <v>1185.06</v>
      </c>
    </row>
    <row r="27" spans="1:18" x14ac:dyDescent="0.25">
      <c r="A27" s="2195" t="s">
        <v>2803</v>
      </c>
      <c r="B27" s="2364" t="s">
        <v>55</v>
      </c>
      <c r="C27" s="2193">
        <f>Адміністративні_1ст!G21</f>
        <v>848.97</v>
      </c>
      <c r="D27" s="2193">
        <v>0</v>
      </c>
      <c r="E27" s="2193">
        <v>0</v>
      </c>
      <c r="F27" s="2193">
        <v>0</v>
      </c>
      <c r="G27" s="2193">
        <f>'Д 2_Т на В'!X34/'Д 2_Т на В'!X$58*1000</f>
        <v>79.569999999999993</v>
      </c>
      <c r="H27" s="2217">
        <f t="shared" si="1"/>
        <v>0</v>
      </c>
      <c r="I27" s="2218">
        <f t="shared" si="5"/>
        <v>111.01</v>
      </c>
      <c r="J27" s="88">
        <f t="shared" si="6"/>
        <v>0</v>
      </c>
      <c r="K27" s="88">
        <f t="shared" si="3"/>
        <v>0</v>
      </c>
      <c r="L27" s="88">
        <f t="shared" si="3"/>
        <v>0</v>
      </c>
      <c r="M27" s="88">
        <f t="shared" si="7"/>
        <v>111.01</v>
      </c>
      <c r="N27" s="2218">
        <f t="shared" si="8"/>
        <v>737.96</v>
      </c>
      <c r="O27" s="88">
        <f t="shared" si="9"/>
        <v>0</v>
      </c>
      <c r="P27" s="88">
        <f t="shared" si="4"/>
        <v>0</v>
      </c>
      <c r="Q27" s="88">
        <f t="shared" si="4"/>
        <v>0</v>
      </c>
      <c r="R27" s="88">
        <f t="shared" si="10"/>
        <v>737.96</v>
      </c>
    </row>
    <row r="28" spans="1:18" x14ac:dyDescent="0.25">
      <c r="A28" s="2195" t="s">
        <v>2804</v>
      </c>
      <c r="B28" s="2364" t="s">
        <v>2805</v>
      </c>
      <c r="C28" s="2193">
        <f>Адміністративні_1ст!G23</f>
        <v>186.77</v>
      </c>
      <c r="D28" s="2193">
        <v>0</v>
      </c>
      <c r="E28" s="2193">
        <v>0</v>
      </c>
      <c r="F28" s="2193">
        <v>0</v>
      </c>
      <c r="G28" s="2193">
        <f>'Д 2_Т на В'!X35/'Д 2_Т на В'!X$58*1000</f>
        <v>17.510000000000002</v>
      </c>
      <c r="H28" s="2217">
        <f t="shared" si="1"/>
        <v>0</v>
      </c>
      <c r="I28" s="2218">
        <f t="shared" si="5"/>
        <v>24.42</v>
      </c>
      <c r="J28" s="88">
        <f t="shared" si="6"/>
        <v>0</v>
      </c>
      <c r="K28" s="88">
        <f t="shared" si="6"/>
        <v>0</v>
      </c>
      <c r="L28" s="88">
        <f t="shared" si="6"/>
        <v>0</v>
      </c>
      <c r="M28" s="88">
        <f t="shared" si="7"/>
        <v>24.42</v>
      </c>
      <c r="N28" s="2218">
        <f t="shared" si="8"/>
        <v>162.35</v>
      </c>
      <c r="O28" s="88">
        <f t="shared" si="9"/>
        <v>0</v>
      </c>
      <c r="P28" s="88">
        <f t="shared" si="9"/>
        <v>0</v>
      </c>
      <c r="Q28" s="88">
        <f t="shared" si="9"/>
        <v>0</v>
      </c>
      <c r="R28" s="88">
        <f t="shared" si="10"/>
        <v>162.35</v>
      </c>
    </row>
    <row r="29" spans="1:18" x14ac:dyDescent="0.25">
      <c r="A29" s="2195" t="s">
        <v>2806</v>
      </c>
      <c r="B29" s="2364" t="s">
        <v>2794</v>
      </c>
      <c r="C29" s="2193">
        <f>Адміністративні_1ст!G36+Адміністративні_1ст!G37</f>
        <v>21.54</v>
      </c>
      <c r="D29" s="2193">
        <v>0</v>
      </c>
      <c r="E29" s="2193">
        <v>0</v>
      </c>
      <c r="F29" s="2193">
        <v>0</v>
      </c>
      <c r="G29" s="2193">
        <f>C29/'Д 2_Т на В'!X58*1000</f>
        <v>2.02</v>
      </c>
      <c r="H29" s="2217">
        <f t="shared" si="1"/>
        <v>0</v>
      </c>
      <c r="I29" s="2218">
        <f t="shared" si="5"/>
        <v>2.82</v>
      </c>
      <c r="J29" s="88">
        <f t="shared" si="6"/>
        <v>0</v>
      </c>
      <c r="K29" s="88">
        <f t="shared" si="6"/>
        <v>0</v>
      </c>
      <c r="L29" s="88">
        <f t="shared" si="6"/>
        <v>0</v>
      </c>
      <c r="M29" s="88">
        <f t="shared" si="7"/>
        <v>2.82</v>
      </c>
      <c r="N29" s="2218">
        <f t="shared" si="8"/>
        <v>18.72</v>
      </c>
      <c r="O29" s="88">
        <f t="shared" si="9"/>
        <v>0</v>
      </c>
      <c r="P29" s="88">
        <f t="shared" si="9"/>
        <v>0</v>
      </c>
      <c r="Q29" s="88">
        <f t="shared" si="9"/>
        <v>0</v>
      </c>
      <c r="R29" s="88">
        <f t="shared" si="10"/>
        <v>18.72</v>
      </c>
    </row>
    <row r="30" spans="1:18" x14ac:dyDescent="0.25">
      <c r="A30" s="2195" t="s">
        <v>2807</v>
      </c>
      <c r="B30" s="2364" t="s">
        <v>2808</v>
      </c>
      <c r="C30" s="2193">
        <f>Адміністративні_1ст!G9+Адміністративні_1ст!G24+Адміністративні_1ст!G38</f>
        <v>306.05</v>
      </c>
      <c r="D30" s="2193">
        <v>0</v>
      </c>
      <c r="E30" s="2193">
        <v>0</v>
      </c>
      <c r="F30" s="2193">
        <v>0</v>
      </c>
      <c r="G30" s="2193">
        <f>C30/'Д 2_Т на В'!X58*1000</f>
        <v>28.69</v>
      </c>
      <c r="H30" s="2217">
        <f t="shared" si="1"/>
        <v>0</v>
      </c>
      <c r="I30" s="2218">
        <f t="shared" si="5"/>
        <v>40.020000000000003</v>
      </c>
      <c r="J30" s="88">
        <f t="shared" si="6"/>
        <v>0</v>
      </c>
      <c r="K30" s="88">
        <f t="shared" si="6"/>
        <v>0</v>
      </c>
      <c r="L30" s="88">
        <f t="shared" si="6"/>
        <v>0</v>
      </c>
      <c r="M30" s="88">
        <f t="shared" si="7"/>
        <v>40.020000000000003</v>
      </c>
      <c r="N30" s="2218">
        <f t="shared" si="8"/>
        <v>266.02999999999997</v>
      </c>
      <c r="O30" s="88">
        <f t="shared" si="9"/>
        <v>0</v>
      </c>
      <c r="P30" s="88">
        <f t="shared" si="9"/>
        <v>0</v>
      </c>
      <c r="Q30" s="88">
        <f t="shared" si="9"/>
        <v>0</v>
      </c>
      <c r="R30" s="88">
        <f t="shared" si="10"/>
        <v>266.02999999999997</v>
      </c>
    </row>
    <row r="31" spans="1:18" s="23" customFormat="1" x14ac:dyDescent="0.25">
      <c r="A31" s="2190" t="s">
        <v>1694</v>
      </c>
      <c r="B31" s="2191" t="s">
        <v>2809</v>
      </c>
      <c r="C31" s="2184">
        <v>0</v>
      </c>
      <c r="D31" s="2184">
        <v>0</v>
      </c>
      <c r="E31" s="2184">
        <v>0</v>
      </c>
      <c r="F31" s="2193">
        <v>0</v>
      </c>
      <c r="G31" s="2184">
        <v>0</v>
      </c>
      <c r="H31" s="2217">
        <f t="shared" si="1"/>
        <v>0</v>
      </c>
      <c r="I31" s="2218">
        <f t="shared" si="5"/>
        <v>0</v>
      </c>
      <c r="J31" s="88">
        <f t="shared" si="6"/>
        <v>0</v>
      </c>
      <c r="K31" s="88">
        <f t="shared" si="6"/>
        <v>0</v>
      </c>
      <c r="L31" s="88">
        <f t="shared" si="6"/>
        <v>0</v>
      </c>
      <c r="M31" s="88">
        <f t="shared" si="7"/>
        <v>0</v>
      </c>
      <c r="N31" s="2218">
        <f t="shared" si="8"/>
        <v>0</v>
      </c>
      <c r="O31" s="88">
        <f t="shared" si="9"/>
        <v>0</v>
      </c>
      <c r="P31" s="88">
        <f t="shared" si="9"/>
        <v>0</v>
      </c>
      <c r="Q31" s="88">
        <f t="shared" si="9"/>
        <v>0</v>
      </c>
      <c r="R31" s="88">
        <f t="shared" si="10"/>
        <v>0</v>
      </c>
    </row>
    <row r="32" spans="1:18" s="23" customFormat="1" x14ac:dyDescent="0.25">
      <c r="A32" s="2190" t="s">
        <v>1697</v>
      </c>
      <c r="B32" s="2191" t="s">
        <v>2811</v>
      </c>
      <c r="C32" s="2184">
        <f>'Д 2_Т на В'!H42</f>
        <v>0</v>
      </c>
      <c r="D32" s="2184">
        <f>C32/$C$41</f>
        <v>0</v>
      </c>
      <c r="E32" s="2184">
        <f t="shared" ref="E32:E34" si="14">C32/$C$41</f>
        <v>0</v>
      </c>
      <c r="F32" s="2193">
        <v>0</v>
      </c>
      <c r="G32" s="2184">
        <f t="shared" ref="G32:G34" si="15">C32/$C$41</f>
        <v>0</v>
      </c>
      <c r="H32" s="2217">
        <f t="shared" si="1"/>
        <v>0</v>
      </c>
      <c r="I32" s="2218">
        <f t="shared" si="5"/>
        <v>0</v>
      </c>
      <c r="J32" s="88">
        <f t="shared" si="6"/>
        <v>0</v>
      </c>
      <c r="K32" s="88">
        <f t="shared" si="6"/>
        <v>0</v>
      </c>
      <c r="L32" s="88">
        <f t="shared" si="6"/>
        <v>0</v>
      </c>
      <c r="M32" s="88">
        <f t="shared" si="7"/>
        <v>0</v>
      </c>
      <c r="N32" s="2218">
        <f t="shared" si="8"/>
        <v>0</v>
      </c>
      <c r="O32" s="88">
        <f t="shared" si="9"/>
        <v>0</v>
      </c>
      <c r="P32" s="88">
        <f t="shared" si="9"/>
        <v>0</v>
      </c>
      <c r="Q32" s="88">
        <f t="shared" si="9"/>
        <v>0</v>
      </c>
      <c r="R32" s="88">
        <f t="shared" si="10"/>
        <v>0</v>
      </c>
    </row>
    <row r="33" spans="1:22" s="23" customFormat="1" x14ac:dyDescent="0.25">
      <c r="A33" s="2190" t="s">
        <v>1769</v>
      </c>
      <c r="B33" s="2191" t="s">
        <v>2812</v>
      </c>
      <c r="C33" s="2184">
        <v>0</v>
      </c>
      <c r="D33" s="2184">
        <f t="shared" ref="D33:D34" si="16">C33/$C$41</f>
        <v>0</v>
      </c>
      <c r="E33" s="2184">
        <f t="shared" si="14"/>
        <v>0</v>
      </c>
      <c r="F33" s="2193">
        <v>0</v>
      </c>
      <c r="G33" s="2184">
        <f t="shared" si="15"/>
        <v>0</v>
      </c>
      <c r="H33" s="2217">
        <f t="shared" si="1"/>
        <v>0</v>
      </c>
      <c r="I33" s="2218">
        <f t="shared" si="5"/>
        <v>0</v>
      </c>
      <c r="J33" s="88">
        <f t="shared" si="6"/>
        <v>0</v>
      </c>
      <c r="K33" s="88">
        <f t="shared" si="6"/>
        <v>0</v>
      </c>
      <c r="L33" s="88">
        <f t="shared" si="6"/>
        <v>0</v>
      </c>
      <c r="M33" s="88">
        <f t="shared" si="7"/>
        <v>0</v>
      </c>
      <c r="N33" s="2218">
        <f t="shared" si="8"/>
        <v>0</v>
      </c>
      <c r="O33" s="88">
        <f t="shared" si="9"/>
        <v>0</v>
      </c>
      <c r="P33" s="88">
        <f t="shared" si="9"/>
        <v>0</v>
      </c>
      <c r="Q33" s="88">
        <f t="shared" si="9"/>
        <v>0</v>
      </c>
      <c r="R33" s="88">
        <f t="shared" si="10"/>
        <v>0</v>
      </c>
    </row>
    <row r="34" spans="1:22" s="23" customFormat="1" x14ac:dyDescent="0.25">
      <c r="A34" s="2190" t="s">
        <v>1775</v>
      </c>
      <c r="B34" s="2191" t="s">
        <v>2813</v>
      </c>
      <c r="C34" s="2207">
        <f>'Д 2_Т на В'!H44</f>
        <v>0</v>
      </c>
      <c r="D34" s="2208">
        <f t="shared" si="16"/>
        <v>0</v>
      </c>
      <c r="E34" s="2208">
        <f t="shared" si="14"/>
        <v>0</v>
      </c>
      <c r="F34" s="2193">
        <v>0</v>
      </c>
      <c r="G34" s="2208">
        <f t="shared" si="15"/>
        <v>0</v>
      </c>
      <c r="H34" s="2217">
        <f t="shared" si="1"/>
        <v>0</v>
      </c>
      <c r="I34" s="2218">
        <f t="shared" si="5"/>
        <v>0</v>
      </c>
      <c r="J34" s="88">
        <f t="shared" si="6"/>
        <v>0</v>
      </c>
      <c r="K34" s="88">
        <f t="shared" si="6"/>
        <v>0</v>
      </c>
      <c r="L34" s="88">
        <f t="shared" si="6"/>
        <v>0</v>
      </c>
      <c r="M34" s="88">
        <f t="shared" si="7"/>
        <v>0</v>
      </c>
      <c r="N34" s="2218">
        <f t="shared" si="8"/>
        <v>0</v>
      </c>
      <c r="O34" s="88">
        <f t="shared" si="9"/>
        <v>0</v>
      </c>
      <c r="P34" s="88">
        <f t="shared" si="9"/>
        <v>0</v>
      </c>
      <c r="Q34" s="88">
        <f t="shared" si="9"/>
        <v>0</v>
      </c>
      <c r="R34" s="88">
        <f t="shared" si="10"/>
        <v>0</v>
      </c>
    </row>
    <row r="35" spans="1:22" s="23" customFormat="1" ht="29.25" x14ac:dyDescent="0.25">
      <c r="A35" s="2190" t="s">
        <v>1781</v>
      </c>
      <c r="B35" s="2191" t="s">
        <v>2814</v>
      </c>
      <c r="C35" s="2184">
        <f>SUM(C36:C39)</f>
        <v>4123.9799999999996</v>
      </c>
      <c r="D35" s="2184">
        <v>0</v>
      </c>
      <c r="E35" s="2184">
        <v>0</v>
      </c>
      <c r="F35" s="2184">
        <f>F36+F37+F38+F39</f>
        <v>0</v>
      </c>
      <c r="G35" s="2184">
        <f>'Д 2_Т на В'!X45/'Д 2_Т на В'!X$58*1000</f>
        <v>386.54</v>
      </c>
      <c r="H35" s="2217">
        <f t="shared" si="1"/>
        <v>0</v>
      </c>
      <c r="I35" s="2218">
        <f t="shared" si="5"/>
        <v>539.24</v>
      </c>
      <c r="J35" s="88">
        <f t="shared" si="6"/>
        <v>0</v>
      </c>
      <c r="K35" s="88">
        <f t="shared" si="6"/>
        <v>0</v>
      </c>
      <c r="L35" s="88">
        <f t="shared" si="6"/>
        <v>0</v>
      </c>
      <c r="M35" s="88">
        <f t="shared" si="7"/>
        <v>539.24</v>
      </c>
      <c r="N35" s="2218">
        <f t="shared" si="8"/>
        <v>3584.74</v>
      </c>
      <c r="O35" s="88">
        <f t="shared" si="9"/>
        <v>0</v>
      </c>
      <c r="P35" s="88">
        <f t="shared" si="9"/>
        <v>0</v>
      </c>
      <c r="Q35" s="88">
        <f t="shared" si="9"/>
        <v>0</v>
      </c>
      <c r="R35" s="88">
        <f t="shared" si="10"/>
        <v>3584.74</v>
      </c>
    </row>
    <row r="36" spans="1:22" x14ac:dyDescent="0.25">
      <c r="A36" s="2195" t="s">
        <v>1097</v>
      </c>
      <c r="B36" s="2364" t="s">
        <v>65</v>
      </c>
      <c r="C36" s="2193">
        <f>'Д 2_Т на В'!H46</f>
        <v>520.55999999999995</v>
      </c>
      <c r="D36" s="2193">
        <v>0</v>
      </c>
      <c r="E36" s="2193">
        <v>0</v>
      </c>
      <c r="F36" s="2193">
        <v>0</v>
      </c>
      <c r="G36" s="2193">
        <f>'Д 2_Т на В'!X46/'Д 2_Т на В'!X$58*1000</f>
        <v>48.79</v>
      </c>
      <c r="H36" s="2217">
        <f t="shared" si="1"/>
        <v>0</v>
      </c>
      <c r="I36" s="2218">
        <f t="shared" si="5"/>
        <v>68.069999999999993</v>
      </c>
      <c r="J36" s="88">
        <f t="shared" si="6"/>
        <v>0</v>
      </c>
      <c r="K36" s="88">
        <f t="shared" si="6"/>
        <v>0</v>
      </c>
      <c r="L36" s="88">
        <f t="shared" si="6"/>
        <v>0</v>
      </c>
      <c r="M36" s="88">
        <f t="shared" si="7"/>
        <v>68.069999999999993</v>
      </c>
      <c r="N36" s="2218">
        <f t="shared" si="8"/>
        <v>452.49</v>
      </c>
      <c r="O36" s="88">
        <f t="shared" si="9"/>
        <v>0</v>
      </c>
      <c r="P36" s="88">
        <f t="shared" si="9"/>
        <v>0</v>
      </c>
      <c r="Q36" s="88">
        <f t="shared" si="9"/>
        <v>0</v>
      </c>
      <c r="R36" s="88">
        <f t="shared" si="10"/>
        <v>452.49</v>
      </c>
    </row>
    <row r="37" spans="1:22" x14ac:dyDescent="0.25">
      <c r="A37" s="2195" t="s">
        <v>2825</v>
      </c>
      <c r="B37" s="2364" t="s">
        <v>85</v>
      </c>
      <c r="C37" s="2193">
        <f>'Д 2_Т на В'!H47</f>
        <v>711.43</v>
      </c>
      <c r="D37" s="2193">
        <v>0</v>
      </c>
      <c r="E37" s="2193">
        <v>0</v>
      </c>
      <c r="F37" s="2193">
        <v>0</v>
      </c>
      <c r="G37" s="2193">
        <f>'Д 2_Т на В'!X47/'Д 2_Т на В'!X$58*1000</f>
        <v>66.680000000000007</v>
      </c>
      <c r="H37" s="2217">
        <f t="shared" si="1"/>
        <v>0</v>
      </c>
      <c r="I37" s="2218">
        <f t="shared" si="5"/>
        <v>93.03</v>
      </c>
      <c r="J37" s="88">
        <f t="shared" si="6"/>
        <v>0</v>
      </c>
      <c r="K37" s="88">
        <f t="shared" si="6"/>
        <v>0</v>
      </c>
      <c r="L37" s="88">
        <f t="shared" si="6"/>
        <v>0</v>
      </c>
      <c r="M37" s="88">
        <f t="shared" si="7"/>
        <v>93.03</v>
      </c>
      <c r="N37" s="2218">
        <f t="shared" si="8"/>
        <v>618.4</v>
      </c>
      <c r="O37" s="88">
        <f t="shared" si="9"/>
        <v>0</v>
      </c>
      <c r="P37" s="88">
        <f t="shared" si="9"/>
        <v>0</v>
      </c>
      <c r="Q37" s="88">
        <f t="shared" si="9"/>
        <v>0</v>
      </c>
      <c r="R37" s="88">
        <f t="shared" si="10"/>
        <v>618.4</v>
      </c>
    </row>
    <row r="38" spans="1:22" x14ac:dyDescent="0.25">
      <c r="A38" s="2195" t="s">
        <v>2826</v>
      </c>
      <c r="B38" s="2364" t="s">
        <v>71</v>
      </c>
      <c r="C38" s="2193">
        <f>'Д 2_Т на В'!H48</f>
        <v>0</v>
      </c>
      <c r="D38" s="2193">
        <v>0</v>
      </c>
      <c r="E38" s="2193">
        <v>0</v>
      </c>
      <c r="F38" s="2193">
        <v>0</v>
      </c>
      <c r="G38" s="2193">
        <f>'Д 2_Т на В'!X48/'Д 2_Т на В'!X$58*1000</f>
        <v>0</v>
      </c>
      <c r="H38" s="2217">
        <f t="shared" si="1"/>
        <v>0</v>
      </c>
      <c r="I38" s="2218">
        <f t="shared" si="5"/>
        <v>0</v>
      </c>
      <c r="J38" s="88">
        <f t="shared" si="6"/>
        <v>0</v>
      </c>
      <c r="K38" s="88">
        <f t="shared" si="6"/>
        <v>0</v>
      </c>
      <c r="L38" s="88">
        <f t="shared" si="6"/>
        <v>0</v>
      </c>
      <c r="M38" s="88">
        <f t="shared" si="7"/>
        <v>0</v>
      </c>
      <c r="N38" s="2218">
        <f t="shared" si="8"/>
        <v>0</v>
      </c>
      <c r="O38" s="88">
        <f t="shared" si="9"/>
        <v>0</v>
      </c>
      <c r="P38" s="88">
        <f t="shared" si="9"/>
        <v>0</v>
      </c>
      <c r="Q38" s="88">
        <f t="shared" si="9"/>
        <v>0</v>
      </c>
      <c r="R38" s="88">
        <f t="shared" si="10"/>
        <v>0</v>
      </c>
    </row>
    <row r="39" spans="1:22" x14ac:dyDescent="0.25">
      <c r="A39" s="2195" t="s">
        <v>2827</v>
      </c>
      <c r="B39" s="2364" t="s">
        <v>2375</v>
      </c>
      <c r="C39" s="2193">
        <f>'Д 2_Т на В'!H50</f>
        <v>2891.99</v>
      </c>
      <c r="D39" s="2193">
        <v>0</v>
      </c>
      <c r="E39" s="2193">
        <v>0</v>
      </c>
      <c r="F39" s="2193">
        <v>0</v>
      </c>
      <c r="G39" s="2193">
        <f>'Д 2_Т на В'!X50/'Д 2_Т на В'!X$58*1000</f>
        <v>271.07</v>
      </c>
      <c r="H39" s="2217">
        <f t="shared" si="1"/>
        <v>0</v>
      </c>
      <c r="I39" s="2218">
        <f t="shared" si="5"/>
        <v>378.15</v>
      </c>
      <c r="J39" s="88">
        <f t="shared" si="6"/>
        <v>0</v>
      </c>
      <c r="K39" s="88">
        <f t="shared" si="6"/>
        <v>0</v>
      </c>
      <c r="L39" s="88">
        <f t="shared" si="6"/>
        <v>0</v>
      </c>
      <c r="M39" s="88">
        <f t="shared" si="7"/>
        <v>378.15</v>
      </c>
      <c r="N39" s="2218">
        <f t="shared" si="8"/>
        <v>2513.84</v>
      </c>
      <c r="O39" s="88">
        <f t="shared" si="9"/>
        <v>0</v>
      </c>
      <c r="P39" s="88">
        <f t="shared" si="9"/>
        <v>0</v>
      </c>
      <c r="Q39" s="88">
        <f t="shared" si="9"/>
        <v>0</v>
      </c>
      <c r="R39" s="88">
        <f t="shared" si="10"/>
        <v>2513.84</v>
      </c>
    </row>
    <row r="40" spans="1:22" ht="28.9" customHeight="1" x14ac:dyDescent="0.25">
      <c r="A40" s="2209" t="s">
        <v>1783</v>
      </c>
      <c r="B40" s="2210" t="s">
        <v>3462</v>
      </c>
      <c r="C40" s="2207">
        <f>C10+C26+C31+C32+C33+C34+C35</f>
        <v>76423.81</v>
      </c>
      <c r="D40" s="2184">
        <f>D10+D26+D31+D32+D33+D34+D35</f>
        <v>0</v>
      </c>
      <c r="E40" s="2184">
        <f t="shared" ref="E40" si="17">E10+E26+E31+E32+E33+E34+E35</f>
        <v>0</v>
      </c>
      <c r="F40" s="2193">
        <v>0</v>
      </c>
      <c r="G40" s="2184">
        <f>G10+G26+G31+G32+G33+G34+G35</f>
        <v>7163.27</v>
      </c>
      <c r="H40" s="2217">
        <f>I40+N40-C40</f>
        <v>0</v>
      </c>
      <c r="I40" s="2218">
        <f>I10+I26+I35</f>
        <v>9993.0499999999993</v>
      </c>
      <c r="J40" s="88">
        <f t="shared" si="6"/>
        <v>0</v>
      </c>
      <c r="K40" s="88">
        <f t="shared" si="6"/>
        <v>0</v>
      </c>
      <c r="L40" s="88">
        <f t="shared" si="6"/>
        <v>0</v>
      </c>
      <c r="M40" s="88">
        <f>M10+M26+M35</f>
        <v>9993.0499999999993</v>
      </c>
      <c r="N40" s="2218">
        <f>N10+N26+N31+N32+N33+N34+N35</f>
        <v>66430.759999999995</v>
      </c>
      <c r="O40" s="88">
        <f t="shared" si="9"/>
        <v>0</v>
      </c>
      <c r="P40" s="88">
        <f t="shared" si="9"/>
        <v>0</v>
      </c>
      <c r="Q40" s="88">
        <f t="shared" si="9"/>
        <v>0</v>
      </c>
      <c r="R40" s="88">
        <f>R10+R26+R35</f>
        <v>66430.759999999995</v>
      </c>
      <c r="T40" s="863">
        <f>I40+N40</f>
        <v>76423.81</v>
      </c>
      <c r="V40" s="863"/>
    </row>
    <row r="41" spans="1:22" s="23" customFormat="1" ht="45.75" customHeight="1" thickBot="1" x14ac:dyDescent="0.25">
      <c r="A41" s="2211" t="s">
        <v>1785</v>
      </c>
      <c r="B41" s="1218" t="s">
        <v>3091</v>
      </c>
      <c r="C41" s="2630">
        <f>G41+F41+E41+D41</f>
        <v>10.668839999999999</v>
      </c>
      <c r="D41" s="2187">
        <f>ТЕ_1ст_вих!F23-ТЕ_1ст_вих!F24</f>
        <v>0</v>
      </c>
      <c r="E41" s="2187">
        <f>ТЕ_1ст_вих!G23-ТЕ_1ст_вих!G24</f>
        <v>0</v>
      </c>
      <c r="F41" s="2187">
        <f>ТЕ_1ст_вих!H23-ТЕ_1ст_вих!H24</f>
        <v>0</v>
      </c>
      <c r="G41" s="2633">
        <f>ТЕ_1ст_вих!I23-ТЕ_1ст_вих!I24</f>
        <v>10.668839999999999</v>
      </c>
      <c r="H41" s="1327"/>
    </row>
    <row r="42" spans="1:22" s="58" customFormat="1" ht="16.5" customHeight="1" x14ac:dyDescent="0.25">
      <c r="A42" s="53"/>
      <c r="D42" s="53"/>
      <c r="H42" s="1898"/>
    </row>
    <row r="43" spans="1:22" s="58" customFormat="1" ht="41.45" customHeight="1" x14ac:dyDescent="0.25">
      <c r="A43" s="53"/>
      <c r="B43" s="58" t="s">
        <v>2846</v>
      </c>
      <c r="C43" s="3560"/>
      <c r="E43" s="2202"/>
      <c r="F43" s="2202" t="s">
        <v>2847</v>
      </c>
      <c r="H43" s="1898"/>
    </row>
    <row r="44" spans="1:22" x14ac:dyDescent="0.25">
      <c r="C44" s="2202"/>
      <c r="D44" s="2202"/>
      <c r="E44" s="2202"/>
      <c r="F44" s="2202"/>
      <c r="G44" s="2202"/>
    </row>
    <row r="45" spans="1:22" x14ac:dyDescent="0.25">
      <c r="C45" s="2203"/>
      <c r="D45" s="2204"/>
      <c r="E45" s="2204"/>
      <c r="F45" s="2204"/>
      <c r="G45" s="2204"/>
    </row>
    <row r="46" spans="1:22" x14ac:dyDescent="0.25">
      <c r="C46" s="2202"/>
      <c r="D46" s="2202"/>
      <c r="E46" s="2202"/>
      <c r="F46" s="2202"/>
      <c r="G46" s="2202"/>
    </row>
    <row r="47" spans="1:22" x14ac:dyDescent="0.25">
      <c r="D47" s="2216"/>
      <c r="E47" s="2216"/>
      <c r="F47" s="2216"/>
      <c r="G47" s="2216"/>
    </row>
    <row r="48" spans="1:22" x14ac:dyDescent="0.25">
      <c r="C48" s="3639"/>
    </row>
  </sheetData>
  <mergeCells count="9">
    <mergeCell ref="B9:G9"/>
    <mergeCell ref="E1:G1"/>
    <mergeCell ref="I5:I6"/>
    <mergeCell ref="N5:N6"/>
    <mergeCell ref="A3:G3"/>
    <mergeCell ref="A5:A6"/>
    <mergeCell ref="B5:B6"/>
    <mergeCell ref="C5:C6"/>
    <mergeCell ref="D5:G5"/>
  </mergeCells>
  <pageMargins left="0.78740157480314965" right="0.43307086614173229" top="0.78740157480314965" bottom="0.74803149606299213" header="0.31496062992125984" footer="0.31496062992125984"/>
  <pageSetup paperSize="9" scale="74"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C20C5"/>
    <pageSetUpPr fitToPage="1"/>
  </sheetPr>
  <dimension ref="A1:H46"/>
  <sheetViews>
    <sheetView zoomScaleNormal="100" workbookViewId="0">
      <selection activeCell="A3" sqref="A3:G3"/>
    </sheetView>
  </sheetViews>
  <sheetFormatPr defaultColWidth="9.140625" defaultRowHeight="15" x14ac:dyDescent="0.25"/>
  <cols>
    <col min="1" max="1" width="7.85546875" style="1791" customWidth="1"/>
    <col min="2" max="2" width="46" style="108" customWidth="1"/>
    <col min="3" max="3" width="12.7109375" style="18" customWidth="1"/>
    <col min="4" max="4" width="11.140625" style="1791" customWidth="1"/>
    <col min="5" max="7" width="11.7109375" style="18" customWidth="1"/>
    <col min="8" max="8" width="17.5703125" style="18" customWidth="1"/>
    <col min="9" max="16384" width="9.140625" style="18"/>
  </cols>
  <sheetData>
    <row r="1" spans="1:8" ht="85.15" customHeight="1" x14ac:dyDescent="0.25">
      <c r="A1" s="3553"/>
      <c r="E1" s="4020" t="s">
        <v>3520</v>
      </c>
      <c r="F1" s="4020"/>
      <c r="G1" s="4020"/>
    </row>
    <row r="2" spans="1:8" ht="20.25" hidden="1" customHeight="1" x14ac:dyDescent="0.25">
      <c r="A2" s="3553"/>
      <c r="F2" s="3542"/>
      <c r="G2" s="3542"/>
    </row>
    <row r="3" spans="1:8" ht="64.5" customHeight="1" x14ac:dyDescent="0.25">
      <c r="A3" s="4021" t="s">
        <v>3510</v>
      </c>
      <c r="B3" s="4021"/>
      <c r="C3" s="4021"/>
      <c r="D3" s="4021"/>
      <c r="E3" s="4021"/>
      <c r="F3" s="4021"/>
      <c r="G3" s="4021"/>
    </row>
    <row r="4" spans="1:8" ht="15.75" thickBot="1" x14ac:dyDescent="0.3">
      <c r="G4" s="18" t="s">
        <v>1649</v>
      </c>
    </row>
    <row r="5" spans="1:8" ht="30" customHeight="1" thickBot="1" x14ac:dyDescent="0.3">
      <c r="A5" s="4022" t="s">
        <v>7</v>
      </c>
      <c r="B5" s="4022" t="s">
        <v>619</v>
      </c>
      <c r="C5" s="4022" t="s">
        <v>2766</v>
      </c>
      <c r="D5" s="4025" t="s">
        <v>2767</v>
      </c>
      <c r="E5" s="4026"/>
      <c r="F5" s="4026"/>
      <c r="G5" s="4027"/>
      <c r="H5" s="108"/>
    </row>
    <row r="6" spans="1:8" ht="75" customHeight="1" thickBot="1" x14ac:dyDescent="0.3">
      <c r="A6" s="4023"/>
      <c r="B6" s="4024"/>
      <c r="C6" s="4024"/>
      <c r="D6" s="2176" t="s">
        <v>2768</v>
      </c>
      <c r="E6" s="2176" t="s">
        <v>2769</v>
      </c>
      <c r="F6" s="2176" t="s">
        <v>2770</v>
      </c>
      <c r="G6" s="2176" t="s">
        <v>2835</v>
      </c>
    </row>
    <row r="7" spans="1:8" ht="15.75" thickBot="1" x14ac:dyDescent="0.3">
      <c r="A7" s="2177">
        <v>1</v>
      </c>
      <c r="B7" s="2393">
        <v>2</v>
      </c>
      <c r="C7" s="2163">
        <v>3</v>
      </c>
      <c r="D7" s="2177">
        <v>4</v>
      </c>
      <c r="E7" s="2163">
        <v>5</v>
      </c>
      <c r="F7" s="2178">
        <v>6</v>
      </c>
      <c r="G7" s="2164">
        <v>7</v>
      </c>
    </row>
    <row r="8" spans="1:8" ht="70.5" customHeight="1" thickBot="1" x14ac:dyDescent="0.3">
      <c r="A8" s="2205" t="s">
        <v>2773</v>
      </c>
      <c r="B8" s="2394" t="s">
        <v>3428</v>
      </c>
      <c r="C8" s="2201">
        <f>(C31+C32+C33+C34+C35+C36)</f>
        <v>3197.63</v>
      </c>
      <c r="D8" s="2201">
        <f>(D31+D32+D33+D34+D35+D36)</f>
        <v>0</v>
      </c>
      <c r="E8" s="2201">
        <f t="shared" ref="E8:G8" si="0">(E31+E32+E33+E34+E35+E36)</f>
        <v>0</v>
      </c>
      <c r="F8" s="2201">
        <f t="shared" si="0"/>
        <v>0</v>
      </c>
      <c r="G8" s="2201">
        <f t="shared" si="0"/>
        <v>2667.5</v>
      </c>
    </row>
    <row r="9" spans="1:8" ht="34.5" customHeight="1" thickBot="1" x14ac:dyDescent="0.3">
      <c r="A9" s="2189" t="s">
        <v>2778</v>
      </c>
      <c r="B9" s="4035" t="s">
        <v>2832</v>
      </c>
      <c r="C9" s="4036"/>
      <c r="D9" s="4036"/>
      <c r="E9" s="4036"/>
      <c r="F9" s="4036"/>
      <c r="G9" s="4037"/>
    </row>
    <row r="10" spans="1:8" s="23" customFormat="1" ht="14.25" x14ac:dyDescent="0.2">
      <c r="A10" s="2190" t="s">
        <v>1670</v>
      </c>
      <c r="B10" s="2191" t="s">
        <v>2780</v>
      </c>
      <c r="C10" s="2184">
        <f>C11+C15+C16+C20</f>
        <v>1588.28</v>
      </c>
      <c r="D10" s="177">
        <f>D11+D15+D16+D20</f>
        <v>0</v>
      </c>
      <c r="E10" s="177">
        <f t="shared" ref="E10:G10" si="1">E11+E15+E16+E20</f>
        <v>0</v>
      </c>
      <c r="F10" s="177">
        <f t="shared" si="1"/>
        <v>0</v>
      </c>
      <c r="G10" s="177">
        <f t="shared" si="1"/>
        <v>1324.96</v>
      </c>
    </row>
    <row r="11" spans="1:8" x14ac:dyDescent="0.25">
      <c r="A11" s="2192" t="s">
        <v>1672</v>
      </c>
      <c r="B11" s="2364" t="s">
        <v>2829</v>
      </c>
      <c r="C11" s="2193">
        <f>SUM(C12:C14)</f>
        <v>371.81</v>
      </c>
      <c r="D11" s="2193">
        <v>0</v>
      </c>
      <c r="E11" s="2193">
        <f t="shared" ref="E11:G11" si="2">SUM(E12:E14)</f>
        <v>0</v>
      </c>
      <c r="F11" s="2193">
        <v>0</v>
      </c>
      <c r="G11" s="2193">
        <f t="shared" si="2"/>
        <v>310.16000000000003</v>
      </c>
    </row>
    <row r="12" spans="1:8" ht="30" x14ac:dyDescent="0.25">
      <c r="A12" s="2192" t="s">
        <v>2782</v>
      </c>
      <c r="B12" s="2364" t="s">
        <v>2785</v>
      </c>
      <c r="C12" s="2193">
        <f>Виробництво_Транспортування_1ст!K105</f>
        <v>290.05</v>
      </c>
      <c r="D12" s="2193">
        <v>0</v>
      </c>
      <c r="E12" s="2193">
        <v>0</v>
      </c>
      <c r="F12" s="2193">
        <v>0</v>
      </c>
      <c r="G12" s="2193">
        <f>C12/$C$41</f>
        <v>241.96</v>
      </c>
    </row>
    <row r="13" spans="1:8" ht="30" x14ac:dyDescent="0.25">
      <c r="A13" s="2192" t="s">
        <v>2784</v>
      </c>
      <c r="B13" s="2364" t="s">
        <v>2787</v>
      </c>
      <c r="C13" s="2193">
        <f>Виробництво_Транспортування_1ст!K106</f>
        <v>60.05</v>
      </c>
      <c r="D13" s="2193">
        <v>0</v>
      </c>
      <c r="E13" s="2193">
        <v>0</v>
      </c>
      <c r="F13" s="2193">
        <v>0</v>
      </c>
      <c r="G13" s="2193">
        <f t="shared" ref="G13:G29" si="3">C13/$C$41</f>
        <v>50.09</v>
      </c>
    </row>
    <row r="14" spans="1:8" ht="30" x14ac:dyDescent="0.25">
      <c r="A14" s="2192" t="s">
        <v>2786</v>
      </c>
      <c r="B14" s="2364" t="s">
        <v>2151</v>
      </c>
      <c r="C14" s="2193">
        <f>Виробництво_Транспортування_1ст!K104-Виробництво_Транспортування_1ст!K105-Виробництво_Транспортування_1ст!K106-Виробництво_Транспортування_1ст!K117</f>
        <v>21.71</v>
      </c>
      <c r="D14" s="2193">
        <v>0</v>
      </c>
      <c r="E14" s="2193">
        <v>0</v>
      </c>
      <c r="F14" s="2193">
        <v>0</v>
      </c>
      <c r="G14" s="2193">
        <f t="shared" si="3"/>
        <v>18.11</v>
      </c>
    </row>
    <row r="15" spans="1:8" x14ac:dyDescent="0.25">
      <c r="A15" s="2192" t="s">
        <v>1674</v>
      </c>
      <c r="B15" s="2364" t="s">
        <v>2789</v>
      </c>
      <c r="C15" s="2193">
        <f>Виробництво_Транспортування_1ст!K118</f>
        <v>593.91999999999996</v>
      </c>
      <c r="D15" s="2193">
        <v>0</v>
      </c>
      <c r="E15" s="2193">
        <v>0</v>
      </c>
      <c r="F15" s="2193">
        <v>0</v>
      </c>
      <c r="G15" s="2193">
        <f t="shared" si="3"/>
        <v>495.46</v>
      </c>
    </row>
    <row r="16" spans="1:8" ht="14.45" customHeight="1" x14ac:dyDescent="0.25">
      <c r="A16" s="2192" t="s">
        <v>1677</v>
      </c>
      <c r="B16" s="2364" t="s">
        <v>2790</v>
      </c>
      <c r="C16" s="2193">
        <f>C17+C18+C19</f>
        <v>545.85</v>
      </c>
      <c r="D16" s="2193">
        <v>0</v>
      </c>
      <c r="E16" s="2193">
        <v>0</v>
      </c>
      <c r="F16" s="2193">
        <v>0</v>
      </c>
      <c r="G16" s="2193">
        <f t="shared" si="3"/>
        <v>455.36</v>
      </c>
    </row>
    <row r="17" spans="1:7" x14ac:dyDescent="0.25">
      <c r="A17" s="2192" t="s">
        <v>2791</v>
      </c>
      <c r="B17" s="2364" t="s">
        <v>2805</v>
      </c>
      <c r="C17" s="2193">
        <f>Виробництво_Транспортування_1ст!K121</f>
        <v>130.66</v>
      </c>
      <c r="D17" s="2193">
        <v>0</v>
      </c>
      <c r="E17" s="2193">
        <v>0</v>
      </c>
      <c r="F17" s="2193">
        <v>0</v>
      </c>
      <c r="G17" s="2193">
        <f t="shared" si="3"/>
        <v>109</v>
      </c>
    </row>
    <row r="18" spans="1:7" x14ac:dyDescent="0.25">
      <c r="A18" s="2192" t="s">
        <v>2793</v>
      </c>
      <c r="B18" s="2364" t="s">
        <v>2794</v>
      </c>
      <c r="C18" s="2193">
        <f>Виробництво_Транспортування_1ст!K122+Виробництво_Транспортування_1ст!K123</f>
        <v>32.56</v>
      </c>
      <c r="D18" s="2193">
        <v>0</v>
      </c>
      <c r="E18" s="2193">
        <v>0</v>
      </c>
      <c r="F18" s="2193">
        <v>0</v>
      </c>
      <c r="G18" s="2193">
        <f t="shared" si="3"/>
        <v>27.16</v>
      </c>
    </row>
    <row r="19" spans="1:7" ht="15.6" customHeight="1" x14ac:dyDescent="0.25">
      <c r="A19" s="2192" t="s">
        <v>2795</v>
      </c>
      <c r="B19" s="2364" t="s">
        <v>82</v>
      </c>
      <c r="C19" s="2193">
        <f>Виробництво_Транспортування_1ст!K120-Виробництво_Транспортування_1ст!K121-Виробництво_Транспортування_1ст!K122-Виробництво_Транспортування_1ст!K123</f>
        <v>382.63</v>
      </c>
      <c r="D19" s="2193">
        <v>0</v>
      </c>
      <c r="E19" s="2193">
        <v>0</v>
      </c>
      <c r="F19" s="2193">
        <v>0</v>
      </c>
      <c r="G19" s="2193">
        <f t="shared" si="3"/>
        <v>319.2</v>
      </c>
    </row>
    <row r="20" spans="1:7" s="23" customFormat="1" ht="14.25" x14ac:dyDescent="0.2">
      <c r="A20" s="2194" t="s">
        <v>1679</v>
      </c>
      <c r="B20" s="2191" t="s">
        <v>2796</v>
      </c>
      <c r="C20" s="2184">
        <f>C21+C22+C23+C24</f>
        <v>76.7</v>
      </c>
      <c r="D20" s="177">
        <f t="shared" ref="D20:F20" si="4">D21+D22+D23+D24</f>
        <v>0</v>
      </c>
      <c r="E20" s="177">
        <f t="shared" si="4"/>
        <v>0</v>
      </c>
      <c r="F20" s="177">
        <f t="shared" si="4"/>
        <v>0</v>
      </c>
      <c r="G20" s="2184">
        <f t="shared" si="3"/>
        <v>63.98</v>
      </c>
    </row>
    <row r="21" spans="1:7" x14ac:dyDescent="0.25">
      <c r="A21" s="2195" t="s">
        <v>2797</v>
      </c>
      <c r="B21" s="2364" t="s">
        <v>2798</v>
      </c>
      <c r="C21" s="2193">
        <f>ЗВВ_1ст!I21</f>
        <v>51.09</v>
      </c>
      <c r="D21" s="2193">
        <v>0</v>
      </c>
      <c r="E21" s="2193">
        <v>0</v>
      </c>
      <c r="F21" s="2193">
        <v>0</v>
      </c>
      <c r="G21" s="2193">
        <f t="shared" si="3"/>
        <v>42.62</v>
      </c>
    </row>
    <row r="22" spans="1:7" x14ac:dyDescent="0.25">
      <c r="A22" s="2195" t="s">
        <v>2799</v>
      </c>
      <c r="B22" s="2364" t="s">
        <v>2153</v>
      </c>
      <c r="C22" s="2193">
        <f>ЗВВ_1ст!I23</f>
        <v>11.24</v>
      </c>
      <c r="D22" s="2193">
        <v>0</v>
      </c>
      <c r="E22" s="2193">
        <v>0</v>
      </c>
      <c r="F22" s="2193">
        <v>0</v>
      </c>
      <c r="G22" s="2193">
        <f t="shared" si="3"/>
        <v>9.3800000000000008</v>
      </c>
    </row>
    <row r="23" spans="1:7" x14ac:dyDescent="0.25">
      <c r="A23" s="2195" t="s">
        <v>2800</v>
      </c>
      <c r="B23" s="2364" t="s">
        <v>2794</v>
      </c>
      <c r="C23" s="2193">
        <f>ЗВВ_1ст!I37+ЗВВ_1ст!I38</f>
        <v>0.7</v>
      </c>
      <c r="D23" s="2193">
        <v>0</v>
      </c>
      <c r="E23" s="2193">
        <v>0</v>
      </c>
      <c r="F23" s="2193">
        <v>0</v>
      </c>
      <c r="G23" s="2193">
        <f t="shared" si="3"/>
        <v>0.57999999999999996</v>
      </c>
    </row>
    <row r="24" spans="1:7" x14ac:dyDescent="0.25">
      <c r="A24" s="2195" t="s">
        <v>2801</v>
      </c>
      <c r="B24" s="2364" t="s">
        <v>58</v>
      </c>
      <c r="C24" s="2193">
        <f>ЗВВ_1ст!I24+ЗВВ_1ст!I9+ЗВВ_1ст!I39</f>
        <v>13.67</v>
      </c>
      <c r="D24" s="2193">
        <v>0</v>
      </c>
      <c r="E24" s="2193">
        <v>0</v>
      </c>
      <c r="F24" s="2193">
        <v>0</v>
      </c>
      <c r="G24" s="2193">
        <f t="shared" si="3"/>
        <v>11.4</v>
      </c>
    </row>
    <row r="25" spans="1:7" s="23" customFormat="1" ht="14.25" x14ac:dyDescent="0.2">
      <c r="A25" s="2190" t="s">
        <v>1692</v>
      </c>
      <c r="B25" s="2191" t="s">
        <v>2802</v>
      </c>
      <c r="C25" s="2184">
        <f>C26+C27+C28+C29</f>
        <v>30.58</v>
      </c>
      <c r="D25" s="177">
        <f t="shared" ref="D25:E25" si="5">D26+D27+D28+D29</f>
        <v>0</v>
      </c>
      <c r="E25" s="177">
        <f t="shared" si="5"/>
        <v>0</v>
      </c>
      <c r="F25" s="177">
        <f>F26+F27+F28+F29</f>
        <v>0</v>
      </c>
      <c r="G25" s="2184">
        <f t="shared" si="3"/>
        <v>25.51</v>
      </c>
    </row>
    <row r="26" spans="1:7" x14ac:dyDescent="0.25">
      <c r="A26" s="2195" t="s">
        <v>2803</v>
      </c>
      <c r="B26" s="2364" t="s">
        <v>55</v>
      </c>
      <c r="C26" s="2193">
        <f>Адміністративні_1ст!I21</f>
        <v>19.03</v>
      </c>
      <c r="D26" s="2193">
        <v>0</v>
      </c>
      <c r="E26" s="2193">
        <v>0</v>
      </c>
      <c r="F26" s="2193">
        <v>0</v>
      </c>
      <c r="G26" s="2193">
        <f t="shared" si="3"/>
        <v>15.88</v>
      </c>
    </row>
    <row r="27" spans="1:7" x14ac:dyDescent="0.25">
      <c r="A27" s="2195" t="s">
        <v>2804</v>
      </c>
      <c r="B27" s="2364" t="s">
        <v>2805</v>
      </c>
      <c r="C27" s="2193">
        <f>Адміністративні_1ст!I23</f>
        <v>4.1900000000000004</v>
      </c>
      <c r="D27" s="2193">
        <v>0</v>
      </c>
      <c r="E27" s="2193">
        <v>0</v>
      </c>
      <c r="F27" s="2193">
        <v>0</v>
      </c>
      <c r="G27" s="2193">
        <f t="shared" si="3"/>
        <v>3.5</v>
      </c>
    </row>
    <row r="28" spans="1:7" x14ac:dyDescent="0.25">
      <c r="A28" s="2195" t="s">
        <v>2806</v>
      </c>
      <c r="B28" s="2364" t="s">
        <v>2794</v>
      </c>
      <c r="C28" s="2193">
        <f>Адміністративні_1ст!I36+Адміністративні_1ст!I37</f>
        <v>0.48</v>
      </c>
      <c r="D28" s="2193">
        <v>0</v>
      </c>
      <c r="E28" s="2193">
        <v>0</v>
      </c>
      <c r="F28" s="2193">
        <v>0</v>
      </c>
      <c r="G28" s="2193">
        <f t="shared" si="3"/>
        <v>0.4</v>
      </c>
    </row>
    <row r="29" spans="1:7" x14ac:dyDescent="0.25">
      <c r="A29" s="2195" t="s">
        <v>2807</v>
      </c>
      <c r="B29" s="2364" t="s">
        <v>2808</v>
      </c>
      <c r="C29" s="2193">
        <f>Адміністративні_1ст!I9+Адміністративні_1ст!I24+Адміністративні_1ст!I38</f>
        <v>6.88</v>
      </c>
      <c r="D29" s="2193">
        <v>0</v>
      </c>
      <c r="E29" s="2193">
        <v>0</v>
      </c>
      <c r="F29" s="2193">
        <v>0</v>
      </c>
      <c r="G29" s="2193">
        <f t="shared" si="3"/>
        <v>5.74</v>
      </c>
    </row>
    <row r="30" spans="1:7" s="23" customFormat="1" ht="14.25" x14ac:dyDescent="0.2">
      <c r="A30" s="2190" t="s">
        <v>1694</v>
      </c>
      <c r="B30" s="2191" t="s">
        <v>2809</v>
      </c>
      <c r="C30" s="2190">
        <v>0</v>
      </c>
      <c r="D30" s="2190">
        <v>0</v>
      </c>
      <c r="E30" s="2190">
        <v>0</v>
      </c>
      <c r="F30" s="2190">
        <v>0</v>
      </c>
      <c r="G30" s="2190">
        <v>0</v>
      </c>
    </row>
    <row r="31" spans="1:7" s="23" customFormat="1" ht="28.5" x14ac:dyDescent="0.2">
      <c r="A31" s="2190" t="s">
        <v>1697</v>
      </c>
      <c r="B31" s="2191" t="s">
        <v>2830</v>
      </c>
      <c r="C31" s="2184">
        <f>C10+C25+C30</f>
        <v>1618.86</v>
      </c>
      <c r="D31" s="2184">
        <f>D10+D25+D30</f>
        <v>0</v>
      </c>
      <c r="E31" s="2184">
        <f t="shared" ref="E31:G31" si="6">E10+E25+E30</f>
        <v>0</v>
      </c>
      <c r="F31" s="2184">
        <f t="shared" si="6"/>
        <v>0</v>
      </c>
      <c r="G31" s="2184">
        <f t="shared" si="6"/>
        <v>1350.47</v>
      </c>
    </row>
    <row r="32" spans="1:7" s="23" customFormat="1" ht="42.75" x14ac:dyDescent="0.2">
      <c r="A32" s="2190">
        <v>5</v>
      </c>
      <c r="B32" s="2191" t="s">
        <v>2810</v>
      </c>
      <c r="C32" s="2184">
        <f>Виробництво_Транспортування_1ст!K117</f>
        <v>1406.22</v>
      </c>
      <c r="D32" s="2423">
        <v>0</v>
      </c>
      <c r="E32" s="2423">
        <v>0</v>
      </c>
      <c r="F32" s="2423">
        <v>0</v>
      </c>
      <c r="G32" s="2184">
        <f>C32/$C$41</f>
        <v>1173.0899999999999</v>
      </c>
    </row>
    <row r="33" spans="1:7" s="23" customFormat="1" ht="14.25" x14ac:dyDescent="0.2">
      <c r="A33" s="2190">
        <v>6</v>
      </c>
      <c r="B33" s="2191" t="s">
        <v>2811</v>
      </c>
      <c r="C33" s="2184">
        <v>0</v>
      </c>
      <c r="D33" s="2184">
        <v>0</v>
      </c>
      <c r="E33" s="2184">
        <v>0</v>
      </c>
      <c r="F33" s="2184">
        <v>0</v>
      </c>
      <c r="G33" s="2184">
        <v>0</v>
      </c>
    </row>
    <row r="34" spans="1:7" s="23" customFormat="1" ht="14.25" x14ac:dyDescent="0.2">
      <c r="A34" s="2190">
        <v>7</v>
      </c>
      <c r="B34" s="2191" t="s">
        <v>2812</v>
      </c>
      <c r="C34" s="2184">
        <v>0</v>
      </c>
      <c r="D34" s="2184">
        <v>0</v>
      </c>
      <c r="E34" s="2184">
        <v>0</v>
      </c>
      <c r="F34" s="2184">
        <v>0</v>
      </c>
      <c r="G34" s="2184">
        <v>0</v>
      </c>
    </row>
    <row r="35" spans="1:7" s="23" customFormat="1" ht="14.25" x14ac:dyDescent="0.2">
      <c r="A35" s="2190">
        <v>8</v>
      </c>
      <c r="B35" s="2191" t="s">
        <v>2813</v>
      </c>
      <c r="C35" s="2184">
        <v>0</v>
      </c>
      <c r="D35" s="2184">
        <v>0</v>
      </c>
      <c r="E35" s="2184">
        <v>0</v>
      </c>
      <c r="F35" s="2184">
        <v>0</v>
      </c>
      <c r="G35" s="2184">
        <v>0</v>
      </c>
    </row>
    <row r="36" spans="1:7" s="23" customFormat="1" ht="28.5" x14ac:dyDescent="0.2">
      <c r="A36" s="2190">
        <v>9</v>
      </c>
      <c r="B36" s="2191" t="s">
        <v>2814</v>
      </c>
      <c r="C36" s="2184">
        <f>SUM(C37:C40)</f>
        <v>172.55</v>
      </c>
      <c r="D36" s="2184">
        <f t="shared" ref="D36:F36" si="7">SUM(D37:D40)</f>
        <v>0</v>
      </c>
      <c r="E36" s="2184">
        <f t="shared" si="7"/>
        <v>0</v>
      </c>
      <c r="F36" s="2184">
        <f t="shared" si="7"/>
        <v>0</v>
      </c>
      <c r="G36" s="2184">
        <f>C36/C41</f>
        <v>143.94</v>
      </c>
    </row>
    <row r="37" spans="1:7" x14ac:dyDescent="0.25">
      <c r="A37" s="2195" t="s">
        <v>1099</v>
      </c>
      <c r="B37" s="2364" t="s">
        <v>65</v>
      </c>
      <c r="C37" s="2193">
        <f>'Д 3_Т на Т з ЦТП'!G40</f>
        <v>21.78</v>
      </c>
      <c r="D37" s="2193">
        <v>0</v>
      </c>
      <c r="E37" s="2193">
        <v>0</v>
      </c>
      <c r="F37" s="2193">
        <v>0</v>
      </c>
      <c r="G37" s="2193">
        <f>C37/$C$41</f>
        <v>18.170000000000002</v>
      </c>
    </row>
    <row r="38" spans="1:7" x14ac:dyDescent="0.25">
      <c r="A38" s="2195" t="s">
        <v>1100</v>
      </c>
      <c r="B38" s="2364" t="s">
        <v>85</v>
      </c>
      <c r="C38" s="2193">
        <f>'Д 3_Т на Т з ЦТП'!G41</f>
        <v>29.77</v>
      </c>
      <c r="D38" s="2193">
        <v>0</v>
      </c>
      <c r="E38" s="2193">
        <v>0</v>
      </c>
      <c r="F38" s="2193">
        <v>0</v>
      </c>
      <c r="G38" s="2193">
        <f t="shared" ref="G38:G40" si="8">C38/$C$41</f>
        <v>24.83</v>
      </c>
    </row>
    <row r="39" spans="1:7" x14ac:dyDescent="0.25">
      <c r="A39" s="2195" t="s">
        <v>1101</v>
      </c>
      <c r="B39" s="2364" t="s">
        <v>71</v>
      </c>
      <c r="C39" s="2193">
        <f>'Д 3_Т на Т з ЦТП'!G42</f>
        <v>0</v>
      </c>
      <c r="D39" s="2193">
        <v>0</v>
      </c>
      <c r="E39" s="2193">
        <v>0</v>
      </c>
      <c r="F39" s="2193">
        <v>0</v>
      </c>
      <c r="G39" s="2193">
        <f t="shared" si="8"/>
        <v>0</v>
      </c>
    </row>
    <row r="40" spans="1:7" x14ac:dyDescent="0.25">
      <c r="A40" s="2195" t="s">
        <v>1951</v>
      </c>
      <c r="B40" s="2364" t="s">
        <v>2375</v>
      </c>
      <c r="C40" s="2193">
        <f>'Д 3_Т на Т з ЦТП'!G44</f>
        <v>121</v>
      </c>
      <c r="D40" s="2193">
        <v>0</v>
      </c>
      <c r="E40" s="2193">
        <v>0</v>
      </c>
      <c r="F40" s="2193">
        <v>0</v>
      </c>
      <c r="G40" s="2193">
        <f t="shared" si="8"/>
        <v>100.94</v>
      </c>
    </row>
    <row r="41" spans="1:7" s="23" customFormat="1" ht="29.25" thickBot="1" x14ac:dyDescent="0.25">
      <c r="A41" s="2211" t="s">
        <v>1789</v>
      </c>
      <c r="B41" s="2213" t="s">
        <v>3090</v>
      </c>
      <c r="C41" s="2630">
        <f>'Д 3_Т на Т з ЦТП'!G56/1000</f>
        <v>1.1987300000000001</v>
      </c>
      <c r="D41" s="2187">
        <f>'Д 3_Т на Т з ЦТП'!G57/1000</f>
        <v>0</v>
      </c>
      <c r="E41" s="2187">
        <f>'Д 3_Т на Т з ЦТП'!G58</f>
        <v>0</v>
      </c>
      <c r="F41" s="2187">
        <f>'Д 3_Т на Т з ЦТП'!G59/1000</f>
        <v>0</v>
      </c>
      <c r="G41" s="2633">
        <f>'Д 3_Т на Т з ЦТП'!G60/1000</f>
        <v>1.1987300000000001</v>
      </c>
    </row>
    <row r="43" spans="1:7" ht="15.75" x14ac:dyDescent="0.25">
      <c r="B43" s="58" t="s">
        <v>2846</v>
      </c>
      <c r="C43" s="3560"/>
      <c r="E43" s="2202"/>
      <c r="F43" s="2202" t="s">
        <v>2847</v>
      </c>
      <c r="G43" s="2202"/>
    </row>
    <row r="44" spans="1:7" x14ac:dyDescent="0.25">
      <c r="C44" s="2402"/>
      <c r="D44" s="2204"/>
      <c r="E44" s="2202"/>
      <c r="F44" s="4578"/>
      <c r="G44" s="4578"/>
    </row>
    <row r="46" spans="1:7" x14ac:dyDescent="0.25">
      <c r="C46" s="1346"/>
      <c r="D46" s="2420"/>
    </row>
  </sheetData>
  <mergeCells count="8">
    <mergeCell ref="E1:G1"/>
    <mergeCell ref="F44:G44"/>
    <mergeCell ref="B9:G9"/>
    <mergeCell ref="A5:A6"/>
    <mergeCell ref="B5:B6"/>
    <mergeCell ref="C5:C6"/>
    <mergeCell ref="D5:G5"/>
    <mergeCell ref="A3:G3"/>
  </mergeCells>
  <pageMargins left="0.78740157480314965" right="0.31496062992125984" top="0.39370078740157483" bottom="0.31496062992125984" header="0.31496062992125984" footer="0.31496062992125984"/>
  <pageSetup paperSize="9" scale="80"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C20C5"/>
    <pageSetUpPr fitToPage="1"/>
  </sheetPr>
  <dimension ref="A1:J44"/>
  <sheetViews>
    <sheetView zoomScaleNormal="100" workbookViewId="0">
      <selection activeCell="H7" sqref="H7"/>
    </sheetView>
  </sheetViews>
  <sheetFormatPr defaultColWidth="9.140625" defaultRowHeight="15" x14ac:dyDescent="0.25"/>
  <cols>
    <col min="1" max="1" width="6.28515625" style="1791" customWidth="1"/>
    <col min="2" max="2" width="47.85546875" style="18" customWidth="1"/>
    <col min="3" max="3" width="12.7109375" style="18" customWidth="1"/>
    <col min="4" max="4" width="12.7109375" style="1791" customWidth="1"/>
    <col min="5" max="7" width="12.7109375" style="18" customWidth="1"/>
    <col min="8" max="8" width="17.5703125" style="18" customWidth="1"/>
    <col min="9" max="16384" width="9.140625" style="18"/>
  </cols>
  <sheetData>
    <row r="1" spans="1:10" ht="83.25" customHeight="1" x14ac:dyDescent="0.25">
      <c r="A1" s="3553"/>
      <c r="E1" s="4020" t="s">
        <v>3521</v>
      </c>
      <c r="F1" s="4020"/>
      <c r="G1" s="4020"/>
    </row>
    <row r="2" spans="1:10" ht="20.25" hidden="1" customHeight="1" x14ac:dyDescent="0.25">
      <c r="A2" s="3553"/>
      <c r="F2" s="3542"/>
      <c r="G2" s="3542"/>
    </row>
    <row r="3" spans="1:10" ht="63" customHeight="1" x14ac:dyDescent="0.25">
      <c r="A3" s="4021" t="s">
        <v>3526</v>
      </c>
      <c r="B3" s="4021"/>
      <c r="C3" s="4021"/>
      <c r="D3" s="4021"/>
      <c r="E3" s="4021"/>
      <c r="F3" s="4021"/>
      <c r="G3" s="4021"/>
    </row>
    <row r="4" spans="1:10" ht="15.75" thickBot="1" x14ac:dyDescent="0.3">
      <c r="G4" s="18" t="s">
        <v>1649</v>
      </c>
    </row>
    <row r="5" spans="1:10" ht="30" customHeight="1" thickBot="1" x14ac:dyDescent="0.3">
      <c r="A5" s="4022" t="s">
        <v>7</v>
      </c>
      <c r="B5" s="4022" t="s">
        <v>619</v>
      </c>
      <c r="C5" s="4022" t="s">
        <v>2766</v>
      </c>
      <c r="D5" s="4025" t="s">
        <v>2767</v>
      </c>
      <c r="E5" s="4026"/>
      <c r="F5" s="4026"/>
      <c r="G5" s="4027"/>
      <c r="H5" s="108"/>
      <c r="I5" s="108"/>
      <c r="J5" s="108"/>
    </row>
    <row r="6" spans="1:10" ht="75" customHeight="1" thickBot="1" x14ac:dyDescent="0.3">
      <c r="A6" s="4023"/>
      <c r="B6" s="4024"/>
      <c r="C6" s="4024"/>
      <c r="D6" s="2176" t="s">
        <v>2768</v>
      </c>
      <c r="E6" s="2176" t="s">
        <v>2769</v>
      </c>
      <c r="F6" s="2176" t="s">
        <v>2770</v>
      </c>
      <c r="G6" s="2176" t="s">
        <v>2771</v>
      </c>
      <c r="I6" s="108"/>
      <c r="J6" s="108"/>
    </row>
    <row r="7" spans="1:10" ht="15.75" thickBot="1" x14ac:dyDescent="0.3">
      <c r="A7" s="2177">
        <v>1</v>
      </c>
      <c r="B7" s="2178">
        <v>2</v>
      </c>
      <c r="C7" s="2163">
        <v>3</v>
      </c>
      <c r="D7" s="2177">
        <v>4</v>
      </c>
      <c r="E7" s="2163">
        <v>5</v>
      </c>
      <c r="F7" s="2178">
        <v>6</v>
      </c>
      <c r="G7" s="2164">
        <v>7</v>
      </c>
    </row>
    <row r="8" spans="1:10" ht="58.15" customHeight="1" thickBot="1" x14ac:dyDescent="0.3">
      <c r="A8" s="2205" t="s">
        <v>2773</v>
      </c>
      <c r="B8" s="2206" t="s">
        <v>3429</v>
      </c>
      <c r="C8" s="2201">
        <f>(C31+C32+C33+C34+C35+C36)</f>
        <v>16415.900000000001</v>
      </c>
      <c r="D8" s="2201">
        <f>(D31+D32+D33+D34+D35+D36)</f>
        <v>0</v>
      </c>
      <c r="E8" s="2201">
        <f t="shared" ref="E8" si="0">(E31+E32+E33+E34+E35+E36)</f>
        <v>0</v>
      </c>
      <c r="F8" s="2201">
        <f>(F31+F32+F33+F34+F35+F36)</f>
        <v>0</v>
      </c>
      <c r="G8" s="2201">
        <f>(G31+G32+G33+G34+G35+G36)</f>
        <v>1987.35</v>
      </c>
      <c r="H8" s="863"/>
    </row>
    <row r="9" spans="1:10" ht="29.45" customHeight="1" thickBot="1" x14ac:dyDescent="0.3">
      <c r="A9" s="2189" t="s">
        <v>2778</v>
      </c>
      <c r="B9" s="4035" t="s">
        <v>3059</v>
      </c>
      <c r="C9" s="4036"/>
      <c r="D9" s="4036"/>
      <c r="E9" s="4036"/>
      <c r="F9" s="4036"/>
      <c r="G9" s="4037"/>
    </row>
    <row r="10" spans="1:10" s="23" customFormat="1" ht="14.25" x14ac:dyDescent="0.2">
      <c r="A10" s="2190" t="s">
        <v>1670</v>
      </c>
      <c r="B10" s="174" t="s">
        <v>2780</v>
      </c>
      <c r="C10" s="2184">
        <f>C11+C15+C16+C20</f>
        <v>8116.54</v>
      </c>
      <c r="D10" s="177">
        <f>D11+D15+D16+D20</f>
        <v>0</v>
      </c>
      <c r="E10" s="177">
        <f>E11+E15+E16+E20</f>
        <v>0</v>
      </c>
      <c r="F10" s="177">
        <f>F11+F15+F16+F20</f>
        <v>0</v>
      </c>
      <c r="G10" s="177">
        <f>G11+G15+G16+G20</f>
        <v>982.55</v>
      </c>
      <c r="J10" s="2145"/>
    </row>
    <row r="11" spans="1:10" x14ac:dyDescent="0.25">
      <c r="A11" s="2192" t="s">
        <v>1672</v>
      </c>
      <c r="B11" s="90" t="s">
        <v>2829</v>
      </c>
      <c r="C11" s="2193">
        <f>SUM(C12:C14)</f>
        <v>2214.7800000000002</v>
      </c>
      <c r="D11" s="2193">
        <f t="shared" ref="D11:F11" si="1">SUM(D12:D14)</f>
        <v>0</v>
      </c>
      <c r="E11" s="2193">
        <f t="shared" si="1"/>
        <v>0</v>
      </c>
      <c r="F11" s="2193">
        <f t="shared" si="1"/>
        <v>0</v>
      </c>
      <c r="G11" s="2193">
        <f>G12+G13+G14</f>
        <v>268.11</v>
      </c>
    </row>
    <row r="12" spans="1:10" x14ac:dyDescent="0.25">
      <c r="A12" s="2192" t="s">
        <v>2782</v>
      </c>
      <c r="B12" s="90" t="s">
        <v>2785</v>
      </c>
      <c r="C12" s="2193">
        <f>'Д 3.1_Т на Т без ЦТП'!G13</f>
        <v>1676.1</v>
      </c>
      <c r="D12" s="2193">
        <v>0</v>
      </c>
      <c r="E12" s="2193">
        <v>0</v>
      </c>
      <c r="F12" s="2193">
        <v>0</v>
      </c>
      <c r="G12" s="2193">
        <f>C12/$C$41</f>
        <v>202.9</v>
      </c>
    </row>
    <row r="13" spans="1:10" x14ac:dyDescent="0.25">
      <c r="A13" s="2192" t="s">
        <v>2784</v>
      </c>
      <c r="B13" s="90" t="s">
        <v>2787</v>
      </c>
      <c r="C13" s="2193">
        <f>'Д 3.1_Т на Т без ЦТП'!G15</f>
        <v>413.86</v>
      </c>
      <c r="D13" s="2193">
        <v>0</v>
      </c>
      <c r="E13" s="2193">
        <v>0</v>
      </c>
      <c r="F13" s="2193">
        <v>0</v>
      </c>
      <c r="G13" s="2193">
        <f t="shared" ref="G13:G19" si="2">C13/$C$41</f>
        <v>50.1</v>
      </c>
    </row>
    <row r="14" spans="1:10" x14ac:dyDescent="0.25">
      <c r="A14" s="2192" t="s">
        <v>2786</v>
      </c>
      <c r="B14" s="90" t="s">
        <v>2151</v>
      </c>
      <c r="C14" s="2193">
        <f>'Д 3.1_Т на Т без ЦТП'!G16-'Д 3.1_Т на Т без ЦТП'!G17</f>
        <v>124.82</v>
      </c>
      <c r="D14" s="2193">
        <v>0</v>
      </c>
      <c r="E14" s="2193">
        <v>0</v>
      </c>
      <c r="F14" s="2193">
        <v>0</v>
      </c>
      <c r="G14" s="2193">
        <f t="shared" si="2"/>
        <v>15.11</v>
      </c>
    </row>
    <row r="15" spans="1:10" x14ac:dyDescent="0.25">
      <c r="A15" s="2192" t="s">
        <v>1674</v>
      </c>
      <c r="B15" s="90" t="s">
        <v>2789</v>
      </c>
      <c r="C15" s="2193">
        <f>'Д 3.1_Т на Т без ЦТП'!G18</f>
        <v>2429.21</v>
      </c>
      <c r="D15" s="2193">
        <v>0</v>
      </c>
      <c r="E15" s="2193">
        <v>0</v>
      </c>
      <c r="F15" s="2193">
        <v>0</v>
      </c>
      <c r="G15" s="2193">
        <f t="shared" si="2"/>
        <v>294.07</v>
      </c>
    </row>
    <row r="16" spans="1:10" x14ac:dyDescent="0.25">
      <c r="A16" s="2192" t="s">
        <v>1677</v>
      </c>
      <c r="B16" s="90" t="s">
        <v>2790</v>
      </c>
      <c r="C16" s="2193">
        <f>'Д 3.1_Т на Т без ЦТП'!G19</f>
        <v>3081.18</v>
      </c>
      <c r="D16" s="2193">
        <v>0</v>
      </c>
      <c r="E16" s="2193">
        <v>0</v>
      </c>
      <c r="F16" s="2193">
        <v>0</v>
      </c>
      <c r="G16" s="2193">
        <f>G17+G18+G19</f>
        <v>372.99</v>
      </c>
    </row>
    <row r="17" spans="1:9" x14ac:dyDescent="0.25">
      <c r="A17" s="2192" t="s">
        <v>2791</v>
      </c>
      <c r="B17" s="90" t="s">
        <v>2792</v>
      </c>
      <c r="C17" s="2193">
        <f>'Д 3.1_Т на Т без ЦТП'!G20</f>
        <v>534.42999999999995</v>
      </c>
      <c r="D17" s="2193">
        <v>0</v>
      </c>
      <c r="E17" s="2193">
        <v>0</v>
      </c>
      <c r="F17" s="2193">
        <v>0</v>
      </c>
      <c r="G17" s="2193">
        <f t="shared" si="2"/>
        <v>64.7</v>
      </c>
    </row>
    <row r="18" spans="1:9" x14ac:dyDescent="0.25">
      <c r="A18" s="2192" t="s">
        <v>2793</v>
      </c>
      <c r="B18" s="90" t="s">
        <v>2794</v>
      </c>
      <c r="C18" s="2193">
        <f>'Д 3.1_Т на Т без ЦТП'!G21</f>
        <v>195.32</v>
      </c>
      <c r="D18" s="2193">
        <v>0</v>
      </c>
      <c r="E18" s="2193">
        <v>0</v>
      </c>
      <c r="F18" s="2193">
        <v>0</v>
      </c>
      <c r="G18" s="2193">
        <f t="shared" si="2"/>
        <v>23.64</v>
      </c>
    </row>
    <row r="19" spans="1:9" x14ac:dyDescent="0.25">
      <c r="A19" s="2192" t="s">
        <v>2795</v>
      </c>
      <c r="B19" s="90" t="s">
        <v>82</v>
      </c>
      <c r="C19" s="2193">
        <f>'Д 3.1_Т на Т без ЦТП'!G22</f>
        <v>2351.4299999999998</v>
      </c>
      <c r="D19" s="2193">
        <v>0</v>
      </c>
      <c r="E19" s="2193">
        <v>0</v>
      </c>
      <c r="F19" s="2193">
        <v>0</v>
      </c>
      <c r="G19" s="2193">
        <f t="shared" si="2"/>
        <v>284.64999999999998</v>
      </c>
    </row>
    <row r="20" spans="1:9" s="23" customFormat="1" ht="14.25" x14ac:dyDescent="0.2">
      <c r="A20" s="2194" t="s">
        <v>1679</v>
      </c>
      <c r="B20" s="174" t="s">
        <v>2796</v>
      </c>
      <c r="C20" s="2184">
        <f>C21+C22+C23+C24</f>
        <v>391.37</v>
      </c>
      <c r="D20" s="177">
        <f t="shared" ref="D20:F20" si="3">D21+D22+D23+D24</f>
        <v>0</v>
      </c>
      <c r="E20" s="177">
        <f t="shared" si="3"/>
        <v>0</v>
      </c>
      <c r="F20" s="177">
        <f t="shared" si="3"/>
        <v>0</v>
      </c>
      <c r="G20" s="177">
        <f>C20/C41</f>
        <v>47.38</v>
      </c>
    </row>
    <row r="21" spans="1:9" x14ac:dyDescent="0.25">
      <c r="A21" s="2195" t="s">
        <v>2797</v>
      </c>
      <c r="B21" s="90" t="s">
        <v>2798</v>
      </c>
      <c r="C21" s="2193">
        <f>'Д 3.1_Т на Т без ЦТП'!G24</f>
        <v>260.67</v>
      </c>
      <c r="D21" s="2193">
        <v>0</v>
      </c>
      <c r="E21" s="2193">
        <v>0</v>
      </c>
      <c r="F21" s="2193">
        <v>0</v>
      </c>
      <c r="G21" s="2193">
        <f t="shared" ref="G21:G24" si="4">C21/$C$41</f>
        <v>31.56</v>
      </c>
    </row>
    <row r="22" spans="1:9" x14ac:dyDescent="0.25">
      <c r="A22" s="2195" t="s">
        <v>2799</v>
      </c>
      <c r="B22" s="90" t="s">
        <v>2153</v>
      </c>
      <c r="C22" s="2193">
        <f>'Д 3.1_Т на Т без ЦТП'!G25</f>
        <v>57.35</v>
      </c>
      <c r="D22" s="2193">
        <v>0</v>
      </c>
      <c r="E22" s="2193">
        <v>0</v>
      </c>
      <c r="F22" s="2193">
        <v>0</v>
      </c>
      <c r="G22" s="2193">
        <f t="shared" si="4"/>
        <v>6.94</v>
      </c>
    </row>
    <row r="23" spans="1:9" x14ac:dyDescent="0.25">
      <c r="A23" s="2195" t="s">
        <v>2800</v>
      </c>
      <c r="B23" s="90" t="s">
        <v>2794</v>
      </c>
      <c r="C23" s="2193">
        <f>ЗВВ_1ст!J37+ЗВВ_1ст!J38</f>
        <v>3.56</v>
      </c>
      <c r="D23" s="2193">
        <v>0</v>
      </c>
      <c r="E23" s="2193">
        <v>0</v>
      </c>
      <c r="F23" s="2193">
        <v>0</v>
      </c>
      <c r="G23" s="2193">
        <f t="shared" si="4"/>
        <v>0.43</v>
      </c>
    </row>
    <row r="24" spans="1:9" x14ac:dyDescent="0.25">
      <c r="A24" s="2195" t="s">
        <v>2801</v>
      </c>
      <c r="B24" s="90" t="s">
        <v>58</v>
      </c>
      <c r="C24" s="2193">
        <f>'Д 3.1_Т на Т без ЦТП'!G26-C23</f>
        <v>69.790000000000006</v>
      </c>
      <c r="D24" s="2193">
        <v>0</v>
      </c>
      <c r="E24" s="2193">
        <v>0</v>
      </c>
      <c r="F24" s="2193">
        <v>0</v>
      </c>
      <c r="G24" s="2193">
        <f t="shared" si="4"/>
        <v>8.4499999999999993</v>
      </c>
    </row>
    <row r="25" spans="1:9" s="23" customFormat="1" ht="14.25" x14ac:dyDescent="0.2">
      <c r="A25" s="2190" t="s">
        <v>1692</v>
      </c>
      <c r="B25" s="174" t="s">
        <v>2802</v>
      </c>
      <c r="C25" s="2184">
        <f>C26+C27+C28+C29</f>
        <v>156.06</v>
      </c>
      <c r="D25" s="177">
        <f t="shared" ref="D25:E25" si="5">D26+D27+D28+D29</f>
        <v>0</v>
      </c>
      <c r="E25" s="177">
        <f t="shared" si="5"/>
        <v>0</v>
      </c>
      <c r="F25" s="177">
        <f>F26+F27+F28+F29</f>
        <v>0</v>
      </c>
      <c r="G25" s="177">
        <f>SUM(G26:G29)</f>
        <v>19.010000000000002</v>
      </c>
    </row>
    <row r="26" spans="1:9" x14ac:dyDescent="0.25">
      <c r="A26" s="2195" t="s">
        <v>2803</v>
      </c>
      <c r="B26" s="90" t="s">
        <v>55</v>
      </c>
      <c r="C26" s="2193">
        <f>'Д 3.1_Т на Т без ЦТП'!G28</f>
        <v>97.18</v>
      </c>
      <c r="D26" s="2193">
        <v>0</v>
      </c>
      <c r="E26" s="2193">
        <v>0</v>
      </c>
      <c r="F26" s="2193">
        <v>0</v>
      </c>
      <c r="G26" s="2193">
        <f t="shared" ref="G26:G28" si="6">C26/$C$41</f>
        <v>11.76</v>
      </c>
    </row>
    <row r="27" spans="1:9" x14ac:dyDescent="0.25">
      <c r="A27" s="2195" t="s">
        <v>2804</v>
      </c>
      <c r="B27" s="90" t="s">
        <v>2805</v>
      </c>
      <c r="C27" s="2193">
        <f>'Д 3.1_Т на Т без ЦТП'!G29</f>
        <v>21.38</v>
      </c>
      <c r="D27" s="2193">
        <v>0</v>
      </c>
      <c r="E27" s="2193">
        <v>0</v>
      </c>
      <c r="F27" s="2193">
        <v>0</v>
      </c>
      <c r="G27" s="2193">
        <f t="shared" si="6"/>
        <v>2.59</v>
      </c>
    </row>
    <row r="28" spans="1:9" x14ac:dyDescent="0.25">
      <c r="A28" s="2195" t="s">
        <v>2806</v>
      </c>
      <c r="B28" s="90" t="s">
        <v>2794</v>
      </c>
      <c r="C28" s="2193">
        <f>Адміністративні_1ст!J36+Адміністративні_1ст!J37</f>
        <v>2.4700000000000002</v>
      </c>
      <c r="D28" s="2193">
        <v>0</v>
      </c>
      <c r="E28" s="2193">
        <v>0</v>
      </c>
      <c r="F28" s="2193">
        <v>0</v>
      </c>
      <c r="G28" s="2193">
        <f t="shared" si="6"/>
        <v>0.3</v>
      </c>
    </row>
    <row r="29" spans="1:9" x14ac:dyDescent="0.25">
      <c r="A29" s="2195" t="s">
        <v>2807</v>
      </c>
      <c r="B29" s="90" t="s">
        <v>2808</v>
      </c>
      <c r="C29" s="2193">
        <f>'Д 3.1_Т на Т без ЦТП'!G30-C28</f>
        <v>35.03</v>
      </c>
      <c r="D29" s="2193">
        <v>0</v>
      </c>
      <c r="E29" s="2193">
        <v>0</v>
      </c>
      <c r="F29" s="2193">
        <v>0</v>
      </c>
      <c r="G29" s="2193">
        <v>4.3600000000000003</v>
      </c>
    </row>
    <row r="30" spans="1:9" s="23" customFormat="1" ht="14.25" x14ac:dyDescent="0.2">
      <c r="A30" s="2190" t="s">
        <v>1694</v>
      </c>
      <c r="B30" s="174" t="s">
        <v>2809</v>
      </c>
      <c r="C30" s="2184">
        <v>0</v>
      </c>
      <c r="D30" s="2184">
        <v>0</v>
      </c>
      <c r="E30" s="2184">
        <v>0</v>
      </c>
      <c r="F30" s="2184">
        <v>0</v>
      </c>
      <c r="G30" s="2184">
        <v>0</v>
      </c>
    </row>
    <row r="31" spans="1:9" s="23" customFormat="1" ht="28.5" x14ac:dyDescent="0.2">
      <c r="A31" s="2190" t="s">
        <v>1697</v>
      </c>
      <c r="B31" s="2191" t="s">
        <v>2830</v>
      </c>
      <c r="C31" s="2184">
        <f>C10+C25+C30</f>
        <v>8272.6</v>
      </c>
      <c r="D31" s="2184">
        <f t="shared" ref="D31:F31" si="7">D10+D25+D30</f>
        <v>0</v>
      </c>
      <c r="E31" s="2184">
        <f t="shared" si="7"/>
        <v>0</v>
      </c>
      <c r="F31" s="2184">
        <f t="shared" si="7"/>
        <v>0</v>
      </c>
      <c r="G31" s="2184">
        <f>G10+G25+G30</f>
        <v>1001.56</v>
      </c>
    </row>
    <row r="32" spans="1:9" s="23" customFormat="1" ht="44.45" customHeight="1" x14ac:dyDescent="0.2">
      <c r="A32" s="2190">
        <v>5</v>
      </c>
      <c r="B32" s="2196" t="s">
        <v>2810</v>
      </c>
      <c r="C32" s="2184">
        <f>'Д 3.1_Т на Т без ЦТП'!G17</f>
        <v>7257.47</v>
      </c>
      <c r="D32" s="2184">
        <v>0</v>
      </c>
      <c r="E32" s="2184">
        <v>0</v>
      </c>
      <c r="F32" s="2184">
        <f>'Д 3.1_Т на Т без ЦТП'!J17</f>
        <v>0</v>
      </c>
      <c r="G32" s="2184">
        <f>C32/C41</f>
        <v>878.56</v>
      </c>
      <c r="I32" s="23">
        <f>G32*G41+F32*F41+E32*E41+D32*D41</f>
        <v>7257.4766639999998</v>
      </c>
    </row>
    <row r="33" spans="1:9" s="23" customFormat="1" ht="14.25" x14ac:dyDescent="0.2">
      <c r="A33" s="2190">
        <v>6</v>
      </c>
      <c r="B33" s="174" t="s">
        <v>2811</v>
      </c>
      <c r="C33" s="2184">
        <v>0</v>
      </c>
      <c r="D33" s="2184">
        <f t="shared" ref="D33:D35" si="8">C33/$C$41</f>
        <v>0</v>
      </c>
      <c r="E33" s="2184">
        <f t="shared" ref="E33:E35" si="9">C33/$C$41</f>
        <v>0</v>
      </c>
      <c r="F33" s="2184">
        <f t="shared" ref="F33:F35" si="10">C33/$C$41</f>
        <v>0</v>
      </c>
      <c r="G33" s="2184">
        <f t="shared" ref="G33:G35" si="11">C33/$C$41</f>
        <v>0</v>
      </c>
    </row>
    <row r="34" spans="1:9" s="23" customFormat="1" ht="14.25" x14ac:dyDescent="0.2">
      <c r="A34" s="2190">
        <v>7</v>
      </c>
      <c r="B34" s="174" t="s">
        <v>2812</v>
      </c>
      <c r="C34" s="2184">
        <v>0</v>
      </c>
      <c r="D34" s="2184">
        <f t="shared" si="8"/>
        <v>0</v>
      </c>
      <c r="E34" s="2184">
        <f t="shared" si="9"/>
        <v>0</v>
      </c>
      <c r="F34" s="2184">
        <f t="shared" si="10"/>
        <v>0</v>
      </c>
      <c r="G34" s="2184">
        <f t="shared" si="11"/>
        <v>0</v>
      </c>
    </row>
    <row r="35" spans="1:9" s="23" customFormat="1" ht="14.25" x14ac:dyDescent="0.2">
      <c r="A35" s="2190">
        <v>8</v>
      </c>
      <c r="B35" s="174" t="s">
        <v>2813</v>
      </c>
      <c r="C35" s="2184">
        <v>0</v>
      </c>
      <c r="D35" s="2184">
        <f t="shared" si="8"/>
        <v>0</v>
      </c>
      <c r="E35" s="2184">
        <f t="shared" si="9"/>
        <v>0</v>
      </c>
      <c r="F35" s="2184">
        <f t="shared" si="10"/>
        <v>0</v>
      </c>
      <c r="G35" s="2184">
        <f t="shared" si="11"/>
        <v>0</v>
      </c>
    </row>
    <row r="36" spans="1:9" s="23" customFormat="1" ht="14.25" x14ac:dyDescent="0.2">
      <c r="A36" s="2190">
        <v>9</v>
      </c>
      <c r="B36" s="174" t="s">
        <v>2814</v>
      </c>
      <c r="C36" s="2184">
        <f>SUM(C37:C40)</f>
        <v>885.83</v>
      </c>
      <c r="D36" s="2222">
        <v>0</v>
      </c>
      <c r="E36" s="2222">
        <v>0</v>
      </c>
      <c r="F36" s="2222">
        <f t="shared" ref="F36" si="12">SUM(F37:F40)</f>
        <v>0</v>
      </c>
      <c r="G36" s="2222">
        <f>C36/C41</f>
        <v>107.23</v>
      </c>
      <c r="I36" s="23">
        <f>(C31+C32)*0.04</f>
        <v>621.20280000000002</v>
      </c>
    </row>
    <row r="37" spans="1:9" x14ac:dyDescent="0.25">
      <c r="A37" s="2195" t="s">
        <v>1099</v>
      </c>
      <c r="B37" s="90" t="s">
        <v>65</v>
      </c>
      <c r="C37" s="2193">
        <f>'Д 3.1_Т на Т без ЦТП'!G40</f>
        <v>111.82</v>
      </c>
      <c r="D37" s="2222">
        <v>0</v>
      </c>
      <c r="E37" s="2222">
        <v>0</v>
      </c>
      <c r="F37" s="3554">
        <v>0</v>
      </c>
      <c r="G37" s="3554">
        <f>C37/$C$41</f>
        <v>13.54</v>
      </c>
    </row>
    <row r="38" spans="1:9" x14ac:dyDescent="0.25">
      <c r="A38" s="2195" t="s">
        <v>1100</v>
      </c>
      <c r="B38" s="90" t="s">
        <v>85</v>
      </c>
      <c r="C38" s="2193">
        <f>'Д 3.1_Т на Т без ЦТП'!G41</f>
        <v>152.81</v>
      </c>
      <c r="D38" s="2222">
        <v>0</v>
      </c>
      <c r="E38" s="2222">
        <v>0</v>
      </c>
      <c r="F38" s="3554">
        <v>0</v>
      </c>
      <c r="G38" s="3554">
        <f t="shared" ref="G38:G40" si="13">C38/$C$41</f>
        <v>18.5</v>
      </c>
    </row>
    <row r="39" spans="1:9" x14ac:dyDescent="0.25">
      <c r="A39" s="2195" t="s">
        <v>1101</v>
      </c>
      <c r="B39" s="90" t="s">
        <v>71</v>
      </c>
      <c r="C39" s="2193">
        <f>'Д 3.1_Т на Т без ЦТП'!G42</f>
        <v>0</v>
      </c>
      <c r="D39" s="2222">
        <v>0</v>
      </c>
      <c r="E39" s="2222">
        <v>0</v>
      </c>
      <c r="F39" s="3554">
        <v>0</v>
      </c>
      <c r="G39" s="3554">
        <f t="shared" si="13"/>
        <v>0</v>
      </c>
    </row>
    <row r="40" spans="1:9" x14ac:dyDescent="0.25">
      <c r="A40" s="2195" t="s">
        <v>1951</v>
      </c>
      <c r="B40" s="90" t="s">
        <v>2375</v>
      </c>
      <c r="C40" s="2193">
        <f>'Д 3.1_Т на Т без ЦТП'!G44</f>
        <v>621.20000000000005</v>
      </c>
      <c r="D40" s="2222">
        <v>0</v>
      </c>
      <c r="E40" s="2222">
        <v>0</v>
      </c>
      <c r="F40" s="3554">
        <v>0</v>
      </c>
      <c r="G40" s="3554">
        <f t="shared" si="13"/>
        <v>75.2</v>
      </c>
    </row>
    <row r="41" spans="1:9" s="23" customFormat="1" ht="29.25" thickBot="1" x14ac:dyDescent="0.25">
      <c r="A41" s="2211" t="s">
        <v>1789</v>
      </c>
      <c r="B41" s="2213" t="s">
        <v>2831</v>
      </c>
      <c r="C41" s="2630">
        <f>'Д 3.1_Т на Т без ЦТП'!G56/1000</f>
        <v>8.26065</v>
      </c>
      <c r="D41" s="2187">
        <f>'Д 3.1_Т на Т без ЦТП'!G57/1000</f>
        <v>0</v>
      </c>
      <c r="E41" s="2187">
        <f>'Д 3.1_Т на Т без ЦТП'!G58/1000</f>
        <v>0</v>
      </c>
      <c r="F41" s="2187">
        <f>'Д 3.1_Т на Т без ЦТП'!G59/1000</f>
        <v>0</v>
      </c>
      <c r="G41" s="2633">
        <f>'Д 3.1_Т на Т без ЦТП'!G60/1000</f>
        <v>8.26065</v>
      </c>
    </row>
    <row r="43" spans="1:9" ht="15.75" x14ac:dyDescent="0.25">
      <c r="B43" s="58" t="s">
        <v>2846</v>
      </c>
      <c r="C43" s="3560"/>
      <c r="E43" s="2202"/>
      <c r="F43" s="2202" t="s">
        <v>2847</v>
      </c>
      <c r="G43" s="2202"/>
    </row>
    <row r="44" spans="1:9" x14ac:dyDescent="0.25">
      <c r="C44" s="2402"/>
      <c r="D44" s="2204"/>
      <c r="E44" s="2202"/>
      <c r="F44" s="2403"/>
      <c r="G44" s="2202"/>
    </row>
  </sheetData>
  <mergeCells count="7">
    <mergeCell ref="E1:G1"/>
    <mergeCell ref="B9:G9"/>
    <mergeCell ref="A5:A6"/>
    <mergeCell ref="B5:B6"/>
    <mergeCell ref="C5:C6"/>
    <mergeCell ref="D5:G5"/>
    <mergeCell ref="A3:G3"/>
  </mergeCells>
  <pageMargins left="0.78740157480314965" right="0.19685039370078741" top="0.78740157480314965" bottom="0.31496062992125984" header="0.31496062992125984" footer="0.31496062992125984"/>
  <pageSetup paperSize="9" scale="7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R61"/>
  <sheetViews>
    <sheetView view="pageBreakPreview" zoomScaleNormal="125" zoomScaleSheetLayoutView="100" workbookViewId="0">
      <selection activeCell="I15" sqref="I15"/>
    </sheetView>
  </sheetViews>
  <sheetFormatPr defaultColWidth="9.140625" defaultRowHeight="27" customHeight="1" x14ac:dyDescent="0.25"/>
  <cols>
    <col min="1" max="1" width="4.28515625" style="116" customWidth="1"/>
    <col min="2" max="2" width="42.85546875" style="116" customWidth="1"/>
    <col min="3" max="3" width="9.5703125" style="151" customWidth="1"/>
    <col min="4" max="4" width="10.28515625" style="116" customWidth="1"/>
    <col min="5" max="8" width="9.28515625" style="116" customWidth="1"/>
    <col min="9" max="9" width="36.42578125" style="116" customWidth="1"/>
    <col min="10" max="10" width="13.7109375" style="116" customWidth="1"/>
    <col min="11" max="11" width="13" style="116" customWidth="1"/>
    <col min="12" max="12" width="10.42578125" style="116" bestFit="1" customWidth="1"/>
    <col min="13" max="13" width="10.85546875" style="116" customWidth="1"/>
    <col min="14" max="16" width="7.5703125" style="116" bestFit="1" customWidth="1"/>
    <col min="17" max="17" width="9.7109375" style="116" customWidth="1"/>
    <col min="18" max="18" width="12" style="116" bestFit="1" customWidth="1"/>
    <col min="19" max="24" width="3.85546875" style="116" customWidth="1"/>
    <col min="25" max="16384" width="9.140625" style="116"/>
  </cols>
  <sheetData>
    <row r="1" spans="1:11" ht="36" customHeight="1" x14ac:dyDescent="0.25">
      <c r="A1" s="2825"/>
      <c r="B1" s="2826"/>
      <c r="C1" s="2823"/>
      <c r="D1" s="2878"/>
      <c r="E1" s="3738" t="s">
        <v>3479</v>
      </c>
      <c r="F1" s="3738"/>
      <c r="G1" s="3738"/>
      <c r="H1" s="3738"/>
      <c r="I1" s="153"/>
    </row>
    <row r="2" spans="1:11" ht="9" customHeight="1" x14ac:dyDescent="0.25">
      <c r="A2" s="2825"/>
      <c r="B2" s="2826"/>
      <c r="C2" s="2823"/>
      <c r="D2" s="2878"/>
      <c r="E2" s="3701"/>
      <c r="F2" s="3701"/>
      <c r="G2" s="3701"/>
      <c r="H2" s="3701"/>
    </row>
    <row r="3" spans="1:11" ht="27" customHeight="1" x14ac:dyDescent="0.25">
      <c r="A3" s="2825"/>
      <c r="B3" s="3678" t="s">
        <v>450</v>
      </c>
      <c r="C3" s="3678"/>
      <c r="D3" s="3678"/>
      <c r="E3" s="3678"/>
      <c r="F3" s="3678"/>
      <c r="G3" s="3678"/>
      <c r="H3" s="3678"/>
    </row>
    <row r="4" spans="1:11" ht="14.25" customHeight="1" x14ac:dyDescent="0.25">
      <c r="A4" s="3731" t="s">
        <v>1337</v>
      </c>
      <c r="B4" s="3731"/>
      <c r="C4" s="3731"/>
      <c r="D4" s="3731"/>
      <c r="E4" s="3731"/>
      <c r="F4" s="3731"/>
      <c r="G4" s="3731"/>
      <c r="H4" s="3731"/>
      <c r="I4" s="153" t="s">
        <v>630</v>
      </c>
    </row>
    <row r="5" spans="1:11" ht="27" customHeight="1" x14ac:dyDescent="0.25">
      <c r="A5" s="3739" t="s">
        <v>220</v>
      </c>
      <c r="B5" s="3740"/>
      <c r="C5" s="3740"/>
      <c r="D5" s="3740"/>
      <c r="E5" s="3740"/>
      <c r="F5" s="3740"/>
      <c r="G5" s="3740"/>
      <c r="H5" s="3740"/>
    </row>
    <row r="6" spans="1:11" ht="27" customHeight="1" x14ac:dyDescent="0.25">
      <c r="A6" s="3717" t="s">
        <v>7</v>
      </c>
      <c r="B6" s="3741" t="s">
        <v>111</v>
      </c>
      <c r="C6" s="3717" t="s">
        <v>35</v>
      </c>
      <c r="D6" s="3717" t="s">
        <v>112</v>
      </c>
      <c r="E6" s="3717" t="s">
        <v>254</v>
      </c>
      <c r="F6" s="3717"/>
      <c r="G6" s="3717"/>
      <c r="H6" s="3717"/>
    </row>
    <row r="7" spans="1:11" ht="27" customHeight="1" x14ac:dyDescent="0.25">
      <c r="A7" s="3717"/>
      <c r="B7" s="3741"/>
      <c r="C7" s="3717"/>
      <c r="D7" s="3717"/>
      <c r="E7" s="2241" t="s">
        <v>3</v>
      </c>
      <c r="F7" s="2241" t="s">
        <v>173</v>
      </c>
      <c r="G7" s="2241" t="s">
        <v>98</v>
      </c>
      <c r="H7" s="2241" t="s">
        <v>99</v>
      </c>
      <c r="I7" s="153"/>
    </row>
    <row r="8" spans="1:11" ht="27" customHeight="1" x14ac:dyDescent="0.25">
      <c r="A8" s="2241">
        <v>1</v>
      </c>
      <c r="B8" s="2241">
        <v>2</v>
      </c>
      <c r="C8" s="2241">
        <v>3</v>
      </c>
      <c r="D8" s="2241">
        <v>4</v>
      </c>
      <c r="E8" s="2241">
        <v>5</v>
      </c>
      <c r="F8" s="2241">
        <v>6</v>
      </c>
      <c r="G8" s="2241">
        <v>7</v>
      </c>
      <c r="H8" s="2241">
        <v>8</v>
      </c>
    </row>
    <row r="9" spans="1:11" ht="27" customHeight="1" x14ac:dyDescent="0.25">
      <c r="A9" s="2863">
        <v>1</v>
      </c>
      <c r="B9" s="2864" t="s">
        <v>255</v>
      </c>
      <c r="C9" s="1369" t="s">
        <v>74</v>
      </c>
      <c r="D9" s="2879">
        <f>D10+D11+D12</f>
        <v>7163.27</v>
      </c>
      <c r="E9" s="2879">
        <v>0</v>
      </c>
      <c r="F9" s="2879">
        <f>F10+F11+F12</f>
        <v>0</v>
      </c>
      <c r="G9" s="2879">
        <f>G10+G11+G12</f>
        <v>0</v>
      </c>
      <c r="H9" s="2879">
        <f>H10+H11+H12</f>
        <v>7163.27</v>
      </c>
      <c r="J9" s="887"/>
      <c r="K9" s="887"/>
    </row>
    <row r="10" spans="1:11" ht="27" customHeight="1" x14ac:dyDescent="0.25">
      <c r="A10" s="2863" t="s">
        <v>23</v>
      </c>
      <c r="B10" s="2864" t="s">
        <v>580</v>
      </c>
      <c r="C10" s="1369" t="s">
        <v>74</v>
      </c>
      <c r="D10" s="2879">
        <f>'Д 2_Т на В'!H53+'Д 2_Т на В'!H54</f>
        <v>6776.73</v>
      </c>
      <c r="E10" s="2879">
        <f>'Д 2_Т на В'!L53+'Д 2_Т на В'!L54</f>
        <v>0</v>
      </c>
      <c r="F10" s="2879">
        <f>IF('Д 7_РП'!G31=0,0,'Д 2_Т на В'!P53+'Д 2_Т на В'!P54)</f>
        <v>0</v>
      </c>
      <c r="G10" s="2879">
        <v>0</v>
      </c>
      <c r="H10" s="2879">
        <f>'Д 2_Т на В'!X53+'Д 2_Т на В'!X54</f>
        <v>6776.73</v>
      </c>
      <c r="J10" s="2561"/>
      <c r="K10" s="1118"/>
    </row>
    <row r="11" spans="1:11" ht="27" customHeight="1" x14ac:dyDescent="0.25">
      <c r="A11" s="2863" t="s">
        <v>24</v>
      </c>
      <c r="B11" s="2864" t="s">
        <v>2726</v>
      </c>
      <c r="C11" s="1369" t="s">
        <v>74</v>
      </c>
      <c r="D11" s="2879">
        <f>'Д 2_Т на В'!H44/'Д 2_Т на В'!H58*1000</f>
        <v>0</v>
      </c>
      <c r="E11" s="2879">
        <v>0</v>
      </c>
      <c r="F11" s="2879">
        <f>IF('Д 7_РП'!G31=0,0,'Д 2_Т на В'!P44/'Д 2_Т на В'!P58*1000)</f>
        <v>0</v>
      </c>
      <c r="G11" s="2879">
        <v>0</v>
      </c>
      <c r="H11" s="2879">
        <f>'Д 2_Т на В'!X44/'Д 2_Т на В'!X58*1000</f>
        <v>0</v>
      </c>
      <c r="I11" s="153"/>
      <c r="J11" s="887"/>
    </row>
    <row r="12" spans="1:11" ht="27" customHeight="1" x14ac:dyDescent="0.25">
      <c r="A12" s="2863" t="s">
        <v>48</v>
      </c>
      <c r="B12" s="2864" t="s">
        <v>581</v>
      </c>
      <c r="C12" s="1369" t="s">
        <v>74</v>
      </c>
      <c r="D12" s="2879">
        <f>'Д 2_Т на В'!H52-'Д 2_Т на В'!H53-'Д 2_Т на В'!H54-'Д 5 Т на ТЕ з ЦТП'!D11</f>
        <v>386.54</v>
      </c>
      <c r="E12" s="2879">
        <v>0</v>
      </c>
      <c r="F12" s="2879">
        <f>IF('Д 7_РП'!G31=0,0,'Д 2_Т на В'!P52-'Д 2_Т на В'!P53-'Д 2_Т на В'!P54-F11)</f>
        <v>0</v>
      </c>
      <c r="G12" s="2879">
        <v>0</v>
      </c>
      <c r="H12" s="2879">
        <f>'Д 2_Т на В'!X52-'Д 2_Т на В'!X53-'Д 2_Т на В'!X54-H11</f>
        <v>386.54</v>
      </c>
      <c r="J12" s="887"/>
    </row>
    <row r="13" spans="1:11" ht="27" customHeight="1" x14ac:dyDescent="0.25">
      <c r="A13" s="2863">
        <v>2</v>
      </c>
      <c r="B13" s="2864" t="s">
        <v>582</v>
      </c>
      <c r="C13" s="1369" t="s">
        <v>74</v>
      </c>
      <c r="D13" s="2879">
        <f>D14+D15+D16</f>
        <v>2667.51</v>
      </c>
      <c r="E13" s="2879">
        <v>0</v>
      </c>
      <c r="F13" s="2879">
        <f>F14+F15+F16</f>
        <v>0</v>
      </c>
      <c r="G13" s="2879">
        <v>0</v>
      </c>
      <c r="H13" s="2879">
        <f>H14+H15+H16</f>
        <v>2667.51</v>
      </c>
    </row>
    <row r="14" spans="1:11" ht="27" customHeight="1" x14ac:dyDescent="0.25">
      <c r="A14" s="2863" t="s">
        <v>25</v>
      </c>
      <c r="B14" s="2864" t="s">
        <v>583</v>
      </c>
      <c r="C14" s="1369" t="s">
        <v>74</v>
      </c>
      <c r="D14" s="2879">
        <f>'Д 3_Т на Т з ЦТП'!G37/'Д 3_Т на Т з ЦТП'!G56*1000</f>
        <v>2523.5700000000002</v>
      </c>
      <c r="E14" s="2879">
        <v>0</v>
      </c>
      <c r="F14" s="2879">
        <v>0</v>
      </c>
      <c r="G14" s="2879">
        <v>0</v>
      </c>
      <c r="H14" s="2879">
        <f>'Д 3_Т на Т з ЦТП'!K37/'Д 3_Т на Т з ЦТП'!K56*1000</f>
        <v>2523.5700000000002</v>
      </c>
    </row>
    <row r="15" spans="1:11" ht="27" customHeight="1" x14ac:dyDescent="0.25">
      <c r="A15" s="2863" t="s">
        <v>26</v>
      </c>
      <c r="B15" s="2864" t="s">
        <v>2726</v>
      </c>
      <c r="C15" s="1369" t="s">
        <v>74</v>
      </c>
      <c r="D15" s="2879">
        <v>0</v>
      </c>
      <c r="E15" s="2879">
        <v>0</v>
      </c>
      <c r="F15" s="2879">
        <v>0</v>
      </c>
      <c r="G15" s="2879">
        <v>0</v>
      </c>
      <c r="H15" s="2879">
        <v>0</v>
      </c>
      <c r="I15" s="153"/>
    </row>
    <row r="16" spans="1:11" ht="27" customHeight="1" x14ac:dyDescent="0.25">
      <c r="A16" s="2863" t="s">
        <v>59</v>
      </c>
      <c r="B16" s="2864" t="s">
        <v>581</v>
      </c>
      <c r="C16" s="1369" t="s">
        <v>74</v>
      </c>
      <c r="D16" s="2879">
        <f>'Д 3_Т на Т з ЦТП'!G39/'Д 3_Т на Т з ЦТП'!G56*1000</f>
        <v>143.94</v>
      </c>
      <c r="E16" s="2879">
        <v>0</v>
      </c>
      <c r="F16" s="2879">
        <v>0</v>
      </c>
      <c r="G16" s="2879">
        <v>0</v>
      </c>
      <c r="H16" s="2879">
        <f>'Д 3_Т на Т з ЦТП'!K39/'Д 3_Т на Т з ЦТП'!K56*1000</f>
        <v>143.94</v>
      </c>
    </row>
    <row r="17" spans="1:18" ht="27" customHeight="1" x14ac:dyDescent="0.25">
      <c r="A17" s="2863">
        <v>3</v>
      </c>
      <c r="B17" s="2864" t="s">
        <v>256</v>
      </c>
      <c r="C17" s="1369" t="s">
        <v>74</v>
      </c>
      <c r="D17" s="2879">
        <f>D18+D19+D20</f>
        <v>109.4</v>
      </c>
      <c r="E17" s="2879">
        <f>E18+E19+E20</f>
        <v>0</v>
      </c>
      <c r="F17" s="2879">
        <f>F18+F19+F20</f>
        <v>0</v>
      </c>
      <c r="G17" s="2879">
        <f>G18+G19+G20</f>
        <v>0</v>
      </c>
      <c r="H17" s="2879">
        <f>H18+H19+H20</f>
        <v>109.4</v>
      </c>
    </row>
    <row r="18" spans="1:18" ht="27" customHeight="1" x14ac:dyDescent="0.25">
      <c r="A18" s="2863" t="s">
        <v>60</v>
      </c>
      <c r="B18" s="2864" t="s">
        <v>584</v>
      </c>
      <c r="C18" s="1369" t="s">
        <v>74</v>
      </c>
      <c r="D18" s="2879">
        <f>'Д 4_Т на П'!G34/'Д 4_Т на П'!G44*1000</f>
        <v>103.5</v>
      </c>
      <c r="E18" s="2879">
        <v>0</v>
      </c>
      <c r="F18" s="2879">
        <f>IF('Д 7_РП'!G31=0,0,D18)</f>
        <v>0</v>
      </c>
      <c r="G18" s="2879">
        <v>0</v>
      </c>
      <c r="H18" s="2879">
        <f>D18</f>
        <v>103.5</v>
      </c>
      <c r="K18" s="1117"/>
      <c r="L18" s="1117"/>
      <c r="M18" s="1117"/>
      <c r="N18" s="1117"/>
      <c r="O18" s="1117"/>
      <c r="P18" s="1117"/>
    </row>
    <row r="19" spans="1:18" ht="27" customHeight="1" x14ac:dyDescent="0.25">
      <c r="A19" s="2863" t="s">
        <v>61</v>
      </c>
      <c r="B19" s="2864" t="s">
        <v>2726</v>
      </c>
      <c r="C19" s="1369" t="s">
        <v>74</v>
      </c>
      <c r="D19" s="2879">
        <v>0</v>
      </c>
      <c r="E19" s="2879">
        <v>0</v>
      </c>
      <c r="F19" s="2879">
        <v>0</v>
      </c>
      <c r="G19" s="2879">
        <v>0</v>
      </c>
      <c r="H19" s="2879">
        <v>0</v>
      </c>
      <c r="I19" s="153"/>
      <c r="J19" s="1118"/>
      <c r="K19" s="887"/>
      <c r="L19" s="887"/>
      <c r="M19" s="887"/>
      <c r="N19" s="887"/>
      <c r="O19" s="887"/>
      <c r="P19" s="887"/>
      <c r="Q19" s="919"/>
      <c r="R19" s="887"/>
    </row>
    <row r="20" spans="1:18" ht="27" customHeight="1" x14ac:dyDescent="0.25">
      <c r="A20" s="2863" t="s">
        <v>62</v>
      </c>
      <c r="B20" s="2864" t="s">
        <v>581</v>
      </c>
      <c r="C20" s="1369" t="s">
        <v>74</v>
      </c>
      <c r="D20" s="2879">
        <f>'Д 4_Т на П'!G36/'Д 4_Т на П'!G44*1000</f>
        <v>5.9</v>
      </c>
      <c r="E20" s="2879">
        <v>0</v>
      </c>
      <c r="F20" s="2879">
        <f>IF('Д 7_РП'!G31=0,0,D20)</f>
        <v>0</v>
      </c>
      <c r="G20" s="2879">
        <v>0</v>
      </c>
      <c r="H20" s="2879">
        <f>D20</f>
        <v>5.9</v>
      </c>
      <c r="J20" s="1118"/>
      <c r="K20" s="887"/>
      <c r="L20" s="887"/>
      <c r="M20" s="887"/>
      <c r="N20" s="887"/>
      <c r="O20" s="887"/>
      <c r="P20" s="887"/>
      <c r="Q20" s="919"/>
      <c r="R20" s="887"/>
    </row>
    <row r="21" spans="1:18" ht="27" customHeight="1" x14ac:dyDescent="0.25">
      <c r="A21" s="2863">
        <v>4</v>
      </c>
      <c r="B21" s="2862" t="s">
        <v>257</v>
      </c>
      <c r="C21" s="1369" t="s">
        <v>74</v>
      </c>
      <c r="D21" s="2880">
        <f>D22+D23+D24</f>
        <v>9940.18</v>
      </c>
      <c r="E21" s="2880">
        <f>E22+E23+E24</f>
        <v>0</v>
      </c>
      <c r="F21" s="2880">
        <f>F22+F23+F24</f>
        <v>0</v>
      </c>
      <c r="G21" s="2880">
        <f>G22+G23+G24</f>
        <v>0</v>
      </c>
      <c r="H21" s="2880">
        <f>H22+H23+H24</f>
        <v>9940.18</v>
      </c>
      <c r="I21" s="887"/>
      <c r="J21" s="887"/>
      <c r="K21" s="887"/>
      <c r="L21" s="887"/>
      <c r="M21" s="887"/>
      <c r="N21" s="887"/>
      <c r="O21" s="887"/>
      <c r="P21" s="887"/>
      <c r="Q21" s="919"/>
      <c r="R21" s="887"/>
    </row>
    <row r="22" spans="1:18" ht="27" customHeight="1" x14ac:dyDescent="0.25">
      <c r="A22" s="2863" t="s">
        <v>27</v>
      </c>
      <c r="B22" s="2864" t="s">
        <v>585</v>
      </c>
      <c r="C22" s="1369" t="s">
        <v>74</v>
      </c>
      <c r="D22" s="2879">
        <f t="shared" ref="D22:H24" si="0">D10+D14+D18</f>
        <v>9403.7999999999993</v>
      </c>
      <c r="E22" s="2879">
        <f t="shared" si="0"/>
        <v>0</v>
      </c>
      <c r="F22" s="2879">
        <f t="shared" si="0"/>
        <v>0</v>
      </c>
      <c r="G22" s="2879">
        <f t="shared" si="0"/>
        <v>0</v>
      </c>
      <c r="H22" s="2879">
        <f>H10+H14+H18</f>
        <v>9403.7999999999993</v>
      </c>
      <c r="J22" s="1119"/>
      <c r="Q22" s="887"/>
    </row>
    <row r="23" spans="1:18" ht="27" customHeight="1" x14ac:dyDescent="0.25">
      <c r="A23" s="2863" t="s">
        <v>113</v>
      </c>
      <c r="B23" s="2864" t="s">
        <v>2726</v>
      </c>
      <c r="C23" s="1369" t="s">
        <v>74</v>
      </c>
      <c r="D23" s="2879">
        <f t="shared" si="0"/>
        <v>0</v>
      </c>
      <c r="E23" s="2879">
        <f t="shared" si="0"/>
        <v>0</v>
      </c>
      <c r="F23" s="2879">
        <f t="shared" si="0"/>
        <v>0</v>
      </c>
      <c r="G23" s="2879">
        <f t="shared" si="0"/>
        <v>0</v>
      </c>
      <c r="H23" s="2879">
        <f t="shared" si="0"/>
        <v>0</v>
      </c>
      <c r="I23" s="153"/>
      <c r="J23" s="1119"/>
    </row>
    <row r="24" spans="1:18" ht="27" customHeight="1" x14ac:dyDescent="0.25">
      <c r="A24" s="2863" t="s">
        <v>166</v>
      </c>
      <c r="B24" s="2864" t="s">
        <v>581</v>
      </c>
      <c r="C24" s="1369" t="s">
        <v>74</v>
      </c>
      <c r="D24" s="2879">
        <f t="shared" si="0"/>
        <v>536.38</v>
      </c>
      <c r="E24" s="2879">
        <f t="shared" si="0"/>
        <v>0</v>
      </c>
      <c r="F24" s="2879">
        <f t="shared" si="0"/>
        <v>0</v>
      </c>
      <c r="G24" s="2879">
        <f t="shared" si="0"/>
        <v>0</v>
      </c>
      <c r="H24" s="2879">
        <f t="shared" si="0"/>
        <v>536.38</v>
      </c>
      <c r="K24" s="887"/>
    </row>
    <row r="25" spans="1:18" ht="39" customHeight="1" x14ac:dyDescent="0.25">
      <c r="A25" s="2863">
        <v>5</v>
      </c>
      <c r="B25" s="2864" t="s">
        <v>588</v>
      </c>
      <c r="C25" s="1369" t="s">
        <v>40</v>
      </c>
      <c r="D25" s="2881">
        <f>D26+D27+D28</f>
        <v>11915.59</v>
      </c>
      <c r="E25" s="2881">
        <f>E26+E27+E28</f>
        <v>0</v>
      </c>
      <c r="F25" s="2881">
        <f>F26+F27+F28</f>
        <v>0</v>
      </c>
      <c r="G25" s="2881">
        <f>G26+G27+G28</f>
        <v>0</v>
      </c>
      <c r="H25" s="2881">
        <f>H26+H27+H28</f>
        <v>11915.59</v>
      </c>
      <c r="K25" s="887"/>
    </row>
    <row r="26" spans="1:18" ht="27" customHeight="1" x14ac:dyDescent="0.25">
      <c r="A26" s="2863" t="s">
        <v>28</v>
      </c>
      <c r="B26" s="2864" t="s">
        <v>586</v>
      </c>
      <c r="C26" s="1369" t="s">
        <v>40</v>
      </c>
      <c r="D26" s="2881">
        <f>SUM(E26:H26)</f>
        <v>11272.62</v>
      </c>
      <c r="E26" s="2881">
        <f>(E10+E14+E18)*E33/1000</f>
        <v>0</v>
      </c>
      <c r="F26" s="2881">
        <f>(F10+F14+F18)*F33/1000</f>
        <v>0</v>
      </c>
      <c r="G26" s="2881">
        <f>(G10+G14+G18)*G33/1000</f>
        <v>0</v>
      </c>
      <c r="H26" s="2881">
        <f>(H10+H14+H18)*H33/1000</f>
        <v>11272.62</v>
      </c>
    </row>
    <row r="27" spans="1:18" ht="27" customHeight="1" x14ac:dyDescent="0.25">
      <c r="A27" s="2863" t="s">
        <v>29</v>
      </c>
      <c r="B27" s="2864" t="s">
        <v>2726</v>
      </c>
      <c r="C27" s="1369" t="s">
        <v>40</v>
      </c>
      <c r="D27" s="2881">
        <f>SUM(E27:H27)</f>
        <v>0</v>
      </c>
      <c r="E27" s="2881">
        <f>(E11+E15+E19)*E33/1000</f>
        <v>0</v>
      </c>
      <c r="F27" s="2881">
        <f t="shared" ref="F27:H27" si="1">(F11+F15+F19)*F33/1000</f>
        <v>0</v>
      </c>
      <c r="G27" s="2881">
        <f t="shared" si="1"/>
        <v>0</v>
      </c>
      <c r="H27" s="2881">
        <f t="shared" si="1"/>
        <v>0</v>
      </c>
    </row>
    <row r="28" spans="1:18" ht="27" customHeight="1" x14ac:dyDescent="0.25">
      <c r="A28" s="2863" t="s">
        <v>30</v>
      </c>
      <c r="B28" s="2864" t="s">
        <v>587</v>
      </c>
      <c r="C28" s="1369" t="s">
        <v>40</v>
      </c>
      <c r="D28" s="2881">
        <f>SUM(E28:H28)</f>
        <v>642.97</v>
      </c>
      <c r="E28" s="2881">
        <f>(E12+E16+E20)*E33/1000</f>
        <v>0</v>
      </c>
      <c r="F28" s="2881">
        <f>(F12+F16+F20)*F33/1000</f>
        <v>0</v>
      </c>
      <c r="G28" s="2881">
        <f>(G12+G16+G20)*G33/1000</f>
        <v>0</v>
      </c>
      <c r="H28" s="2881">
        <f>(H12+H16+H20)*H33/1000</f>
        <v>642.97</v>
      </c>
    </row>
    <row r="29" spans="1:18" ht="69" customHeight="1" x14ac:dyDescent="0.25">
      <c r="A29" s="2863">
        <v>6</v>
      </c>
      <c r="B29" s="2864" t="s">
        <v>589</v>
      </c>
      <c r="C29" s="1369" t="s">
        <v>40</v>
      </c>
      <c r="D29" s="2881">
        <f>D30+D31+D32</f>
        <v>11915.59</v>
      </c>
      <c r="E29" s="2881">
        <f>E30+E31+E32</f>
        <v>0</v>
      </c>
      <c r="F29" s="2881">
        <f>F30+F31+F32</f>
        <v>0</v>
      </c>
      <c r="G29" s="2881">
        <f>G30+G31+G32</f>
        <v>0</v>
      </c>
      <c r="H29" s="2881">
        <f>H30+H31+H32</f>
        <v>11915.59</v>
      </c>
      <c r="I29" s="3742"/>
      <c r="J29" s="3743"/>
      <c r="K29" s="3743"/>
    </row>
    <row r="30" spans="1:18" ht="27" customHeight="1" x14ac:dyDescent="0.25">
      <c r="A30" s="2863" t="s">
        <v>32</v>
      </c>
      <c r="B30" s="2864" t="s">
        <v>590</v>
      </c>
      <c r="C30" s="1369" t="s">
        <v>40</v>
      </c>
      <c r="D30" s="2881">
        <f t="shared" ref="D30:H32" si="2">D26</f>
        <v>11272.62</v>
      </c>
      <c r="E30" s="2881">
        <f t="shared" si="2"/>
        <v>0</v>
      </c>
      <c r="F30" s="2881">
        <f t="shared" si="2"/>
        <v>0</v>
      </c>
      <c r="G30" s="2881">
        <f t="shared" si="2"/>
        <v>0</v>
      </c>
      <c r="H30" s="2881">
        <f t="shared" si="2"/>
        <v>11272.62</v>
      </c>
    </row>
    <row r="31" spans="1:18" ht="27" customHeight="1" x14ac:dyDescent="0.25">
      <c r="A31" s="2863" t="s">
        <v>33</v>
      </c>
      <c r="B31" s="2864" t="s">
        <v>2726</v>
      </c>
      <c r="C31" s="1369" t="s">
        <v>40</v>
      </c>
      <c r="D31" s="2881">
        <f t="shared" si="2"/>
        <v>0</v>
      </c>
      <c r="E31" s="2881">
        <f t="shared" si="2"/>
        <v>0</v>
      </c>
      <c r="F31" s="2881">
        <f t="shared" si="2"/>
        <v>0</v>
      </c>
      <c r="G31" s="2881">
        <f t="shared" si="2"/>
        <v>0</v>
      </c>
      <c r="H31" s="2881">
        <f t="shared" si="2"/>
        <v>0</v>
      </c>
    </row>
    <row r="32" spans="1:18" ht="30.75" customHeight="1" x14ac:dyDescent="0.25">
      <c r="A32" s="2863" t="s">
        <v>34</v>
      </c>
      <c r="B32" s="2864" t="s">
        <v>591</v>
      </c>
      <c r="C32" s="1369" t="s">
        <v>40</v>
      </c>
      <c r="D32" s="2881">
        <f t="shared" si="2"/>
        <v>642.97</v>
      </c>
      <c r="E32" s="2881">
        <f t="shared" si="2"/>
        <v>0</v>
      </c>
      <c r="F32" s="2881">
        <f t="shared" si="2"/>
        <v>0</v>
      </c>
      <c r="G32" s="2881">
        <f t="shared" si="2"/>
        <v>0</v>
      </c>
      <c r="H32" s="2881">
        <f t="shared" si="2"/>
        <v>642.97</v>
      </c>
    </row>
    <row r="33" spans="1:11" ht="39.75" customHeight="1" x14ac:dyDescent="0.25">
      <c r="A33" s="2863">
        <v>7</v>
      </c>
      <c r="B33" s="2864" t="s">
        <v>1962</v>
      </c>
      <c r="C33" s="1369" t="s">
        <v>22</v>
      </c>
      <c r="D33" s="2881">
        <f>D34+D35</f>
        <v>1198.73</v>
      </c>
      <c r="E33" s="2881">
        <f>E34+E35</f>
        <v>0</v>
      </c>
      <c r="F33" s="2881">
        <f>F34+F35</f>
        <v>0</v>
      </c>
      <c r="G33" s="2881">
        <f>G34+G35</f>
        <v>0</v>
      </c>
      <c r="H33" s="2881">
        <f>H34+H35</f>
        <v>1198.73</v>
      </c>
      <c r="I33" s="3742"/>
      <c r="J33" s="3743"/>
      <c r="K33" s="3743"/>
    </row>
    <row r="34" spans="1:11" ht="27" customHeight="1" x14ac:dyDescent="0.25">
      <c r="A34" s="2863" t="s">
        <v>64</v>
      </c>
      <c r="B34" s="2864" t="s">
        <v>114</v>
      </c>
      <c r="C34" s="1369" t="s">
        <v>22</v>
      </c>
      <c r="D34" s="2881">
        <f>E34+F34+G34+H34</f>
        <v>1198.73</v>
      </c>
      <c r="E34" s="2881">
        <f>'Д 7_РП'!G77</f>
        <v>0</v>
      </c>
      <c r="F34" s="2881">
        <f>'Д 7_РП'!G85</f>
        <v>0</v>
      </c>
      <c r="G34" s="2881">
        <f>'Д 7_РП'!G89</f>
        <v>0</v>
      </c>
      <c r="H34" s="2881">
        <f>'Д 7_РП'!G93</f>
        <v>1198.73</v>
      </c>
    </row>
    <row r="35" spans="1:11" ht="27" customHeight="1" x14ac:dyDescent="0.25">
      <c r="A35" s="2863" t="s">
        <v>66</v>
      </c>
      <c r="B35" s="2864" t="s">
        <v>96</v>
      </c>
      <c r="C35" s="1369" t="s">
        <v>22</v>
      </c>
      <c r="D35" s="2881">
        <v>0</v>
      </c>
      <c r="E35" s="2881">
        <v>0</v>
      </c>
      <c r="F35" s="2881">
        <v>0</v>
      </c>
      <c r="G35" s="2881">
        <v>0</v>
      </c>
      <c r="H35" s="2881">
        <v>0</v>
      </c>
    </row>
    <row r="36" spans="1:11" ht="53.25" customHeight="1" x14ac:dyDescent="0.25">
      <c r="A36" s="2882" t="s">
        <v>179</v>
      </c>
      <c r="B36" s="2883" t="s">
        <v>1939</v>
      </c>
      <c r="C36" s="2884" t="s">
        <v>22</v>
      </c>
      <c r="D36" s="2881">
        <f>SUM(D37:D38)</f>
        <v>1395.04</v>
      </c>
      <c r="E36" s="2881">
        <f t="shared" ref="E36:H36" si="3">SUM(E37:E38)</f>
        <v>0</v>
      </c>
      <c r="F36" s="2881">
        <f t="shared" si="3"/>
        <v>0</v>
      </c>
      <c r="G36" s="2881">
        <f t="shared" si="3"/>
        <v>0</v>
      </c>
      <c r="H36" s="2881">
        <f t="shared" si="3"/>
        <v>1395.04</v>
      </c>
    </row>
    <row r="37" spans="1:11" ht="27" customHeight="1" x14ac:dyDescent="0.25">
      <c r="A37" s="2882" t="s">
        <v>116</v>
      </c>
      <c r="B37" s="2883" t="s">
        <v>1940</v>
      </c>
      <c r="C37" s="2884" t="s">
        <v>22</v>
      </c>
      <c r="D37" s="2881">
        <f>SUM(E37:H37)</f>
        <v>1395.04</v>
      </c>
      <c r="E37" s="2881">
        <f>'Д 7_РП'!G28</f>
        <v>0</v>
      </c>
      <c r="F37" s="2881">
        <f>'Д 7_РП'!G31</f>
        <v>0</v>
      </c>
      <c r="G37" s="2881">
        <f>'Д 7_РП'!G34</f>
        <v>0</v>
      </c>
      <c r="H37" s="2881">
        <f>'Д 7_РП'!G37</f>
        <v>1395.04</v>
      </c>
    </row>
    <row r="38" spans="1:11" ht="27" customHeight="1" x14ac:dyDescent="0.25">
      <c r="A38" s="2882" t="s">
        <v>118</v>
      </c>
      <c r="B38" s="2883" t="s">
        <v>96</v>
      </c>
      <c r="C38" s="2884" t="s">
        <v>22</v>
      </c>
      <c r="D38" s="2881">
        <f>SUM(E38:H38)</f>
        <v>0</v>
      </c>
      <c r="E38" s="2881">
        <v>0</v>
      </c>
      <c r="F38" s="2881">
        <v>0</v>
      </c>
      <c r="G38" s="2881">
        <v>0</v>
      </c>
      <c r="H38" s="2881">
        <v>0</v>
      </c>
    </row>
    <row r="39" spans="1:11" ht="27" customHeight="1" x14ac:dyDescent="0.25">
      <c r="A39" s="2882" t="s">
        <v>194</v>
      </c>
      <c r="B39" s="2864" t="s">
        <v>115</v>
      </c>
      <c r="C39" s="1369"/>
      <c r="D39" s="2881"/>
      <c r="E39" s="2881"/>
      <c r="F39" s="2881"/>
      <c r="G39" s="2881"/>
      <c r="H39" s="2881"/>
    </row>
    <row r="40" spans="1:11" ht="27" customHeight="1" x14ac:dyDescent="0.25">
      <c r="A40" s="2882" t="s">
        <v>160</v>
      </c>
      <c r="B40" s="2864" t="s">
        <v>117</v>
      </c>
      <c r="C40" s="1369" t="s">
        <v>4</v>
      </c>
      <c r="D40" s="2885">
        <f>D12/D10</f>
        <v>5.7000000000000002E-2</v>
      </c>
      <c r="E40" s="2885">
        <v>0</v>
      </c>
      <c r="F40" s="2885">
        <f>IF('Д 7_РП'!G31=0,0,F12/F10)</f>
        <v>0</v>
      </c>
      <c r="G40" s="2885">
        <v>0</v>
      </c>
      <c r="H40" s="2885">
        <f>H12/H10</f>
        <v>5.7000000000000002E-2</v>
      </c>
    </row>
    <row r="41" spans="1:11" ht="27" customHeight="1" x14ac:dyDescent="0.25">
      <c r="A41" s="2882" t="s">
        <v>214</v>
      </c>
      <c r="B41" s="2864" t="s">
        <v>119</v>
      </c>
      <c r="C41" s="1369" t="s">
        <v>4</v>
      </c>
      <c r="D41" s="2885">
        <f>D16/D14</f>
        <v>5.7000000000000002E-2</v>
      </c>
      <c r="E41" s="2885">
        <v>0</v>
      </c>
      <c r="F41" s="2885">
        <f>IF('Д 7_РП'!G31=0,0,F16/F14)</f>
        <v>0</v>
      </c>
      <c r="G41" s="2885">
        <v>0</v>
      </c>
      <c r="H41" s="2885">
        <f>H16/H14</f>
        <v>5.7000000000000002E-2</v>
      </c>
    </row>
    <row r="42" spans="1:11" ht="27" customHeight="1" x14ac:dyDescent="0.25">
      <c r="A42" s="2882" t="s">
        <v>354</v>
      </c>
      <c r="B42" s="2864" t="s">
        <v>121</v>
      </c>
      <c r="C42" s="1369" t="s">
        <v>4</v>
      </c>
      <c r="D42" s="2885">
        <f>D20/D18</f>
        <v>5.7000000000000002E-2</v>
      </c>
      <c r="E42" s="2885">
        <v>0</v>
      </c>
      <c r="F42" s="2885">
        <f>IF('Д 7_РП'!G31=0,0,F20/F18)</f>
        <v>0</v>
      </c>
      <c r="G42" s="2885">
        <v>0</v>
      </c>
      <c r="H42" s="2885">
        <f>H20/H18</f>
        <v>5.7000000000000002E-2</v>
      </c>
    </row>
    <row r="43" spans="1:11" ht="27" customHeight="1" x14ac:dyDescent="0.25">
      <c r="A43" s="2882" t="s">
        <v>1941</v>
      </c>
      <c r="B43" s="2864" t="s">
        <v>123</v>
      </c>
      <c r="C43" s="1369" t="s">
        <v>4</v>
      </c>
      <c r="D43" s="2885">
        <f>D24/D22</f>
        <v>5.7000000000000002E-2</v>
      </c>
      <c r="E43" s="2885">
        <v>0</v>
      </c>
      <c r="F43" s="2885">
        <f>IF('Д 7_РП'!G31=0,0,F24/F22)</f>
        <v>0</v>
      </c>
      <c r="G43" s="2885">
        <v>0</v>
      </c>
      <c r="H43" s="2885">
        <f>H24/H22</f>
        <v>5.7000000000000002E-2</v>
      </c>
    </row>
    <row r="44" spans="1:11" ht="27" customHeight="1" x14ac:dyDescent="0.25">
      <c r="A44" s="2886"/>
      <c r="B44" s="2827"/>
      <c r="C44" s="2823"/>
      <c r="D44" s="2823"/>
      <c r="E44" s="2823"/>
      <c r="F44" s="2823"/>
      <c r="G44" s="2823"/>
      <c r="H44" s="2823"/>
    </row>
    <row r="45" spans="1:11" ht="27" customHeight="1" x14ac:dyDescent="0.25">
      <c r="A45" s="2886"/>
      <c r="B45" s="2827"/>
      <c r="C45" s="2823"/>
      <c r="D45" s="2823"/>
      <c r="E45" s="2823"/>
      <c r="F45" s="2823"/>
      <c r="G45" s="2823"/>
      <c r="H45" s="2823"/>
    </row>
    <row r="46" spans="1:11" ht="27" customHeight="1" x14ac:dyDescent="0.25">
      <c r="A46" s="2825"/>
      <c r="B46" s="2823"/>
      <c r="C46" s="2823"/>
      <c r="D46" s="2823"/>
      <c r="E46" s="2823"/>
      <c r="F46" s="2823"/>
      <c r="G46" s="2823"/>
      <c r="H46" s="2823"/>
    </row>
    <row r="47" spans="1:11" ht="27" customHeight="1" x14ac:dyDescent="0.25">
      <c r="A47" s="2825"/>
      <c r="B47" s="2822" t="str">
        <f>'Вхідні дані'!B13</f>
        <v>Начальник Адміністрації морського порту Чорноморськ</v>
      </c>
      <c r="C47" s="3744" t="s">
        <v>100</v>
      </c>
      <c r="D47" s="3744"/>
      <c r="E47" s="3744"/>
      <c r="F47" s="3745" t="str">
        <f>'Вхідні дані'!F13</f>
        <v>Максим ШИРОКОВ</v>
      </c>
      <c r="G47" s="3745"/>
      <c r="H47" s="3745"/>
    </row>
    <row r="48" spans="1:11" ht="27" customHeight="1" x14ac:dyDescent="0.25">
      <c r="A48" s="2825"/>
      <c r="B48" s="2887" t="s">
        <v>241</v>
      </c>
      <c r="C48" s="3705" t="s">
        <v>101</v>
      </c>
      <c r="D48" s="3705"/>
      <c r="E48" s="3705"/>
      <c r="F48" s="3705" t="s">
        <v>102</v>
      </c>
      <c r="G48" s="3705"/>
      <c r="H48" s="3705"/>
    </row>
    <row r="51" spans="4:8" ht="27" customHeight="1" x14ac:dyDescent="0.25">
      <c r="D51" s="919">
        <f>D21*1.2</f>
        <v>11928.22</v>
      </c>
      <c r="E51" s="919">
        <f>E21*1.2</f>
        <v>0</v>
      </c>
      <c r="F51" s="919">
        <f>F21*1.2</f>
        <v>0</v>
      </c>
      <c r="G51" s="919">
        <f>G21*1.2</f>
        <v>0</v>
      </c>
      <c r="H51" s="919">
        <f>H21*1.2</f>
        <v>11928.22</v>
      </c>
    </row>
    <row r="53" spans="4:8" ht="27" customHeight="1" x14ac:dyDescent="0.25">
      <c r="D53" s="1118">
        <f>SUM(E53:H53)</f>
        <v>10668.84</v>
      </c>
      <c r="E53" s="1118">
        <f>'Д 2_Т на В'!L58</f>
        <v>0</v>
      </c>
      <c r="F53" s="1118">
        <f>'Д 2_Т на В'!P58</f>
        <v>0</v>
      </c>
      <c r="G53" s="1118">
        <f>'Д 2_Т на В'!T58</f>
        <v>0</v>
      </c>
      <c r="H53" s="1118">
        <f>'Д 2_Т на В'!X58</f>
        <v>10668.84</v>
      </c>
    </row>
    <row r="54" spans="4:8" ht="27" customHeight="1" x14ac:dyDescent="0.25">
      <c r="D54" s="1118">
        <f>SUM(E54:H54)</f>
        <v>9273.7999999999993</v>
      </c>
      <c r="E54" s="1118">
        <f>E53-E37</f>
        <v>0</v>
      </c>
      <c r="F54" s="1118">
        <f t="shared" ref="F54:H54" si="4">F53-F37</f>
        <v>0</v>
      </c>
      <c r="G54" s="1118">
        <f t="shared" si="4"/>
        <v>0</v>
      </c>
      <c r="H54" s="1118">
        <f t="shared" si="4"/>
        <v>9273.7999999999993</v>
      </c>
    </row>
    <row r="55" spans="4:8" ht="27" customHeight="1" x14ac:dyDescent="0.25">
      <c r="D55" s="1118">
        <f>'Д 5.1 Т на ТЕ без ЦТП'!D40</f>
        <v>9273.7999999999993</v>
      </c>
      <c r="E55" s="1118">
        <f>'Д 5.1 Т на ТЕ без ЦТП'!E40</f>
        <v>0</v>
      </c>
      <c r="F55" s="1118">
        <f>'Д 5.1 Т на ТЕ без ЦТП'!F40</f>
        <v>0</v>
      </c>
      <c r="G55" s="1118">
        <f>'Д 5.1 Т на ТЕ без ЦТП'!G40</f>
        <v>0</v>
      </c>
      <c r="H55" s="1118">
        <f>'Д 5.1 Т на ТЕ без ЦТП'!H40</f>
        <v>9273.7999999999993</v>
      </c>
    </row>
    <row r="56" spans="4:8" ht="27" customHeight="1" x14ac:dyDescent="0.25">
      <c r="H56" s="1118"/>
    </row>
    <row r="58" spans="4:8" ht="27" customHeight="1" x14ac:dyDescent="0.25">
      <c r="D58" s="1118">
        <f>D34</f>
        <v>1198.73</v>
      </c>
      <c r="E58" s="1118">
        <f t="shared" ref="E58:H58" si="5">E34</f>
        <v>0</v>
      </c>
      <c r="F58" s="1118">
        <f t="shared" si="5"/>
        <v>0</v>
      </c>
      <c r="G58" s="1118">
        <f t="shared" si="5"/>
        <v>0</v>
      </c>
      <c r="H58" s="1118">
        <f t="shared" si="5"/>
        <v>1198.73</v>
      </c>
    </row>
    <row r="59" spans="4:8" ht="27" customHeight="1" x14ac:dyDescent="0.25">
      <c r="D59" s="1118">
        <f>'Д 5.1 Т на ТЕ без ЦТП'!D37</f>
        <v>8260.65</v>
      </c>
      <c r="E59" s="1118">
        <f>'Д 5.1 Т на ТЕ без ЦТП'!E37</f>
        <v>0</v>
      </c>
      <c r="F59" s="1118">
        <f>'Д 5.1 Т на ТЕ без ЦТП'!F37</f>
        <v>0</v>
      </c>
      <c r="G59" s="1118">
        <f>'Д 5.1 Т на ТЕ без ЦТП'!G37</f>
        <v>0</v>
      </c>
      <c r="H59" s="1118">
        <f>'Д 5.1 Т на ТЕ без ЦТП'!H37</f>
        <v>8260.65</v>
      </c>
    </row>
    <row r="60" spans="4:8" ht="27" customHeight="1" x14ac:dyDescent="0.25">
      <c r="D60" s="1118">
        <f>SUM(D58:D59)</f>
        <v>9459.3799999999992</v>
      </c>
      <c r="E60" s="1118">
        <f t="shared" ref="E60:H60" si="6">SUM(E58:E59)</f>
        <v>0</v>
      </c>
      <c r="F60" s="1118">
        <f t="shared" si="6"/>
        <v>0</v>
      </c>
      <c r="G60" s="1118">
        <f t="shared" si="6"/>
        <v>0</v>
      </c>
      <c r="H60" s="1118">
        <f t="shared" si="6"/>
        <v>9459.3799999999992</v>
      </c>
    </row>
    <row r="61" spans="4:8" ht="27" customHeight="1" x14ac:dyDescent="0.25">
      <c r="H61" s="1118"/>
    </row>
  </sheetData>
  <mergeCells count="16">
    <mergeCell ref="I33:K33"/>
    <mergeCell ref="I29:K29"/>
    <mergeCell ref="C47:E47"/>
    <mergeCell ref="F47:H47"/>
    <mergeCell ref="C48:E48"/>
    <mergeCell ref="F48:H48"/>
    <mergeCell ref="E1:H1"/>
    <mergeCell ref="B3:H3"/>
    <mergeCell ref="A5:H5"/>
    <mergeCell ref="A6:A7"/>
    <mergeCell ref="B6:B7"/>
    <mergeCell ref="C6:C7"/>
    <mergeCell ref="D6:D7"/>
    <mergeCell ref="E6:H6"/>
    <mergeCell ref="E2:H2"/>
    <mergeCell ref="A4:H4"/>
  </mergeCells>
  <conditionalFormatting sqref="B1:B2">
    <cfRule type="containsText" dxfId="42" priority="1" operator="containsText" text="Для корек">
      <formula>NOT(ISERROR(SEARCH("Для корек",B1)))</formula>
    </cfRule>
  </conditionalFormatting>
  <pageMargins left="0.78740157480314965" right="0.39370078740157483" top="0.59055118110236227" bottom="0.23622047244094491" header="0.31496062992125984" footer="0.31496062992125984"/>
  <pageSetup paperSize="9" scale="86" fitToHeight="0" orientation="portrait" r:id="rId1"/>
  <headerFooter differentFirst="1">
    <oddHeader>&amp;Rпровження додатку  5</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C20C5"/>
    <pageSetUpPr fitToPage="1"/>
  </sheetPr>
  <dimension ref="A1:R39"/>
  <sheetViews>
    <sheetView zoomScaleNormal="100" workbookViewId="0">
      <selection activeCell="B3" sqref="B3:F3"/>
    </sheetView>
  </sheetViews>
  <sheetFormatPr defaultColWidth="9.140625" defaultRowHeight="15" x14ac:dyDescent="0.25"/>
  <cols>
    <col min="1" max="1" width="7.85546875" style="1791" customWidth="1"/>
    <col min="2" max="2" width="40.42578125" style="18" customWidth="1"/>
    <col min="3" max="3" width="12.7109375" style="18" customWidth="1"/>
    <col min="4" max="4" width="11.7109375" style="1791" customWidth="1"/>
    <col min="5" max="7" width="11.7109375" style="18" customWidth="1"/>
    <col min="8" max="8" width="13.28515625" style="1251" hidden="1" customWidth="1"/>
    <col min="9" max="13" width="12" style="18" hidden="1" customWidth="1"/>
    <col min="14" max="14" width="11.7109375" style="18" hidden="1" customWidth="1"/>
    <col min="15" max="18" width="12" style="18" hidden="1" customWidth="1"/>
    <col min="19" max="19" width="0" style="18" hidden="1" customWidth="1"/>
    <col min="20" max="16384" width="9.140625" style="18"/>
  </cols>
  <sheetData>
    <row r="1" spans="1:18" ht="63" customHeight="1" x14ac:dyDescent="0.25">
      <c r="A1" s="3553"/>
      <c r="D1" s="4020" t="s">
        <v>3522</v>
      </c>
      <c r="E1" s="4020"/>
      <c r="F1" s="4020"/>
      <c r="G1" s="4020"/>
    </row>
    <row r="2" spans="1:18" ht="20.25" hidden="1" customHeight="1" x14ac:dyDescent="0.25">
      <c r="A2" s="3553"/>
      <c r="E2" s="3542"/>
      <c r="F2" s="3542"/>
      <c r="G2" s="3542"/>
    </row>
    <row r="3" spans="1:18" ht="70.5" customHeight="1" x14ac:dyDescent="0.25">
      <c r="A3" s="18"/>
      <c r="B3" s="4021" t="s">
        <v>3511</v>
      </c>
      <c r="C3" s="4021"/>
      <c r="D3" s="4021"/>
      <c r="E3" s="4021"/>
      <c r="F3" s="4021"/>
      <c r="G3" s="1876"/>
    </row>
    <row r="4" spans="1:18" ht="15.75" thickBot="1" x14ac:dyDescent="0.3">
      <c r="G4" s="18" t="s">
        <v>1649</v>
      </c>
      <c r="I4" s="821" t="s">
        <v>2221</v>
      </c>
      <c r="J4" s="821"/>
      <c r="K4" s="821"/>
      <c r="L4" s="821"/>
      <c r="M4" s="821"/>
      <c r="N4" s="821" t="s">
        <v>2222</v>
      </c>
      <c r="O4" s="821"/>
      <c r="P4" s="821"/>
      <c r="Q4" s="821"/>
      <c r="R4" s="821"/>
    </row>
    <row r="5" spans="1:18" ht="30" customHeight="1" thickBot="1" x14ac:dyDescent="0.3">
      <c r="A5" s="4022" t="s">
        <v>7</v>
      </c>
      <c r="B5" s="4022" t="s">
        <v>619</v>
      </c>
      <c r="C5" s="4022" t="s">
        <v>3092</v>
      </c>
      <c r="D5" s="4025" t="s">
        <v>2767</v>
      </c>
      <c r="E5" s="4026"/>
      <c r="F5" s="4026"/>
      <c r="G5" s="4027"/>
      <c r="H5" s="1252"/>
      <c r="I5" s="4022" t="s">
        <v>2766</v>
      </c>
      <c r="J5" s="2215"/>
      <c r="K5" s="2215"/>
      <c r="L5" s="2215"/>
      <c r="M5" s="2215"/>
      <c r="N5" s="4022" t="s">
        <v>2766</v>
      </c>
      <c r="O5" s="2215"/>
      <c r="P5" s="2215"/>
      <c r="Q5" s="2215"/>
      <c r="R5" s="2215"/>
    </row>
    <row r="6" spans="1:18" ht="47.45" customHeight="1" thickBot="1" x14ac:dyDescent="0.3">
      <c r="A6" s="4023"/>
      <c r="B6" s="4024"/>
      <c r="C6" s="4024"/>
      <c r="D6" s="2176" t="s">
        <v>2768</v>
      </c>
      <c r="E6" s="2176" t="s">
        <v>2769</v>
      </c>
      <c r="F6" s="2176" t="s">
        <v>2770</v>
      </c>
      <c r="G6" s="2176" t="s">
        <v>2835</v>
      </c>
      <c r="I6" s="4024"/>
      <c r="J6" s="2176" t="s">
        <v>2768</v>
      </c>
      <c r="K6" s="2176" t="s">
        <v>2769</v>
      </c>
      <c r="L6" s="2176" t="s">
        <v>2770</v>
      </c>
      <c r="M6" s="2176" t="s">
        <v>2835</v>
      </c>
      <c r="N6" s="4024"/>
      <c r="O6" s="2176" t="s">
        <v>2768</v>
      </c>
      <c r="P6" s="2176" t="s">
        <v>2769</v>
      </c>
      <c r="Q6" s="2176" t="s">
        <v>2770</v>
      </c>
      <c r="R6" s="2176" t="s">
        <v>2835</v>
      </c>
    </row>
    <row r="7" spans="1:18" ht="15.75" thickBot="1" x14ac:dyDescent="0.3">
      <c r="A7" s="2177">
        <v>1</v>
      </c>
      <c r="B7" s="2178">
        <v>2</v>
      </c>
      <c r="C7" s="2163">
        <v>3</v>
      </c>
      <c r="D7" s="2177">
        <v>4</v>
      </c>
      <c r="E7" s="2163">
        <v>5</v>
      </c>
      <c r="F7" s="2178">
        <v>6</v>
      </c>
      <c r="G7" s="2164">
        <v>7</v>
      </c>
    </row>
    <row r="8" spans="1:18" ht="31.9" customHeight="1" thickBot="1" x14ac:dyDescent="0.3">
      <c r="A8" s="2205" t="s">
        <v>2773</v>
      </c>
      <c r="B8" s="2206" t="s">
        <v>2833</v>
      </c>
      <c r="C8" s="2201">
        <f>(C10+C22+C31)</f>
        <v>1034.8800000000001</v>
      </c>
      <c r="D8" s="2201">
        <f t="shared" ref="D8:F8" si="0">(D10+D22+D31)</f>
        <v>0</v>
      </c>
      <c r="E8" s="2201">
        <f t="shared" si="0"/>
        <v>0</v>
      </c>
      <c r="F8" s="2201">
        <f t="shared" si="0"/>
        <v>0</v>
      </c>
      <c r="G8" s="2201">
        <f>(G10+G22+G31)</f>
        <v>109.41</v>
      </c>
      <c r="H8" s="2635">
        <f>I8+N8</f>
        <v>9.4593799999999995</v>
      </c>
      <c r="I8" s="2631">
        <f>'Додаток 4 до рішення'!C41</f>
        <v>1.1987300000000001</v>
      </c>
      <c r="J8" s="2631">
        <f>'Додаток 4 до рішення'!D41</f>
        <v>0</v>
      </c>
      <c r="K8" s="2631">
        <f>'Додаток 4 до рішення'!E41</f>
        <v>0</v>
      </c>
      <c r="L8" s="2631">
        <f>'Додаток 4 до рішення'!F41</f>
        <v>0</v>
      </c>
      <c r="M8" s="2631">
        <f>I8</f>
        <v>1.1987300000000001</v>
      </c>
      <c r="N8" s="2631">
        <f>'Додаток 5 до рішення'!C41</f>
        <v>8.26065</v>
      </c>
      <c r="O8" s="2631">
        <f>'Додаток 5 до рішення'!D41</f>
        <v>0</v>
      </c>
      <c r="P8" s="2631">
        <f>'Додаток 5 до рішення'!E41</f>
        <v>0</v>
      </c>
      <c r="Q8" s="2631">
        <f>'Додаток 5 до рішення'!F41</f>
        <v>0</v>
      </c>
      <c r="R8" s="2631">
        <f>N8</f>
        <v>8.26065</v>
      </c>
    </row>
    <row r="9" spans="1:18" ht="18.75" customHeight="1" thickBot="1" x14ac:dyDescent="0.3">
      <c r="A9" s="2189" t="s">
        <v>2778</v>
      </c>
      <c r="B9" s="4028" t="s">
        <v>2834</v>
      </c>
      <c r="C9" s="4033"/>
      <c r="D9" s="4033"/>
      <c r="E9" s="4033"/>
      <c r="F9" s="4033"/>
      <c r="G9" s="4034"/>
    </row>
    <row r="10" spans="1:18" s="23" customFormat="1" ht="14.25" x14ac:dyDescent="0.2">
      <c r="A10" s="2190" t="s">
        <v>1670</v>
      </c>
      <c r="B10" s="174" t="s">
        <v>2780</v>
      </c>
      <c r="C10" s="2184">
        <f>C11+C12+C13+C17</f>
        <v>960.53</v>
      </c>
      <c r="D10" s="177">
        <f>D11+D12+D13+D17</f>
        <v>0</v>
      </c>
      <c r="E10" s="177">
        <f t="shared" ref="E10:F10" si="1">E11+E12+E13+E17</f>
        <v>0</v>
      </c>
      <c r="F10" s="177">
        <f t="shared" si="1"/>
        <v>0</v>
      </c>
      <c r="G10" s="177">
        <f>G11+G12+G13+G17</f>
        <v>101.55</v>
      </c>
      <c r="H10" s="2217">
        <f>I10+N10-C10</f>
        <v>0</v>
      </c>
      <c r="I10" s="177">
        <f>I11+I12+I13+I17</f>
        <v>121.72</v>
      </c>
      <c r="J10" s="177">
        <f t="shared" ref="J10:L10" si="2">J11+J12+J13+J17</f>
        <v>0</v>
      </c>
      <c r="K10" s="177">
        <f t="shared" si="2"/>
        <v>0</v>
      </c>
      <c r="L10" s="177">
        <f t="shared" si="2"/>
        <v>0</v>
      </c>
      <c r="M10" s="177">
        <f t="shared" ref="M10" si="3">M11+M12+M13+M17</f>
        <v>121.72</v>
      </c>
      <c r="N10" s="177">
        <f>N11+N12+N13+N17</f>
        <v>838.81</v>
      </c>
      <c r="O10" s="177">
        <f t="shared" ref="O10:Q10" si="4">O11+O12+O13+O17</f>
        <v>0</v>
      </c>
      <c r="P10" s="177">
        <f t="shared" si="4"/>
        <v>0</v>
      </c>
      <c r="Q10" s="177">
        <f t="shared" si="4"/>
        <v>0</v>
      </c>
      <c r="R10" s="177">
        <f t="shared" ref="R10" si="5">R11+R12+R13+R17</f>
        <v>838.81</v>
      </c>
    </row>
    <row r="11" spans="1:18" x14ac:dyDescent="0.25">
      <c r="A11" s="2192" t="s">
        <v>1672</v>
      </c>
      <c r="B11" s="90" t="s">
        <v>2829</v>
      </c>
      <c r="C11" s="2193">
        <f>Постачання_1ст!F10</f>
        <v>9.7100000000000009</v>
      </c>
      <c r="D11" s="2193">
        <v>0</v>
      </c>
      <c r="E11" s="2193">
        <v>0</v>
      </c>
      <c r="F11" s="2193">
        <v>0</v>
      </c>
      <c r="G11" s="2193">
        <f>C11/$C$36</f>
        <v>1.03</v>
      </c>
      <c r="H11" s="2217">
        <f t="shared" ref="H11:H34" si="6">I11+N11-C11</f>
        <v>0</v>
      </c>
      <c r="I11" s="2218">
        <f>SUM(J11:M11)</f>
        <v>1.23</v>
      </c>
      <c r="J11" s="88">
        <f>J$8*D11</f>
        <v>0</v>
      </c>
      <c r="K11" s="88">
        <f t="shared" ref="K11:L11" si="7">K$8*E11</f>
        <v>0</v>
      </c>
      <c r="L11" s="88">
        <f t="shared" si="7"/>
        <v>0</v>
      </c>
      <c r="M11" s="88">
        <f>C11/$H$8*$M$8</f>
        <v>1.23</v>
      </c>
      <c r="N11" s="2218">
        <f>SUM(O11:R11)</f>
        <v>8.48</v>
      </c>
      <c r="O11" s="88">
        <f>O$8*D11</f>
        <v>0</v>
      </c>
      <c r="P11" s="88">
        <f t="shared" ref="P11:Q11" si="8">P$8*E11</f>
        <v>0</v>
      </c>
      <c r="Q11" s="88">
        <f t="shared" si="8"/>
        <v>0</v>
      </c>
      <c r="R11" s="88">
        <f>C11/$H$8*$R$8</f>
        <v>8.48</v>
      </c>
    </row>
    <row r="12" spans="1:18" x14ac:dyDescent="0.25">
      <c r="A12" s="2192" t="s">
        <v>1674</v>
      </c>
      <c r="B12" s="90" t="s">
        <v>2789</v>
      </c>
      <c r="C12" s="2193">
        <f>Постачання_1ст!F21</f>
        <v>612.30999999999995</v>
      </c>
      <c r="D12" s="2193">
        <v>0</v>
      </c>
      <c r="E12" s="2193">
        <v>0</v>
      </c>
      <c r="F12" s="2193">
        <v>0</v>
      </c>
      <c r="G12" s="2193">
        <f t="shared" ref="G12:G35" si="9">C12/$C$36</f>
        <v>64.73</v>
      </c>
      <c r="H12" s="2217">
        <f t="shared" si="6"/>
        <v>0</v>
      </c>
      <c r="I12" s="2218">
        <f>SUM(J12:M12)</f>
        <v>77.59</v>
      </c>
      <c r="J12" s="88">
        <f>J$8*D12</f>
        <v>0</v>
      </c>
      <c r="K12" s="88">
        <f t="shared" ref="K12:L27" si="10">K$8*E12</f>
        <v>0</v>
      </c>
      <c r="L12" s="88">
        <f t="shared" si="10"/>
        <v>0</v>
      </c>
      <c r="M12" s="88">
        <f t="shared" ref="M12:M34" si="11">C12/$H$8*$M$8</f>
        <v>77.59</v>
      </c>
      <c r="N12" s="2218">
        <f>SUM(O12:R12)</f>
        <v>534.72</v>
      </c>
      <c r="O12" s="88">
        <f>O$8*D12</f>
        <v>0</v>
      </c>
      <c r="P12" s="88">
        <f t="shared" ref="P12:Q27" si="12">P$8*E12</f>
        <v>0</v>
      </c>
      <c r="Q12" s="88">
        <f t="shared" si="12"/>
        <v>0</v>
      </c>
      <c r="R12" s="88">
        <f t="shared" ref="R12:R35" si="13">C12/$H$8*$R$8</f>
        <v>534.72</v>
      </c>
    </row>
    <row r="13" spans="1:18" x14ac:dyDescent="0.25">
      <c r="A13" s="2192" t="s">
        <v>1677</v>
      </c>
      <c r="B13" s="90" t="s">
        <v>2790</v>
      </c>
      <c r="C13" s="2193">
        <f>C14+C15+C16</f>
        <v>292.10000000000002</v>
      </c>
      <c r="D13" s="2193">
        <v>0</v>
      </c>
      <c r="E13" s="2193">
        <v>0</v>
      </c>
      <c r="F13" s="2193">
        <v>0</v>
      </c>
      <c r="G13" s="2193">
        <f t="shared" si="9"/>
        <v>30.88</v>
      </c>
      <c r="H13" s="2217">
        <f t="shared" si="6"/>
        <v>0</v>
      </c>
      <c r="I13" s="2218">
        <f t="shared" ref="I13:I34" si="14">SUM(J13:M13)</f>
        <v>37.020000000000003</v>
      </c>
      <c r="J13" s="88">
        <f t="shared" ref="J13:L35" si="15">J$8*D13</f>
        <v>0</v>
      </c>
      <c r="K13" s="88">
        <f t="shared" si="10"/>
        <v>0</v>
      </c>
      <c r="L13" s="88">
        <f t="shared" si="10"/>
        <v>0</v>
      </c>
      <c r="M13" s="88">
        <f t="shared" si="11"/>
        <v>37.020000000000003</v>
      </c>
      <c r="N13" s="2218">
        <f t="shared" ref="N13:N35" si="16">SUM(O13:R13)</f>
        <v>255.08</v>
      </c>
      <c r="O13" s="88">
        <f t="shared" ref="O13:Q35" si="17">O$8*D13</f>
        <v>0</v>
      </c>
      <c r="P13" s="88">
        <f t="shared" si="12"/>
        <v>0</v>
      </c>
      <c r="Q13" s="88">
        <f t="shared" si="12"/>
        <v>0</v>
      </c>
      <c r="R13" s="88">
        <f t="shared" si="13"/>
        <v>255.08</v>
      </c>
    </row>
    <row r="14" spans="1:18" x14ac:dyDescent="0.25">
      <c r="A14" s="2192" t="s">
        <v>2791</v>
      </c>
      <c r="B14" s="90" t="s">
        <v>2792</v>
      </c>
      <c r="C14" s="2193">
        <f>Постачання_1ст!F24</f>
        <v>134.71</v>
      </c>
      <c r="D14" s="2193">
        <v>0</v>
      </c>
      <c r="E14" s="2193">
        <v>0</v>
      </c>
      <c r="F14" s="2193">
        <v>0</v>
      </c>
      <c r="G14" s="2193">
        <f t="shared" si="9"/>
        <v>14.24</v>
      </c>
      <c r="H14" s="2217">
        <f t="shared" si="6"/>
        <v>0</v>
      </c>
      <c r="I14" s="2218">
        <f t="shared" si="14"/>
        <v>17.07</v>
      </c>
      <c r="J14" s="88">
        <f t="shared" si="15"/>
        <v>0</v>
      </c>
      <c r="K14" s="88">
        <f t="shared" si="10"/>
        <v>0</v>
      </c>
      <c r="L14" s="88">
        <f t="shared" si="10"/>
        <v>0</v>
      </c>
      <c r="M14" s="88">
        <f t="shared" si="11"/>
        <v>17.07</v>
      </c>
      <c r="N14" s="2218">
        <f t="shared" si="16"/>
        <v>117.64</v>
      </c>
      <c r="O14" s="88">
        <f t="shared" si="17"/>
        <v>0</v>
      </c>
      <c r="P14" s="88">
        <f t="shared" si="12"/>
        <v>0</v>
      </c>
      <c r="Q14" s="88">
        <f t="shared" si="12"/>
        <v>0</v>
      </c>
      <c r="R14" s="88">
        <f t="shared" si="13"/>
        <v>117.64</v>
      </c>
    </row>
    <row r="15" spans="1:18" x14ac:dyDescent="0.25">
      <c r="A15" s="2192" t="s">
        <v>2793</v>
      </c>
      <c r="B15" s="90" t="s">
        <v>2794</v>
      </c>
      <c r="C15" s="2193">
        <f>Постачання_1ст!F26+Постачання_1ст!F25</f>
        <v>0</v>
      </c>
      <c r="D15" s="2193">
        <v>0</v>
      </c>
      <c r="E15" s="2193">
        <v>0</v>
      </c>
      <c r="F15" s="2193">
        <v>0</v>
      </c>
      <c r="G15" s="2193">
        <f t="shared" si="9"/>
        <v>0</v>
      </c>
      <c r="H15" s="2217">
        <f t="shared" si="6"/>
        <v>0</v>
      </c>
      <c r="I15" s="2218">
        <f t="shared" si="14"/>
        <v>0</v>
      </c>
      <c r="J15" s="88">
        <f t="shared" si="15"/>
        <v>0</v>
      </c>
      <c r="K15" s="88">
        <f t="shared" si="10"/>
        <v>0</v>
      </c>
      <c r="L15" s="88">
        <f t="shared" si="10"/>
        <v>0</v>
      </c>
      <c r="M15" s="88">
        <f t="shared" si="11"/>
        <v>0</v>
      </c>
      <c r="N15" s="2218">
        <f t="shared" si="16"/>
        <v>0</v>
      </c>
      <c r="O15" s="88">
        <f t="shared" si="17"/>
        <v>0</v>
      </c>
      <c r="P15" s="88">
        <f t="shared" si="12"/>
        <v>0</v>
      </c>
      <c r="Q15" s="88">
        <f t="shared" si="12"/>
        <v>0</v>
      </c>
      <c r="R15" s="88">
        <f t="shared" si="13"/>
        <v>0</v>
      </c>
    </row>
    <row r="16" spans="1:18" x14ac:dyDescent="0.25">
      <c r="A16" s="2192" t="s">
        <v>2795</v>
      </c>
      <c r="B16" s="90" t="s">
        <v>82</v>
      </c>
      <c r="C16" s="2193">
        <f>Постачання_1ст!F23-Постачання_1ст!F24-Постачання_1ст!F25-Постачання_1ст!F26</f>
        <v>157.38999999999999</v>
      </c>
      <c r="D16" s="2193">
        <v>0</v>
      </c>
      <c r="E16" s="2193">
        <v>0</v>
      </c>
      <c r="F16" s="2193">
        <v>0</v>
      </c>
      <c r="G16" s="2193">
        <f t="shared" si="9"/>
        <v>16.64</v>
      </c>
      <c r="H16" s="2217">
        <f t="shared" si="6"/>
        <v>0</v>
      </c>
      <c r="I16" s="2218">
        <f t="shared" si="14"/>
        <v>19.95</v>
      </c>
      <c r="J16" s="88">
        <f t="shared" si="15"/>
        <v>0</v>
      </c>
      <c r="K16" s="88">
        <f t="shared" si="10"/>
        <v>0</v>
      </c>
      <c r="L16" s="88">
        <f t="shared" si="10"/>
        <v>0</v>
      </c>
      <c r="M16" s="88">
        <f t="shared" si="11"/>
        <v>19.95</v>
      </c>
      <c r="N16" s="2218">
        <f t="shared" si="16"/>
        <v>137.44</v>
      </c>
      <c r="O16" s="88">
        <f t="shared" si="17"/>
        <v>0</v>
      </c>
      <c r="P16" s="88">
        <f t="shared" si="12"/>
        <v>0</v>
      </c>
      <c r="Q16" s="88">
        <f t="shared" si="12"/>
        <v>0</v>
      </c>
      <c r="R16" s="88">
        <f t="shared" si="13"/>
        <v>137.44</v>
      </c>
    </row>
    <row r="17" spans="1:18" s="23" customFormat="1" x14ac:dyDescent="0.25">
      <c r="A17" s="2194" t="s">
        <v>1679</v>
      </c>
      <c r="B17" s="174" t="s">
        <v>2796</v>
      </c>
      <c r="C17" s="2184">
        <f>C18+C19+C20+C21</f>
        <v>46.41</v>
      </c>
      <c r="D17" s="177">
        <f t="shared" ref="D17:F17" si="18">D18+D19+D20+D21</f>
        <v>0</v>
      </c>
      <c r="E17" s="177">
        <f t="shared" si="18"/>
        <v>0</v>
      </c>
      <c r="F17" s="177">
        <f t="shared" si="18"/>
        <v>0</v>
      </c>
      <c r="G17" s="2184">
        <f>SUM(G18:G21)</f>
        <v>4.91</v>
      </c>
      <c r="H17" s="2217">
        <f t="shared" si="6"/>
        <v>0</v>
      </c>
      <c r="I17" s="2218">
        <f t="shared" si="14"/>
        <v>5.88</v>
      </c>
      <c r="J17" s="88">
        <f t="shared" si="15"/>
        <v>0</v>
      </c>
      <c r="K17" s="88">
        <f t="shared" si="10"/>
        <v>0</v>
      </c>
      <c r="L17" s="88">
        <f t="shared" si="10"/>
        <v>0</v>
      </c>
      <c r="M17" s="88">
        <f t="shared" si="11"/>
        <v>5.88</v>
      </c>
      <c r="N17" s="2218">
        <f t="shared" si="16"/>
        <v>40.53</v>
      </c>
      <c r="O17" s="88">
        <f t="shared" si="17"/>
        <v>0</v>
      </c>
      <c r="P17" s="88">
        <f t="shared" si="12"/>
        <v>0</v>
      </c>
      <c r="Q17" s="88">
        <f>Q$8*F17</f>
        <v>0</v>
      </c>
      <c r="R17" s="88">
        <f t="shared" si="13"/>
        <v>40.53</v>
      </c>
    </row>
    <row r="18" spans="1:18" x14ac:dyDescent="0.25">
      <c r="A18" s="2195" t="s">
        <v>2797</v>
      </c>
      <c r="B18" s="90" t="s">
        <v>2798</v>
      </c>
      <c r="C18" s="2193">
        <f>ЗВВ_1ст!K21</f>
        <v>30.91</v>
      </c>
      <c r="D18" s="2193">
        <v>0</v>
      </c>
      <c r="E18" s="2193">
        <v>0</v>
      </c>
      <c r="F18" s="2193">
        <v>0</v>
      </c>
      <c r="G18" s="2193">
        <f t="shared" si="9"/>
        <v>3.27</v>
      </c>
      <c r="H18" s="2217">
        <f t="shared" si="6"/>
        <v>0</v>
      </c>
      <c r="I18" s="2218">
        <f t="shared" si="14"/>
        <v>3.92</v>
      </c>
      <c r="J18" s="88">
        <f t="shared" si="15"/>
        <v>0</v>
      </c>
      <c r="K18" s="88">
        <f t="shared" si="10"/>
        <v>0</v>
      </c>
      <c r="L18" s="88">
        <f t="shared" si="10"/>
        <v>0</v>
      </c>
      <c r="M18" s="88">
        <f t="shared" si="11"/>
        <v>3.92</v>
      </c>
      <c r="N18" s="2218">
        <f t="shared" si="16"/>
        <v>26.99</v>
      </c>
      <c r="O18" s="88">
        <f t="shared" si="17"/>
        <v>0</v>
      </c>
      <c r="P18" s="88">
        <f t="shared" si="12"/>
        <v>0</v>
      </c>
      <c r="Q18" s="88">
        <f t="shared" si="12"/>
        <v>0</v>
      </c>
      <c r="R18" s="88">
        <f t="shared" si="13"/>
        <v>26.99</v>
      </c>
    </row>
    <row r="19" spans="1:18" x14ac:dyDescent="0.25">
      <c r="A19" s="2195" t="s">
        <v>2799</v>
      </c>
      <c r="B19" s="90" t="s">
        <v>2153</v>
      </c>
      <c r="C19" s="2193">
        <f>ЗВВ_1ст!K23</f>
        <v>6.8</v>
      </c>
      <c r="D19" s="2193">
        <v>0</v>
      </c>
      <c r="E19" s="2193">
        <v>0</v>
      </c>
      <c r="F19" s="2193">
        <v>0</v>
      </c>
      <c r="G19" s="2193">
        <f t="shared" si="9"/>
        <v>0.72</v>
      </c>
      <c r="H19" s="2217">
        <f t="shared" si="6"/>
        <v>0</v>
      </c>
      <c r="I19" s="2218">
        <f t="shared" si="14"/>
        <v>0.86</v>
      </c>
      <c r="J19" s="88">
        <f t="shared" si="15"/>
        <v>0</v>
      </c>
      <c r="K19" s="88">
        <f t="shared" si="10"/>
        <v>0</v>
      </c>
      <c r="L19" s="88">
        <f t="shared" si="10"/>
        <v>0</v>
      </c>
      <c r="M19" s="88">
        <f t="shared" si="11"/>
        <v>0.86</v>
      </c>
      <c r="N19" s="2218">
        <f t="shared" si="16"/>
        <v>5.94</v>
      </c>
      <c r="O19" s="88">
        <f t="shared" si="17"/>
        <v>0</v>
      </c>
      <c r="P19" s="88">
        <f t="shared" si="12"/>
        <v>0</v>
      </c>
      <c r="Q19" s="88">
        <f t="shared" si="12"/>
        <v>0</v>
      </c>
      <c r="R19" s="88">
        <f t="shared" si="13"/>
        <v>5.94</v>
      </c>
    </row>
    <row r="20" spans="1:18" x14ac:dyDescent="0.25">
      <c r="A20" s="2195" t="s">
        <v>2800</v>
      </c>
      <c r="B20" s="90" t="s">
        <v>2794</v>
      </c>
      <c r="C20" s="2193">
        <f>ЗВВ_1ст!K37+ЗВВ_1ст!K38</f>
        <v>0.42</v>
      </c>
      <c r="D20" s="2193">
        <v>0</v>
      </c>
      <c r="E20" s="2193">
        <v>0</v>
      </c>
      <c r="F20" s="2193">
        <v>0</v>
      </c>
      <c r="G20" s="2193">
        <f t="shared" si="9"/>
        <v>0.04</v>
      </c>
      <c r="H20" s="2217">
        <f t="shared" si="6"/>
        <v>0</v>
      </c>
      <c r="I20" s="2218">
        <f t="shared" si="14"/>
        <v>0.05</v>
      </c>
      <c r="J20" s="88">
        <f t="shared" si="15"/>
        <v>0</v>
      </c>
      <c r="K20" s="88">
        <f t="shared" si="10"/>
        <v>0</v>
      </c>
      <c r="L20" s="88">
        <f t="shared" si="10"/>
        <v>0</v>
      </c>
      <c r="M20" s="88">
        <f t="shared" si="11"/>
        <v>0.05</v>
      </c>
      <c r="N20" s="2218">
        <f t="shared" si="16"/>
        <v>0.37</v>
      </c>
      <c r="O20" s="88">
        <f t="shared" si="17"/>
        <v>0</v>
      </c>
      <c r="P20" s="88">
        <f t="shared" si="12"/>
        <v>0</v>
      </c>
      <c r="Q20" s="88">
        <f t="shared" si="12"/>
        <v>0</v>
      </c>
      <c r="R20" s="88">
        <f t="shared" si="13"/>
        <v>0.37</v>
      </c>
    </row>
    <row r="21" spans="1:18" x14ac:dyDescent="0.25">
      <c r="A21" s="2195" t="s">
        <v>2801</v>
      </c>
      <c r="B21" s="90" t="s">
        <v>58</v>
      </c>
      <c r="C21" s="2193">
        <f>ЗВВ_1ст!K24+ЗВВ_1ст!K39+ЗВВ_1ст!K9</f>
        <v>8.2799999999999994</v>
      </c>
      <c r="D21" s="2193">
        <v>0</v>
      </c>
      <c r="E21" s="2193">
        <v>0</v>
      </c>
      <c r="F21" s="2193">
        <v>0</v>
      </c>
      <c r="G21" s="2193">
        <f>C21/$C$36</f>
        <v>0.88</v>
      </c>
      <c r="H21" s="2217">
        <f t="shared" si="6"/>
        <v>0</v>
      </c>
      <c r="I21" s="2218">
        <f t="shared" si="14"/>
        <v>1.05</v>
      </c>
      <c r="J21" s="88">
        <f t="shared" si="15"/>
        <v>0</v>
      </c>
      <c r="K21" s="88">
        <f t="shared" si="10"/>
        <v>0</v>
      </c>
      <c r="L21" s="88">
        <f t="shared" si="10"/>
        <v>0</v>
      </c>
      <c r="M21" s="88">
        <f t="shared" si="11"/>
        <v>1.05</v>
      </c>
      <c r="N21" s="2218">
        <f t="shared" si="16"/>
        <v>7.23</v>
      </c>
      <c r="O21" s="88">
        <f t="shared" si="17"/>
        <v>0</v>
      </c>
      <c r="P21" s="88">
        <f t="shared" si="12"/>
        <v>0</v>
      </c>
      <c r="Q21" s="88">
        <f t="shared" si="12"/>
        <v>0</v>
      </c>
      <c r="R21" s="88">
        <f t="shared" si="13"/>
        <v>7.23</v>
      </c>
    </row>
    <row r="22" spans="1:18" s="23" customFormat="1" x14ac:dyDescent="0.25">
      <c r="A22" s="2190" t="s">
        <v>1692</v>
      </c>
      <c r="B22" s="174" t="s">
        <v>2802</v>
      </c>
      <c r="C22" s="2184">
        <f>C23+C24+C25+C26</f>
        <v>18.510000000000002</v>
      </c>
      <c r="D22" s="177">
        <f t="shared" ref="D22:E22" si="19">D23+D24+D25+D26</f>
        <v>0</v>
      </c>
      <c r="E22" s="177">
        <f t="shared" si="19"/>
        <v>0</v>
      </c>
      <c r="F22" s="177">
        <f>F23+F24+F25+F26</f>
        <v>0</v>
      </c>
      <c r="G22" s="2184">
        <f t="shared" si="9"/>
        <v>1.96</v>
      </c>
      <c r="H22" s="2217">
        <f t="shared" si="6"/>
        <v>0</v>
      </c>
      <c r="I22" s="2218">
        <f t="shared" si="14"/>
        <v>2.35</v>
      </c>
      <c r="J22" s="88">
        <f t="shared" si="15"/>
        <v>0</v>
      </c>
      <c r="K22" s="88">
        <f t="shared" si="10"/>
        <v>0</v>
      </c>
      <c r="L22" s="88">
        <f t="shared" si="10"/>
        <v>0</v>
      </c>
      <c r="M22" s="88">
        <f t="shared" si="11"/>
        <v>2.35</v>
      </c>
      <c r="N22" s="2218">
        <f t="shared" si="16"/>
        <v>16.16</v>
      </c>
      <c r="O22" s="88">
        <f t="shared" si="17"/>
        <v>0</v>
      </c>
      <c r="P22" s="88">
        <f t="shared" si="12"/>
        <v>0</v>
      </c>
      <c r="Q22" s="88">
        <f t="shared" si="12"/>
        <v>0</v>
      </c>
      <c r="R22" s="88">
        <f t="shared" si="13"/>
        <v>16.16</v>
      </c>
    </row>
    <row r="23" spans="1:18" x14ac:dyDescent="0.25">
      <c r="A23" s="2195" t="s">
        <v>2803</v>
      </c>
      <c r="B23" s="90" t="s">
        <v>55</v>
      </c>
      <c r="C23" s="2193">
        <f>Адміністративні_1ст!K21</f>
        <v>11.52</v>
      </c>
      <c r="D23" s="2193">
        <v>0</v>
      </c>
      <c r="E23" s="2193">
        <v>0</v>
      </c>
      <c r="F23" s="2193">
        <v>0</v>
      </c>
      <c r="G23" s="2193">
        <f t="shared" si="9"/>
        <v>1.22</v>
      </c>
      <c r="H23" s="2217">
        <f t="shared" si="6"/>
        <v>0</v>
      </c>
      <c r="I23" s="2218">
        <f t="shared" si="14"/>
        <v>1.46</v>
      </c>
      <c r="J23" s="88">
        <f t="shared" si="15"/>
        <v>0</v>
      </c>
      <c r="K23" s="88">
        <f t="shared" si="10"/>
        <v>0</v>
      </c>
      <c r="L23" s="88">
        <f t="shared" si="10"/>
        <v>0</v>
      </c>
      <c r="M23" s="88">
        <f t="shared" si="11"/>
        <v>1.46</v>
      </c>
      <c r="N23" s="2218">
        <f t="shared" si="16"/>
        <v>10.06</v>
      </c>
      <c r="O23" s="88">
        <f t="shared" si="17"/>
        <v>0</v>
      </c>
      <c r="P23" s="88">
        <f t="shared" si="12"/>
        <v>0</v>
      </c>
      <c r="Q23" s="88">
        <f t="shared" si="12"/>
        <v>0</v>
      </c>
      <c r="R23" s="88">
        <f t="shared" si="13"/>
        <v>10.06</v>
      </c>
    </row>
    <row r="24" spans="1:18" x14ac:dyDescent="0.25">
      <c r="A24" s="2195" t="s">
        <v>2804</v>
      </c>
      <c r="B24" s="90" t="s">
        <v>2805</v>
      </c>
      <c r="C24" s="2193">
        <f>Адміністративні_1ст!K23</f>
        <v>2.54</v>
      </c>
      <c r="D24" s="2193">
        <v>0</v>
      </c>
      <c r="E24" s="2193">
        <v>0</v>
      </c>
      <c r="F24" s="2193">
        <v>0</v>
      </c>
      <c r="G24" s="2193">
        <f t="shared" si="9"/>
        <v>0.27</v>
      </c>
      <c r="H24" s="2217">
        <f t="shared" si="6"/>
        <v>0</v>
      </c>
      <c r="I24" s="2218">
        <f t="shared" si="14"/>
        <v>0.32</v>
      </c>
      <c r="J24" s="88">
        <f t="shared" si="15"/>
        <v>0</v>
      </c>
      <c r="K24" s="88">
        <f t="shared" si="10"/>
        <v>0</v>
      </c>
      <c r="L24" s="88">
        <f t="shared" si="10"/>
        <v>0</v>
      </c>
      <c r="M24" s="88">
        <f t="shared" si="11"/>
        <v>0.32</v>
      </c>
      <c r="N24" s="2218">
        <f t="shared" si="16"/>
        <v>2.2200000000000002</v>
      </c>
      <c r="O24" s="88">
        <f t="shared" si="17"/>
        <v>0</v>
      </c>
      <c r="P24" s="88">
        <f t="shared" si="12"/>
        <v>0</v>
      </c>
      <c r="Q24" s="88">
        <f t="shared" si="12"/>
        <v>0</v>
      </c>
      <c r="R24" s="88">
        <f t="shared" si="13"/>
        <v>2.2200000000000002</v>
      </c>
    </row>
    <row r="25" spans="1:18" x14ac:dyDescent="0.25">
      <c r="A25" s="2195" t="s">
        <v>2806</v>
      </c>
      <c r="B25" s="90" t="s">
        <v>2794</v>
      </c>
      <c r="C25" s="2193">
        <f>Адміністративні_1ст!K36+Адміністративні_1ст!K37</f>
        <v>0.28999999999999998</v>
      </c>
      <c r="D25" s="2193">
        <v>0</v>
      </c>
      <c r="E25" s="2193">
        <v>0</v>
      </c>
      <c r="F25" s="2193">
        <v>0</v>
      </c>
      <c r="G25" s="2193">
        <f t="shared" si="9"/>
        <v>0.03</v>
      </c>
      <c r="H25" s="2217">
        <f t="shared" si="6"/>
        <v>0</v>
      </c>
      <c r="I25" s="2218">
        <f t="shared" si="14"/>
        <v>0.04</v>
      </c>
      <c r="J25" s="88">
        <f t="shared" si="15"/>
        <v>0</v>
      </c>
      <c r="K25" s="88">
        <f t="shared" si="10"/>
        <v>0</v>
      </c>
      <c r="L25" s="88">
        <f t="shared" si="10"/>
        <v>0</v>
      </c>
      <c r="M25" s="88">
        <f t="shared" si="11"/>
        <v>0.04</v>
      </c>
      <c r="N25" s="2218">
        <f t="shared" si="16"/>
        <v>0.25</v>
      </c>
      <c r="O25" s="88">
        <f t="shared" si="17"/>
        <v>0</v>
      </c>
      <c r="P25" s="88">
        <f t="shared" si="12"/>
        <v>0</v>
      </c>
      <c r="Q25" s="88">
        <f t="shared" si="12"/>
        <v>0</v>
      </c>
      <c r="R25" s="88">
        <f t="shared" si="13"/>
        <v>0.25</v>
      </c>
    </row>
    <row r="26" spans="1:18" x14ac:dyDescent="0.25">
      <c r="A26" s="2195" t="s">
        <v>2807</v>
      </c>
      <c r="B26" s="90" t="s">
        <v>2808</v>
      </c>
      <c r="C26" s="2193">
        <f>Адміністративні_1ст!K9+Адміністративні_1ст!K24+Адміністративні_1ст!K38</f>
        <v>4.16</v>
      </c>
      <c r="D26" s="2193">
        <v>0</v>
      </c>
      <c r="E26" s="2193">
        <v>0</v>
      </c>
      <c r="F26" s="2193">
        <v>0</v>
      </c>
      <c r="G26" s="2193">
        <f>C26/$C$36-0.01</f>
        <v>0.43</v>
      </c>
      <c r="H26" s="2217">
        <f t="shared" si="6"/>
        <v>0</v>
      </c>
      <c r="I26" s="2218">
        <f t="shared" si="14"/>
        <v>0.53</v>
      </c>
      <c r="J26" s="88">
        <f t="shared" si="15"/>
        <v>0</v>
      </c>
      <c r="K26" s="88">
        <f t="shared" si="10"/>
        <v>0</v>
      </c>
      <c r="L26" s="88">
        <f t="shared" si="10"/>
        <v>0</v>
      </c>
      <c r="M26" s="88">
        <f t="shared" si="11"/>
        <v>0.53</v>
      </c>
      <c r="N26" s="2218">
        <f t="shared" si="16"/>
        <v>3.63</v>
      </c>
      <c r="O26" s="88">
        <f t="shared" si="17"/>
        <v>0</v>
      </c>
      <c r="P26" s="88">
        <f t="shared" si="12"/>
        <v>0</v>
      </c>
      <c r="Q26" s="88">
        <f t="shared" si="12"/>
        <v>0</v>
      </c>
      <c r="R26" s="88">
        <f t="shared" si="13"/>
        <v>3.63</v>
      </c>
    </row>
    <row r="27" spans="1:18" s="23" customFormat="1" x14ac:dyDescent="0.25">
      <c r="A27" s="2190" t="s">
        <v>1694</v>
      </c>
      <c r="B27" s="174" t="s">
        <v>2809</v>
      </c>
      <c r="C27" s="2184">
        <v>0</v>
      </c>
      <c r="D27" s="2184">
        <v>0</v>
      </c>
      <c r="E27" s="2184">
        <v>0</v>
      </c>
      <c r="F27" s="2184">
        <v>0</v>
      </c>
      <c r="G27" s="2184">
        <f t="shared" si="9"/>
        <v>0</v>
      </c>
      <c r="H27" s="2217">
        <f>I27+N27-C27</f>
        <v>0</v>
      </c>
      <c r="I27" s="2218">
        <f t="shared" si="14"/>
        <v>0</v>
      </c>
      <c r="J27" s="88">
        <f t="shared" si="15"/>
        <v>0</v>
      </c>
      <c r="K27" s="88">
        <f t="shared" si="10"/>
        <v>0</v>
      </c>
      <c r="L27" s="88">
        <f t="shared" si="10"/>
        <v>0</v>
      </c>
      <c r="M27" s="88">
        <f t="shared" si="11"/>
        <v>0</v>
      </c>
      <c r="N27" s="2218">
        <f t="shared" si="16"/>
        <v>0</v>
      </c>
      <c r="O27" s="88">
        <f t="shared" si="17"/>
        <v>0</v>
      </c>
      <c r="P27" s="88">
        <f t="shared" si="12"/>
        <v>0</v>
      </c>
      <c r="Q27" s="88">
        <f t="shared" si="12"/>
        <v>0</v>
      </c>
      <c r="R27" s="88">
        <f t="shared" si="13"/>
        <v>0</v>
      </c>
    </row>
    <row r="28" spans="1:18" s="23" customFormat="1" x14ac:dyDescent="0.25">
      <c r="A28" s="2190" t="s">
        <v>1697</v>
      </c>
      <c r="B28" s="174" t="s">
        <v>2811</v>
      </c>
      <c r="C28" s="2184">
        <v>0</v>
      </c>
      <c r="D28" s="2184">
        <v>0</v>
      </c>
      <c r="E28" s="2184">
        <v>0</v>
      </c>
      <c r="F28" s="2184">
        <v>0</v>
      </c>
      <c r="G28" s="2184">
        <f t="shared" si="9"/>
        <v>0</v>
      </c>
      <c r="H28" s="2217">
        <f t="shared" si="6"/>
        <v>0</v>
      </c>
      <c r="I28" s="2218">
        <f t="shared" si="14"/>
        <v>0</v>
      </c>
      <c r="J28" s="88">
        <f t="shared" si="15"/>
        <v>0</v>
      </c>
      <c r="K28" s="88">
        <f t="shared" si="15"/>
        <v>0</v>
      </c>
      <c r="L28" s="88">
        <f t="shared" si="15"/>
        <v>0</v>
      </c>
      <c r="M28" s="88">
        <f t="shared" si="11"/>
        <v>0</v>
      </c>
      <c r="N28" s="2218">
        <f t="shared" si="16"/>
        <v>0</v>
      </c>
      <c r="O28" s="88">
        <f t="shared" si="17"/>
        <v>0</v>
      </c>
      <c r="P28" s="88">
        <f t="shared" si="17"/>
        <v>0</v>
      </c>
      <c r="Q28" s="88">
        <f t="shared" si="17"/>
        <v>0</v>
      </c>
      <c r="R28" s="88">
        <f t="shared" si="13"/>
        <v>0</v>
      </c>
    </row>
    <row r="29" spans="1:18" s="23" customFormat="1" x14ac:dyDescent="0.25">
      <c r="A29" s="2190" t="s">
        <v>1769</v>
      </c>
      <c r="B29" s="174" t="s">
        <v>2812</v>
      </c>
      <c r="C29" s="2184">
        <v>0</v>
      </c>
      <c r="D29" s="2184">
        <v>0</v>
      </c>
      <c r="E29" s="2184">
        <v>0</v>
      </c>
      <c r="F29" s="2184">
        <v>0</v>
      </c>
      <c r="G29" s="2184">
        <f t="shared" si="9"/>
        <v>0</v>
      </c>
      <c r="H29" s="2217">
        <f t="shared" si="6"/>
        <v>0</v>
      </c>
      <c r="I29" s="2218">
        <f t="shared" si="14"/>
        <v>0</v>
      </c>
      <c r="J29" s="88">
        <f t="shared" si="15"/>
        <v>0</v>
      </c>
      <c r="K29" s="88">
        <f t="shared" si="15"/>
        <v>0</v>
      </c>
      <c r="L29" s="88">
        <f t="shared" si="15"/>
        <v>0</v>
      </c>
      <c r="M29" s="88">
        <f t="shared" si="11"/>
        <v>0</v>
      </c>
      <c r="N29" s="2218">
        <f t="shared" si="16"/>
        <v>0</v>
      </c>
      <c r="O29" s="88">
        <f t="shared" si="17"/>
        <v>0</v>
      </c>
      <c r="P29" s="88">
        <f t="shared" si="17"/>
        <v>0</v>
      </c>
      <c r="Q29" s="88">
        <f t="shared" si="17"/>
        <v>0</v>
      </c>
      <c r="R29" s="88">
        <f t="shared" si="13"/>
        <v>0</v>
      </c>
    </row>
    <row r="30" spans="1:18" s="23" customFormat="1" x14ac:dyDescent="0.25">
      <c r="A30" s="2190" t="s">
        <v>1775</v>
      </c>
      <c r="B30" s="174" t="s">
        <v>2813</v>
      </c>
      <c r="C30" s="2184">
        <v>0</v>
      </c>
      <c r="D30" s="2184">
        <v>0</v>
      </c>
      <c r="E30" s="2184">
        <v>0</v>
      </c>
      <c r="F30" s="2184">
        <v>0</v>
      </c>
      <c r="G30" s="2184">
        <f t="shared" si="9"/>
        <v>0</v>
      </c>
      <c r="H30" s="2217">
        <f t="shared" si="6"/>
        <v>0</v>
      </c>
      <c r="I30" s="2218">
        <f t="shared" si="14"/>
        <v>0</v>
      </c>
      <c r="J30" s="88">
        <f t="shared" si="15"/>
        <v>0</v>
      </c>
      <c r="K30" s="88">
        <f t="shared" si="15"/>
        <v>0</v>
      </c>
      <c r="L30" s="88">
        <f t="shared" si="15"/>
        <v>0</v>
      </c>
      <c r="M30" s="88">
        <f t="shared" si="11"/>
        <v>0</v>
      </c>
      <c r="N30" s="2218">
        <f t="shared" si="16"/>
        <v>0</v>
      </c>
      <c r="O30" s="88">
        <f t="shared" si="17"/>
        <v>0</v>
      </c>
      <c r="P30" s="88">
        <f t="shared" si="17"/>
        <v>0</v>
      </c>
      <c r="Q30" s="88">
        <f t="shared" si="17"/>
        <v>0</v>
      </c>
      <c r="R30" s="88">
        <f t="shared" si="13"/>
        <v>0</v>
      </c>
    </row>
    <row r="31" spans="1:18" s="23" customFormat="1" x14ac:dyDescent="0.25">
      <c r="A31" s="2190" t="s">
        <v>1781</v>
      </c>
      <c r="B31" s="174" t="s">
        <v>2814</v>
      </c>
      <c r="C31" s="2184">
        <f>SUM(C32:C35)</f>
        <v>55.84</v>
      </c>
      <c r="D31" s="2184">
        <f t="shared" ref="D31:F31" si="20">SUM(D32:D35)</f>
        <v>0</v>
      </c>
      <c r="E31" s="2184">
        <f t="shared" si="20"/>
        <v>0</v>
      </c>
      <c r="F31" s="2184">
        <f t="shared" si="20"/>
        <v>0</v>
      </c>
      <c r="G31" s="2184">
        <f t="shared" si="9"/>
        <v>5.9</v>
      </c>
      <c r="H31" s="2217">
        <f t="shared" si="6"/>
        <v>0</v>
      </c>
      <c r="I31" s="2218">
        <f t="shared" si="14"/>
        <v>7.08</v>
      </c>
      <c r="J31" s="88">
        <f t="shared" si="15"/>
        <v>0</v>
      </c>
      <c r="K31" s="88">
        <f t="shared" si="15"/>
        <v>0</v>
      </c>
      <c r="L31" s="88">
        <f t="shared" si="15"/>
        <v>0</v>
      </c>
      <c r="M31" s="88">
        <f t="shared" si="11"/>
        <v>7.08</v>
      </c>
      <c r="N31" s="2218">
        <f t="shared" si="16"/>
        <v>48.76</v>
      </c>
      <c r="O31" s="88">
        <f t="shared" si="17"/>
        <v>0</v>
      </c>
      <c r="P31" s="88">
        <f t="shared" si="17"/>
        <v>0</v>
      </c>
      <c r="Q31" s="88">
        <f t="shared" si="17"/>
        <v>0</v>
      </c>
      <c r="R31" s="88">
        <f t="shared" si="13"/>
        <v>48.76</v>
      </c>
    </row>
    <row r="32" spans="1:18" x14ac:dyDescent="0.25">
      <c r="A32" s="2195" t="s">
        <v>1097</v>
      </c>
      <c r="B32" s="90" t="s">
        <v>65</v>
      </c>
      <c r="C32" s="2193">
        <f>'Д 4_Т на П'!G37</f>
        <v>7.05</v>
      </c>
      <c r="D32" s="2193">
        <v>0</v>
      </c>
      <c r="E32" s="2193">
        <v>0</v>
      </c>
      <c r="F32" s="2193">
        <v>0</v>
      </c>
      <c r="G32" s="2193">
        <f t="shared" si="9"/>
        <v>0.75</v>
      </c>
      <c r="H32" s="2217">
        <f t="shared" si="6"/>
        <v>0</v>
      </c>
      <c r="I32" s="2218">
        <f t="shared" si="14"/>
        <v>0.89</v>
      </c>
      <c r="J32" s="88">
        <f t="shared" si="15"/>
        <v>0</v>
      </c>
      <c r="K32" s="88">
        <f t="shared" si="15"/>
        <v>0</v>
      </c>
      <c r="L32" s="88">
        <f t="shared" si="15"/>
        <v>0</v>
      </c>
      <c r="M32" s="88">
        <f t="shared" si="11"/>
        <v>0.89</v>
      </c>
      <c r="N32" s="2218">
        <f>SUM(O32:R32)</f>
        <v>6.16</v>
      </c>
      <c r="O32" s="88">
        <f t="shared" si="17"/>
        <v>0</v>
      </c>
      <c r="P32" s="88">
        <f t="shared" si="17"/>
        <v>0</v>
      </c>
      <c r="Q32" s="88">
        <f t="shared" si="17"/>
        <v>0</v>
      </c>
      <c r="R32" s="88">
        <f t="shared" si="13"/>
        <v>6.16</v>
      </c>
    </row>
    <row r="33" spans="1:18" x14ac:dyDescent="0.25">
      <c r="A33" s="2195" t="s">
        <v>2825</v>
      </c>
      <c r="B33" s="90" t="s">
        <v>85</v>
      </c>
      <c r="C33" s="2193">
        <f>'Д 4_Т на П'!G38</f>
        <v>9.6300000000000008</v>
      </c>
      <c r="D33" s="2193">
        <v>0</v>
      </c>
      <c r="E33" s="2193">
        <v>0</v>
      </c>
      <c r="F33" s="2193">
        <v>0</v>
      </c>
      <c r="G33" s="2193">
        <f t="shared" si="9"/>
        <v>1.02</v>
      </c>
      <c r="H33" s="2217">
        <f t="shared" si="6"/>
        <v>0</v>
      </c>
      <c r="I33" s="2218">
        <f t="shared" si="14"/>
        <v>1.22</v>
      </c>
      <c r="J33" s="88">
        <f t="shared" si="15"/>
        <v>0</v>
      </c>
      <c r="K33" s="88">
        <f t="shared" si="15"/>
        <v>0</v>
      </c>
      <c r="L33" s="88">
        <f t="shared" si="15"/>
        <v>0</v>
      </c>
      <c r="M33" s="88">
        <f t="shared" si="11"/>
        <v>1.22</v>
      </c>
      <c r="N33" s="2218">
        <f t="shared" si="16"/>
        <v>8.41</v>
      </c>
      <c r="O33" s="88">
        <f t="shared" si="17"/>
        <v>0</v>
      </c>
      <c r="P33" s="88">
        <f t="shared" si="17"/>
        <v>0</v>
      </c>
      <c r="Q33" s="88">
        <f t="shared" si="17"/>
        <v>0</v>
      </c>
      <c r="R33" s="88">
        <f t="shared" si="13"/>
        <v>8.41</v>
      </c>
    </row>
    <row r="34" spans="1:18" x14ac:dyDescent="0.25">
      <c r="A34" s="2195" t="s">
        <v>2826</v>
      </c>
      <c r="B34" s="90" t="s">
        <v>71</v>
      </c>
      <c r="C34" s="2193">
        <f>'Д 4_Т на П'!G39</f>
        <v>0</v>
      </c>
      <c r="D34" s="2193">
        <v>0</v>
      </c>
      <c r="E34" s="2193">
        <v>0</v>
      </c>
      <c r="F34" s="2193">
        <v>0</v>
      </c>
      <c r="G34" s="2193">
        <f t="shared" si="9"/>
        <v>0</v>
      </c>
      <c r="H34" s="2217">
        <f t="shared" si="6"/>
        <v>0</v>
      </c>
      <c r="I34" s="2218">
        <f t="shared" si="14"/>
        <v>0</v>
      </c>
      <c r="J34" s="88">
        <f t="shared" si="15"/>
        <v>0</v>
      </c>
      <c r="K34" s="88">
        <f t="shared" si="15"/>
        <v>0</v>
      </c>
      <c r="L34" s="88">
        <f t="shared" si="15"/>
        <v>0</v>
      </c>
      <c r="M34" s="88">
        <f t="shared" si="11"/>
        <v>0</v>
      </c>
      <c r="N34" s="2218">
        <f t="shared" si="16"/>
        <v>0</v>
      </c>
      <c r="O34" s="88">
        <f t="shared" si="17"/>
        <v>0</v>
      </c>
      <c r="P34" s="88">
        <f t="shared" si="17"/>
        <v>0</v>
      </c>
      <c r="Q34" s="88">
        <f t="shared" si="17"/>
        <v>0</v>
      </c>
      <c r="R34" s="88">
        <f t="shared" si="13"/>
        <v>0</v>
      </c>
    </row>
    <row r="35" spans="1:18" x14ac:dyDescent="0.25">
      <c r="A35" s="2195" t="s">
        <v>2827</v>
      </c>
      <c r="B35" s="90" t="s">
        <v>2375</v>
      </c>
      <c r="C35" s="2193">
        <f>'Д 4_Т на П'!G41</f>
        <v>39.159999999999997</v>
      </c>
      <c r="D35" s="2193">
        <v>0</v>
      </c>
      <c r="E35" s="2193">
        <v>0</v>
      </c>
      <c r="F35" s="2193">
        <v>0</v>
      </c>
      <c r="G35" s="2193">
        <f t="shared" si="9"/>
        <v>4.1399999999999997</v>
      </c>
      <c r="H35" s="2217">
        <f>I35+N35-C35</f>
        <v>0</v>
      </c>
      <c r="I35" s="2218">
        <f>SUM(J35:M35)</f>
        <v>4.96</v>
      </c>
      <c r="J35" s="88">
        <f t="shared" si="15"/>
        <v>0</v>
      </c>
      <c r="K35" s="88">
        <f t="shared" si="15"/>
        <v>0</v>
      </c>
      <c r="L35" s="88">
        <f t="shared" si="15"/>
        <v>0</v>
      </c>
      <c r="M35" s="88">
        <f>C35/$H$8*$M$8</f>
        <v>4.96</v>
      </c>
      <c r="N35" s="2218">
        <f t="shared" si="16"/>
        <v>34.200000000000003</v>
      </c>
      <c r="O35" s="88">
        <f t="shared" si="17"/>
        <v>0</v>
      </c>
      <c r="P35" s="88">
        <f t="shared" si="17"/>
        <v>0</v>
      </c>
      <c r="Q35" s="88">
        <f t="shared" si="17"/>
        <v>0</v>
      </c>
      <c r="R35" s="88">
        <f t="shared" si="13"/>
        <v>34.200000000000003</v>
      </c>
    </row>
    <row r="36" spans="1:18" s="23" customFormat="1" ht="30" thickBot="1" x14ac:dyDescent="0.3">
      <c r="A36" s="2211" t="s">
        <v>1783</v>
      </c>
      <c r="B36" s="2213" t="s">
        <v>2831</v>
      </c>
      <c r="C36" s="2630">
        <f>'Д 4_Т на П'!G44/1000</f>
        <v>9.4593799999999995</v>
      </c>
      <c r="D36" s="2187">
        <f>'Д 4_Т на П'!G45</f>
        <v>0</v>
      </c>
      <c r="E36" s="2187">
        <f>'Д 4_Т на П'!H45</f>
        <v>0</v>
      </c>
      <c r="F36" s="2187">
        <f>'Д 4_Т на П'!I45</f>
        <v>0</v>
      </c>
      <c r="G36" s="2633">
        <f>C36</f>
        <v>9.4593799999999995</v>
      </c>
      <c r="H36" s="2217"/>
      <c r="I36" s="2218"/>
      <c r="J36" s="88"/>
      <c r="K36" s="88"/>
      <c r="L36" s="88"/>
      <c r="M36" s="88"/>
      <c r="N36" s="2218"/>
      <c r="O36" s="88"/>
      <c r="P36" s="88"/>
      <c r="Q36" s="88"/>
      <c r="R36" s="88"/>
    </row>
    <row r="38" spans="1:18" ht="15.75" x14ac:dyDescent="0.25">
      <c r="B38" s="58" t="s">
        <v>2846</v>
      </c>
      <c r="C38" s="3560"/>
      <c r="E38" s="2202"/>
      <c r="F38" s="2202" t="s">
        <v>2847</v>
      </c>
      <c r="G38" s="2202"/>
      <c r="H38" s="2219">
        <f>C38-I38-N38</f>
        <v>-1034.8800000000001</v>
      </c>
      <c r="I38" s="863">
        <f>I10+I22+I31</f>
        <v>131.15</v>
      </c>
      <c r="N38" s="863">
        <f>N10+N22+N31</f>
        <v>903.73</v>
      </c>
    </row>
    <row r="39" spans="1:18" x14ac:dyDescent="0.25">
      <c r="C39" s="2401"/>
      <c r="D39" s="2214"/>
      <c r="E39" s="2202"/>
      <c r="F39" s="4578"/>
      <c r="G39" s="4578"/>
    </row>
  </sheetData>
  <mergeCells count="10">
    <mergeCell ref="A5:A6"/>
    <mergeCell ref="B5:B6"/>
    <mergeCell ref="C5:C6"/>
    <mergeCell ref="D5:G5"/>
    <mergeCell ref="D1:G1"/>
    <mergeCell ref="F39:G39"/>
    <mergeCell ref="B9:G9"/>
    <mergeCell ref="I5:I6"/>
    <mergeCell ref="N5:N6"/>
    <mergeCell ref="B3:F3"/>
  </mergeCells>
  <pageMargins left="0.78740157480314965" right="0.35433070866141736" top="0.78740157480314965" bottom="0.74803149606299213" header="0.31496062992125984" footer="0.31496062992125984"/>
  <pageSetup paperSize="9" scale="8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EC20C5"/>
    <pageSetUpPr fitToPage="1"/>
  </sheetPr>
  <dimension ref="A1:K23"/>
  <sheetViews>
    <sheetView topLeftCell="A4" zoomScaleNormal="100" workbookViewId="0">
      <selection activeCell="D11" sqref="D11"/>
    </sheetView>
  </sheetViews>
  <sheetFormatPr defaultColWidth="8.85546875" defaultRowHeight="15.75" x14ac:dyDescent="0.25"/>
  <cols>
    <col min="1" max="1" width="8.85546875" style="58"/>
    <col min="2" max="2" width="31.7109375" style="58" customWidth="1"/>
    <col min="3" max="3" width="19.85546875" style="58" customWidth="1"/>
    <col min="4" max="4" width="23.28515625"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8" ht="80.45" customHeight="1" x14ac:dyDescent="0.25">
      <c r="A1" s="3555"/>
      <c r="B1" s="2225"/>
      <c r="C1" s="2225"/>
      <c r="D1" s="2408"/>
      <c r="E1" s="4579" t="s">
        <v>3412</v>
      </c>
      <c r="F1" s="4579"/>
    </row>
    <row r="2" spans="1:8" ht="20.25" customHeight="1" x14ac:dyDescent="0.25"/>
    <row r="3" spans="1:8" x14ac:dyDescent="0.25">
      <c r="B3" s="4046" t="s">
        <v>2099</v>
      </c>
      <c r="C3" s="4046"/>
      <c r="D3" s="4046"/>
      <c r="E3" s="4046"/>
      <c r="F3" s="4046"/>
    </row>
    <row r="4" spans="1:8" ht="86.25" customHeight="1" x14ac:dyDescent="0.25">
      <c r="B4" s="4067" t="s">
        <v>3460</v>
      </c>
      <c r="C4" s="4067"/>
      <c r="D4" s="4067"/>
      <c r="E4" s="4067"/>
      <c r="F4" s="4067"/>
    </row>
    <row r="5" spans="1:8" ht="7.9" customHeight="1" x14ac:dyDescent="0.25"/>
    <row r="6" spans="1:8" ht="31.5" x14ac:dyDescent="0.25">
      <c r="B6" s="2226" t="s">
        <v>1481</v>
      </c>
      <c r="C6" s="2226" t="s">
        <v>268</v>
      </c>
      <c r="D6" s="2226" t="s">
        <v>2838</v>
      </c>
      <c r="E6" s="2226" t="s">
        <v>2849</v>
      </c>
      <c r="F6" s="2226" t="s">
        <v>2850</v>
      </c>
    </row>
    <row r="7" spans="1:8" x14ac:dyDescent="0.25">
      <c r="B7" s="4072" t="s">
        <v>2768</v>
      </c>
      <c r="C7" s="4072"/>
      <c r="D7" s="4072"/>
      <c r="E7" s="4072"/>
      <c r="F7" s="4072"/>
    </row>
    <row r="8" spans="1:8" ht="32.25" customHeight="1" x14ac:dyDescent="0.25">
      <c r="B8" s="3570" t="s">
        <v>2851</v>
      </c>
      <c r="C8" s="2228" t="s">
        <v>3245</v>
      </c>
      <c r="D8" s="2228" t="s">
        <v>2840</v>
      </c>
      <c r="E8" s="2283">
        <f>E9+E10+E11</f>
        <v>0</v>
      </c>
      <c r="F8" s="2283">
        <f>F9+F10+F11</f>
        <v>0</v>
      </c>
      <c r="H8" s="58">
        <f>E8*1.2-F8</f>
        <v>0</v>
      </c>
    </row>
    <row r="9" spans="1:8" ht="32.25" customHeight="1" x14ac:dyDescent="0.25">
      <c r="B9" s="3571" t="s">
        <v>2843</v>
      </c>
      <c r="C9" s="2227" t="s">
        <v>3245</v>
      </c>
      <c r="D9" s="2227" t="s">
        <v>2840</v>
      </c>
      <c r="E9" s="2284">
        <f>'Д 5 Т на ТЕ з ЦТП'!E9</f>
        <v>0</v>
      </c>
      <c r="F9" s="2284">
        <f>E9*1.2</f>
        <v>0</v>
      </c>
      <c r="H9" s="58">
        <f t="shared" ref="H9:H21" si="0">E9*1.2-F9</f>
        <v>0</v>
      </c>
    </row>
    <row r="10" spans="1:8" ht="32.25" customHeight="1" x14ac:dyDescent="0.25">
      <c r="B10" s="3571" t="s">
        <v>2844</v>
      </c>
      <c r="C10" s="2227" t="s">
        <v>3245</v>
      </c>
      <c r="D10" s="2227" t="s">
        <v>2840</v>
      </c>
      <c r="E10" s="2284">
        <f>'Д 5 Т на ТЕ з ЦТП'!E13</f>
        <v>0</v>
      </c>
      <c r="F10" s="2284">
        <f t="shared" ref="F10:F11" si="1">E10*1.2</f>
        <v>0</v>
      </c>
      <c r="H10" s="58">
        <f t="shared" si="0"/>
        <v>0</v>
      </c>
    </row>
    <row r="11" spans="1:8" ht="32.25" customHeight="1" x14ac:dyDescent="0.25">
      <c r="B11" s="3571" t="s">
        <v>2845</v>
      </c>
      <c r="C11" s="2227" t="s">
        <v>3245</v>
      </c>
      <c r="D11" s="2227" t="s">
        <v>2840</v>
      </c>
      <c r="E11" s="2284">
        <f>'Д 5 Т на ТЕ з ЦТП'!E17</f>
        <v>0</v>
      </c>
      <c r="F11" s="2284">
        <f t="shared" si="1"/>
        <v>0</v>
      </c>
      <c r="H11" s="58">
        <f t="shared" si="0"/>
        <v>0</v>
      </c>
    </row>
    <row r="12" spans="1:8" ht="15.6" customHeight="1" x14ac:dyDescent="0.25">
      <c r="B12" s="4072" t="s">
        <v>3427</v>
      </c>
      <c r="C12" s="4072"/>
      <c r="D12" s="4072"/>
      <c r="E12" s="4072"/>
      <c r="F12" s="4072"/>
      <c r="H12" s="58">
        <f t="shared" si="0"/>
        <v>0</v>
      </c>
    </row>
    <row r="13" spans="1:8" ht="32.25" customHeight="1" x14ac:dyDescent="0.25">
      <c r="B13" s="2228" t="s">
        <v>2851</v>
      </c>
      <c r="C13" s="2228" t="s">
        <v>3245</v>
      </c>
      <c r="D13" s="2228" t="s">
        <v>2840</v>
      </c>
      <c r="E13" s="2283">
        <f>E14+E15+E16</f>
        <v>0</v>
      </c>
      <c r="F13" s="2283">
        <f>F14+F15+F16</f>
        <v>0</v>
      </c>
      <c r="H13" s="58">
        <f t="shared" si="0"/>
        <v>0</v>
      </c>
    </row>
    <row r="14" spans="1:8" ht="32.25" customHeight="1" x14ac:dyDescent="0.25">
      <c r="B14" s="2227" t="s">
        <v>2843</v>
      </c>
      <c r="C14" s="2227" t="s">
        <v>3245</v>
      </c>
      <c r="D14" s="2227" t="s">
        <v>2165</v>
      </c>
      <c r="E14" s="2284">
        <f>'Д 5 Т на ТЕ з ЦТП'!F10</f>
        <v>0</v>
      </c>
      <c r="F14" s="2284">
        <f>E14*1.2</f>
        <v>0</v>
      </c>
      <c r="H14" s="58">
        <f t="shared" si="0"/>
        <v>0</v>
      </c>
    </row>
    <row r="15" spans="1:8" ht="32.25" customHeight="1" x14ac:dyDescent="0.25">
      <c r="B15" s="2227" t="s">
        <v>2844</v>
      </c>
      <c r="C15" s="2227" t="s">
        <v>3245</v>
      </c>
      <c r="D15" s="2227" t="s">
        <v>2165</v>
      </c>
      <c r="E15" s="2284">
        <f>'Д 5 Т на ТЕ з ЦТП'!F13</f>
        <v>0</v>
      </c>
      <c r="F15" s="2284">
        <f t="shared" ref="F15" si="2">E15*1.2</f>
        <v>0</v>
      </c>
      <c r="H15" s="58">
        <f t="shared" si="0"/>
        <v>0</v>
      </c>
    </row>
    <row r="16" spans="1:8" ht="32.25" customHeight="1" x14ac:dyDescent="0.25">
      <c r="B16" s="2227" t="s">
        <v>2845</v>
      </c>
      <c r="C16" s="2227" t="s">
        <v>3245</v>
      </c>
      <c r="D16" s="2227" t="s">
        <v>2165</v>
      </c>
      <c r="E16" s="2284">
        <v>0</v>
      </c>
      <c r="F16" s="1348">
        <v>0</v>
      </c>
      <c r="H16" s="58">
        <f t="shared" si="0"/>
        <v>0</v>
      </c>
    </row>
    <row r="17" spans="2:11" ht="15.6" customHeight="1" x14ac:dyDescent="0.25">
      <c r="B17" s="4072" t="s">
        <v>2771</v>
      </c>
      <c r="C17" s="4072"/>
      <c r="D17" s="4072"/>
      <c r="E17" s="4072"/>
      <c r="F17" s="4072"/>
      <c r="H17" s="58">
        <f t="shared" si="0"/>
        <v>0</v>
      </c>
    </row>
    <row r="18" spans="2:11" ht="32.25" customHeight="1" x14ac:dyDescent="0.25">
      <c r="B18" s="2228" t="s">
        <v>2851</v>
      </c>
      <c r="C18" s="2228" t="s">
        <v>3245</v>
      </c>
      <c r="D18" s="2228" t="s">
        <v>2165</v>
      </c>
      <c r="E18" s="2283">
        <f>E19+E20+E21</f>
        <v>9940.18</v>
      </c>
      <c r="F18" s="2283">
        <f>SUM(F19:F21)</f>
        <v>11928.21</v>
      </c>
      <c r="H18" s="2638">
        <f>E18*1.2-F18</f>
        <v>0</v>
      </c>
      <c r="J18" s="2253">
        <f>сведено!G38</f>
        <v>0</v>
      </c>
      <c r="K18" s="2253">
        <f>сведено!G67</f>
        <v>0</v>
      </c>
    </row>
    <row r="19" spans="2:11" ht="32.25" customHeight="1" x14ac:dyDescent="0.25">
      <c r="B19" s="2227" t="s">
        <v>2843</v>
      </c>
      <c r="C19" s="2227" t="s">
        <v>3245</v>
      </c>
      <c r="D19" s="2227" t="s">
        <v>2165</v>
      </c>
      <c r="E19" s="2284">
        <f>'Д 5 Т на ТЕ з ЦТП'!H9</f>
        <v>7163.27</v>
      </c>
      <c r="F19" s="2284">
        <f>E19*1.2</f>
        <v>8595.92</v>
      </c>
      <c r="H19" s="2638">
        <f t="shared" si="0"/>
        <v>0</v>
      </c>
    </row>
    <row r="20" spans="2:11" ht="32.25" customHeight="1" x14ac:dyDescent="0.25">
      <c r="B20" s="2227" t="s">
        <v>2844</v>
      </c>
      <c r="C20" s="2227" t="s">
        <v>3245</v>
      </c>
      <c r="D20" s="2227" t="s">
        <v>2165</v>
      </c>
      <c r="E20" s="2284">
        <f>'Д 5 Т на ТЕ з ЦТП'!H13</f>
        <v>2667.51</v>
      </c>
      <c r="F20" s="2284">
        <f>E20*1.2</f>
        <v>3201.01</v>
      </c>
      <c r="H20" s="2638">
        <f>E20*1.2-F20</f>
        <v>0</v>
      </c>
    </row>
    <row r="21" spans="2:11" ht="32.25" customHeight="1" x14ac:dyDescent="0.25">
      <c r="B21" s="2227" t="s">
        <v>2845</v>
      </c>
      <c r="C21" s="2227" t="s">
        <v>3245</v>
      </c>
      <c r="D21" s="2227" t="s">
        <v>2165</v>
      </c>
      <c r="E21" s="2284">
        <f>'Д 5 Т на ТЕ з ЦТП'!H17</f>
        <v>109.4</v>
      </c>
      <c r="F21" s="2284">
        <f>E21*1.2</f>
        <v>131.28</v>
      </c>
      <c r="H21" s="2638">
        <f t="shared" si="0"/>
        <v>0</v>
      </c>
    </row>
    <row r="22" spans="2:11" x14ac:dyDescent="0.25">
      <c r="B22" s="2175"/>
      <c r="H22" s="2638"/>
    </row>
    <row r="23" spans="2:11" x14ac:dyDescent="0.25">
      <c r="B23" s="2175" t="s">
        <v>2846</v>
      </c>
      <c r="D23" s="2175"/>
      <c r="E23" s="2058"/>
      <c r="F23" s="2175"/>
      <c r="G23" s="2175"/>
      <c r="H23" s="2175"/>
    </row>
  </sheetData>
  <mergeCells count="6">
    <mergeCell ref="B17:F17"/>
    <mergeCell ref="B12:F12"/>
    <mergeCell ref="B3:F3"/>
    <mergeCell ref="B4:F4"/>
    <mergeCell ref="E1:F1"/>
    <mergeCell ref="B7:F7"/>
  </mergeCells>
  <pageMargins left="0.78740157480314965" right="0.31496062992125984" top="0.78740157480314965" bottom="0.27559055118110237" header="0.31496062992125984" footer="0.31496062992125984"/>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EC20C5"/>
    <pageSetUpPr fitToPage="1"/>
  </sheetPr>
  <dimension ref="A1:H27"/>
  <sheetViews>
    <sheetView topLeftCell="A13" zoomScaleNormal="100" workbookViewId="0">
      <selection activeCell="B22" sqref="B22"/>
    </sheetView>
  </sheetViews>
  <sheetFormatPr defaultColWidth="8.85546875" defaultRowHeight="15.75" x14ac:dyDescent="0.25"/>
  <cols>
    <col min="1" max="1" width="8.85546875" style="58"/>
    <col min="2" max="2" width="22.5703125" style="58" customWidth="1"/>
    <col min="3" max="3" width="20.7109375" style="58" customWidth="1"/>
    <col min="4" max="4" width="24.7109375" style="58" customWidth="1"/>
    <col min="5" max="6" width="13.28515625" style="58" customWidth="1"/>
    <col min="7" max="16384" width="8.85546875" style="58"/>
  </cols>
  <sheetData>
    <row r="1" spans="1:8" ht="88.5" customHeight="1" x14ac:dyDescent="0.25">
      <c r="A1" s="2421"/>
      <c r="B1" s="2225"/>
      <c r="C1" s="2408"/>
      <c r="D1" s="2409"/>
      <c r="E1" s="4579" t="s">
        <v>3413</v>
      </c>
      <c r="F1" s="4579"/>
    </row>
    <row r="2" spans="1:8" ht="20.25" customHeight="1" x14ac:dyDescent="0.25">
      <c r="A2" s="2421"/>
      <c r="B2" s="2225"/>
      <c r="C2" s="2408"/>
      <c r="D2" s="2409"/>
      <c r="E2" s="3543"/>
      <c r="F2" s="3543"/>
    </row>
    <row r="3" spans="1:8" x14ac:dyDescent="0.25">
      <c r="B3" s="4046" t="s">
        <v>2099</v>
      </c>
      <c r="C3" s="4046"/>
      <c r="D3" s="4046"/>
      <c r="E3" s="4046"/>
      <c r="F3" s="4046"/>
    </row>
    <row r="4" spans="1:8" ht="90.75" customHeight="1" x14ac:dyDescent="0.25">
      <c r="B4" s="4067" t="s">
        <v>3459</v>
      </c>
      <c r="C4" s="4067"/>
      <c r="D4" s="4067"/>
      <c r="E4" s="4067"/>
      <c r="F4" s="4067"/>
    </row>
    <row r="5" spans="1:8" ht="31.5" x14ac:dyDescent="0.25">
      <c r="B5" s="2226" t="s">
        <v>1481</v>
      </c>
      <c r="C5" s="2226" t="s">
        <v>268</v>
      </c>
      <c r="D5" s="2226" t="s">
        <v>2838</v>
      </c>
      <c r="E5" s="2226" t="s">
        <v>2849</v>
      </c>
      <c r="F5" s="2226" t="s">
        <v>2850</v>
      </c>
    </row>
    <row r="6" spans="1:8" x14ac:dyDescent="0.25">
      <c r="B6" s="4072" t="s">
        <v>2768</v>
      </c>
      <c r="C6" s="4072"/>
      <c r="D6" s="4072"/>
      <c r="E6" s="4072"/>
      <c r="F6" s="4072"/>
    </row>
    <row r="7" spans="1:8" ht="31.5" x14ac:dyDescent="0.25">
      <c r="B7" s="2228" t="s">
        <v>2851</v>
      </c>
      <c r="C7" s="2228" t="s">
        <v>3245</v>
      </c>
      <c r="D7" s="2228" t="s">
        <v>2840</v>
      </c>
      <c r="E7" s="2283">
        <f>E8+E9+E10</f>
        <v>0</v>
      </c>
      <c r="F7" s="2283">
        <f>F8+F9+F10</f>
        <v>0</v>
      </c>
      <c r="H7" s="58">
        <f>E7*1.2-F7</f>
        <v>0</v>
      </c>
    </row>
    <row r="8" spans="1:8" ht="31.5" x14ac:dyDescent="0.25">
      <c r="B8" s="2227" t="s">
        <v>2843</v>
      </c>
      <c r="C8" s="2227" t="s">
        <v>3245</v>
      </c>
      <c r="D8" s="2227" t="s">
        <v>2840</v>
      </c>
      <c r="E8" s="2284">
        <f>'Д 5.1 Т на ТЕ без ЦТП'!E12</f>
        <v>0</v>
      </c>
      <c r="F8" s="2284">
        <f>E8*1.2</f>
        <v>0</v>
      </c>
      <c r="H8" s="58">
        <f t="shared" ref="H8:H25" si="0">E8*1.2-F8</f>
        <v>0</v>
      </c>
    </row>
    <row r="9" spans="1:8" ht="31.5" x14ac:dyDescent="0.25">
      <c r="B9" s="2227" t="s">
        <v>2844</v>
      </c>
      <c r="C9" s="2227" t="s">
        <v>3245</v>
      </c>
      <c r="D9" s="2227" t="s">
        <v>2840</v>
      </c>
      <c r="E9" s="2284">
        <f>'Д 5.1 Т на ТЕ без ЦТП'!E16</f>
        <v>0</v>
      </c>
      <c r="F9" s="2284">
        <f t="shared" ref="F9:F10" si="1">E9*1.2</f>
        <v>0</v>
      </c>
      <c r="H9" s="58">
        <f t="shared" si="0"/>
        <v>0</v>
      </c>
    </row>
    <row r="10" spans="1:8" ht="31.5" x14ac:dyDescent="0.25">
      <c r="B10" s="2227" t="s">
        <v>2845</v>
      </c>
      <c r="C10" s="2227" t="s">
        <v>3245</v>
      </c>
      <c r="D10" s="2227" t="s">
        <v>2840</v>
      </c>
      <c r="E10" s="2284">
        <f>'Д 5.1 Т на ТЕ без ЦТП'!E20</f>
        <v>0</v>
      </c>
      <c r="F10" s="2284">
        <f t="shared" si="1"/>
        <v>0</v>
      </c>
      <c r="H10" s="58">
        <f t="shared" si="0"/>
        <v>0</v>
      </c>
    </row>
    <row r="11" spans="1:8" x14ac:dyDescent="0.25">
      <c r="B11" s="4072" t="s">
        <v>2769</v>
      </c>
      <c r="C11" s="4072"/>
      <c r="D11" s="4072"/>
      <c r="E11" s="4072"/>
      <c r="F11" s="4072"/>
      <c r="H11" s="58">
        <f t="shared" si="0"/>
        <v>0</v>
      </c>
    </row>
    <row r="12" spans="1:8" ht="31.5" x14ac:dyDescent="0.25">
      <c r="B12" s="2228" t="s">
        <v>2851</v>
      </c>
      <c r="C12" s="2228" t="s">
        <v>3245</v>
      </c>
      <c r="D12" s="2228" t="s">
        <v>2840</v>
      </c>
      <c r="E12" s="2283">
        <f>E13+E14+E15</f>
        <v>0</v>
      </c>
      <c r="F12" s="2283">
        <f>F13+F14+F15</f>
        <v>0</v>
      </c>
      <c r="H12" s="58">
        <f t="shared" si="0"/>
        <v>0</v>
      </c>
    </row>
    <row r="13" spans="1:8" ht="31.5" x14ac:dyDescent="0.25">
      <c r="B13" s="2227" t="s">
        <v>2843</v>
      </c>
      <c r="C13" s="2227" t="s">
        <v>3245</v>
      </c>
      <c r="D13" s="2227" t="s">
        <v>2165</v>
      </c>
      <c r="E13" s="2284">
        <f>'Д 5.1 Т на ТЕ без ЦТП'!F17</f>
        <v>0</v>
      </c>
      <c r="F13" s="2284">
        <f>E13*1.2</f>
        <v>0</v>
      </c>
      <c r="H13" s="58">
        <f t="shared" si="0"/>
        <v>0</v>
      </c>
    </row>
    <row r="14" spans="1:8" ht="31.5" x14ac:dyDescent="0.25">
      <c r="B14" s="2227" t="s">
        <v>2844</v>
      </c>
      <c r="C14" s="2227" t="s">
        <v>3245</v>
      </c>
      <c r="D14" s="2227" t="s">
        <v>2165</v>
      </c>
      <c r="E14" s="2284">
        <f>'Д 5.1 Т на ТЕ без ЦТП'!F21</f>
        <v>0</v>
      </c>
      <c r="F14" s="2284">
        <f t="shared" ref="F14:F15" si="2">E14*1.2</f>
        <v>0</v>
      </c>
      <c r="H14" s="58">
        <f t="shared" si="0"/>
        <v>0</v>
      </c>
    </row>
    <row r="15" spans="1:8" ht="31.5" x14ac:dyDescent="0.25">
      <c r="B15" s="2227" t="s">
        <v>2845</v>
      </c>
      <c r="C15" s="2227" t="s">
        <v>3245</v>
      </c>
      <c r="D15" s="2227" t="s">
        <v>2165</v>
      </c>
      <c r="E15" s="2284">
        <f>'Д 5.1 Т на ТЕ без ЦТП'!F25</f>
        <v>0</v>
      </c>
      <c r="F15" s="2284">
        <f t="shared" si="2"/>
        <v>0</v>
      </c>
      <c r="H15" s="58">
        <f t="shared" si="0"/>
        <v>0</v>
      </c>
    </row>
    <row r="16" spans="1:8" x14ac:dyDescent="0.25">
      <c r="B16" s="4072" t="s">
        <v>2891</v>
      </c>
      <c r="C16" s="4072"/>
      <c r="D16" s="4072"/>
      <c r="E16" s="4072"/>
      <c r="F16" s="4072"/>
      <c r="H16" s="58">
        <f t="shared" si="0"/>
        <v>0</v>
      </c>
    </row>
    <row r="17" spans="2:8" ht="31.5" x14ac:dyDescent="0.25">
      <c r="B17" s="2228" t="s">
        <v>2851</v>
      </c>
      <c r="C17" s="2228" t="s">
        <v>3245</v>
      </c>
      <c r="D17" s="2228" t="s">
        <v>2840</v>
      </c>
      <c r="E17" s="2283">
        <f>E18+E19+E20</f>
        <v>0</v>
      </c>
      <c r="F17" s="2283">
        <f>F18+F19+F20</f>
        <v>0</v>
      </c>
      <c r="H17" s="58">
        <f t="shared" si="0"/>
        <v>0</v>
      </c>
    </row>
    <row r="18" spans="2:8" ht="31.5" x14ac:dyDescent="0.25">
      <c r="B18" s="2227" t="s">
        <v>2843</v>
      </c>
      <c r="C18" s="2227" t="s">
        <v>3245</v>
      </c>
      <c r="D18" s="2227" t="s">
        <v>2165</v>
      </c>
      <c r="E18" s="2284">
        <f>'Д 5.1 Т на ТЕ без ЦТП'!G22</f>
        <v>0</v>
      </c>
      <c r="F18" s="2284">
        <f>E18*1.2</f>
        <v>0</v>
      </c>
      <c r="H18" s="58">
        <f t="shared" si="0"/>
        <v>0</v>
      </c>
    </row>
    <row r="19" spans="2:8" ht="31.5" x14ac:dyDescent="0.25">
      <c r="B19" s="2227" t="s">
        <v>2844</v>
      </c>
      <c r="C19" s="2227" t="s">
        <v>3245</v>
      </c>
      <c r="D19" s="2227" t="s">
        <v>2165</v>
      </c>
      <c r="E19" s="2284">
        <f>'Д 5.1 Т на ТЕ без ЦТП'!G26</f>
        <v>0</v>
      </c>
      <c r="F19" s="2284">
        <f t="shared" ref="F19:F20" si="3">E19*1.2</f>
        <v>0</v>
      </c>
      <c r="H19" s="58">
        <f t="shared" si="0"/>
        <v>0</v>
      </c>
    </row>
    <row r="20" spans="2:8" ht="31.5" x14ac:dyDescent="0.25">
      <c r="B20" s="2227" t="s">
        <v>2845</v>
      </c>
      <c r="C20" s="2227" t="s">
        <v>3245</v>
      </c>
      <c r="D20" s="2227" t="s">
        <v>2165</v>
      </c>
      <c r="E20" s="2284">
        <f>'Д 5.1 Т на ТЕ без ЦТП'!G30</f>
        <v>0</v>
      </c>
      <c r="F20" s="2284">
        <f t="shared" si="3"/>
        <v>0</v>
      </c>
      <c r="H20" s="58">
        <f t="shared" si="0"/>
        <v>0</v>
      </c>
    </row>
    <row r="21" spans="2:8" x14ac:dyDescent="0.25">
      <c r="B21" s="4072" t="s">
        <v>2771</v>
      </c>
      <c r="C21" s="4072"/>
      <c r="D21" s="4072"/>
      <c r="E21" s="4072"/>
      <c r="F21" s="4072"/>
      <c r="H21" s="58">
        <f t="shared" si="0"/>
        <v>0</v>
      </c>
    </row>
    <row r="22" spans="2:8" ht="31.5" x14ac:dyDescent="0.25">
      <c r="B22" s="2228" t="s">
        <v>2851</v>
      </c>
      <c r="C22" s="2228" t="s">
        <v>3245</v>
      </c>
      <c r="D22" s="2228" t="s">
        <v>2165</v>
      </c>
      <c r="E22" s="2283">
        <f>E23+E24+E25</f>
        <v>9259.91</v>
      </c>
      <c r="F22" s="2283">
        <f>SUM(F23:F25)</f>
        <v>11111.89</v>
      </c>
      <c r="H22" s="2638">
        <f t="shared" si="0"/>
        <v>0</v>
      </c>
    </row>
    <row r="23" spans="2:8" ht="31.5" x14ac:dyDescent="0.25">
      <c r="B23" s="2227" t="s">
        <v>2843</v>
      </c>
      <c r="C23" s="2227" t="s">
        <v>3245</v>
      </c>
      <c r="D23" s="2227" t="s">
        <v>2165</v>
      </c>
      <c r="E23" s="2284">
        <f>'Д 5.1 Т на ТЕ без ЦТП'!H12</f>
        <v>7163.27</v>
      </c>
      <c r="F23" s="2284">
        <f>E23*1.2</f>
        <v>8595.92</v>
      </c>
      <c r="H23" s="2638">
        <f t="shared" si="0"/>
        <v>0</v>
      </c>
    </row>
    <row r="24" spans="2:8" ht="31.5" x14ac:dyDescent="0.25">
      <c r="B24" s="2227" t="s">
        <v>2844</v>
      </c>
      <c r="C24" s="2227" t="s">
        <v>3245</v>
      </c>
      <c r="D24" s="2227" t="s">
        <v>2165</v>
      </c>
      <c r="E24" s="2284">
        <f>'Д 5.1 Т на ТЕ без ЦТП'!H16</f>
        <v>1987.24</v>
      </c>
      <c r="F24" s="2284">
        <f t="shared" ref="F24:F25" si="4">E24*1.2</f>
        <v>2384.69</v>
      </c>
      <c r="H24" s="2638">
        <f t="shared" si="0"/>
        <v>0</v>
      </c>
    </row>
    <row r="25" spans="2:8" ht="31.5" x14ac:dyDescent="0.25">
      <c r="B25" s="2227" t="s">
        <v>2845</v>
      </c>
      <c r="C25" s="2227" t="s">
        <v>3245</v>
      </c>
      <c r="D25" s="2227" t="s">
        <v>2165</v>
      </c>
      <c r="E25" s="2284">
        <f>'Д 5.1 Т на ТЕ без ЦТП'!H20</f>
        <v>109.4</v>
      </c>
      <c r="F25" s="2284">
        <f t="shared" si="4"/>
        <v>131.28</v>
      </c>
      <c r="H25" s="2638">
        <f t="shared" si="0"/>
        <v>0</v>
      </c>
    </row>
    <row r="26" spans="2:8" x14ac:dyDescent="0.25">
      <c r="B26" s="2175"/>
    </row>
    <row r="27" spans="2:8" x14ac:dyDescent="0.25">
      <c r="B27" s="2175" t="s">
        <v>2846</v>
      </c>
      <c r="D27" s="2175"/>
      <c r="E27" s="2058"/>
      <c r="F27" s="2175"/>
      <c r="G27" s="2175"/>
      <c r="H27" s="2175"/>
    </row>
  </sheetData>
  <mergeCells count="7">
    <mergeCell ref="B21:F21"/>
    <mergeCell ref="B4:F4"/>
    <mergeCell ref="E1:F1"/>
    <mergeCell ref="B3:F3"/>
    <mergeCell ref="B6:F6"/>
    <mergeCell ref="B11:F11"/>
    <mergeCell ref="B16:F16"/>
  </mergeCells>
  <pageMargins left="0.78740157480314965" right="0.47244094488188981" top="0.78740157480314965" bottom="0.47244094488188981" header="0.31496062992125984" footer="0.31496062992125984"/>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EC20C5"/>
    <pageSetUpPr fitToPage="1"/>
  </sheetPr>
  <dimension ref="A1:K18"/>
  <sheetViews>
    <sheetView tabSelected="1" workbookViewId="0">
      <selection activeCell="Q16" sqref="Q16"/>
    </sheetView>
  </sheetViews>
  <sheetFormatPr defaultColWidth="8.85546875" defaultRowHeight="15.75" x14ac:dyDescent="0.25"/>
  <cols>
    <col min="1" max="1" width="8.85546875" style="58"/>
    <col min="2" max="2" width="29.28515625" style="58" customWidth="1"/>
    <col min="3" max="3" width="18.140625" style="58" customWidth="1"/>
    <col min="4" max="4" width="14"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11" ht="65.25" customHeight="1" x14ac:dyDescent="0.25">
      <c r="A1" s="3555"/>
      <c r="B1" s="2225"/>
      <c r="C1" s="2225"/>
      <c r="D1" s="4579" t="s">
        <v>3523</v>
      </c>
      <c r="E1" s="4579"/>
      <c r="F1" s="4579"/>
    </row>
    <row r="2" spans="1:11" ht="20.25" hidden="1" customHeight="1" x14ac:dyDescent="0.25"/>
    <row r="3" spans="1:11" x14ac:dyDescent="0.25">
      <c r="B3" s="4046" t="s">
        <v>2099</v>
      </c>
      <c r="C3" s="4046"/>
      <c r="D3" s="4046"/>
      <c r="E3" s="4046"/>
      <c r="F3" s="4046"/>
    </row>
    <row r="4" spans="1:11" ht="87" customHeight="1" x14ac:dyDescent="0.25">
      <c r="B4" s="4067" t="s">
        <v>3512</v>
      </c>
      <c r="C4" s="4067"/>
      <c r="D4" s="4067"/>
      <c r="E4" s="4067"/>
      <c r="F4" s="4067"/>
    </row>
    <row r="5" spans="1:11" ht="7.9" customHeight="1" thickBot="1" x14ac:dyDescent="0.3"/>
    <row r="6" spans="1:11" ht="32.25" thickBot="1" x14ac:dyDescent="0.3">
      <c r="B6" s="2406" t="s">
        <v>1481</v>
      </c>
      <c r="C6" s="2407" t="s">
        <v>268</v>
      </c>
      <c r="D6" s="2407" t="s">
        <v>2838</v>
      </c>
      <c r="E6" s="2407" t="s">
        <v>2849</v>
      </c>
      <c r="F6" s="2422" t="s">
        <v>2850</v>
      </c>
    </row>
    <row r="7" spans="1:11" ht="42.75" customHeight="1" thickBot="1" x14ac:dyDescent="0.3">
      <c r="B7" s="4580" t="s">
        <v>3513</v>
      </c>
      <c r="C7" s="4581"/>
      <c r="D7" s="4581"/>
      <c r="E7" s="4581"/>
      <c r="F7" s="4582"/>
    </row>
    <row r="8" spans="1:11" ht="33" customHeight="1" thickBot="1" x14ac:dyDescent="0.3">
      <c r="B8" s="2629" t="s">
        <v>2851</v>
      </c>
      <c r="C8" s="2405" t="s">
        <v>3245</v>
      </c>
      <c r="D8" s="2405" t="s">
        <v>2840</v>
      </c>
      <c r="E8" s="3556">
        <f>E9+E10+E11</f>
        <v>9940.18</v>
      </c>
      <c r="F8" s="3557">
        <f>F9+F10+F11</f>
        <v>11928.21</v>
      </c>
      <c r="H8" s="2638"/>
    </row>
    <row r="9" spans="1:11" ht="27" customHeight="1" thickBot="1" x14ac:dyDescent="0.3">
      <c r="B9" s="2628" t="s">
        <v>2843</v>
      </c>
      <c r="C9" s="2404" t="s">
        <v>3245</v>
      </c>
      <c r="D9" s="2404" t="s">
        <v>2165</v>
      </c>
      <c r="E9" s="3558">
        <f>'Додаток 10 до рішення'!E19</f>
        <v>7163.27</v>
      </c>
      <c r="F9" s="3559">
        <f>E9*1.2</f>
        <v>8595.92</v>
      </c>
      <c r="H9" s="2638"/>
    </row>
    <row r="10" spans="1:11" ht="44.25" customHeight="1" thickBot="1" x14ac:dyDescent="0.3">
      <c r="B10" s="2628" t="s">
        <v>2844</v>
      </c>
      <c r="C10" s="2404" t="s">
        <v>3245</v>
      </c>
      <c r="D10" s="2404" t="s">
        <v>2165</v>
      </c>
      <c r="E10" s="3558">
        <f>'Додаток 4 до рішення'!G8</f>
        <v>2667.5</v>
      </c>
      <c r="F10" s="3559">
        <f t="shared" ref="F10:F11" si="0">E10*1.2</f>
        <v>3201</v>
      </c>
      <c r="H10" s="2638"/>
    </row>
    <row r="11" spans="1:11" ht="27" customHeight="1" x14ac:dyDescent="0.25">
      <c r="B11" s="2628" t="s">
        <v>2845</v>
      </c>
      <c r="C11" s="2404" t="s">
        <v>3245</v>
      </c>
      <c r="D11" s="2404" t="s">
        <v>2165</v>
      </c>
      <c r="E11" s="3558">
        <f>'Додаток 6 до рішення'!G8</f>
        <v>109.41</v>
      </c>
      <c r="F11" s="3559">
        <f t="shared" si="0"/>
        <v>131.29</v>
      </c>
      <c r="H11" s="2638"/>
    </row>
    <row r="12" spans="1:11" ht="55.5" customHeight="1" thickBot="1" x14ac:dyDescent="0.3">
      <c r="B12" s="4580" t="s">
        <v>3514</v>
      </c>
      <c r="C12" s="4581"/>
      <c r="D12" s="4581"/>
      <c r="E12" s="4581"/>
      <c r="F12" s="4582"/>
    </row>
    <row r="13" spans="1:11" ht="33" customHeight="1" thickBot="1" x14ac:dyDescent="0.3">
      <c r="B13" s="2629" t="s">
        <v>2851</v>
      </c>
      <c r="C13" s="2405" t="s">
        <v>3245</v>
      </c>
      <c r="D13" s="2405" t="s">
        <v>2165</v>
      </c>
      <c r="E13" s="3556">
        <f>E14+E15+E16</f>
        <v>9260.0300000000007</v>
      </c>
      <c r="F13" s="3557">
        <f>E13*1.2</f>
        <v>11112.04</v>
      </c>
      <c r="H13" s="2638"/>
      <c r="J13" s="2253"/>
      <c r="K13" s="2253"/>
    </row>
    <row r="14" spans="1:11" ht="27" customHeight="1" thickBot="1" x14ac:dyDescent="0.3">
      <c r="B14" s="2628" t="s">
        <v>2843</v>
      </c>
      <c r="C14" s="2404" t="s">
        <v>3245</v>
      </c>
      <c r="D14" s="2404" t="s">
        <v>2165</v>
      </c>
      <c r="E14" s="3558">
        <f>'Додаток 11 до рішення'!E23</f>
        <v>7163.27</v>
      </c>
      <c r="F14" s="3559">
        <f>E14*1.2</f>
        <v>8595.92</v>
      </c>
      <c r="H14" s="2638"/>
    </row>
    <row r="15" spans="1:11" ht="33.75" customHeight="1" thickBot="1" x14ac:dyDescent="0.3">
      <c r="B15" s="2628" t="s">
        <v>2844</v>
      </c>
      <c r="C15" s="2404" t="s">
        <v>3245</v>
      </c>
      <c r="D15" s="2404" t="s">
        <v>2165</v>
      </c>
      <c r="E15" s="3558">
        <f>'Додаток 5 до рішення'!G8</f>
        <v>1987.35</v>
      </c>
      <c r="F15" s="3559">
        <f t="shared" ref="F15:F16" si="1">E15*1.2</f>
        <v>2384.8200000000002</v>
      </c>
      <c r="H15" s="2638"/>
    </row>
    <row r="16" spans="1:11" ht="27" customHeight="1" x14ac:dyDescent="0.25">
      <c r="B16" s="2628" t="s">
        <v>2845</v>
      </c>
      <c r="C16" s="2404" t="s">
        <v>3245</v>
      </c>
      <c r="D16" s="2404" t="s">
        <v>2165</v>
      </c>
      <c r="E16" s="3558">
        <f>'Додаток 6 до рішення'!G8</f>
        <v>109.41</v>
      </c>
      <c r="F16" s="3559">
        <f t="shared" si="1"/>
        <v>131.29</v>
      </c>
      <c r="H16" s="2638"/>
    </row>
    <row r="17" spans="2:8" ht="36.75" customHeight="1" x14ac:dyDescent="0.25">
      <c r="B17" s="2175"/>
      <c r="H17" s="2638"/>
    </row>
    <row r="18" spans="2:8" x14ac:dyDescent="0.25">
      <c r="B18" s="58" t="s">
        <v>2846</v>
      </c>
      <c r="C18" s="3560"/>
      <c r="E18" s="2202" t="s">
        <v>2847</v>
      </c>
      <c r="F18" s="2175"/>
      <c r="G18" s="2175"/>
      <c r="H18" s="2175"/>
    </row>
  </sheetData>
  <mergeCells count="5">
    <mergeCell ref="B3:F3"/>
    <mergeCell ref="B4:F4"/>
    <mergeCell ref="B7:F7"/>
    <mergeCell ref="B12:F12"/>
    <mergeCell ref="D1:F1"/>
  </mergeCells>
  <pageMargins left="0.7" right="0.7" top="0.75" bottom="0.75" header="0.3" footer="0.3"/>
  <pageSetup paperSize="9" scale="91"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EC20C5"/>
    <pageSetUpPr fitToPage="1"/>
  </sheetPr>
  <dimension ref="A2:F123"/>
  <sheetViews>
    <sheetView topLeftCell="A13" zoomScaleNormal="100" workbookViewId="0">
      <selection activeCell="B3" sqref="B3:F3"/>
    </sheetView>
  </sheetViews>
  <sheetFormatPr defaultColWidth="8.85546875" defaultRowHeight="15.75" x14ac:dyDescent="0.25"/>
  <cols>
    <col min="1" max="2" width="8.85546875" style="58"/>
    <col min="3" max="3" width="34" style="58" customWidth="1"/>
    <col min="4" max="4" width="24.5703125" style="58" customWidth="1"/>
    <col min="5" max="5" width="22.42578125" style="58" customWidth="1"/>
    <col min="6" max="6" width="15.85546875" style="58" customWidth="1"/>
    <col min="7" max="16384" width="8.85546875" style="58"/>
  </cols>
  <sheetData>
    <row r="2" spans="1:6" ht="61.5" customHeight="1" x14ac:dyDescent="0.25">
      <c r="A2" s="2225"/>
      <c r="B2" s="2225"/>
      <c r="C2" s="2408"/>
      <c r="D2" s="2409"/>
      <c r="E2" s="4584" t="s">
        <v>3524</v>
      </c>
      <c r="F2" s="4584"/>
    </row>
    <row r="3" spans="1:6" ht="34.5" customHeight="1" x14ac:dyDescent="0.3">
      <c r="A3" s="3640"/>
      <c r="B3" s="4077" t="s">
        <v>470</v>
      </c>
      <c r="C3" s="4077"/>
      <c r="D3" s="4077"/>
      <c r="E3" s="4077"/>
      <c r="F3" s="4077"/>
    </row>
    <row r="4" spans="1:6" ht="15.75" customHeight="1" x14ac:dyDescent="0.25">
      <c r="B4" s="4078" t="s">
        <v>3263</v>
      </c>
      <c r="C4" s="4078"/>
      <c r="D4" s="4078"/>
      <c r="E4" s="4078"/>
      <c r="F4" s="4078"/>
    </row>
    <row r="5" spans="1:6" ht="40.5" customHeight="1" thickBot="1" x14ac:dyDescent="0.3">
      <c r="B5" s="4585" t="s">
        <v>3515</v>
      </c>
      <c r="C5" s="4585"/>
      <c r="D5" s="4585"/>
      <c r="E5" s="4585"/>
      <c r="F5" s="4585"/>
    </row>
    <row r="6" spans="1:6" ht="15" hidden="1" customHeight="1" x14ac:dyDescent="0.25">
      <c r="B6" s="4583" t="s">
        <v>367</v>
      </c>
      <c r="C6" s="4583"/>
      <c r="D6" s="4583"/>
      <c r="E6" s="4583"/>
      <c r="F6" s="4583"/>
    </row>
    <row r="7" spans="1:6" ht="15" hidden="1" customHeight="1" x14ac:dyDescent="0.25">
      <c r="B7" s="4078"/>
      <c r="C7" s="4078"/>
      <c r="D7" s="4078"/>
      <c r="E7" s="4078"/>
      <c r="F7" s="4078"/>
    </row>
    <row r="8" spans="1:6" ht="15" hidden="1" customHeight="1" thickBot="1" x14ac:dyDescent="0.3">
      <c r="B8" s="4583"/>
      <c r="C8" s="4583"/>
      <c r="D8" s="4583"/>
      <c r="E8" s="4583"/>
      <c r="F8" s="4583"/>
    </row>
    <row r="9" spans="1:6" ht="0.6" customHeight="1" thickBot="1" x14ac:dyDescent="0.3"/>
    <row r="10" spans="1:6" ht="93.75" customHeight="1" thickBot="1" x14ac:dyDescent="0.3">
      <c r="B10" s="2374" t="s">
        <v>7</v>
      </c>
      <c r="C10" s="1928" t="s">
        <v>3264</v>
      </c>
      <c r="D10" s="1928" t="s">
        <v>3265</v>
      </c>
      <c r="E10" s="1928" t="s">
        <v>353</v>
      </c>
      <c r="F10" s="3353" t="s">
        <v>3073</v>
      </c>
    </row>
    <row r="11" spans="1:6" s="11" customFormat="1" ht="12.75" thickBot="1" x14ac:dyDescent="0.25">
      <c r="B11" s="2410">
        <v>1</v>
      </c>
      <c r="C11" s="2411">
        <v>2</v>
      </c>
      <c r="D11" s="2411">
        <v>3</v>
      </c>
      <c r="E11" s="2410">
        <v>4</v>
      </c>
      <c r="F11" s="3354"/>
    </row>
    <row r="12" spans="1:6" ht="15.6" customHeight="1" thickBot="1" x14ac:dyDescent="0.3">
      <c r="B12" s="3355">
        <v>1</v>
      </c>
      <c r="C12" s="3356" t="s">
        <v>3266</v>
      </c>
      <c r="D12" s="3357" t="s">
        <v>3267</v>
      </c>
      <c r="E12" s="3358" t="s">
        <v>3268</v>
      </c>
      <c r="F12" s="3359" t="s">
        <v>3075</v>
      </c>
    </row>
    <row r="13" spans="1:6" ht="15.6" customHeight="1" thickBot="1" x14ac:dyDescent="0.3">
      <c r="B13" s="3355">
        <f>B12+1</f>
        <v>2</v>
      </c>
      <c r="C13" s="3356" t="s">
        <v>3269</v>
      </c>
      <c r="D13" s="3357" t="s">
        <v>3267</v>
      </c>
      <c r="E13" s="3360" t="s">
        <v>579</v>
      </c>
      <c r="F13" s="3359" t="s">
        <v>3075</v>
      </c>
    </row>
    <row r="14" spans="1:6" ht="15.6" customHeight="1" thickBot="1" x14ac:dyDescent="0.3">
      <c r="B14" s="3355">
        <f t="shared" ref="B14:B77" si="0">B13+1</f>
        <v>3</v>
      </c>
      <c r="C14" s="3356" t="s">
        <v>3270</v>
      </c>
      <c r="D14" s="3357" t="s">
        <v>3267</v>
      </c>
      <c r="E14" s="3358" t="s">
        <v>579</v>
      </c>
      <c r="F14" s="3359" t="s">
        <v>3075</v>
      </c>
    </row>
    <row r="15" spans="1:6" ht="15.6" customHeight="1" thickBot="1" x14ac:dyDescent="0.3">
      <c r="B15" s="3355">
        <f t="shared" si="0"/>
        <v>4</v>
      </c>
      <c r="C15" s="3356" t="s">
        <v>3271</v>
      </c>
      <c r="D15" s="3357" t="s">
        <v>3267</v>
      </c>
      <c r="E15" s="3358" t="s">
        <v>579</v>
      </c>
      <c r="F15" s="3359" t="s">
        <v>3075</v>
      </c>
    </row>
    <row r="16" spans="1:6" ht="15.6" customHeight="1" thickBot="1" x14ac:dyDescent="0.3">
      <c r="B16" s="3355">
        <f t="shared" si="0"/>
        <v>5</v>
      </c>
      <c r="C16" s="3356" t="s">
        <v>3272</v>
      </c>
      <c r="D16" s="3357" t="s">
        <v>3267</v>
      </c>
      <c r="E16" s="3358" t="s">
        <v>3268</v>
      </c>
      <c r="F16" s="3359" t="s">
        <v>3075</v>
      </c>
    </row>
    <row r="17" spans="2:6" ht="15.6" customHeight="1" thickBot="1" x14ac:dyDescent="0.3">
      <c r="B17" s="3355">
        <f t="shared" si="0"/>
        <v>6</v>
      </c>
      <c r="C17" s="3356" t="s">
        <v>3273</v>
      </c>
      <c r="D17" s="3357" t="s">
        <v>3267</v>
      </c>
      <c r="E17" s="3358" t="s">
        <v>3268</v>
      </c>
      <c r="F17" s="3359" t="s">
        <v>3075</v>
      </c>
    </row>
    <row r="18" spans="2:6" ht="15.6" customHeight="1" thickBot="1" x14ac:dyDescent="0.3">
      <c r="B18" s="3355">
        <f t="shared" si="0"/>
        <v>7</v>
      </c>
      <c r="C18" s="3356" t="s">
        <v>3274</v>
      </c>
      <c r="D18" s="3357" t="s">
        <v>3275</v>
      </c>
      <c r="E18" s="3358" t="s">
        <v>579</v>
      </c>
      <c r="F18" s="3359" t="s">
        <v>630</v>
      </c>
    </row>
    <row r="19" spans="2:6" ht="15.6" customHeight="1" thickBot="1" x14ac:dyDescent="0.3">
      <c r="B19" s="3355">
        <f t="shared" si="0"/>
        <v>8</v>
      </c>
      <c r="C19" s="3356" t="s">
        <v>3276</v>
      </c>
      <c r="D19" s="3357" t="s">
        <v>3277</v>
      </c>
      <c r="E19" s="3358" t="s">
        <v>579</v>
      </c>
      <c r="F19" s="3359" t="s">
        <v>630</v>
      </c>
    </row>
    <row r="20" spans="2:6" ht="15.6" customHeight="1" thickBot="1" x14ac:dyDescent="0.3">
      <c r="B20" s="3355">
        <f t="shared" si="0"/>
        <v>9</v>
      </c>
      <c r="C20" s="3356" t="s">
        <v>3278</v>
      </c>
      <c r="D20" s="3357" t="s">
        <v>3277</v>
      </c>
      <c r="E20" s="3358" t="s">
        <v>579</v>
      </c>
      <c r="F20" s="3359" t="s">
        <v>630</v>
      </c>
    </row>
    <row r="21" spans="2:6" ht="15.6" customHeight="1" thickBot="1" x14ac:dyDescent="0.3">
      <c r="B21" s="3355">
        <f t="shared" si="0"/>
        <v>10</v>
      </c>
      <c r="C21" s="3356" t="s">
        <v>3279</v>
      </c>
      <c r="D21" s="3357" t="s">
        <v>3280</v>
      </c>
      <c r="E21" s="3358" t="s">
        <v>579</v>
      </c>
      <c r="F21" s="3359" t="s">
        <v>630</v>
      </c>
    </row>
    <row r="22" spans="2:6" ht="15.6" customHeight="1" thickBot="1" x14ac:dyDescent="0.3">
      <c r="B22" s="3355">
        <f t="shared" si="0"/>
        <v>11</v>
      </c>
      <c r="C22" s="3356" t="s">
        <v>3281</v>
      </c>
      <c r="D22" s="3357" t="s">
        <v>3282</v>
      </c>
      <c r="E22" s="3358" t="s">
        <v>579</v>
      </c>
      <c r="F22" s="3359" t="s">
        <v>630</v>
      </c>
    </row>
    <row r="23" spans="2:6" ht="15.6" customHeight="1" thickBot="1" x14ac:dyDescent="0.3">
      <c r="B23" s="3355">
        <f t="shared" si="0"/>
        <v>12</v>
      </c>
      <c r="C23" s="3356" t="s">
        <v>3283</v>
      </c>
      <c r="D23" s="3357" t="s">
        <v>3282</v>
      </c>
      <c r="E23" s="3358" t="s">
        <v>579</v>
      </c>
      <c r="F23" s="3359" t="s">
        <v>630</v>
      </c>
    </row>
    <row r="24" spans="2:6" ht="15.6" customHeight="1" thickBot="1" x14ac:dyDescent="0.3">
      <c r="B24" s="3355">
        <f t="shared" si="0"/>
        <v>13</v>
      </c>
      <c r="C24" s="3356" t="s">
        <v>3284</v>
      </c>
      <c r="D24" s="3357" t="s">
        <v>3285</v>
      </c>
      <c r="E24" s="3358" t="s">
        <v>579</v>
      </c>
      <c r="F24" s="3359" t="s">
        <v>630</v>
      </c>
    </row>
    <row r="25" spans="2:6" ht="15.6" customHeight="1" thickBot="1" x14ac:dyDescent="0.3">
      <c r="B25" s="3355">
        <f t="shared" si="0"/>
        <v>14</v>
      </c>
      <c r="C25" s="3356" t="s">
        <v>3286</v>
      </c>
      <c r="D25" s="3357" t="s">
        <v>3287</v>
      </c>
      <c r="E25" s="3358" t="s">
        <v>579</v>
      </c>
      <c r="F25" s="3359" t="s">
        <v>630</v>
      </c>
    </row>
    <row r="26" spans="2:6" ht="15.6" customHeight="1" thickBot="1" x14ac:dyDescent="0.3">
      <c r="B26" s="3355">
        <f t="shared" si="0"/>
        <v>15</v>
      </c>
      <c r="C26" s="3356" t="s">
        <v>3288</v>
      </c>
      <c r="D26" s="3357" t="s">
        <v>3289</v>
      </c>
      <c r="E26" s="3358" t="s">
        <v>579</v>
      </c>
      <c r="F26" s="3359" t="s">
        <v>630</v>
      </c>
    </row>
    <row r="27" spans="2:6" ht="15.6" customHeight="1" thickBot="1" x14ac:dyDescent="0.3">
      <c r="B27" s="3355">
        <f t="shared" si="0"/>
        <v>16</v>
      </c>
      <c r="C27" s="3356" t="s">
        <v>3290</v>
      </c>
      <c r="D27" s="3357" t="s">
        <v>3291</v>
      </c>
      <c r="E27" s="3358" t="s">
        <v>579</v>
      </c>
      <c r="F27" s="3359" t="s">
        <v>630</v>
      </c>
    </row>
    <row r="28" spans="2:6" ht="15.6" customHeight="1" thickBot="1" x14ac:dyDescent="0.3">
      <c r="B28" s="3355">
        <f t="shared" si="0"/>
        <v>17</v>
      </c>
      <c r="C28" s="3356" t="s">
        <v>3292</v>
      </c>
      <c r="D28" s="3357" t="s">
        <v>3291</v>
      </c>
      <c r="E28" s="3358" t="s">
        <v>579</v>
      </c>
      <c r="F28" s="3359" t="s">
        <v>630</v>
      </c>
    </row>
    <row r="29" spans="2:6" ht="15.6" customHeight="1" thickBot="1" x14ac:dyDescent="0.3">
      <c r="B29" s="3355">
        <f t="shared" si="0"/>
        <v>18</v>
      </c>
      <c r="C29" s="3356" t="s">
        <v>3293</v>
      </c>
      <c r="D29" s="3357" t="s">
        <v>3291</v>
      </c>
      <c r="E29" s="3358" t="s">
        <v>579</v>
      </c>
      <c r="F29" s="3359" t="s">
        <v>630</v>
      </c>
    </row>
    <row r="30" spans="2:6" ht="15.6" customHeight="1" thickBot="1" x14ac:dyDescent="0.3">
      <c r="B30" s="3355">
        <f t="shared" si="0"/>
        <v>19</v>
      </c>
      <c r="C30" s="3356" t="s">
        <v>3452</v>
      </c>
      <c r="D30" s="3357" t="s">
        <v>3291</v>
      </c>
      <c r="E30" s="3358" t="s">
        <v>579</v>
      </c>
      <c r="F30" s="3359" t="s">
        <v>630</v>
      </c>
    </row>
    <row r="31" spans="2:6" ht="15.6" customHeight="1" thickBot="1" x14ac:dyDescent="0.3">
      <c r="B31" s="3355">
        <f t="shared" si="0"/>
        <v>20</v>
      </c>
      <c r="C31" s="3356" t="s">
        <v>3294</v>
      </c>
      <c r="D31" s="3357" t="s">
        <v>3291</v>
      </c>
      <c r="E31" s="3358" t="s">
        <v>579</v>
      </c>
      <c r="F31" s="3359" t="s">
        <v>630</v>
      </c>
    </row>
    <row r="32" spans="2:6" ht="15.6" customHeight="1" thickBot="1" x14ac:dyDescent="0.3">
      <c r="B32" s="3355">
        <f t="shared" si="0"/>
        <v>21</v>
      </c>
      <c r="C32" s="3356" t="s">
        <v>3454</v>
      </c>
      <c r="D32" s="3357" t="s">
        <v>3291</v>
      </c>
      <c r="E32" s="3358" t="s">
        <v>579</v>
      </c>
      <c r="F32" s="3359" t="s">
        <v>630</v>
      </c>
    </row>
    <row r="33" spans="2:6" ht="15.6" customHeight="1" thickBot="1" x14ac:dyDescent="0.3">
      <c r="B33" s="3355">
        <f t="shared" si="0"/>
        <v>22</v>
      </c>
      <c r="C33" s="3356" t="s">
        <v>3295</v>
      </c>
      <c r="D33" s="3357" t="s">
        <v>3291</v>
      </c>
      <c r="E33" s="3358" t="s">
        <v>579</v>
      </c>
      <c r="F33" s="3359" t="s">
        <v>630</v>
      </c>
    </row>
    <row r="34" spans="2:6" ht="15.6" customHeight="1" thickBot="1" x14ac:dyDescent="0.3">
      <c r="B34" s="3355">
        <f t="shared" si="0"/>
        <v>23</v>
      </c>
      <c r="C34" s="3356" t="s">
        <v>3296</v>
      </c>
      <c r="D34" s="3357" t="s">
        <v>3291</v>
      </c>
      <c r="E34" s="3358" t="s">
        <v>579</v>
      </c>
      <c r="F34" s="3359" t="s">
        <v>630</v>
      </c>
    </row>
    <row r="35" spans="2:6" ht="15.6" customHeight="1" thickBot="1" x14ac:dyDescent="0.3">
      <c r="B35" s="3355">
        <f t="shared" si="0"/>
        <v>24</v>
      </c>
      <c r="C35" s="3356" t="s">
        <v>3297</v>
      </c>
      <c r="D35" s="3357" t="s">
        <v>3291</v>
      </c>
      <c r="E35" s="3358" t="s">
        <v>579</v>
      </c>
      <c r="F35" s="3359" t="s">
        <v>630</v>
      </c>
    </row>
    <row r="36" spans="2:6" ht="15.6" customHeight="1" thickBot="1" x14ac:dyDescent="0.3">
      <c r="B36" s="3355">
        <f t="shared" si="0"/>
        <v>25</v>
      </c>
      <c r="C36" s="3356" t="s">
        <v>3298</v>
      </c>
      <c r="D36" s="3357" t="s">
        <v>3299</v>
      </c>
      <c r="E36" s="3358" t="s">
        <v>579</v>
      </c>
      <c r="F36" s="3359" t="s">
        <v>630</v>
      </c>
    </row>
    <row r="37" spans="2:6" ht="15.6" customHeight="1" thickBot="1" x14ac:dyDescent="0.3">
      <c r="B37" s="3355">
        <f t="shared" si="0"/>
        <v>26</v>
      </c>
      <c r="C37" s="3356" t="s">
        <v>3300</v>
      </c>
      <c r="D37" s="3357" t="s">
        <v>3299</v>
      </c>
      <c r="E37" s="3358" t="s">
        <v>579</v>
      </c>
      <c r="F37" s="3359" t="s">
        <v>630</v>
      </c>
    </row>
    <row r="38" spans="2:6" ht="15.6" customHeight="1" thickBot="1" x14ac:dyDescent="0.3">
      <c r="B38" s="3355">
        <f t="shared" si="0"/>
        <v>27</v>
      </c>
      <c r="C38" s="3356" t="s">
        <v>3301</v>
      </c>
      <c r="D38" s="3357" t="s">
        <v>3302</v>
      </c>
      <c r="E38" s="3358" t="s">
        <v>579</v>
      </c>
      <c r="F38" s="3359" t="s">
        <v>630</v>
      </c>
    </row>
    <row r="39" spans="2:6" ht="15.6" customHeight="1" thickBot="1" x14ac:dyDescent="0.3">
      <c r="B39" s="3355">
        <f t="shared" si="0"/>
        <v>28</v>
      </c>
      <c r="C39" s="3356" t="s">
        <v>3303</v>
      </c>
      <c r="D39" s="3357" t="s">
        <v>3304</v>
      </c>
      <c r="E39" s="3358" t="s">
        <v>579</v>
      </c>
      <c r="F39" s="3359" t="s">
        <v>630</v>
      </c>
    </row>
    <row r="40" spans="2:6" ht="15.6" customHeight="1" thickBot="1" x14ac:dyDescent="0.3">
      <c r="B40" s="3355">
        <f t="shared" si="0"/>
        <v>29</v>
      </c>
      <c r="C40" s="3356" t="s">
        <v>3455</v>
      </c>
      <c r="D40" s="3357" t="s">
        <v>3305</v>
      </c>
      <c r="E40" s="3358" t="s">
        <v>579</v>
      </c>
      <c r="F40" s="3359" t="s">
        <v>630</v>
      </c>
    </row>
    <row r="41" spans="2:6" ht="15.6" customHeight="1" thickBot="1" x14ac:dyDescent="0.3">
      <c r="B41" s="3355">
        <f t="shared" si="0"/>
        <v>30</v>
      </c>
      <c r="C41" s="3356" t="s">
        <v>3306</v>
      </c>
      <c r="D41" s="3357" t="s">
        <v>3305</v>
      </c>
      <c r="E41" s="3358" t="s">
        <v>579</v>
      </c>
      <c r="F41" s="3359" t="s">
        <v>630</v>
      </c>
    </row>
    <row r="42" spans="2:6" ht="15.6" customHeight="1" thickBot="1" x14ac:dyDescent="0.3">
      <c r="B42" s="3355">
        <f t="shared" si="0"/>
        <v>31</v>
      </c>
      <c r="C42" s="3356" t="s">
        <v>3307</v>
      </c>
      <c r="D42" s="3357" t="s">
        <v>3305</v>
      </c>
      <c r="E42" s="3358" t="s">
        <v>579</v>
      </c>
      <c r="F42" s="3359" t="s">
        <v>630</v>
      </c>
    </row>
    <row r="43" spans="2:6" ht="15.6" customHeight="1" thickBot="1" x14ac:dyDescent="0.3">
      <c r="B43" s="3355">
        <f t="shared" si="0"/>
        <v>32</v>
      </c>
      <c r="C43" s="3356" t="s">
        <v>3308</v>
      </c>
      <c r="D43" s="3357" t="s">
        <v>3309</v>
      </c>
      <c r="E43" s="3358" t="s">
        <v>3268</v>
      </c>
      <c r="F43" s="3359" t="s">
        <v>630</v>
      </c>
    </row>
    <row r="44" spans="2:6" ht="15.6" customHeight="1" thickBot="1" x14ac:dyDescent="0.3">
      <c r="B44" s="3355">
        <f t="shared" si="0"/>
        <v>33</v>
      </c>
      <c r="C44" s="3356" t="s">
        <v>3310</v>
      </c>
      <c r="D44" s="3357" t="s">
        <v>3311</v>
      </c>
      <c r="E44" s="3361"/>
      <c r="F44" s="3359" t="s">
        <v>630</v>
      </c>
    </row>
    <row r="45" spans="2:6" ht="29.25" customHeight="1" thickBot="1" x14ac:dyDescent="0.3">
      <c r="B45" s="3355">
        <f t="shared" si="0"/>
        <v>34</v>
      </c>
      <c r="C45" s="3356" t="s">
        <v>3312</v>
      </c>
      <c r="D45" s="3362" t="s">
        <v>3313</v>
      </c>
      <c r="E45" s="3358" t="s">
        <v>3268</v>
      </c>
      <c r="F45" s="3359" t="s">
        <v>630</v>
      </c>
    </row>
    <row r="46" spans="2:6" ht="15.6" customHeight="1" thickBot="1" x14ac:dyDescent="0.3">
      <c r="B46" s="3355">
        <f t="shared" si="0"/>
        <v>35</v>
      </c>
      <c r="C46" s="3356" t="s">
        <v>3314</v>
      </c>
      <c r="D46" s="3362" t="s">
        <v>3313</v>
      </c>
      <c r="E46" s="3358" t="s">
        <v>579</v>
      </c>
      <c r="F46" s="3359" t="s">
        <v>630</v>
      </c>
    </row>
    <row r="47" spans="2:6" ht="15.6" customHeight="1" thickBot="1" x14ac:dyDescent="0.3">
      <c r="B47" s="3355">
        <f t="shared" si="0"/>
        <v>36</v>
      </c>
      <c r="C47" s="3356" t="s">
        <v>3315</v>
      </c>
      <c r="D47" s="3362" t="s">
        <v>3313</v>
      </c>
      <c r="E47" s="3358" t="s">
        <v>579</v>
      </c>
      <c r="F47" s="3359" t="s">
        <v>630</v>
      </c>
    </row>
    <row r="48" spans="2:6" ht="15.6" customHeight="1" thickBot="1" x14ac:dyDescent="0.3">
      <c r="B48" s="3355">
        <f t="shared" si="0"/>
        <v>37</v>
      </c>
      <c r="C48" s="3356" t="s">
        <v>3316</v>
      </c>
      <c r="D48" s="3362" t="s">
        <v>3313</v>
      </c>
      <c r="E48" s="3358" t="s">
        <v>579</v>
      </c>
      <c r="F48" s="3359" t="s">
        <v>630</v>
      </c>
    </row>
    <row r="49" spans="2:6" ht="15.6" customHeight="1" thickBot="1" x14ac:dyDescent="0.3">
      <c r="B49" s="3355">
        <f t="shared" si="0"/>
        <v>38</v>
      </c>
      <c r="C49" s="3356" t="s">
        <v>3317</v>
      </c>
      <c r="D49" s="3362" t="s">
        <v>3313</v>
      </c>
      <c r="E49" s="3358" t="s">
        <v>3268</v>
      </c>
      <c r="F49" s="3359" t="s">
        <v>630</v>
      </c>
    </row>
    <row r="50" spans="2:6" ht="15.6" customHeight="1" thickBot="1" x14ac:dyDescent="0.3">
      <c r="B50" s="3355">
        <f t="shared" si="0"/>
        <v>39</v>
      </c>
      <c r="C50" s="3356" t="s">
        <v>3318</v>
      </c>
      <c r="D50" s="3362" t="s">
        <v>3313</v>
      </c>
      <c r="E50" s="3358" t="s">
        <v>579</v>
      </c>
      <c r="F50" s="3359" t="s">
        <v>630</v>
      </c>
    </row>
    <row r="51" spans="2:6" ht="15.6" customHeight="1" thickBot="1" x14ac:dyDescent="0.3">
      <c r="B51" s="3355">
        <f t="shared" si="0"/>
        <v>40</v>
      </c>
      <c r="C51" s="3356" t="s">
        <v>3319</v>
      </c>
      <c r="D51" s="3357" t="s">
        <v>3320</v>
      </c>
      <c r="E51" s="3358" t="s">
        <v>579</v>
      </c>
      <c r="F51" s="3359" t="s">
        <v>630</v>
      </c>
    </row>
    <row r="52" spans="2:6" ht="15.6" customHeight="1" thickBot="1" x14ac:dyDescent="0.3">
      <c r="B52" s="3355">
        <f t="shared" si="0"/>
        <v>41</v>
      </c>
      <c r="C52" s="3356" t="s">
        <v>3321</v>
      </c>
      <c r="D52" s="3362" t="s">
        <v>3282</v>
      </c>
      <c r="E52" s="3358" t="s">
        <v>3268</v>
      </c>
      <c r="F52" s="3359" t="s">
        <v>630</v>
      </c>
    </row>
    <row r="53" spans="2:6" ht="15.6" customHeight="1" thickBot="1" x14ac:dyDescent="0.3">
      <c r="B53" s="3355">
        <f t="shared" si="0"/>
        <v>42</v>
      </c>
      <c r="C53" s="3356" t="s">
        <v>3322</v>
      </c>
      <c r="D53" s="3357" t="s">
        <v>3323</v>
      </c>
      <c r="E53" s="3358" t="s">
        <v>579</v>
      </c>
      <c r="F53" s="3359" t="s">
        <v>630</v>
      </c>
    </row>
    <row r="54" spans="2:6" ht="15.6" customHeight="1" thickBot="1" x14ac:dyDescent="0.3">
      <c r="B54" s="3355">
        <f t="shared" si="0"/>
        <v>43</v>
      </c>
      <c r="C54" s="3356" t="s">
        <v>3324</v>
      </c>
      <c r="D54" s="3357" t="s">
        <v>3323</v>
      </c>
      <c r="E54" s="3358" t="s">
        <v>579</v>
      </c>
      <c r="F54" s="3359" t="s">
        <v>630</v>
      </c>
    </row>
    <row r="55" spans="2:6" ht="15.6" customHeight="1" thickBot="1" x14ac:dyDescent="0.3">
      <c r="B55" s="3355">
        <f t="shared" si="0"/>
        <v>44</v>
      </c>
      <c r="C55" s="3356" t="s">
        <v>3453</v>
      </c>
      <c r="D55" s="3357" t="s">
        <v>3323</v>
      </c>
      <c r="E55" s="3358" t="s">
        <v>579</v>
      </c>
      <c r="F55" s="3359" t="s">
        <v>630</v>
      </c>
    </row>
    <row r="56" spans="2:6" ht="15.6" customHeight="1" thickBot="1" x14ac:dyDescent="0.3">
      <c r="B56" s="3355">
        <f t="shared" si="0"/>
        <v>45</v>
      </c>
      <c r="C56" s="3356" t="s">
        <v>3325</v>
      </c>
      <c r="D56" s="3357" t="s">
        <v>3323</v>
      </c>
      <c r="E56" s="3358" t="s">
        <v>579</v>
      </c>
      <c r="F56" s="3359" t="s">
        <v>630</v>
      </c>
    </row>
    <row r="57" spans="2:6" ht="15.6" customHeight="1" thickBot="1" x14ac:dyDescent="0.3">
      <c r="B57" s="3355">
        <f t="shared" si="0"/>
        <v>46</v>
      </c>
      <c r="C57" s="3356" t="s">
        <v>3326</v>
      </c>
      <c r="D57" s="3357" t="s">
        <v>3323</v>
      </c>
      <c r="E57" s="3358" t="s">
        <v>579</v>
      </c>
      <c r="F57" s="3359" t="s">
        <v>630</v>
      </c>
    </row>
    <row r="58" spans="2:6" ht="15.6" customHeight="1" thickBot="1" x14ac:dyDescent="0.3">
      <c r="B58" s="3355">
        <f t="shared" si="0"/>
        <v>47</v>
      </c>
      <c r="C58" s="3356" t="s">
        <v>3327</v>
      </c>
      <c r="D58" s="3357" t="s">
        <v>3328</v>
      </c>
      <c r="E58" s="3358" t="s">
        <v>579</v>
      </c>
      <c r="F58" s="3359" t="s">
        <v>630</v>
      </c>
    </row>
    <row r="59" spans="2:6" ht="25.5" customHeight="1" thickBot="1" x14ac:dyDescent="0.3">
      <c r="B59" s="3355">
        <f t="shared" si="0"/>
        <v>48</v>
      </c>
      <c r="C59" s="3356" t="s">
        <v>3456</v>
      </c>
      <c r="D59" s="3357" t="s">
        <v>3328</v>
      </c>
      <c r="E59" s="3358" t="s">
        <v>579</v>
      </c>
      <c r="F59" s="3359" t="s">
        <v>630</v>
      </c>
    </row>
    <row r="60" spans="2:6" ht="15.6" customHeight="1" thickBot="1" x14ac:dyDescent="0.3">
      <c r="B60" s="3355">
        <f t="shared" si="0"/>
        <v>49</v>
      </c>
      <c r="C60" s="3356" t="s">
        <v>3329</v>
      </c>
      <c r="D60" s="3357" t="s">
        <v>3328</v>
      </c>
      <c r="E60" s="3358" t="s">
        <v>579</v>
      </c>
      <c r="F60" s="3359" t="s">
        <v>630</v>
      </c>
    </row>
    <row r="61" spans="2:6" ht="15.6" customHeight="1" thickBot="1" x14ac:dyDescent="0.3">
      <c r="B61" s="3355">
        <f t="shared" si="0"/>
        <v>50</v>
      </c>
      <c r="C61" s="3356" t="s">
        <v>3330</v>
      </c>
      <c r="D61" s="3357" t="s">
        <v>3331</v>
      </c>
      <c r="E61" s="3358" t="s">
        <v>579</v>
      </c>
      <c r="F61" s="3359" t="s">
        <v>630</v>
      </c>
    </row>
    <row r="62" spans="2:6" ht="15.6" customHeight="1" thickBot="1" x14ac:dyDescent="0.3">
      <c r="B62" s="3355">
        <f t="shared" si="0"/>
        <v>51</v>
      </c>
      <c r="C62" s="3356" t="s">
        <v>3332</v>
      </c>
      <c r="D62" s="3357" t="s">
        <v>3331</v>
      </c>
      <c r="E62" s="3358" t="s">
        <v>579</v>
      </c>
      <c r="F62" s="3359" t="s">
        <v>630</v>
      </c>
    </row>
    <row r="63" spans="2:6" ht="15.6" customHeight="1" thickBot="1" x14ac:dyDescent="0.3">
      <c r="B63" s="3355">
        <f t="shared" si="0"/>
        <v>52</v>
      </c>
      <c r="C63" s="3356" t="s">
        <v>3333</v>
      </c>
      <c r="D63" s="3357" t="s">
        <v>3331</v>
      </c>
      <c r="E63" s="3358" t="s">
        <v>579</v>
      </c>
      <c r="F63" s="3359" t="s">
        <v>630</v>
      </c>
    </row>
    <row r="64" spans="2:6" ht="15.6" customHeight="1" thickBot="1" x14ac:dyDescent="0.3">
      <c r="B64" s="3355">
        <f t="shared" si="0"/>
        <v>53</v>
      </c>
      <c r="C64" s="3356" t="s">
        <v>3334</v>
      </c>
      <c r="D64" s="3357" t="s">
        <v>3335</v>
      </c>
      <c r="E64" s="3358" t="s">
        <v>579</v>
      </c>
      <c r="F64" s="3359" t="s">
        <v>630</v>
      </c>
    </row>
    <row r="65" spans="2:6" ht="15.6" customHeight="1" thickBot="1" x14ac:dyDescent="0.3">
      <c r="B65" s="3355">
        <f t="shared" si="0"/>
        <v>54</v>
      </c>
      <c r="C65" s="3356" t="s">
        <v>3336</v>
      </c>
      <c r="D65" s="3357" t="s">
        <v>3337</v>
      </c>
      <c r="E65" s="3358" t="s">
        <v>579</v>
      </c>
      <c r="F65" s="3359" t="s">
        <v>630</v>
      </c>
    </row>
    <row r="66" spans="2:6" ht="15.6" customHeight="1" thickBot="1" x14ac:dyDescent="0.3">
      <c r="B66" s="3355">
        <f t="shared" si="0"/>
        <v>55</v>
      </c>
      <c r="C66" s="3356" t="s">
        <v>3457</v>
      </c>
      <c r="D66" s="3357" t="s">
        <v>3338</v>
      </c>
      <c r="E66" s="3358" t="s">
        <v>3268</v>
      </c>
      <c r="F66" s="3359" t="s">
        <v>630</v>
      </c>
    </row>
    <row r="67" spans="2:6" ht="15.6" customHeight="1" thickBot="1" x14ac:dyDescent="0.3">
      <c r="B67" s="3355">
        <f t="shared" si="0"/>
        <v>56</v>
      </c>
      <c r="C67" s="3356" t="s">
        <v>3339</v>
      </c>
      <c r="D67" s="3357" t="s">
        <v>3340</v>
      </c>
      <c r="E67" s="3358" t="s">
        <v>3268</v>
      </c>
      <c r="F67" s="3359" t="s">
        <v>630</v>
      </c>
    </row>
    <row r="68" spans="2:6" ht="15.6" customHeight="1" thickBot="1" x14ac:dyDescent="0.3">
      <c r="B68" s="3355">
        <f t="shared" si="0"/>
        <v>57</v>
      </c>
      <c r="C68" s="3356" t="s">
        <v>3453</v>
      </c>
      <c r="D68" s="3357" t="s">
        <v>3340</v>
      </c>
      <c r="E68" s="3358" t="s">
        <v>3268</v>
      </c>
      <c r="F68" s="3359" t="s">
        <v>630</v>
      </c>
    </row>
    <row r="69" spans="2:6" ht="15.6" customHeight="1" thickBot="1" x14ac:dyDescent="0.3">
      <c r="B69" s="3355">
        <f t="shared" si="0"/>
        <v>58</v>
      </c>
      <c r="C69" s="3356" t="s">
        <v>3341</v>
      </c>
      <c r="D69" s="3357" t="s">
        <v>3340</v>
      </c>
      <c r="E69" s="3358" t="s">
        <v>579</v>
      </c>
      <c r="F69" s="3359" t="s">
        <v>630</v>
      </c>
    </row>
    <row r="70" spans="2:6" ht="15.6" customHeight="1" thickBot="1" x14ac:dyDescent="0.3">
      <c r="B70" s="3355">
        <f t="shared" si="0"/>
        <v>59</v>
      </c>
      <c r="C70" s="3356" t="s">
        <v>3342</v>
      </c>
      <c r="D70" s="3357" t="s">
        <v>3340</v>
      </c>
      <c r="E70" s="3358" t="s">
        <v>579</v>
      </c>
      <c r="F70" s="3359" t="s">
        <v>630</v>
      </c>
    </row>
    <row r="71" spans="2:6" ht="15.6" customHeight="1" thickBot="1" x14ac:dyDescent="0.3">
      <c r="B71" s="3355">
        <f t="shared" si="0"/>
        <v>60</v>
      </c>
      <c r="C71" s="3356" t="s">
        <v>3343</v>
      </c>
      <c r="D71" s="3357" t="s">
        <v>3340</v>
      </c>
      <c r="E71" s="3358" t="s">
        <v>579</v>
      </c>
      <c r="F71" s="3359" t="s">
        <v>630</v>
      </c>
    </row>
    <row r="72" spans="2:6" ht="15.6" customHeight="1" thickBot="1" x14ac:dyDescent="0.3">
      <c r="B72" s="3355">
        <f t="shared" si="0"/>
        <v>61</v>
      </c>
      <c r="C72" s="3356" t="s">
        <v>3344</v>
      </c>
      <c r="D72" s="3357" t="s">
        <v>3340</v>
      </c>
      <c r="E72" s="3358" t="s">
        <v>3268</v>
      </c>
      <c r="F72" s="3359" t="s">
        <v>630</v>
      </c>
    </row>
    <row r="73" spans="2:6" ht="15.6" customHeight="1" thickBot="1" x14ac:dyDescent="0.3">
      <c r="B73" s="3355">
        <f t="shared" si="0"/>
        <v>62</v>
      </c>
      <c r="C73" s="3356" t="s">
        <v>3345</v>
      </c>
      <c r="D73" s="3357" t="s">
        <v>3340</v>
      </c>
      <c r="E73" s="3358" t="s">
        <v>3268</v>
      </c>
      <c r="F73" s="3359" t="s">
        <v>630</v>
      </c>
    </row>
    <row r="74" spans="2:6" ht="15.6" customHeight="1" thickBot="1" x14ac:dyDescent="0.3">
      <c r="B74" s="3355">
        <f t="shared" si="0"/>
        <v>63</v>
      </c>
      <c r="C74" s="3356" t="s">
        <v>3346</v>
      </c>
      <c r="D74" s="3357" t="s">
        <v>3347</v>
      </c>
      <c r="E74" s="3358" t="s">
        <v>3268</v>
      </c>
      <c r="F74" s="3359" t="s">
        <v>630</v>
      </c>
    </row>
    <row r="75" spans="2:6" ht="15.6" customHeight="1" thickBot="1" x14ac:dyDescent="0.3">
      <c r="B75" s="3355">
        <f t="shared" si="0"/>
        <v>64</v>
      </c>
      <c r="C75" s="3356" t="s">
        <v>3348</v>
      </c>
      <c r="D75" s="3357" t="s">
        <v>3347</v>
      </c>
      <c r="E75" s="3358" t="s">
        <v>3268</v>
      </c>
      <c r="F75" s="3359" t="s">
        <v>630</v>
      </c>
    </row>
    <row r="76" spans="2:6" ht="15.6" customHeight="1" thickBot="1" x14ac:dyDescent="0.3">
      <c r="B76" s="3355">
        <f t="shared" si="0"/>
        <v>65</v>
      </c>
      <c r="C76" s="3356" t="s">
        <v>3349</v>
      </c>
      <c r="D76" s="3357" t="s">
        <v>3347</v>
      </c>
      <c r="E76" s="3358" t="s">
        <v>3268</v>
      </c>
      <c r="F76" s="3359" t="s">
        <v>630</v>
      </c>
    </row>
    <row r="77" spans="2:6" ht="15.6" customHeight="1" thickBot="1" x14ac:dyDescent="0.3">
      <c r="B77" s="3355">
        <f t="shared" si="0"/>
        <v>66</v>
      </c>
      <c r="C77" s="3356" t="s">
        <v>3350</v>
      </c>
      <c r="D77" s="3357" t="s">
        <v>3347</v>
      </c>
      <c r="E77" s="3358" t="s">
        <v>3268</v>
      </c>
      <c r="F77" s="3359" t="s">
        <v>630</v>
      </c>
    </row>
    <row r="78" spans="2:6" ht="15.6" customHeight="1" thickBot="1" x14ac:dyDescent="0.3">
      <c r="B78" s="3355">
        <f t="shared" ref="B78:B121" si="1">B77+1</f>
        <v>67</v>
      </c>
      <c r="C78" s="3356" t="s">
        <v>3351</v>
      </c>
      <c r="D78" s="3357" t="s">
        <v>3347</v>
      </c>
      <c r="E78" s="3358" t="s">
        <v>3268</v>
      </c>
      <c r="F78" s="3359" t="s">
        <v>630</v>
      </c>
    </row>
    <row r="79" spans="2:6" ht="15.6" customHeight="1" thickBot="1" x14ac:dyDescent="0.3">
      <c r="B79" s="3355">
        <f t="shared" si="1"/>
        <v>68</v>
      </c>
      <c r="C79" s="3356" t="s">
        <v>3339</v>
      </c>
      <c r="D79" s="3357" t="s">
        <v>3352</v>
      </c>
      <c r="E79" s="3358" t="s">
        <v>579</v>
      </c>
      <c r="F79" s="3359" t="s">
        <v>630</v>
      </c>
    </row>
    <row r="80" spans="2:6" ht="15.6" customHeight="1" thickBot="1" x14ac:dyDescent="0.3">
      <c r="B80" s="3355">
        <f t="shared" si="1"/>
        <v>69</v>
      </c>
      <c r="C80" s="3356" t="s">
        <v>3353</v>
      </c>
      <c r="D80" s="3357" t="s">
        <v>3352</v>
      </c>
      <c r="E80" s="3358" t="s">
        <v>579</v>
      </c>
      <c r="F80" s="3359" t="s">
        <v>630</v>
      </c>
    </row>
    <row r="81" spans="2:6" ht="15.6" customHeight="1" thickBot="1" x14ac:dyDescent="0.3">
      <c r="B81" s="3355">
        <f t="shared" si="1"/>
        <v>70</v>
      </c>
      <c r="C81" s="3356" t="s">
        <v>3354</v>
      </c>
      <c r="D81" s="3357" t="s">
        <v>3352</v>
      </c>
      <c r="E81" s="3358" t="s">
        <v>579</v>
      </c>
      <c r="F81" s="3359" t="s">
        <v>630</v>
      </c>
    </row>
    <row r="82" spans="2:6" ht="15.6" customHeight="1" thickBot="1" x14ac:dyDescent="0.3">
      <c r="B82" s="3355">
        <f t="shared" si="1"/>
        <v>71</v>
      </c>
      <c r="C82" s="3356" t="s">
        <v>3452</v>
      </c>
      <c r="D82" s="3357" t="s">
        <v>3352</v>
      </c>
      <c r="E82" s="3358" t="s">
        <v>579</v>
      </c>
      <c r="F82" s="3359" t="s">
        <v>630</v>
      </c>
    </row>
    <row r="83" spans="2:6" ht="15.6" customHeight="1" thickBot="1" x14ac:dyDescent="0.3">
      <c r="B83" s="3355">
        <f t="shared" si="1"/>
        <v>72</v>
      </c>
      <c r="C83" s="3356" t="s">
        <v>3458</v>
      </c>
      <c r="D83" s="3357" t="s">
        <v>3352</v>
      </c>
      <c r="E83" s="3358" t="s">
        <v>579</v>
      </c>
      <c r="F83" s="3359" t="s">
        <v>630</v>
      </c>
    </row>
    <row r="84" spans="2:6" ht="15.6" customHeight="1" thickBot="1" x14ac:dyDescent="0.3">
      <c r="B84" s="3355">
        <f t="shared" si="1"/>
        <v>73</v>
      </c>
      <c r="C84" s="3356" t="s">
        <v>3355</v>
      </c>
      <c r="D84" s="3357" t="s">
        <v>3352</v>
      </c>
      <c r="E84" s="3358" t="s">
        <v>579</v>
      </c>
      <c r="F84" s="3359" t="s">
        <v>630</v>
      </c>
    </row>
    <row r="85" spans="2:6" ht="15.6" customHeight="1" thickBot="1" x14ac:dyDescent="0.3">
      <c r="B85" s="3355">
        <f t="shared" si="1"/>
        <v>74</v>
      </c>
      <c r="C85" s="3356" t="s">
        <v>3356</v>
      </c>
      <c r="D85" s="3357" t="s">
        <v>3352</v>
      </c>
      <c r="E85" s="3358" t="s">
        <v>579</v>
      </c>
      <c r="F85" s="3359" t="s">
        <v>630</v>
      </c>
    </row>
    <row r="86" spans="2:6" ht="15.6" customHeight="1" thickBot="1" x14ac:dyDescent="0.3">
      <c r="B86" s="3355">
        <f t="shared" si="1"/>
        <v>75</v>
      </c>
      <c r="C86" s="3356" t="s">
        <v>3357</v>
      </c>
      <c r="D86" s="3357" t="s">
        <v>3352</v>
      </c>
      <c r="E86" s="3358" t="s">
        <v>579</v>
      </c>
      <c r="F86" s="3359" t="s">
        <v>630</v>
      </c>
    </row>
    <row r="87" spans="2:6" ht="15.6" customHeight="1" thickBot="1" x14ac:dyDescent="0.3">
      <c r="B87" s="3355">
        <f t="shared" si="1"/>
        <v>76</v>
      </c>
      <c r="C87" s="3356" t="s">
        <v>3343</v>
      </c>
      <c r="D87" s="3357" t="s">
        <v>3352</v>
      </c>
      <c r="E87" s="3358" t="s">
        <v>579</v>
      </c>
      <c r="F87" s="3359" t="s">
        <v>630</v>
      </c>
    </row>
    <row r="88" spans="2:6" ht="15.6" customHeight="1" thickBot="1" x14ac:dyDescent="0.3">
      <c r="B88" s="3355">
        <f t="shared" si="1"/>
        <v>77</v>
      </c>
      <c r="C88" s="3356" t="s">
        <v>3358</v>
      </c>
      <c r="D88" s="3357" t="s">
        <v>3337</v>
      </c>
      <c r="E88" s="3358" t="s">
        <v>579</v>
      </c>
      <c r="F88" s="3359" t="s">
        <v>630</v>
      </c>
    </row>
    <row r="89" spans="2:6" ht="15.6" customHeight="1" thickBot="1" x14ac:dyDescent="0.3">
      <c r="B89" s="3355">
        <f t="shared" si="1"/>
        <v>78</v>
      </c>
      <c r="C89" s="3356" t="s">
        <v>3359</v>
      </c>
      <c r="D89" s="3357" t="s">
        <v>3360</v>
      </c>
      <c r="E89" s="3358" t="s">
        <v>579</v>
      </c>
      <c r="F89" s="3359" t="s">
        <v>630</v>
      </c>
    </row>
    <row r="90" spans="2:6" ht="15.6" customHeight="1" thickBot="1" x14ac:dyDescent="0.3">
      <c r="B90" s="3355">
        <f t="shared" si="1"/>
        <v>79</v>
      </c>
      <c r="C90" s="3356" t="s">
        <v>3361</v>
      </c>
      <c r="D90" s="3357" t="s">
        <v>3362</v>
      </c>
      <c r="E90" s="3358" t="s">
        <v>579</v>
      </c>
      <c r="F90" s="3359" t="s">
        <v>630</v>
      </c>
    </row>
    <row r="91" spans="2:6" ht="15.6" customHeight="1" thickBot="1" x14ac:dyDescent="0.3">
      <c r="B91" s="3355">
        <f t="shared" si="1"/>
        <v>80</v>
      </c>
      <c r="C91" s="3356" t="s">
        <v>3363</v>
      </c>
      <c r="D91" s="3357" t="s">
        <v>3364</v>
      </c>
      <c r="E91" s="3358" t="s">
        <v>579</v>
      </c>
      <c r="F91" s="3359" t="s">
        <v>630</v>
      </c>
    </row>
    <row r="92" spans="2:6" ht="15.6" customHeight="1" thickBot="1" x14ac:dyDescent="0.3">
      <c r="B92" s="3355">
        <f t="shared" si="1"/>
        <v>81</v>
      </c>
      <c r="C92" s="3356" t="s">
        <v>3365</v>
      </c>
      <c r="D92" s="3362" t="s">
        <v>3366</v>
      </c>
      <c r="E92" s="3358" t="s">
        <v>3268</v>
      </c>
      <c r="F92" s="3359" t="s">
        <v>630</v>
      </c>
    </row>
    <row r="93" spans="2:6" ht="15.6" customHeight="1" thickBot="1" x14ac:dyDescent="0.3">
      <c r="B93" s="3355">
        <f t="shared" si="1"/>
        <v>82</v>
      </c>
      <c r="C93" s="3356" t="s">
        <v>3367</v>
      </c>
      <c r="D93" s="3362" t="s">
        <v>3366</v>
      </c>
      <c r="E93" s="3358" t="s">
        <v>3268</v>
      </c>
      <c r="F93" s="3359" t="s">
        <v>630</v>
      </c>
    </row>
    <row r="94" spans="2:6" ht="17.25" customHeight="1" thickBot="1" x14ac:dyDescent="0.3">
      <c r="B94" s="3355">
        <f t="shared" si="1"/>
        <v>83</v>
      </c>
      <c r="C94" s="3356" t="s">
        <v>3368</v>
      </c>
      <c r="D94" s="3362" t="s">
        <v>3369</v>
      </c>
      <c r="E94" s="3358" t="s">
        <v>3268</v>
      </c>
      <c r="F94" s="3359" t="s">
        <v>630</v>
      </c>
    </row>
    <row r="95" spans="2:6" ht="15.6" customHeight="1" thickBot="1" x14ac:dyDescent="0.3">
      <c r="B95" s="3355">
        <f t="shared" si="1"/>
        <v>84</v>
      </c>
      <c r="C95" s="3356" t="s">
        <v>3370</v>
      </c>
      <c r="D95" s="3362" t="s">
        <v>3371</v>
      </c>
      <c r="E95" s="3358" t="s">
        <v>579</v>
      </c>
      <c r="F95" s="3359" t="s">
        <v>630</v>
      </c>
    </row>
    <row r="96" spans="2:6" ht="15.6" customHeight="1" thickBot="1" x14ac:dyDescent="0.3">
      <c r="B96" s="3355">
        <f t="shared" si="1"/>
        <v>85</v>
      </c>
      <c r="C96" s="3356" t="s">
        <v>3372</v>
      </c>
      <c r="D96" s="3362" t="s">
        <v>3371</v>
      </c>
      <c r="E96" s="3358" t="s">
        <v>579</v>
      </c>
      <c r="F96" s="3359" t="s">
        <v>630</v>
      </c>
    </row>
    <row r="97" spans="2:6" ht="15.6" customHeight="1" thickBot="1" x14ac:dyDescent="0.3">
      <c r="B97" s="3355">
        <f t="shared" si="1"/>
        <v>86</v>
      </c>
      <c r="C97" s="3356" t="s">
        <v>3373</v>
      </c>
      <c r="D97" s="3362" t="s">
        <v>3362</v>
      </c>
      <c r="E97" s="3358" t="s">
        <v>579</v>
      </c>
      <c r="F97" s="3359" t="s">
        <v>630</v>
      </c>
    </row>
    <row r="98" spans="2:6" ht="15.6" customHeight="1" thickBot="1" x14ac:dyDescent="0.3">
      <c r="B98" s="3355">
        <f t="shared" si="1"/>
        <v>87</v>
      </c>
      <c r="C98" s="3356" t="s">
        <v>3374</v>
      </c>
      <c r="D98" s="3362" t="s">
        <v>3362</v>
      </c>
      <c r="E98" s="3358" t="s">
        <v>579</v>
      </c>
      <c r="F98" s="3359" t="s">
        <v>630</v>
      </c>
    </row>
    <row r="99" spans="2:6" ht="15.6" customHeight="1" thickBot="1" x14ac:dyDescent="0.3">
      <c r="B99" s="3355">
        <f t="shared" si="1"/>
        <v>88</v>
      </c>
      <c r="C99" s="3356" t="s">
        <v>3339</v>
      </c>
      <c r="D99" s="3357" t="s">
        <v>3375</v>
      </c>
      <c r="E99" s="3358" t="s">
        <v>3268</v>
      </c>
      <c r="F99" s="3359" t="s">
        <v>630</v>
      </c>
    </row>
    <row r="100" spans="2:6" ht="15.6" customHeight="1" thickBot="1" x14ac:dyDescent="0.3">
      <c r="B100" s="3355">
        <f t="shared" si="1"/>
        <v>89</v>
      </c>
      <c r="C100" s="3356" t="s">
        <v>3376</v>
      </c>
      <c r="D100" s="3357" t="s">
        <v>3375</v>
      </c>
      <c r="E100" s="3358" t="s">
        <v>3268</v>
      </c>
      <c r="F100" s="3359" t="s">
        <v>630</v>
      </c>
    </row>
    <row r="101" spans="2:6" ht="15.6" customHeight="1" thickBot="1" x14ac:dyDescent="0.3">
      <c r="B101" s="3355">
        <f t="shared" si="1"/>
        <v>90</v>
      </c>
      <c r="C101" s="3356" t="s">
        <v>3377</v>
      </c>
      <c r="D101" s="3357" t="s">
        <v>3378</v>
      </c>
      <c r="E101" s="3358" t="s">
        <v>579</v>
      </c>
      <c r="F101" s="3359" t="s">
        <v>630</v>
      </c>
    </row>
    <row r="102" spans="2:6" ht="15.6" customHeight="1" thickBot="1" x14ac:dyDescent="0.3">
      <c r="B102" s="3355">
        <f t="shared" si="1"/>
        <v>91</v>
      </c>
      <c r="C102" s="3356" t="s">
        <v>3379</v>
      </c>
      <c r="D102" s="3357" t="s">
        <v>3378</v>
      </c>
      <c r="E102" s="3358" t="s">
        <v>579</v>
      </c>
      <c r="F102" s="3359" t="s">
        <v>630</v>
      </c>
    </row>
    <row r="103" spans="2:6" ht="15.6" customHeight="1" thickBot="1" x14ac:dyDescent="0.3">
      <c r="B103" s="3355">
        <f t="shared" si="1"/>
        <v>92</v>
      </c>
      <c r="C103" s="3356" t="s">
        <v>3380</v>
      </c>
      <c r="D103" s="3357" t="s">
        <v>3378</v>
      </c>
      <c r="E103" s="3358" t="s">
        <v>579</v>
      </c>
      <c r="F103" s="3359" t="s">
        <v>630</v>
      </c>
    </row>
    <row r="104" spans="2:6" ht="15.6" customHeight="1" thickBot="1" x14ac:dyDescent="0.3">
      <c r="B104" s="3355">
        <f t="shared" si="1"/>
        <v>93</v>
      </c>
      <c r="C104" s="3356" t="s">
        <v>3381</v>
      </c>
      <c r="D104" s="3357" t="s">
        <v>3378</v>
      </c>
      <c r="E104" s="3358" t="s">
        <v>579</v>
      </c>
      <c r="F104" s="3359" t="s">
        <v>630</v>
      </c>
    </row>
    <row r="105" spans="2:6" ht="15.6" customHeight="1" thickBot="1" x14ac:dyDescent="0.3">
      <c r="B105" s="3355">
        <f t="shared" si="1"/>
        <v>94</v>
      </c>
      <c r="C105" s="3356" t="s">
        <v>3382</v>
      </c>
      <c r="D105" s="3357" t="s">
        <v>3383</v>
      </c>
      <c r="E105" s="3358" t="s">
        <v>579</v>
      </c>
      <c r="F105" s="3359" t="s">
        <v>630</v>
      </c>
    </row>
    <row r="106" spans="2:6" ht="15.6" customHeight="1" thickBot="1" x14ac:dyDescent="0.3">
      <c r="B106" s="3355">
        <f t="shared" si="1"/>
        <v>95</v>
      </c>
      <c r="C106" s="3356" t="s">
        <v>3384</v>
      </c>
      <c r="D106" s="3357" t="s">
        <v>3383</v>
      </c>
      <c r="E106" s="3358" t="s">
        <v>579</v>
      </c>
      <c r="F106" s="3359" t="s">
        <v>630</v>
      </c>
    </row>
    <row r="107" spans="2:6" ht="15.6" customHeight="1" thickBot="1" x14ac:dyDescent="0.3">
      <c r="B107" s="3355">
        <f t="shared" si="1"/>
        <v>96</v>
      </c>
      <c r="C107" s="3356" t="s">
        <v>3385</v>
      </c>
      <c r="D107" s="3357" t="s">
        <v>3386</v>
      </c>
      <c r="E107" s="3358" t="s">
        <v>579</v>
      </c>
      <c r="F107" s="3359" t="s">
        <v>630</v>
      </c>
    </row>
    <row r="108" spans="2:6" ht="15.6" customHeight="1" thickBot="1" x14ac:dyDescent="0.3">
      <c r="B108" s="3355">
        <f t="shared" si="1"/>
        <v>97</v>
      </c>
      <c r="C108" s="3356" t="s">
        <v>3387</v>
      </c>
      <c r="D108" s="3357" t="s">
        <v>3386</v>
      </c>
      <c r="E108" s="3358" t="s">
        <v>579</v>
      </c>
      <c r="F108" s="3359" t="s">
        <v>630</v>
      </c>
    </row>
    <row r="109" spans="2:6" ht="15.6" customHeight="1" thickBot="1" x14ac:dyDescent="0.3">
      <c r="B109" s="3355">
        <f t="shared" si="1"/>
        <v>98</v>
      </c>
      <c r="C109" s="3356" t="s">
        <v>3388</v>
      </c>
      <c r="D109" s="3357" t="s">
        <v>3386</v>
      </c>
      <c r="E109" s="3358" t="s">
        <v>579</v>
      </c>
      <c r="F109" s="3359" t="s">
        <v>630</v>
      </c>
    </row>
    <row r="110" spans="2:6" ht="15.6" customHeight="1" thickBot="1" x14ac:dyDescent="0.3">
      <c r="B110" s="3355">
        <f t="shared" si="1"/>
        <v>99</v>
      </c>
      <c r="C110" s="3356" t="s">
        <v>3389</v>
      </c>
      <c r="D110" s="3357" t="s">
        <v>3386</v>
      </c>
      <c r="E110" s="3358" t="s">
        <v>579</v>
      </c>
      <c r="F110" s="3359" t="s">
        <v>630</v>
      </c>
    </row>
    <row r="111" spans="2:6" ht="15.6" customHeight="1" thickBot="1" x14ac:dyDescent="0.3">
      <c r="B111" s="3355">
        <f t="shared" si="1"/>
        <v>100</v>
      </c>
      <c r="C111" s="3356" t="s">
        <v>3390</v>
      </c>
      <c r="D111" s="3357" t="s">
        <v>3391</v>
      </c>
      <c r="E111" s="3358" t="s">
        <v>579</v>
      </c>
      <c r="F111" s="3359" t="s">
        <v>630</v>
      </c>
    </row>
    <row r="112" spans="2:6" ht="15.6" customHeight="1" thickBot="1" x14ac:dyDescent="0.3">
      <c r="B112" s="3355">
        <f t="shared" si="1"/>
        <v>101</v>
      </c>
      <c r="C112" s="3356" t="s">
        <v>3392</v>
      </c>
      <c r="D112" s="3357" t="s">
        <v>3393</v>
      </c>
      <c r="E112" s="3358" t="s">
        <v>579</v>
      </c>
      <c r="F112" s="3359" t="s">
        <v>630</v>
      </c>
    </row>
    <row r="113" spans="2:6" ht="15.6" customHeight="1" thickBot="1" x14ac:dyDescent="0.3">
      <c r="B113" s="3355">
        <f t="shared" si="1"/>
        <v>102</v>
      </c>
      <c r="C113" s="3356" t="s">
        <v>3394</v>
      </c>
      <c r="D113" s="3357" t="s">
        <v>3395</v>
      </c>
      <c r="E113" s="3358" t="s">
        <v>579</v>
      </c>
      <c r="F113" s="3359" t="s">
        <v>630</v>
      </c>
    </row>
    <row r="114" spans="2:6" ht="15.6" customHeight="1" thickBot="1" x14ac:dyDescent="0.3">
      <c r="B114" s="3355">
        <f t="shared" si="1"/>
        <v>103</v>
      </c>
      <c r="C114" s="3356" t="s">
        <v>3396</v>
      </c>
      <c r="D114" s="3357" t="s">
        <v>3397</v>
      </c>
      <c r="E114" s="3358" t="s">
        <v>3268</v>
      </c>
      <c r="F114" s="3359" t="s">
        <v>630</v>
      </c>
    </row>
    <row r="115" spans="2:6" ht="15.6" customHeight="1" thickBot="1" x14ac:dyDescent="0.3">
      <c r="B115" s="3355">
        <f t="shared" si="1"/>
        <v>104</v>
      </c>
      <c r="C115" s="3356" t="s">
        <v>3398</v>
      </c>
      <c r="D115" s="3357" t="s">
        <v>3397</v>
      </c>
      <c r="E115" s="3358" t="s">
        <v>3268</v>
      </c>
      <c r="F115" s="3359" t="s">
        <v>630</v>
      </c>
    </row>
    <row r="116" spans="2:6" ht="15.6" customHeight="1" thickBot="1" x14ac:dyDescent="0.3">
      <c r="B116" s="3355">
        <f t="shared" si="1"/>
        <v>105</v>
      </c>
      <c r="C116" s="3356" t="s">
        <v>3399</v>
      </c>
      <c r="D116" s="3357" t="s">
        <v>3397</v>
      </c>
      <c r="E116" s="3358" t="s">
        <v>3268</v>
      </c>
      <c r="F116" s="3359" t="s">
        <v>630</v>
      </c>
    </row>
    <row r="117" spans="2:6" ht="15.6" customHeight="1" thickBot="1" x14ac:dyDescent="0.3">
      <c r="B117" s="3355">
        <f t="shared" si="1"/>
        <v>106</v>
      </c>
      <c r="C117" s="3356" t="s">
        <v>3400</v>
      </c>
      <c r="D117" s="3357" t="s">
        <v>3401</v>
      </c>
      <c r="E117" s="3358" t="s">
        <v>579</v>
      </c>
      <c r="F117" s="3359" t="s">
        <v>630</v>
      </c>
    </row>
    <row r="118" spans="2:6" ht="15.6" customHeight="1" thickBot="1" x14ac:dyDescent="0.3">
      <c r="B118" s="3355">
        <f t="shared" si="1"/>
        <v>107</v>
      </c>
      <c r="C118" s="3356" t="s">
        <v>3402</v>
      </c>
      <c r="D118" s="3357" t="s">
        <v>3282</v>
      </c>
      <c r="E118" s="3358" t="s">
        <v>579</v>
      </c>
      <c r="F118" s="3359" t="s">
        <v>630</v>
      </c>
    </row>
    <row r="119" spans="2:6" ht="15.6" customHeight="1" thickBot="1" x14ac:dyDescent="0.3">
      <c r="B119" s="3355">
        <f t="shared" si="1"/>
        <v>108</v>
      </c>
      <c r="C119" s="3356" t="s">
        <v>3403</v>
      </c>
      <c r="D119" s="3357" t="s">
        <v>3404</v>
      </c>
      <c r="E119" s="3358" t="s">
        <v>579</v>
      </c>
      <c r="F119" s="3359" t="s">
        <v>630</v>
      </c>
    </row>
    <row r="120" spans="2:6" ht="15.6" customHeight="1" thickBot="1" x14ac:dyDescent="0.3">
      <c r="B120" s="3355">
        <f t="shared" si="1"/>
        <v>109</v>
      </c>
      <c r="C120" s="3356" t="s">
        <v>3405</v>
      </c>
      <c r="D120" s="3357" t="s">
        <v>3406</v>
      </c>
      <c r="E120" s="3358" t="s">
        <v>579</v>
      </c>
      <c r="F120" s="3359" t="s">
        <v>630</v>
      </c>
    </row>
    <row r="121" spans="2:6" ht="15.6" customHeight="1" thickBot="1" x14ac:dyDescent="0.3">
      <c r="B121" s="3355">
        <f t="shared" si="1"/>
        <v>110</v>
      </c>
      <c r="C121" s="3356" t="s">
        <v>3451</v>
      </c>
      <c r="D121" s="3357" t="s">
        <v>3406</v>
      </c>
      <c r="E121" s="3358" t="s">
        <v>579</v>
      </c>
      <c r="F121" s="3359" t="s">
        <v>630</v>
      </c>
    </row>
    <row r="123" spans="2:6" x14ac:dyDescent="0.25">
      <c r="B123" s="58" t="s">
        <v>2846</v>
      </c>
      <c r="C123" s="3641"/>
      <c r="E123" s="3642" t="s">
        <v>2847</v>
      </c>
    </row>
  </sheetData>
  <mergeCells count="7">
    <mergeCell ref="B7:F7"/>
    <mergeCell ref="B8:F8"/>
    <mergeCell ref="E2:F2"/>
    <mergeCell ref="B3:F3"/>
    <mergeCell ref="B4:F4"/>
    <mergeCell ref="B5:F5"/>
    <mergeCell ref="B6:F6"/>
  </mergeCells>
  <pageMargins left="0.78740157480314965" right="0.70866141732283472" top="0.34" bottom="0.45" header="0.15748031496062992" footer="0.15748031496062992"/>
  <pageSetup paperSize="9" scale="77"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M62"/>
  <sheetViews>
    <sheetView view="pageBreakPreview" zoomScaleNormal="115" zoomScaleSheetLayoutView="100" workbookViewId="0">
      <selection activeCell="P8" sqref="P8"/>
    </sheetView>
  </sheetViews>
  <sheetFormatPr defaultColWidth="9.140625" defaultRowHeight="15" x14ac:dyDescent="0.25"/>
  <cols>
    <col min="1" max="1" width="4.7109375" style="1241" customWidth="1"/>
    <col min="2" max="2" width="42.85546875" style="1241" customWidth="1"/>
    <col min="3" max="3" width="9.5703125" style="2496" customWidth="1"/>
    <col min="4" max="4" width="10.28515625" style="1241" customWidth="1"/>
    <col min="5" max="7" width="9.7109375" style="1241" customWidth="1"/>
    <col min="8" max="8" width="9.5703125" style="1241" customWidth="1"/>
    <col min="9" max="9" width="13.5703125" style="1241" hidden="1" customWidth="1"/>
    <col min="10" max="10" width="20.5703125" style="1241" hidden="1" customWidth="1"/>
    <col min="11" max="11" width="20.140625" style="1241" hidden="1" customWidth="1"/>
    <col min="12" max="12" width="8.140625" style="1241" hidden="1" customWidth="1"/>
    <col min="13" max="13" width="8.7109375" style="1241" hidden="1" customWidth="1"/>
    <col min="14" max="14" width="6.5703125" style="1241" customWidth="1"/>
    <col min="15" max="15" width="8.7109375" style="1241" customWidth="1"/>
    <col min="16" max="16" width="8" style="1241" customWidth="1"/>
    <col min="17" max="17" width="6.5703125" style="1241" customWidth="1"/>
    <col min="18" max="18" width="6.7109375" style="1241" customWidth="1"/>
    <col min="19" max="19" width="3.85546875" style="1241" customWidth="1"/>
    <col min="20" max="24" width="12.140625" style="1241" customWidth="1"/>
    <col min="25" max="16384" width="9.140625" style="1241"/>
  </cols>
  <sheetData>
    <row r="1" spans="1:9" ht="36" customHeight="1" x14ac:dyDescent="0.25">
      <c r="A1" s="2888"/>
      <c r="B1" s="2889"/>
      <c r="C1" s="2890"/>
      <c r="D1" s="2891"/>
      <c r="E1" s="3748" t="s">
        <v>3480</v>
      </c>
      <c r="F1" s="3748"/>
      <c r="G1" s="3748"/>
      <c r="H1" s="3748"/>
      <c r="I1" s="1242" t="s">
        <v>643</v>
      </c>
    </row>
    <row r="2" spans="1:9" ht="13.15" customHeight="1" x14ac:dyDescent="0.25">
      <c r="A2" s="2888"/>
      <c r="B2" s="2889"/>
      <c r="C2" s="2890"/>
      <c r="D2" s="2891"/>
      <c r="E2" s="3754"/>
      <c r="F2" s="3754"/>
      <c r="G2" s="3754"/>
      <c r="H2" s="3754"/>
    </row>
    <row r="3" spans="1:9" ht="13.15" customHeight="1" x14ac:dyDescent="0.25">
      <c r="A3" s="2888"/>
      <c r="B3" s="2889"/>
      <c r="C3" s="2890"/>
      <c r="D3" s="2891"/>
      <c r="E3" s="2937"/>
      <c r="F3" s="2937"/>
      <c r="G3" s="2937"/>
      <c r="H3" s="2937"/>
    </row>
    <row r="4" spans="1:9" ht="13.15" customHeight="1" x14ac:dyDescent="0.25">
      <c r="A4" s="2888"/>
      <c r="B4" s="2889"/>
      <c r="C4" s="2890"/>
      <c r="D4" s="2891"/>
      <c r="E4" s="2937"/>
      <c r="F4" s="2937"/>
      <c r="G4" s="2937"/>
      <c r="H4" s="2937"/>
    </row>
    <row r="5" spans="1:9" ht="18.75" customHeight="1" x14ac:dyDescent="0.25">
      <c r="A5" s="2888"/>
      <c r="B5" s="3679" t="s">
        <v>450</v>
      </c>
      <c r="C5" s="3679"/>
      <c r="D5" s="3679"/>
      <c r="E5" s="3679"/>
      <c r="F5" s="3679"/>
      <c r="G5" s="3679"/>
      <c r="H5" s="3679"/>
    </row>
    <row r="6" spans="1:9" ht="14.45" customHeight="1" x14ac:dyDescent="0.25">
      <c r="A6" s="3755" t="s">
        <v>1336</v>
      </c>
      <c r="B6" s="3755"/>
      <c r="C6" s="3755"/>
      <c r="D6" s="3755"/>
      <c r="E6" s="3755"/>
      <c r="F6" s="3755"/>
      <c r="G6" s="3755"/>
      <c r="H6" s="3755"/>
      <c r="I6" s="1242" t="s">
        <v>630</v>
      </c>
    </row>
    <row r="7" spans="1:9" ht="14.25" customHeight="1" x14ac:dyDescent="0.25">
      <c r="A7" s="2888"/>
      <c r="B7" s="3749"/>
      <c r="C7" s="3749"/>
      <c r="D7" s="3749"/>
      <c r="E7" s="3749"/>
      <c r="F7" s="3749"/>
      <c r="G7" s="3749"/>
      <c r="H7" s="3749"/>
    </row>
    <row r="8" spans="1:9" x14ac:dyDescent="0.25">
      <c r="A8" s="3750" t="s">
        <v>220</v>
      </c>
      <c r="B8" s="3751"/>
      <c r="C8" s="3751"/>
      <c r="D8" s="3751"/>
      <c r="E8" s="3751"/>
      <c r="F8" s="3751"/>
      <c r="G8" s="3751"/>
      <c r="H8" s="3751"/>
    </row>
    <row r="9" spans="1:9" ht="12.6" customHeight="1" x14ac:dyDescent="0.25">
      <c r="A9" s="3752" t="s">
        <v>7</v>
      </c>
      <c r="B9" s="3753" t="s">
        <v>111</v>
      </c>
      <c r="C9" s="3752" t="s">
        <v>35</v>
      </c>
      <c r="D9" s="3752" t="s">
        <v>3474</v>
      </c>
      <c r="E9" s="3752" t="s">
        <v>254</v>
      </c>
      <c r="F9" s="3752"/>
      <c r="G9" s="3752"/>
      <c r="H9" s="3752"/>
    </row>
    <row r="10" spans="1:9" ht="33.75" customHeight="1" x14ac:dyDescent="0.25">
      <c r="A10" s="3752"/>
      <c r="B10" s="3753"/>
      <c r="C10" s="3752"/>
      <c r="D10" s="3752"/>
      <c r="E10" s="2892" t="s">
        <v>3</v>
      </c>
      <c r="F10" s="2892" t="s">
        <v>173</v>
      </c>
      <c r="G10" s="2892" t="s">
        <v>98</v>
      </c>
      <c r="H10" s="2892" t="s">
        <v>99</v>
      </c>
      <c r="I10" s="1242"/>
    </row>
    <row r="11" spans="1:9" ht="12.75" customHeight="1" x14ac:dyDescent="0.25">
      <c r="A11" s="2892">
        <v>1</v>
      </c>
      <c r="B11" s="2892">
        <v>2</v>
      </c>
      <c r="C11" s="2892">
        <v>3</v>
      </c>
      <c r="D11" s="2892">
        <v>4</v>
      </c>
      <c r="E11" s="2892">
        <v>5</v>
      </c>
      <c r="F11" s="2892">
        <v>6</v>
      </c>
      <c r="G11" s="2892">
        <v>7</v>
      </c>
      <c r="H11" s="2892">
        <v>8</v>
      </c>
    </row>
    <row r="12" spans="1:9" x14ac:dyDescent="0.25">
      <c r="A12" s="2882">
        <v>1</v>
      </c>
      <c r="B12" s="2883" t="s">
        <v>255</v>
      </c>
      <c r="C12" s="2884" t="s">
        <v>74</v>
      </c>
      <c r="D12" s="2893">
        <f>D13+D14+D15</f>
        <v>7163.27</v>
      </c>
      <c r="E12" s="2893">
        <f>E13+E14+E15</f>
        <v>0</v>
      </c>
      <c r="F12" s="2893">
        <f>F13+F14+F15</f>
        <v>0</v>
      </c>
      <c r="G12" s="2893">
        <f>G13+G14+G15</f>
        <v>0</v>
      </c>
      <c r="H12" s="2893">
        <f>H13+H14+H15</f>
        <v>7163.27</v>
      </c>
    </row>
    <row r="13" spans="1:9" ht="25.5" x14ac:dyDescent="0.25">
      <c r="A13" s="2882" t="s">
        <v>23</v>
      </c>
      <c r="B13" s="2883" t="s">
        <v>580</v>
      </c>
      <c r="C13" s="2884" t="s">
        <v>74</v>
      </c>
      <c r="D13" s="2893">
        <f>'Д 2_Т на В'!H53+'Д 2_Т на В'!H54</f>
        <v>6776.73</v>
      </c>
      <c r="E13" s="2893">
        <f>'Д 2_Т на В'!L53+'Д 2_Т на В'!L54</f>
        <v>0</v>
      </c>
      <c r="F13" s="2893">
        <f>'Д 2_Т на В'!P53+'Д 2_Т на В'!P54</f>
        <v>0</v>
      </c>
      <c r="G13" s="2893">
        <f>'Д 2_Т на В'!T53+'Д 2_Т на В'!T54</f>
        <v>0</v>
      </c>
      <c r="H13" s="2893">
        <f>'Д 2_Т на В'!X53+'Д 2_Т на В'!X54</f>
        <v>6776.73</v>
      </c>
    </row>
    <row r="14" spans="1:9" ht="25.5" x14ac:dyDescent="0.25">
      <c r="A14" s="2882" t="s">
        <v>24</v>
      </c>
      <c r="B14" s="2864" t="s">
        <v>2726</v>
      </c>
      <c r="C14" s="2884" t="s">
        <v>74</v>
      </c>
      <c r="D14" s="2879">
        <f>'Д 2_Т на В'!H44/'Д 2_Т на В'!H58*1000</f>
        <v>0</v>
      </c>
      <c r="E14" s="2879">
        <v>0</v>
      </c>
      <c r="F14" s="2879">
        <v>0</v>
      </c>
      <c r="G14" s="2879">
        <v>0</v>
      </c>
      <c r="H14" s="2879">
        <f>'Д 2_Т на В'!X44/'Д 2_Т на В'!X58*1000</f>
        <v>0</v>
      </c>
      <c r="I14" s="1242"/>
    </row>
    <row r="15" spans="1:9" x14ac:dyDescent="0.25">
      <c r="A15" s="2882" t="s">
        <v>48</v>
      </c>
      <c r="B15" s="2883" t="s">
        <v>581</v>
      </c>
      <c r="C15" s="2884" t="s">
        <v>74</v>
      </c>
      <c r="D15" s="2893">
        <f>'Д 2_Т на В'!H52-'Д 2_Т на В'!H53-'Д 2_Т на В'!H54-D14</f>
        <v>386.54</v>
      </c>
      <c r="E15" s="2893">
        <v>0</v>
      </c>
      <c r="F15" s="2893">
        <v>0</v>
      </c>
      <c r="G15" s="2893">
        <f>'Д 2_Т на В'!T52-'Д 2_Т на В'!T53-'Д 2_Т на В'!T54-G14</f>
        <v>0</v>
      </c>
      <c r="H15" s="2893">
        <f>'Д 2_Т на В'!X52-'Д 2_Т на В'!X53-'Д 2_Т на В'!X54-H14</f>
        <v>386.54</v>
      </c>
    </row>
    <row r="16" spans="1:9" ht="30" customHeight="1" x14ac:dyDescent="0.25">
      <c r="A16" s="2882">
        <v>2</v>
      </c>
      <c r="B16" s="2883" t="s">
        <v>582</v>
      </c>
      <c r="C16" s="2884" t="s">
        <v>74</v>
      </c>
      <c r="D16" s="2893">
        <f>D17+D18+D19</f>
        <v>1987.24</v>
      </c>
      <c r="E16" s="2893">
        <f>E17+E18+E19</f>
        <v>0</v>
      </c>
      <c r="F16" s="2893">
        <f>F17+F18+F19</f>
        <v>0</v>
      </c>
      <c r="G16" s="2893">
        <f>G17+G18+G19</f>
        <v>0</v>
      </c>
      <c r="H16" s="2893">
        <f>H17+H18+H19</f>
        <v>1987.24</v>
      </c>
    </row>
    <row r="17" spans="1:12" ht="25.5" x14ac:dyDescent="0.25">
      <c r="A17" s="2882" t="s">
        <v>25</v>
      </c>
      <c r="B17" s="2883" t="s">
        <v>583</v>
      </c>
      <c r="C17" s="2884" t="s">
        <v>74</v>
      </c>
      <c r="D17" s="2893">
        <f>'Д 3.1_Т на Т без ЦТП'!G37/'Д 3.1_Т на Т без ЦТП'!G56*1000</f>
        <v>1880.01</v>
      </c>
      <c r="E17" s="2893">
        <v>0</v>
      </c>
      <c r="F17" s="2893">
        <v>0</v>
      </c>
      <c r="G17" s="2893">
        <v>0</v>
      </c>
      <c r="H17" s="2893">
        <f>'Д 3.1_Т на Т без ЦТП'!K37/'Д 3.1_Т на Т без ЦТП'!K56*1000</f>
        <v>1880.01</v>
      </c>
    </row>
    <row r="18" spans="1:12" ht="25.5" x14ac:dyDescent="0.25">
      <c r="A18" s="2882" t="s">
        <v>26</v>
      </c>
      <c r="B18" s="2864" t="s">
        <v>2726</v>
      </c>
      <c r="C18" s="2884" t="s">
        <v>74</v>
      </c>
      <c r="D18" s="2893">
        <v>0</v>
      </c>
      <c r="E18" s="2893">
        <v>0</v>
      </c>
      <c r="F18" s="2893">
        <v>0</v>
      </c>
      <c r="G18" s="2893">
        <v>0</v>
      </c>
      <c r="H18" s="2893">
        <v>0</v>
      </c>
      <c r="I18" s="1242"/>
    </row>
    <row r="19" spans="1:12" ht="15" customHeight="1" x14ac:dyDescent="0.25">
      <c r="A19" s="2882" t="s">
        <v>59</v>
      </c>
      <c r="B19" s="2883" t="s">
        <v>581</v>
      </c>
      <c r="C19" s="2884" t="s">
        <v>74</v>
      </c>
      <c r="D19" s="2893">
        <f>'Д 3.1_Т на Т без ЦТП'!G39/'Д 3.1_Т на Т без ЦТП'!G56*1000</f>
        <v>107.23</v>
      </c>
      <c r="E19" s="2893">
        <v>0</v>
      </c>
      <c r="F19" s="2893">
        <v>0</v>
      </c>
      <c r="G19" s="2893">
        <v>0</v>
      </c>
      <c r="H19" s="2893">
        <f>'Д 3.1_Т на Т без ЦТП'!K39/'Д 3.1_Т на Т без ЦТП'!K56*1000</f>
        <v>107.23</v>
      </c>
    </row>
    <row r="20" spans="1:12" x14ac:dyDescent="0.25">
      <c r="A20" s="2882">
        <v>3</v>
      </c>
      <c r="B20" s="2883" t="s">
        <v>256</v>
      </c>
      <c r="C20" s="2884" t="s">
        <v>74</v>
      </c>
      <c r="D20" s="2893">
        <f>D21+D22+D23</f>
        <v>109.4</v>
      </c>
      <c r="E20" s="2893">
        <v>0</v>
      </c>
      <c r="F20" s="2893">
        <v>0</v>
      </c>
      <c r="G20" s="2893">
        <v>0</v>
      </c>
      <c r="H20" s="2893">
        <f>H21+H22+H23</f>
        <v>109.4</v>
      </c>
    </row>
    <row r="21" spans="1:12" ht="25.5" x14ac:dyDescent="0.25">
      <c r="A21" s="2882" t="s">
        <v>60</v>
      </c>
      <c r="B21" s="2883" t="s">
        <v>584</v>
      </c>
      <c r="C21" s="2884" t="s">
        <v>74</v>
      </c>
      <c r="D21" s="2893">
        <f>'Д 4_Т на П'!G34/'Д 4_Т на П'!G44*1000</f>
        <v>103.5</v>
      </c>
      <c r="E21" s="2893">
        <v>0</v>
      </c>
      <c r="F21" s="2893">
        <v>0</v>
      </c>
      <c r="G21" s="2893">
        <v>0</v>
      </c>
      <c r="H21" s="2893">
        <f>D21</f>
        <v>103.5</v>
      </c>
    </row>
    <row r="22" spans="1:12" ht="16.899999999999999" customHeight="1" x14ac:dyDescent="0.25">
      <c r="A22" s="2882" t="s">
        <v>61</v>
      </c>
      <c r="B22" s="2864" t="s">
        <v>2726</v>
      </c>
      <c r="C22" s="2884" t="s">
        <v>74</v>
      </c>
      <c r="D22" s="2893">
        <v>0</v>
      </c>
      <c r="E22" s="2893">
        <v>0</v>
      </c>
      <c r="F22" s="2893">
        <v>0</v>
      </c>
      <c r="G22" s="2893">
        <v>0</v>
      </c>
      <c r="H22" s="2893">
        <v>0</v>
      </c>
      <c r="I22" s="1242"/>
    </row>
    <row r="23" spans="1:12" ht="16.899999999999999" customHeight="1" x14ac:dyDescent="0.25">
      <c r="A23" s="2882" t="s">
        <v>62</v>
      </c>
      <c r="B23" s="2883" t="s">
        <v>581</v>
      </c>
      <c r="C23" s="2884" t="s">
        <v>74</v>
      </c>
      <c r="D23" s="2893">
        <f>'Д 4_Т на П'!G36/'Д 4_Т на П'!G44*1000</f>
        <v>5.9</v>
      </c>
      <c r="E23" s="2893">
        <v>0</v>
      </c>
      <c r="F23" s="2893">
        <v>0</v>
      </c>
      <c r="G23" s="2893">
        <v>0</v>
      </c>
      <c r="H23" s="2893">
        <f>D23</f>
        <v>5.9</v>
      </c>
    </row>
    <row r="24" spans="1:12" x14ac:dyDescent="0.25">
      <c r="A24" s="2882">
        <v>4</v>
      </c>
      <c r="B24" s="2883" t="s">
        <v>257</v>
      </c>
      <c r="C24" s="2884" t="s">
        <v>74</v>
      </c>
      <c r="D24" s="2894">
        <f>D25+D26+D27</f>
        <v>9259.91</v>
      </c>
      <c r="E24" s="2894">
        <f>E25+E26+E27</f>
        <v>0</v>
      </c>
      <c r="F24" s="2894">
        <f>F25+F26+F27</f>
        <v>0</v>
      </c>
      <c r="G24" s="2894">
        <f>G25+G26+G27</f>
        <v>0</v>
      </c>
      <c r="H24" s="2894">
        <f>H25+H26+H27</f>
        <v>9259.91</v>
      </c>
    </row>
    <row r="25" spans="1:12" ht="17.45" customHeight="1" x14ac:dyDescent="0.25">
      <c r="A25" s="2882" t="s">
        <v>27</v>
      </c>
      <c r="B25" s="2883" t="s">
        <v>585</v>
      </c>
      <c r="C25" s="2884" t="s">
        <v>74</v>
      </c>
      <c r="D25" s="2893">
        <f t="shared" ref="D25:H27" si="0">D13+D17+D21</f>
        <v>8760.24</v>
      </c>
      <c r="E25" s="2893">
        <f t="shared" si="0"/>
        <v>0</v>
      </c>
      <c r="F25" s="2893">
        <f t="shared" si="0"/>
        <v>0</v>
      </c>
      <c r="G25" s="2893">
        <f t="shared" si="0"/>
        <v>0</v>
      </c>
      <c r="H25" s="2893">
        <f t="shared" si="0"/>
        <v>8760.24</v>
      </c>
    </row>
    <row r="26" spans="1:12" ht="15.6" customHeight="1" x14ac:dyDescent="0.25">
      <c r="A26" s="2882" t="s">
        <v>113</v>
      </c>
      <c r="B26" s="2864" t="s">
        <v>2726</v>
      </c>
      <c r="C26" s="2884" t="s">
        <v>74</v>
      </c>
      <c r="D26" s="2893">
        <f t="shared" si="0"/>
        <v>0</v>
      </c>
      <c r="E26" s="2893">
        <f t="shared" si="0"/>
        <v>0</v>
      </c>
      <c r="F26" s="2893">
        <f t="shared" si="0"/>
        <v>0</v>
      </c>
      <c r="G26" s="2893">
        <f t="shared" si="0"/>
        <v>0</v>
      </c>
      <c r="H26" s="2893">
        <f t="shared" si="0"/>
        <v>0</v>
      </c>
      <c r="I26" s="1242"/>
    </row>
    <row r="27" spans="1:12" ht="15.6" customHeight="1" thickBot="1" x14ac:dyDescent="0.3">
      <c r="A27" s="2882" t="s">
        <v>166</v>
      </c>
      <c r="B27" s="2883" t="s">
        <v>581</v>
      </c>
      <c r="C27" s="2884" t="s">
        <v>74</v>
      </c>
      <c r="D27" s="2893">
        <f t="shared" si="0"/>
        <v>499.67</v>
      </c>
      <c r="E27" s="2893">
        <f t="shared" si="0"/>
        <v>0</v>
      </c>
      <c r="F27" s="2893">
        <f t="shared" si="0"/>
        <v>0</v>
      </c>
      <c r="G27" s="2893">
        <f>G15+G19+G23</f>
        <v>0</v>
      </c>
      <c r="H27" s="2893">
        <f t="shared" si="0"/>
        <v>499.67</v>
      </c>
      <c r="J27" s="1241" t="s">
        <v>1957</v>
      </c>
      <c r="K27" s="1241" t="s">
        <v>1958</v>
      </c>
    </row>
    <row r="28" spans="1:12" ht="38.25" x14ac:dyDescent="0.25">
      <c r="A28" s="2882">
        <v>5</v>
      </c>
      <c r="B28" s="2883" t="s">
        <v>588</v>
      </c>
      <c r="C28" s="2884" t="s">
        <v>40</v>
      </c>
      <c r="D28" s="2895">
        <f>D29+D30+D31</f>
        <v>76492.88</v>
      </c>
      <c r="E28" s="2895">
        <f>E29+E30+E31</f>
        <v>0</v>
      </c>
      <c r="F28" s="2895">
        <f>F29+F30+F31</f>
        <v>0</v>
      </c>
      <c r="G28" s="2895">
        <f>G29+G30+G31</f>
        <v>0</v>
      </c>
      <c r="H28" s="2895">
        <f>H29+H30+H31</f>
        <v>76492.88</v>
      </c>
      <c r="I28" s="2483" t="s">
        <v>2106</v>
      </c>
      <c r="J28" s="2484">
        <f>D28+'Д 5 Т на ТЕ з ЦТП'!D25</f>
        <v>88408.47</v>
      </c>
      <c r="K28" s="2485">
        <f>K29+K31</f>
        <v>88408.05</v>
      </c>
      <c r="L28" s="2486">
        <f>J28-K28</f>
        <v>0.42</v>
      </c>
    </row>
    <row r="29" spans="1:12" ht="25.5" x14ac:dyDescent="0.25">
      <c r="A29" s="2882" t="s">
        <v>28</v>
      </c>
      <c r="B29" s="2883" t="s">
        <v>586</v>
      </c>
      <c r="C29" s="2884" t="s">
        <v>40</v>
      </c>
      <c r="D29" s="2895">
        <f>SUM(E29:H29)</f>
        <v>72365.279999999999</v>
      </c>
      <c r="E29" s="2895">
        <f>(E13+E17+E21)*E36/1000</f>
        <v>0</v>
      </c>
      <c r="F29" s="2895">
        <f>(F13+F17+F21)*F36/1000</f>
        <v>0</v>
      </c>
      <c r="G29" s="2895">
        <f>(G13+G17+G21)*G36/1000</f>
        <v>0</v>
      </c>
      <c r="H29" s="2895">
        <f>(H13+H17+H21)*H36/1000</f>
        <v>72365.279999999999</v>
      </c>
      <c r="I29" s="2487" t="s">
        <v>2107</v>
      </c>
      <c r="J29" s="2488">
        <f>D29+'Д 5 Т на ТЕ з ЦТП'!D26</f>
        <v>83637.899999999994</v>
      </c>
      <c r="K29" s="2489">
        <f>Виробництво_Транспортування_1ст!F9+Виробництво_Транспортування_1ст!F103+Постачання_1ст!F9+ЗВВ_1ст!G8+ЗВВ_1ст!H8+ЗВВ_1ст!K8+Адміністративні_1ст!G8+Адміністративні_1ст!H8+Адміністративні_1ст!K8-Виробництво_Транспортування_1ст!F117+'Д 2_Т на В'!H42</f>
        <v>83169.850000000006</v>
      </c>
      <c r="L29" s="2490">
        <f>J29-K29</f>
        <v>468.05</v>
      </c>
    </row>
    <row r="30" spans="1:12" ht="16.899999999999999" customHeight="1" x14ac:dyDescent="0.25">
      <c r="A30" s="2882" t="s">
        <v>29</v>
      </c>
      <c r="B30" s="2864" t="s">
        <v>2726</v>
      </c>
      <c r="C30" s="2884" t="s">
        <v>40</v>
      </c>
      <c r="D30" s="2895">
        <f>SUM(E30:H30)</f>
        <v>0</v>
      </c>
      <c r="E30" s="2895">
        <f>(E14+E18+E22)*E36/1000</f>
        <v>0</v>
      </c>
      <c r="F30" s="2895">
        <f>(F14+F18+F22)*F36/1000</f>
        <v>0</v>
      </c>
      <c r="G30" s="2895">
        <f>(G14+G18+G22)*G36/1000</f>
        <v>0</v>
      </c>
      <c r="H30" s="2895">
        <f>(H14+H18+H22)*H36/1000</f>
        <v>0</v>
      </c>
      <c r="I30" s="2487"/>
      <c r="J30" s="2488"/>
      <c r="K30" s="2491"/>
      <c r="L30" s="2490"/>
    </row>
    <row r="31" spans="1:12" ht="26.25" thickBot="1" x14ac:dyDescent="0.3">
      <c r="A31" s="2882" t="s">
        <v>30</v>
      </c>
      <c r="B31" s="2883" t="s">
        <v>587</v>
      </c>
      <c r="C31" s="2884" t="s">
        <v>40</v>
      </c>
      <c r="D31" s="2895">
        <f>SUM(E31:H31)</f>
        <v>4127.6000000000004</v>
      </c>
      <c r="E31" s="2895">
        <f>(E15+E19+E23)*E36/1000</f>
        <v>0</v>
      </c>
      <c r="F31" s="2895">
        <f>(F15+F19+F23)*F36/1000</f>
        <v>0</v>
      </c>
      <c r="G31" s="2895">
        <f>(G15+G19+G23)*G36/1000</f>
        <v>0</v>
      </c>
      <c r="H31" s="2895">
        <f>(H15+H19+H23)*H36/1000</f>
        <v>4127.6000000000004</v>
      </c>
      <c r="I31" s="2487" t="s">
        <v>2108</v>
      </c>
      <c r="J31" s="2492">
        <f>D31+'Д 5 Т на ТЕ з ЦТП'!D28</f>
        <v>4770.57</v>
      </c>
      <c r="K31" s="2492">
        <f>'Д 2_Т на В'!H45+'Д 3_Т на Т з ЦТП'!G39+'Д 3.1_Т на Т без ЦТП'!G39+'Д 4_Т на П'!G36</f>
        <v>5238.2</v>
      </c>
      <c r="L31" s="2490">
        <f>J31-K31</f>
        <v>-467.63</v>
      </c>
    </row>
    <row r="32" spans="1:12" ht="63.75" x14ac:dyDescent="0.25">
      <c r="A32" s="2882">
        <v>6</v>
      </c>
      <c r="B32" s="2883" t="s">
        <v>589</v>
      </c>
      <c r="C32" s="2884" t="s">
        <v>40</v>
      </c>
      <c r="D32" s="2895">
        <f>D33+D34+D35</f>
        <v>76492.88</v>
      </c>
      <c r="E32" s="2895">
        <f>E33+E34+E35</f>
        <v>0</v>
      </c>
      <c r="F32" s="2895">
        <f>F33+F34+F35</f>
        <v>0</v>
      </c>
      <c r="G32" s="2895">
        <f>G33+G34+G35</f>
        <v>0</v>
      </c>
      <c r="H32" s="2895">
        <f>H33+H34+H35</f>
        <v>76492.88</v>
      </c>
      <c r="I32" s="1243"/>
    </row>
    <row r="33" spans="1:9" ht="25.5" x14ac:dyDescent="0.25">
      <c r="A33" s="2882" t="s">
        <v>32</v>
      </c>
      <c r="B33" s="2883" t="s">
        <v>590</v>
      </c>
      <c r="C33" s="2884" t="s">
        <v>40</v>
      </c>
      <c r="D33" s="2895">
        <f t="shared" ref="D33:H35" si="1">D29</f>
        <v>72365.279999999999</v>
      </c>
      <c r="E33" s="2895">
        <f t="shared" si="1"/>
        <v>0</v>
      </c>
      <c r="F33" s="2895">
        <f t="shared" si="1"/>
        <v>0</v>
      </c>
      <c r="G33" s="2895">
        <f t="shared" si="1"/>
        <v>0</v>
      </c>
      <c r="H33" s="2895">
        <f t="shared" si="1"/>
        <v>72365.279999999999</v>
      </c>
    </row>
    <row r="34" spans="1:9" ht="25.5" x14ac:dyDescent="0.25">
      <c r="A34" s="2882" t="s">
        <v>33</v>
      </c>
      <c r="B34" s="2864" t="s">
        <v>2726</v>
      </c>
      <c r="C34" s="2884" t="s">
        <v>40</v>
      </c>
      <c r="D34" s="2895">
        <f t="shared" si="1"/>
        <v>0</v>
      </c>
      <c r="E34" s="2895">
        <f t="shared" si="1"/>
        <v>0</v>
      </c>
      <c r="F34" s="2895">
        <f t="shared" si="1"/>
        <v>0</v>
      </c>
      <c r="G34" s="2895">
        <f t="shared" si="1"/>
        <v>0</v>
      </c>
      <c r="H34" s="2895">
        <f t="shared" si="1"/>
        <v>0</v>
      </c>
    </row>
    <row r="35" spans="1:9" ht="25.5" x14ac:dyDescent="0.25">
      <c r="A35" s="2882" t="s">
        <v>34</v>
      </c>
      <c r="B35" s="2883" t="s">
        <v>591</v>
      </c>
      <c r="C35" s="2884" t="s">
        <v>40</v>
      </c>
      <c r="D35" s="2895">
        <f t="shared" si="1"/>
        <v>4127.6000000000004</v>
      </c>
      <c r="E35" s="2895">
        <f t="shared" si="1"/>
        <v>0</v>
      </c>
      <c r="F35" s="2895">
        <f t="shared" si="1"/>
        <v>0</v>
      </c>
      <c r="G35" s="2895">
        <f t="shared" si="1"/>
        <v>0</v>
      </c>
      <c r="H35" s="2895">
        <f t="shared" si="1"/>
        <v>4127.6000000000004</v>
      </c>
    </row>
    <row r="36" spans="1:9" ht="51" x14ac:dyDescent="0.25">
      <c r="A36" s="2882">
        <v>7</v>
      </c>
      <c r="B36" s="2883" t="s">
        <v>592</v>
      </c>
      <c r="C36" s="2884" t="s">
        <v>22</v>
      </c>
      <c r="D36" s="2895">
        <f>D37+D38</f>
        <v>8260.65</v>
      </c>
      <c r="E36" s="2895">
        <f>E37+E38</f>
        <v>0</v>
      </c>
      <c r="F36" s="2895">
        <f>F37+F38</f>
        <v>0</v>
      </c>
      <c r="G36" s="2895">
        <f>G37+G38</f>
        <v>0</v>
      </c>
      <c r="H36" s="2895">
        <f>H37+H38</f>
        <v>8260.65</v>
      </c>
      <c r="I36" s="1243"/>
    </row>
    <row r="37" spans="1:9" ht="25.5" x14ac:dyDescent="0.25">
      <c r="A37" s="2882" t="s">
        <v>64</v>
      </c>
      <c r="B37" s="2883" t="s">
        <v>114</v>
      </c>
      <c r="C37" s="2884" t="s">
        <v>22</v>
      </c>
      <c r="D37" s="2895">
        <f>E37+F37+G37+H37</f>
        <v>8260.65</v>
      </c>
      <c r="E37" s="2895">
        <f>'Д 7_РП'!G80</f>
        <v>0</v>
      </c>
      <c r="F37" s="2895">
        <f>'Д 7_РП'!G86</f>
        <v>0</v>
      </c>
      <c r="G37" s="2895">
        <f>'Д 7_РП'!G90</f>
        <v>0</v>
      </c>
      <c r="H37" s="2895">
        <f>'Д 7_РП'!G94</f>
        <v>8260.65</v>
      </c>
    </row>
    <row r="38" spans="1:9" ht="14.45" customHeight="1" x14ac:dyDescent="0.25">
      <c r="A38" s="2882" t="s">
        <v>66</v>
      </c>
      <c r="B38" s="2883" t="s">
        <v>96</v>
      </c>
      <c r="C38" s="2884" t="s">
        <v>22</v>
      </c>
      <c r="D38" s="2895">
        <v>0</v>
      </c>
      <c r="E38" s="2895">
        <v>0</v>
      </c>
      <c r="F38" s="2895">
        <v>0</v>
      </c>
      <c r="G38" s="2895">
        <v>0</v>
      </c>
      <c r="H38" s="2895">
        <v>0</v>
      </c>
    </row>
    <row r="39" spans="1:9" ht="51" x14ac:dyDescent="0.25">
      <c r="A39" s="2882" t="s">
        <v>179</v>
      </c>
      <c r="B39" s="2883" t="s">
        <v>1939</v>
      </c>
      <c r="C39" s="2884" t="s">
        <v>22</v>
      </c>
      <c r="D39" s="2895">
        <f>D40+D41</f>
        <v>9273.7999999999993</v>
      </c>
      <c r="E39" s="2895">
        <f>E40+E41</f>
        <v>0</v>
      </c>
      <c r="F39" s="2895">
        <f>F40+F41</f>
        <v>0</v>
      </c>
      <c r="G39" s="2895">
        <f>G40+G41</f>
        <v>0</v>
      </c>
      <c r="H39" s="2895">
        <f>H40+H41</f>
        <v>9273.7999999999993</v>
      </c>
      <c r="I39" s="1243"/>
    </row>
    <row r="40" spans="1:9" ht="12.6" customHeight="1" x14ac:dyDescent="0.25">
      <c r="A40" s="2882" t="s">
        <v>116</v>
      </c>
      <c r="B40" s="2883" t="s">
        <v>1940</v>
      </c>
      <c r="C40" s="2884" t="s">
        <v>22</v>
      </c>
      <c r="D40" s="2895">
        <f>E40+F40+G40+H40</f>
        <v>9273.7999999999993</v>
      </c>
      <c r="E40" s="2895">
        <f>'Д 7_РП'!G29</f>
        <v>0</v>
      </c>
      <c r="F40" s="2895">
        <f>'Д 7_РП'!G32</f>
        <v>0</v>
      </c>
      <c r="G40" s="2895">
        <f>'Д 7_РП'!G35</f>
        <v>0</v>
      </c>
      <c r="H40" s="2895">
        <f>'Д 7_РП'!G38</f>
        <v>9273.7999999999993</v>
      </c>
      <c r="I40" s="1243"/>
    </row>
    <row r="41" spans="1:9" ht="12.6" customHeight="1" x14ac:dyDescent="0.25">
      <c r="A41" s="2882" t="s">
        <v>118</v>
      </c>
      <c r="B41" s="2883" t="s">
        <v>96</v>
      </c>
      <c r="C41" s="2884" t="s">
        <v>22</v>
      </c>
      <c r="D41" s="2895">
        <v>0</v>
      </c>
      <c r="E41" s="2895">
        <v>0</v>
      </c>
      <c r="F41" s="2895">
        <v>0</v>
      </c>
      <c r="G41" s="2895">
        <v>0</v>
      </c>
      <c r="H41" s="2895">
        <v>0</v>
      </c>
      <c r="I41" s="1243"/>
    </row>
    <row r="42" spans="1:9" ht="12.6" customHeight="1" x14ac:dyDescent="0.25">
      <c r="A42" s="2882" t="s">
        <v>194</v>
      </c>
      <c r="B42" s="2883" t="s">
        <v>115</v>
      </c>
      <c r="C42" s="2884"/>
      <c r="D42" s="2895"/>
      <c r="E42" s="2895"/>
      <c r="F42" s="2895"/>
      <c r="G42" s="2895"/>
      <c r="H42" s="2895"/>
    </row>
    <row r="43" spans="1:9" ht="12.6" customHeight="1" x14ac:dyDescent="0.25">
      <c r="A43" s="2882" t="s">
        <v>160</v>
      </c>
      <c r="B43" s="2883" t="s">
        <v>117</v>
      </c>
      <c r="C43" s="2884" t="s">
        <v>4</v>
      </c>
      <c r="D43" s="2896">
        <f>D15/D13</f>
        <v>5.7000000000000002E-2</v>
      </c>
      <c r="E43" s="2896">
        <v>0</v>
      </c>
      <c r="F43" s="2896">
        <v>0</v>
      </c>
      <c r="G43" s="2896">
        <v>0</v>
      </c>
      <c r="H43" s="2896">
        <f>H15/H13</f>
        <v>5.7000000000000002E-2</v>
      </c>
    </row>
    <row r="44" spans="1:9" ht="12.6" customHeight="1" x14ac:dyDescent="0.25">
      <c r="A44" s="2882" t="s">
        <v>214</v>
      </c>
      <c r="B44" s="2883" t="s">
        <v>119</v>
      </c>
      <c r="C44" s="2884" t="s">
        <v>4</v>
      </c>
      <c r="D44" s="2896">
        <f>D19/D17</f>
        <v>5.7000000000000002E-2</v>
      </c>
      <c r="E44" s="2896">
        <v>0</v>
      </c>
      <c r="F44" s="2896">
        <v>0</v>
      </c>
      <c r="G44" s="2896">
        <v>0</v>
      </c>
      <c r="H44" s="2896">
        <f>H19/H17</f>
        <v>5.7000000000000002E-2</v>
      </c>
    </row>
    <row r="45" spans="1:9" ht="12.6" customHeight="1" x14ac:dyDescent="0.25">
      <c r="A45" s="2882" t="s">
        <v>354</v>
      </c>
      <c r="B45" s="2883" t="s">
        <v>121</v>
      </c>
      <c r="C45" s="2884" t="s">
        <v>4</v>
      </c>
      <c r="D45" s="2896">
        <f>D23/D21</f>
        <v>5.7000000000000002E-2</v>
      </c>
      <c r="E45" s="2896">
        <v>0</v>
      </c>
      <c r="F45" s="2896">
        <v>0</v>
      </c>
      <c r="G45" s="2896">
        <v>0</v>
      </c>
      <c r="H45" s="2896">
        <f>H23/H21</f>
        <v>5.7000000000000002E-2</v>
      </c>
    </row>
    <row r="46" spans="1:9" ht="12.6" customHeight="1" x14ac:dyDescent="0.25">
      <c r="A46" s="2882" t="s">
        <v>1941</v>
      </c>
      <c r="B46" s="2883" t="s">
        <v>123</v>
      </c>
      <c r="C46" s="2884" t="s">
        <v>4</v>
      </c>
      <c r="D46" s="2896">
        <f>D27/D25</f>
        <v>5.7000000000000002E-2</v>
      </c>
      <c r="E46" s="2896">
        <v>0</v>
      </c>
      <c r="F46" s="2896">
        <v>0</v>
      </c>
      <c r="G46" s="2896">
        <v>0</v>
      </c>
      <c r="H46" s="2896">
        <f>H27/H25</f>
        <v>5.7000000000000002E-2</v>
      </c>
    </row>
    <row r="47" spans="1:9" ht="7.9" customHeight="1" x14ac:dyDescent="0.25">
      <c r="A47" s="2897"/>
      <c r="B47" s="2898"/>
      <c r="C47" s="2890"/>
      <c r="D47" s="2890"/>
      <c r="E47" s="2890"/>
      <c r="F47" s="2890"/>
      <c r="G47" s="2890"/>
      <c r="H47" s="2890"/>
    </row>
    <row r="48" spans="1:9" ht="7.9" customHeight="1" x14ac:dyDescent="0.25">
      <c r="A48" s="2897"/>
      <c r="B48" s="2898"/>
      <c r="C48" s="2890"/>
      <c r="D48" s="2890"/>
      <c r="E48" s="2890"/>
      <c r="F48" s="2890"/>
      <c r="G48" s="2890"/>
      <c r="H48" s="2890"/>
    </row>
    <row r="49" spans="1:8" ht="7.9" customHeight="1" x14ac:dyDescent="0.25">
      <c r="A49" s="2897"/>
      <c r="B49" s="2898"/>
      <c r="C49" s="2890"/>
      <c r="D49" s="2890"/>
      <c r="E49" s="2890"/>
      <c r="F49" s="2890"/>
      <c r="G49" s="2890"/>
      <c r="H49" s="2890"/>
    </row>
    <row r="50" spans="1:8" ht="7.9" customHeight="1" x14ac:dyDescent="0.25">
      <c r="A50" s="2897"/>
      <c r="B50" s="2898"/>
      <c r="C50" s="2890"/>
      <c r="D50" s="2890"/>
      <c r="E50" s="2890"/>
      <c r="F50" s="2890"/>
      <c r="G50" s="2890"/>
      <c r="H50" s="2890"/>
    </row>
    <row r="51" spans="1:8" ht="7.9" customHeight="1" x14ac:dyDescent="0.25">
      <c r="A51" s="2897"/>
      <c r="B51" s="2898"/>
      <c r="C51" s="2890"/>
      <c r="D51" s="2890"/>
      <c r="E51" s="2890"/>
      <c r="F51" s="2890"/>
      <c r="G51" s="2890"/>
      <c r="H51" s="2890"/>
    </row>
    <row r="52" spans="1:8" ht="7.9" customHeight="1" x14ac:dyDescent="0.25">
      <c r="A52" s="2897"/>
      <c r="B52" s="2898"/>
      <c r="C52" s="2890"/>
      <c r="D52" s="2890"/>
      <c r="E52" s="2890"/>
      <c r="F52" s="2890"/>
      <c r="G52" s="2890"/>
      <c r="H52" s="2890"/>
    </row>
    <row r="53" spans="1:8" ht="7.9" customHeight="1" x14ac:dyDescent="0.25">
      <c r="A53" s="2897"/>
      <c r="B53" s="2898"/>
      <c r="C53" s="2890"/>
      <c r="D53" s="2890"/>
      <c r="E53" s="2890"/>
      <c r="F53" s="2890"/>
      <c r="G53" s="2890"/>
      <c r="H53" s="2890"/>
    </row>
    <row r="54" spans="1:8" ht="7.9" customHeight="1" x14ac:dyDescent="0.25">
      <c r="A54" s="2897"/>
      <c r="B54" s="2898"/>
      <c r="C54" s="2890"/>
      <c r="D54" s="2890"/>
      <c r="E54" s="2890"/>
      <c r="F54" s="2890"/>
      <c r="G54" s="2890"/>
      <c r="H54" s="2890"/>
    </row>
    <row r="55" spans="1:8" ht="7.9" customHeight="1" x14ac:dyDescent="0.25">
      <c r="A55" s="2897"/>
      <c r="B55" s="2898"/>
      <c r="C55" s="2890"/>
      <c r="D55" s="2890"/>
      <c r="E55" s="2890"/>
      <c r="F55" s="2890"/>
      <c r="G55" s="2890"/>
      <c r="H55" s="2890"/>
    </row>
    <row r="56" spans="1:8" ht="4.5" customHeight="1" x14ac:dyDescent="0.25">
      <c r="A56" s="2897"/>
      <c r="B56" s="2898"/>
      <c r="C56" s="2890"/>
      <c r="D56" s="2890"/>
      <c r="E56" s="2890"/>
      <c r="F56" s="2890"/>
      <c r="G56" s="2890"/>
      <c r="H56" s="2890"/>
    </row>
    <row r="57" spans="1:8" ht="10.5" hidden="1" customHeight="1" x14ac:dyDescent="0.25">
      <c r="A57" s="2888"/>
      <c r="B57" s="2890"/>
      <c r="C57" s="2890"/>
      <c r="D57" s="2890"/>
      <c r="E57" s="2890"/>
      <c r="F57" s="2890"/>
      <c r="G57" s="2890"/>
      <c r="H57" s="2890"/>
    </row>
    <row r="58" spans="1:8" ht="32.25" customHeight="1" x14ac:dyDescent="0.25">
      <c r="A58" s="2888"/>
      <c r="B58" s="2899" t="str">
        <f>'Вхідні дані'!B13</f>
        <v>Начальник Адміністрації морського порту Чорноморськ</v>
      </c>
      <c r="C58" s="3746" t="s">
        <v>100</v>
      </c>
      <c r="D58" s="3746"/>
      <c r="E58" s="3746"/>
      <c r="F58" s="3747" t="str">
        <f>'Вхідні дані'!F13</f>
        <v>Максим ШИРОКОВ</v>
      </c>
      <c r="G58" s="3747"/>
      <c r="H58" s="3747"/>
    </row>
    <row r="59" spans="1:8" x14ac:dyDescent="0.25">
      <c r="A59" s="2888"/>
      <c r="B59" s="2900" t="s">
        <v>241</v>
      </c>
      <c r="C59" s="3748" t="s">
        <v>101</v>
      </c>
      <c r="D59" s="3748"/>
      <c r="E59" s="3748"/>
      <c r="F59" s="3748" t="s">
        <v>102</v>
      </c>
      <c r="G59" s="3748"/>
      <c r="H59" s="3748"/>
    </row>
    <row r="62" spans="1:8" s="2495" customFormat="1" x14ac:dyDescent="0.25">
      <c r="C62" s="2493"/>
      <c r="D62" s="2494">
        <f>D24*1.2</f>
        <v>11111.89</v>
      </c>
      <c r="E62" s="2494">
        <f>E24*1.2</f>
        <v>0</v>
      </c>
      <c r="F62" s="2494">
        <f>F24*1.2</f>
        <v>0</v>
      </c>
      <c r="G62" s="2494">
        <f>G24*1.2</f>
        <v>0</v>
      </c>
      <c r="H62" s="2494">
        <f>H24*1.2</f>
        <v>11111.89</v>
      </c>
    </row>
  </sheetData>
  <mergeCells count="15">
    <mergeCell ref="C58:E58"/>
    <mergeCell ref="F58:H58"/>
    <mergeCell ref="C59:E59"/>
    <mergeCell ref="F59:H59"/>
    <mergeCell ref="E1:H1"/>
    <mergeCell ref="B5:H5"/>
    <mergeCell ref="B7:H7"/>
    <mergeCell ref="A8:H8"/>
    <mergeCell ref="A9:A10"/>
    <mergeCell ref="B9:B10"/>
    <mergeCell ref="C9:C10"/>
    <mergeCell ref="D9:D10"/>
    <mergeCell ref="E9:H9"/>
    <mergeCell ref="E2:H2"/>
    <mergeCell ref="A6:H6"/>
  </mergeCells>
  <conditionalFormatting sqref="B1:B4">
    <cfRule type="containsText" dxfId="41" priority="1" operator="containsText" text="Для корек">
      <formula>NOT(ISERROR(SEARCH("Для корек",B1)))</formula>
    </cfRule>
  </conditionalFormatting>
  <pageMargins left="0.78740157480314965" right="0.39370078740157483" top="0.59055118110236227" bottom="0.23622047244094491" header="0.62992125984251968" footer="0.23622047244094491"/>
  <pageSetup paperSize="9" scale="85" fitToHeight="0" orientation="portrait" r:id="rId1"/>
  <headerFooter differentFirst="1">
    <oddHeader>&amp;Rпродовження додатку 5.1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84</vt:i4>
      </vt:variant>
      <vt:variant>
        <vt:lpstr>Іменовані діапазони</vt:lpstr>
      </vt:variant>
      <vt:variant>
        <vt:i4>69</vt:i4>
      </vt:variant>
    </vt:vector>
  </HeadingPairs>
  <TitlesOfParts>
    <vt:vector size="153" baseType="lpstr">
      <vt:lpstr>Вхідні дані</vt:lpstr>
      <vt:lpstr>Д 1_Заява</vt:lpstr>
      <vt:lpstr>КОНТРОЛЬ</vt:lpstr>
      <vt:lpstr>Д 2_Т на В</vt:lpstr>
      <vt:lpstr>Д 3_Т на Т з ЦТП</vt:lpstr>
      <vt:lpstr>Д 3.1_Т на Т без ЦТП</vt:lpstr>
      <vt:lpstr>Д 4_Т на П</vt:lpstr>
      <vt:lpstr>Д 5 Т на ТЕ з ЦТП</vt:lpstr>
      <vt:lpstr>Д 5.1 Т на ТЕ без ЦТП</vt:lpstr>
      <vt:lpstr>Д 6_Втрати</vt:lpstr>
      <vt:lpstr>Д 7_РП</vt:lpstr>
      <vt:lpstr>Д 8_Паливо</vt:lpstr>
      <vt:lpstr>Д 9_ЕЕ</vt:lpstr>
      <vt:lpstr>Д 10</vt:lpstr>
      <vt:lpstr>Д 11</vt:lpstr>
      <vt:lpstr>Д 13_12</vt:lpstr>
      <vt:lpstr>Д 14</vt:lpstr>
      <vt:lpstr>Д 15_13_Реєстр</vt:lpstr>
      <vt:lpstr>Розрахунки Річного плану</vt:lpstr>
      <vt:lpstr>Ср. за 5 лет</vt:lpstr>
      <vt:lpstr>Виробництво_Транспортування_1ст</vt:lpstr>
      <vt:lpstr>ТР_КА 1-2</vt:lpstr>
      <vt:lpstr>Постачання_1ст</vt:lpstr>
      <vt:lpstr>ЗВВ_1ст</vt:lpstr>
      <vt:lpstr>Адміністративні_1ст</vt:lpstr>
      <vt:lpstr>БАЗИ РОЗПОДІЛУ</vt:lpstr>
      <vt:lpstr>ТЕ_1ст_вих</vt:lpstr>
      <vt:lpstr>Покриття втрат в мережах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 структур</vt:lpstr>
      <vt:lpstr>Зв'язок</vt:lpstr>
      <vt:lpstr>ПММ</vt:lpstr>
      <vt:lpstr>ОП</vt:lpstr>
      <vt:lpstr>ФОП</vt:lpstr>
      <vt:lpstr>Амортизація</vt:lpstr>
      <vt:lpstr>Утилизація</vt:lpstr>
      <vt:lpstr>Страхування</vt:lpstr>
      <vt:lpstr>ТО</vt:lpstr>
      <vt:lpstr>Періодичні видання</vt:lpstr>
      <vt:lpstr>Котел-повірка Юст</vt:lpstr>
      <vt:lpstr>Абон обсл 2021-22</vt:lpstr>
      <vt:lpstr>гран розмір</vt:lpstr>
      <vt:lpstr>Профпослуги2</vt:lpstr>
      <vt:lpstr>Запчастини</vt:lpstr>
      <vt:lpstr>по городам</vt:lpstr>
      <vt:lpstr>СВЕДЕНО_И</vt:lpstr>
      <vt:lpstr>сведено</vt:lpstr>
      <vt:lpstr>стр_тар_1 Гкал</vt:lpstr>
      <vt:lpstr>структури %</vt:lpstr>
      <vt:lpstr>інвестпрограма</vt:lpstr>
      <vt:lpstr>Сравнение 1 и 2 </vt:lpstr>
      <vt:lpstr>прибуток</vt:lpstr>
      <vt:lpstr>АО</vt:lpstr>
      <vt:lpstr>ВКО</vt:lpstr>
      <vt:lpstr>Примечания</vt:lpstr>
      <vt:lpstr>СПЕЦХАРЧ</vt:lpstr>
      <vt:lpstr>Ремонт</vt:lpstr>
      <vt:lpstr>Профпослуги</vt:lpstr>
      <vt:lpstr>Картріджі</vt:lpstr>
      <vt:lpstr>Ціна ее</vt:lpstr>
      <vt:lpstr>Ціна газ</vt:lpstr>
      <vt:lpstr>Коригування витрат</vt:lpstr>
      <vt:lpstr>ВОДА</vt:lpstr>
      <vt:lpstr>ТО ТЗ</vt:lpstr>
      <vt:lpstr>Техконтроль ТЗ</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10 до рішення</vt:lpstr>
      <vt:lpstr>Додаток 11 до рішення</vt:lpstr>
      <vt:lpstr>ДОДАТОК 7 до рішення</vt:lpstr>
      <vt:lpstr>Додаток 8 до рішення</vt:lpstr>
      <vt:lpstr>Адміністративні_1ст!Заголовки_для_друку</vt:lpstr>
      <vt:lpstr>'Д 10'!Заголовки_для_друку</vt:lpstr>
      <vt:lpstr>'Д 13_12'!Заголовки_для_друку</vt:lpstr>
      <vt:lpstr>'Д 2_Т на В'!Заголовки_для_друку</vt:lpstr>
      <vt:lpstr>'Д 3.1_Т на Т без ЦТП'!Заголовки_для_друку</vt:lpstr>
      <vt:lpstr>'Д 3_Т на Т з ЦТП'!Заголовки_для_друку</vt:lpstr>
      <vt:lpstr>'Д 5 Т на ТЕ з ЦТП'!Заголовки_для_друку</vt:lpstr>
      <vt:lpstr>'Д 5.1 Т на ТЕ без ЦТП'!Заголовки_для_друку</vt:lpstr>
      <vt:lpstr>ЗВВ_1ст!Заголовки_для_друку</vt:lpstr>
      <vt:lpstr>ОП!Заголовки_для_друку</vt:lpstr>
      <vt:lpstr>'Рішення 3Д'!Заголовки_для_друку</vt:lpstr>
      <vt:lpstr>'Рішення 4Д'!Заголовки_для_друку</vt:lpstr>
      <vt:lpstr>'Рішення 5Д'!Заголовки_для_друку</vt:lpstr>
      <vt:lpstr>'Рішення 6Д'!Заголовки_для_друку</vt:lpstr>
      <vt:lpstr>Адміністративні_1ст!Область_друку</vt:lpstr>
      <vt:lpstr>Амортизація!Область_друку</vt:lpstr>
      <vt:lpstr>'БАЗИ РОЗПОДІЛУ'!Область_друку</vt:lpstr>
      <vt:lpstr>Виробництво_Транспортування_1ст!Область_друку</vt:lpstr>
      <vt:lpstr>ВОДА!Область_друку</vt:lpstr>
      <vt:lpstr>'Вхідні дані'!Область_друку</vt:lpstr>
      <vt:lpstr>'Д 1_Заява'!Область_друку</vt:lpstr>
      <vt:lpstr>'Д 10'!Область_друку</vt:lpstr>
      <vt:lpstr>'Д 13_12'!Область_друку</vt:lpstr>
      <vt:lpstr>'Д 2_Т на В'!Область_друку</vt:lpstr>
      <vt:lpstr>'Д 3.1_Т на Т без ЦТП'!Область_друку</vt:lpstr>
      <vt:lpstr>'Д 3_Т на Т з ЦТП'!Область_друку</vt:lpstr>
      <vt:lpstr>'Д 4_Т на П'!Область_друку</vt:lpstr>
      <vt:lpstr>'Д 5 Т на ТЕ з ЦТП'!Область_друку</vt:lpstr>
      <vt:lpstr>'Д 5.1 Т на ТЕ без ЦТП'!Область_друку</vt:lpstr>
      <vt:lpstr>'Д 6_Втрати'!Область_друку</vt:lpstr>
      <vt:lpstr>'Д 7_РП'!Область_друку</vt:lpstr>
      <vt:lpstr>'Д 8_Паливо'!Область_друку</vt:lpstr>
      <vt:lpstr>'Д 9_ЕЕ'!Область_друку</vt:lpstr>
      <vt:lpstr>'Додаток 1 до рішення'!Область_друку</vt:lpstr>
      <vt:lpstr>'Додаток 10 до рішення'!Область_друку</vt:lpstr>
      <vt:lpstr>'Додаток 11 до рішення'!Область_друку</vt:lpstr>
      <vt:lpstr>'Додаток 2 до рішення'!Область_друку</vt:lpstr>
      <vt:lpstr>'Додаток 3 до рішення'!Область_друку</vt:lpstr>
      <vt:lpstr>'Додаток 4 до рішення'!Область_друку</vt:lpstr>
      <vt:lpstr>'Додаток 5 до рішення'!Область_друку</vt:lpstr>
      <vt:lpstr>'Додаток 6 до рішення'!Область_друку</vt:lpstr>
      <vt:lpstr>'ДОДАТОК 7 до рішення'!Область_друку</vt:lpstr>
      <vt:lpstr>'Додаток 8 до рішення'!Область_друку</vt:lpstr>
      <vt:lpstr>ЗВВ_1ст!Область_друку</vt:lpstr>
      <vt:lpstr>'Зв''язок'!Область_друку</vt:lpstr>
      <vt:lpstr>Картріджі!Область_друку</vt:lpstr>
      <vt:lpstr>ОП!Область_друку</vt:lpstr>
      <vt:lpstr>'Періодичні видання'!Область_друку</vt:lpstr>
      <vt:lpstr>ПММ!Область_друку</vt:lpstr>
      <vt:lpstr>'Покриття втрат в мережах'!Область_друку</vt:lpstr>
      <vt:lpstr>'Порівняння структур'!Область_друку</vt:lpstr>
      <vt:lpstr>Постачання_1ст!Область_друку</vt:lpstr>
      <vt:lpstr>Профпослуги!Область_друку</vt:lpstr>
      <vt:lpstr>распределение!Область_друку</vt:lpstr>
      <vt:lpstr>Ремонт!Область_друку</vt:lpstr>
      <vt:lpstr>'Рішення 3Д'!Область_друку</vt:lpstr>
      <vt:lpstr>'Рішення 4Д'!Область_друку</vt:lpstr>
      <vt:lpstr>'Рішення 5Д'!Область_друку</vt:lpstr>
      <vt:lpstr>'Рішення 6Д'!Область_друку</vt:lpstr>
      <vt:lpstr>'Розрахунки Річного плану'!Область_друку</vt:lpstr>
      <vt:lpstr>сведено!Область_друку</vt:lpstr>
      <vt:lpstr>СВЕДЕНО_И!Область_друку</vt:lpstr>
      <vt:lpstr>'структури %'!Область_друку</vt:lpstr>
      <vt:lpstr>ТЕ_1ст_вих!Область_друку</vt:lpstr>
      <vt:lpstr>'Техконтроль ТЗ'!Область_друку</vt:lpstr>
      <vt:lpstr>'ТО ТЗ'!Область_друку</vt:lpstr>
      <vt:lpstr>Утилизація!Область_друку</vt:lpstr>
      <vt:lpstr>ФОП!Область_друку</vt:lpstr>
      <vt:lpstr>'Ціна ее'!Область_друку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2022-09-02T10:59:21Z</dcterms:modified>
</cp:coreProperties>
</file>