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-108" yWindow="-108" windowWidth="23256" windowHeight="12720" tabRatio="599"/>
  </bookViews>
  <sheets>
    <sheet name="2022" sheetId="2" r:id="rId1"/>
  </sheets>
  <definedNames>
    <definedName name="_xlnm.Print_Titles" localSheetId="0">'2022'!$A:$D,'2022'!$9:$11</definedName>
    <definedName name="_xlnm.Print_Area" localSheetId="0">'2022'!$A$1:$AH$70</definedName>
  </definedNames>
  <calcPr calcId="152511"/>
</workbook>
</file>

<file path=xl/calcChain.xml><?xml version="1.0" encoding="utf-8"?>
<calcChain xmlns="http://schemas.openxmlformats.org/spreadsheetml/2006/main">
  <c r="M20" i="2" l="1"/>
  <c r="N20" i="2"/>
  <c r="M34" i="2"/>
  <c r="N34" i="2"/>
  <c r="M46" i="2"/>
  <c r="N46" i="2"/>
  <c r="M52" i="2"/>
  <c r="N52" i="2"/>
  <c r="G20" i="2"/>
  <c r="H20" i="2"/>
  <c r="G34" i="2"/>
  <c r="H34" i="2"/>
  <c r="G46" i="2"/>
  <c r="H46" i="2"/>
  <c r="G52" i="2"/>
  <c r="H52" i="2"/>
  <c r="AC64" i="2" l="1"/>
  <c r="AC61" i="2"/>
  <c r="AC59" i="2" s="1"/>
  <c r="AC55" i="2"/>
  <c r="AC52" i="2"/>
  <c r="AC46" i="2"/>
  <c r="AC34" i="2"/>
  <c r="AC20" i="2"/>
  <c r="AC18" i="2" s="1"/>
  <c r="AC17" i="2"/>
  <c r="AC13" i="2"/>
  <c r="AC12" i="2" s="1"/>
  <c r="X63" i="2"/>
  <c r="X60" i="2"/>
  <c r="X59" i="2" s="1"/>
  <c r="W59" i="2"/>
  <c r="X55" i="2"/>
  <c r="W55" i="2"/>
  <c r="X34" i="2"/>
  <c r="X18" i="2" s="1"/>
  <c r="W34" i="2"/>
  <c r="X20" i="2"/>
  <c r="W20" i="2"/>
  <c r="W18" i="2" s="1"/>
  <c r="X16" i="2"/>
  <c r="X14" i="2"/>
  <c r="X12" i="2"/>
  <c r="W12" i="2"/>
  <c r="R60" i="2"/>
  <c r="R59" i="2" s="1"/>
  <c r="Q59" i="2"/>
  <c r="R58" i="2"/>
  <c r="R56" i="2"/>
  <c r="R55" i="2"/>
  <c r="Q55" i="2"/>
  <c r="R52" i="2"/>
  <c r="Q52" i="2"/>
  <c r="R46" i="2"/>
  <c r="Q46" i="2"/>
  <c r="R34" i="2"/>
  <c r="Q34" i="2"/>
  <c r="R20" i="2"/>
  <c r="R18" i="2" s="1"/>
  <c r="R68" i="2" s="1"/>
  <c r="Q20" i="2"/>
  <c r="Q18" i="2" s="1"/>
  <c r="R17" i="2"/>
  <c r="R16" i="2"/>
  <c r="R14" i="2"/>
  <c r="R13" i="2"/>
  <c r="R12" i="2"/>
  <c r="Q12" i="2"/>
  <c r="L59" i="2"/>
  <c r="K59" i="2"/>
  <c r="L55" i="2"/>
  <c r="K55" i="2"/>
  <c r="L52" i="2"/>
  <c r="K52" i="2"/>
  <c r="L46" i="2"/>
  <c r="L18" i="2" s="1"/>
  <c r="K46" i="2"/>
  <c r="L34" i="2"/>
  <c r="K34" i="2"/>
  <c r="L20" i="2"/>
  <c r="K20" i="2"/>
  <c r="K18" i="2"/>
  <c r="L17" i="2"/>
  <c r="L12" i="2" s="1"/>
  <c r="L13" i="2"/>
  <c r="K12" i="2"/>
  <c r="K68" i="2" s="1"/>
  <c r="F61" i="2"/>
  <c r="F59" i="2" s="1"/>
  <c r="E59" i="2"/>
  <c r="F56" i="2"/>
  <c r="F55" i="2" s="1"/>
  <c r="E55" i="2"/>
  <c r="F52" i="2"/>
  <c r="E52" i="2"/>
  <c r="F50" i="2"/>
  <c r="F46" i="2"/>
  <c r="E46" i="2"/>
  <c r="F34" i="2"/>
  <c r="E34" i="2"/>
  <c r="E18" i="2" s="1"/>
  <c r="F20" i="2"/>
  <c r="F18" i="2" s="1"/>
  <c r="E20" i="2"/>
  <c r="F19" i="2"/>
  <c r="F17" i="2"/>
  <c r="F12" i="2"/>
  <c r="F68" i="2" s="1"/>
  <c r="E12" i="2"/>
  <c r="AC68" i="2" l="1"/>
  <c r="W68" i="2"/>
  <c r="X68" i="2"/>
  <c r="Q68" i="2"/>
  <c r="L68" i="2"/>
  <c r="E68" i="2"/>
  <c r="P17" i="2"/>
  <c r="O17" i="2"/>
  <c r="AD52" i="2" l="1"/>
  <c r="AD46" i="2"/>
  <c r="AD34" i="2"/>
  <c r="AD20" i="2"/>
  <c r="Y34" i="2"/>
  <c r="Z34" i="2"/>
  <c r="Y20" i="2"/>
  <c r="Z20" i="2"/>
  <c r="S52" i="2"/>
  <c r="T52" i="2"/>
  <c r="S46" i="2"/>
  <c r="T46" i="2"/>
  <c r="S34" i="2"/>
  <c r="T34" i="2"/>
  <c r="S20" i="2"/>
  <c r="T20" i="2"/>
  <c r="N59" i="2" l="1"/>
  <c r="AG13" i="2" l="1"/>
  <c r="AE60" i="2" l="1"/>
  <c r="AE61" i="2"/>
  <c r="AE62" i="2"/>
  <c r="AE63" i="2"/>
  <c r="AE64" i="2"/>
  <c r="AE65" i="2"/>
  <c r="AE66" i="2"/>
  <c r="AA60" i="2"/>
  <c r="AB60" i="2"/>
  <c r="AA61" i="2"/>
  <c r="AB61" i="2"/>
  <c r="AA63" i="2"/>
  <c r="AB63" i="2"/>
  <c r="AA66" i="2"/>
  <c r="AB66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I61" i="2"/>
  <c r="J61" i="2"/>
  <c r="I62" i="2"/>
  <c r="J62" i="2"/>
  <c r="I67" i="2"/>
  <c r="J67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AB30" i="2"/>
  <c r="AA30" i="2"/>
  <c r="AB44" i="2"/>
  <c r="AA44" i="2"/>
  <c r="AB42" i="2"/>
  <c r="AA42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5" i="2"/>
  <c r="AE36" i="2"/>
  <c r="AE37" i="2"/>
  <c r="AE38" i="2"/>
  <c r="AE39" i="2"/>
  <c r="AE40" i="2"/>
  <c r="AE41" i="2"/>
  <c r="AE42" i="2"/>
  <c r="AE43" i="2"/>
  <c r="AE44" i="2"/>
  <c r="AE45" i="2"/>
  <c r="AE47" i="2"/>
  <c r="AE48" i="2"/>
  <c r="AE49" i="2"/>
  <c r="AE50" i="2"/>
  <c r="AE51" i="2"/>
  <c r="AE53" i="2"/>
  <c r="AE54" i="2"/>
  <c r="AE19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7" i="2"/>
  <c r="AG47" i="2"/>
  <c r="AF48" i="2"/>
  <c r="AG48" i="2"/>
  <c r="AF49" i="2"/>
  <c r="AG49" i="2"/>
  <c r="AF50" i="2"/>
  <c r="AG50" i="2"/>
  <c r="AF51" i="2"/>
  <c r="AG51" i="2"/>
  <c r="AF53" i="2"/>
  <c r="AG53" i="2"/>
  <c r="AF54" i="2"/>
  <c r="AG54" i="2"/>
  <c r="AG19" i="2"/>
  <c r="AF19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3" i="2"/>
  <c r="J43" i="2"/>
  <c r="I45" i="2"/>
  <c r="J45" i="2"/>
  <c r="I47" i="2"/>
  <c r="J47" i="2"/>
  <c r="I49" i="2"/>
  <c r="J49" i="2"/>
  <c r="I50" i="2"/>
  <c r="J50" i="2"/>
  <c r="I51" i="2"/>
  <c r="J51" i="2"/>
  <c r="I53" i="2"/>
  <c r="J53" i="2"/>
  <c r="I54" i="2"/>
  <c r="J5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7" i="2"/>
  <c r="P47" i="2"/>
  <c r="O48" i="2"/>
  <c r="P48" i="2"/>
  <c r="O49" i="2"/>
  <c r="P49" i="2"/>
  <c r="O50" i="2"/>
  <c r="P50" i="2"/>
  <c r="O51" i="2"/>
  <c r="P51" i="2"/>
  <c r="O53" i="2"/>
  <c r="P53" i="2"/>
  <c r="O54" i="2"/>
  <c r="P54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7" i="2"/>
  <c r="V47" i="2"/>
  <c r="U48" i="2"/>
  <c r="V48" i="2"/>
  <c r="U49" i="2"/>
  <c r="V49" i="2"/>
  <c r="U50" i="2"/>
  <c r="V50" i="2"/>
  <c r="U51" i="2"/>
  <c r="V51" i="2"/>
  <c r="U53" i="2"/>
  <c r="V53" i="2"/>
  <c r="U54" i="2"/>
  <c r="V54" i="2"/>
  <c r="V19" i="2"/>
  <c r="U19" i="2"/>
  <c r="O32" i="2"/>
  <c r="P32" i="2"/>
  <c r="O33" i="2"/>
  <c r="P33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P19" i="2"/>
  <c r="O19" i="2"/>
  <c r="I33" i="2"/>
  <c r="J33" i="2"/>
  <c r="I29" i="2"/>
  <c r="J29" i="2"/>
  <c r="I31" i="2"/>
  <c r="J31" i="2"/>
  <c r="I32" i="2"/>
  <c r="J32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J19" i="2"/>
  <c r="I19" i="2"/>
  <c r="AH31" i="2" l="1"/>
  <c r="AH30" i="2"/>
  <c r="AH28" i="2"/>
  <c r="AH26" i="2"/>
  <c r="AH51" i="2"/>
  <c r="AH42" i="2"/>
  <c r="AH33" i="2"/>
  <c r="AH27" i="2"/>
  <c r="AH53" i="2"/>
  <c r="AH50" i="2"/>
  <c r="AH45" i="2"/>
  <c r="AH43" i="2"/>
  <c r="AH41" i="2"/>
  <c r="AH37" i="2"/>
  <c r="AH25" i="2"/>
  <c r="AH21" i="2"/>
  <c r="AH23" i="2"/>
  <c r="AH29" i="2"/>
  <c r="AH32" i="2"/>
  <c r="AH24" i="2"/>
  <c r="AH19" i="2"/>
  <c r="AH22" i="2"/>
  <c r="AH49" i="2"/>
  <c r="AH44" i="2"/>
  <c r="AH54" i="2"/>
  <c r="AH48" i="2"/>
  <c r="AH47" i="2"/>
  <c r="AH40" i="2"/>
  <c r="AH39" i="2"/>
  <c r="AH35" i="2"/>
  <c r="AH38" i="2"/>
  <c r="AH36" i="2"/>
  <c r="T55" i="2" l="1"/>
  <c r="S55" i="2"/>
  <c r="N55" i="2"/>
  <c r="M55" i="2"/>
  <c r="H55" i="2"/>
  <c r="G55" i="2"/>
  <c r="V20" i="2"/>
  <c r="U20" i="2"/>
  <c r="P20" i="2"/>
  <c r="O20" i="2"/>
  <c r="J20" i="2"/>
  <c r="I20" i="2"/>
  <c r="P46" i="2" l="1"/>
  <c r="U52" i="2"/>
  <c r="P34" i="2"/>
  <c r="AB34" i="2"/>
  <c r="AE20" i="2"/>
  <c r="O46" i="2"/>
  <c r="U46" i="2"/>
  <c r="I46" i="2"/>
  <c r="AE46" i="2"/>
  <c r="U34" i="2"/>
  <c r="AE34" i="2"/>
  <c r="AE52" i="2"/>
  <c r="O52" i="2"/>
  <c r="V34" i="2"/>
  <c r="AA20" i="2"/>
  <c r="AB20" i="2"/>
  <c r="AG20" i="2"/>
  <c r="O34" i="2"/>
  <c r="AA34" i="2"/>
  <c r="P52" i="2"/>
  <c r="AF20" i="2"/>
  <c r="AF52" i="2"/>
  <c r="V52" i="2"/>
  <c r="J52" i="2"/>
  <c r="AG52" i="2"/>
  <c r="V46" i="2"/>
  <c r="AG46" i="2"/>
  <c r="AF46" i="2"/>
  <c r="J46" i="2"/>
  <c r="AG34" i="2"/>
  <c r="J34" i="2"/>
  <c r="AF34" i="2"/>
  <c r="I52" i="2"/>
  <c r="I34" i="2"/>
  <c r="AH20" i="2" l="1"/>
  <c r="AH52" i="2"/>
  <c r="AH46" i="2"/>
  <c r="AH34" i="2"/>
  <c r="AE17" i="2" l="1"/>
  <c r="AE13" i="2"/>
  <c r="AB16" i="2"/>
  <c r="AA16" i="2"/>
  <c r="AB14" i="2"/>
  <c r="AA14" i="2"/>
  <c r="U16" i="2"/>
  <c r="V16" i="2"/>
  <c r="V58" i="2"/>
  <c r="U58" i="2"/>
  <c r="V57" i="2"/>
  <c r="U57" i="2"/>
  <c r="V56" i="2"/>
  <c r="U56" i="2"/>
  <c r="V17" i="2"/>
  <c r="U17" i="2"/>
  <c r="V15" i="2"/>
  <c r="U15" i="2"/>
  <c r="V14" i="2"/>
  <c r="U14" i="2"/>
  <c r="V13" i="2"/>
  <c r="U13" i="2"/>
  <c r="P58" i="2"/>
  <c r="O58" i="2"/>
  <c r="P57" i="2"/>
  <c r="O57" i="2"/>
  <c r="P56" i="2"/>
  <c r="O56" i="2"/>
  <c r="P13" i="2"/>
  <c r="O13" i="2"/>
  <c r="I13" i="2" l="1"/>
  <c r="J13" i="2"/>
  <c r="I17" i="2"/>
  <c r="J17" i="2"/>
  <c r="I56" i="2"/>
  <c r="J56" i="2"/>
  <c r="I57" i="2"/>
  <c r="J57" i="2"/>
  <c r="I58" i="2"/>
  <c r="J58" i="2"/>
  <c r="AG56" i="2" l="1"/>
  <c r="AG61" i="2"/>
  <c r="AG62" i="2"/>
  <c r="AG63" i="2"/>
  <c r="AG64" i="2"/>
  <c r="AG65" i="2"/>
  <c r="AG66" i="2"/>
  <c r="AG67" i="2"/>
  <c r="AG60" i="2"/>
  <c r="AG57" i="2"/>
  <c r="AG58" i="2"/>
  <c r="AG14" i="2"/>
  <c r="AG15" i="2"/>
  <c r="AG16" i="2"/>
  <c r="AG17" i="2"/>
  <c r="AD59" i="2"/>
  <c r="Y59" i="2"/>
  <c r="Y68" i="2" s="1"/>
  <c r="Z59" i="2"/>
  <c r="S59" i="2"/>
  <c r="T59" i="2"/>
  <c r="M59" i="2"/>
  <c r="G59" i="2"/>
  <c r="I59" i="2" s="1"/>
  <c r="H59" i="2"/>
  <c r="I55" i="2"/>
  <c r="AD12" i="2"/>
  <c r="Y12" i="2"/>
  <c r="Z12" i="2"/>
  <c r="S12" i="2"/>
  <c r="T12" i="2"/>
  <c r="M12" i="2"/>
  <c r="N12" i="2"/>
  <c r="G12" i="2"/>
  <c r="H12" i="2"/>
  <c r="AF13" i="2"/>
  <c r="AF58" i="2"/>
  <c r="AG12" i="2" l="1"/>
  <c r="AH58" i="2"/>
  <c r="V55" i="2"/>
  <c r="AG59" i="2"/>
  <c r="J12" i="2"/>
  <c r="AH13" i="2"/>
  <c r="AG55" i="2"/>
  <c r="Y18" i="2"/>
  <c r="U55" i="2"/>
  <c r="S18" i="2"/>
  <c r="S68" i="2" s="1"/>
  <c r="M18" i="2"/>
  <c r="M68" i="2" s="1"/>
  <c r="P55" i="2"/>
  <c r="O55" i="2"/>
  <c r="N18" i="2"/>
  <c r="T18" i="2"/>
  <c r="Z18" i="2"/>
  <c r="J55" i="2"/>
  <c r="H18" i="2"/>
  <c r="H68" i="2" s="1"/>
  <c r="G18" i="2"/>
  <c r="AD18" i="2"/>
  <c r="O59" i="2"/>
  <c r="P59" i="2"/>
  <c r="U59" i="2"/>
  <c r="V59" i="2"/>
  <c r="AA59" i="2"/>
  <c r="AB59" i="2"/>
  <c r="AE59" i="2"/>
  <c r="J59" i="2"/>
  <c r="AF60" i="2"/>
  <c r="AH60" i="2" s="1"/>
  <c r="AF61" i="2"/>
  <c r="AH61" i="2" s="1"/>
  <c r="AF62" i="2"/>
  <c r="AH62" i="2" s="1"/>
  <c r="AF63" i="2"/>
  <c r="AH63" i="2" s="1"/>
  <c r="AF64" i="2"/>
  <c r="AH64" i="2" s="1"/>
  <c r="AF65" i="2"/>
  <c r="AH65" i="2" s="1"/>
  <c r="AF66" i="2"/>
  <c r="AH66" i="2" s="1"/>
  <c r="AF67" i="2"/>
  <c r="AH67" i="2" s="1"/>
  <c r="AF56" i="2"/>
  <c r="AH56" i="2" s="1"/>
  <c r="AF57" i="2"/>
  <c r="AH57" i="2" s="1"/>
  <c r="AF14" i="2"/>
  <c r="AH14" i="2" s="1"/>
  <c r="AF15" i="2"/>
  <c r="AH15" i="2" s="1"/>
  <c r="AF16" i="2"/>
  <c r="AH16" i="2" s="1"/>
  <c r="AF17" i="2"/>
  <c r="AH17" i="2" s="1"/>
  <c r="O12" i="2"/>
  <c r="P12" i="2"/>
  <c r="U12" i="2"/>
  <c r="V12" i="2"/>
  <c r="AA12" i="2"/>
  <c r="AB12" i="2"/>
  <c r="AE12" i="2"/>
  <c r="I12" i="2"/>
  <c r="Z68" i="2" l="1"/>
  <c r="T68" i="2"/>
  <c r="N68" i="2"/>
  <c r="G68" i="2"/>
  <c r="AG18" i="2"/>
  <c r="AD68" i="2"/>
  <c r="AF55" i="2"/>
  <c r="AH55" i="2" s="1"/>
  <c r="O68" i="2"/>
  <c r="U68" i="2"/>
  <c r="J18" i="2"/>
  <c r="AF59" i="2"/>
  <c r="AH59" i="2" s="1"/>
  <c r="AF12" i="2"/>
  <c r="AH12" i="2" s="1"/>
  <c r="P68" i="2" l="1"/>
  <c r="AB68" i="2"/>
  <c r="V68" i="2"/>
  <c r="AE68" i="2"/>
  <c r="I68" i="2"/>
  <c r="AG68" i="2"/>
  <c r="AE18" i="2"/>
  <c r="AB18" i="2"/>
  <c r="AA68" i="2"/>
  <c r="AA18" i="2"/>
  <c r="U18" i="2"/>
  <c r="V18" i="2"/>
  <c r="P18" i="2"/>
  <c r="O18" i="2"/>
  <c r="I18" i="2"/>
  <c r="J68" i="2"/>
  <c r="AF18" i="2"/>
  <c r="AH18" i="2" s="1"/>
  <c r="AF68" i="2" l="1"/>
  <c r="AH68" i="2" s="1"/>
</calcChain>
</file>

<file path=xl/sharedStrings.xml><?xml version="1.0" encoding="utf-8"?>
<sst xmlns="http://schemas.openxmlformats.org/spreadsheetml/2006/main" count="167" uniqueCount="114">
  <si>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</si>
  <si>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</si>
  <si>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</si>
  <si>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</si>
  <si>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</si>
  <si>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</si>
  <si>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</si>
  <si>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</si>
  <si>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</si>
  <si>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</si>
  <si>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</si>
  <si>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</si>
  <si>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</si>
  <si>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</si>
  <si>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</si>
  <si>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</si>
  <si>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</si>
  <si>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</si>
  <si>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</si>
  <si>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</si>
  <si>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</si>
  <si>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</si>
  <si>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</si>
  <si>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</si>
  <si>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</si>
  <si>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</si>
  <si>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</si>
  <si>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</si>
  <si>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</si>
  <si>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</si>
  <si>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</si>
  <si>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</si>
  <si>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</si>
  <si>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</si>
  <si>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</si>
  <si>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</si>
  <si>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</si>
  <si>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</si>
  <si>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</si>
  <si>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до  рішення</t>
  </si>
  <si>
    <t>Одеського району Одеської області</t>
  </si>
  <si>
    <t>0611021</t>
  </si>
  <si>
    <t>0611022</t>
  </si>
  <si>
    <t>0611070</t>
  </si>
  <si>
    <t>0611130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</si>
  <si>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</si>
  <si>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</si>
  <si>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</si>
  <si>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</si>
  <si>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</si>
  <si>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</si>
  <si>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</si>
  <si>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</si>
  <si>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</si>
  <si>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</si>
  <si>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</si>
  <si>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</si>
  <si>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</si>
  <si>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</si>
  <si>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</si>
  <si>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</si>
  <si>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</si>
  <si>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</si>
  <si>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</si>
  <si>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</si>
  <si>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</si>
  <si>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Начальник фінансового управління                                                          Ольга ЯКОВЕНКО</t>
  </si>
  <si>
    <t>Комунальна установа "Інклюзивно-ресурсний центр" Чорноморської міської ради Одеської області</t>
  </si>
  <si>
    <t>Комунальний заклад «Школа мистецтв імені Л.М.Нагаєва м. Чорноморська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</si>
  <si>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</si>
  <si>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</si>
  <si>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</si>
  <si>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</si>
  <si>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</si>
  <si>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</si>
  <si>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 xml:space="preserve">Дошкільний підрозділ компенсуючого типу Чорноморської спеціальної школи Чорноморської міської  ради Одеського району Одеської області 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</si>
  <si>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</si>
  <si>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</si>
  <si>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</si>
  <si>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</si>
  <si>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</si>
  <si>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</si>
  <si>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</si>
  <si>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</si>
  <si>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</si>
  <si>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</si>
  <si>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</si>
  <si>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від              2022  №            -VIII</t>
  </si>
  <si>
    <t>Заклад дошкільної освіти (ясла-садок) № 2 «Колобок» Чорноморської міської ради Одеського району Одеської області</t>
  </si>
  <si>
    <t xml:space="preserve">Заклад дошкільної освіти (ясла-садок) комбінованого типу № 3 «Казка» Чорноморської міської ради Одеського району Одеської області </t>
  </si>
  <si>
    <t xml:space="preserve">Заклад дошкільної освіти (ясла-садок) комбінованого типу № 5 «Теремок» Чорноморської міської ради Одеського району Одеської області </t>
  </si>
  <si>
    <t>Заклад дошкільної освіти (ясла-садок) № 6 «Сонечко» Чорноморської міської ради Одеського району Одеської області</t>
  </si>
  <si>
    <t xml:space="preserve">Заклад дошкільної освіти (ясла-садок) № 8 «Перлинка» Чорноморської міської ради Одеського району Одеської області </t>
  </si>
  <si>
    <t xml:space="preserve">Заклад дошкільної освіти (ясла-садок) комбінованого типу № 10 «Росинка» Чорноморської міської ради Одеського району Одеської області </t>
  </si>
  <si>
    <t xml:space="preserve">Заклад дошкільної освіти (ясла-садок) № 11 «Лялечка» Чорноморської міської ради Одеського району Одеської області </t>
  </si>
  <si>
    <t xml:space="preserve">Заклад дошкільної освіти (ясла-садок) № 12 «Снігуронька» Чорноморської міської ради Одеського району Одеської області </t>
  </si>
  <si>
    <t>Заклад дошкільної освіти (ясла-садок) № 14 «Горобинка» Чорноморської міської ради Одеського району Одеської області</t>
  </si>
  <si>
    <t xml:space="preserve">Заклад дошкільної освіти (ясла-садок) № 17 «Струмочок» Чорноморської міської ради Одеського району Одеської області </t>
  </si>
  <si>
    <t xml:space="preserve">Заклад дошкільної освіти (ясла-садок) № 20 «Чебурашка» Чорноморської міської ради Одеського району Одеської області </t>
  </si>
  <si>
    <t xml:space="preserve">Заклад дошкільної освіти (ясла-садок) № 21 «Журавлик» Чорноморської міської ради Одеського району Одеської області 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</si>
  <si>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</si>
  <si>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</si>
  <si>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</si>
  <si>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</si>
  <si>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</si>
  <si>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</si>
  <si>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План на 2022 рік</t>
  </si>
  <si>
    <t>План на 2022 рік, грн</t>
  </si>
  <si>
    <t>Додаток 10</t>
  </si>
  <si>
    <t>Чорноморський академічний ліцей ім. Т. Г. Шевченко Чорноморської міської ради Одеського району Одеської області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</si>
  <si>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громади, за 9 місяців  2022 року</t>
  </si>
  <si>
    <t>Виконано  за 9 місяців 2022 року</t>
  </si>
  <si>
    <t>Виконано  за  9 місяців 2022 року</t>
  </si>
  <si>
    <t>Виконано за 9 місяців 2022 року,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</si>
</sst>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р.&quot;;[Red]\-#,##0&quot;р.&quot;"/>
    <numFmt numFmtId="165" formatCode="#,##0.000"/>
    <numFmt numFmtId="166" formatCode="#,##0.0"/>
    <numFmt numFmtId="167" formatCode="0.0%"/>
    <numFmt numFmtId="169" formatCode="#,##0.00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0" fillId="0" borderId="0"/>
  </cellStyleXfs>
  <cellXfs count="16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6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wrapText="1"/>
    </xf>
    <xf numFmtId="167" fontId="3" fillId="3" borderId="1" xfId="0" applyNumberFormat="1" applyFont="1" applyFill="1" applyBorder="1"/>
    <xf numFmtId="0" fontId="7" fillId="0" borderId="1" xfId="1" applyFont="1" applyBorder="1" applyAlignment="1">
      <alignment horizontal="left" vertical="center" wrapText="1"/>
    </xf>
    <xf numFmtId="166" fontId="1" fillId="2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7" fontId="1" fillId="0" borderId="1" xfId="0" applyNumberFormat="1" applyFont="1" applyFill="1" applyBorder="1"/>
    <xf numFmtId="0" fontId="7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167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165" fontId="1" fillId="2" borderId="1" xfId="0" applyNumberFormat="1" applyFont="1" applyFill="1" applyBorder="1"/>
    <xf numFmtId="165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3" fontId="1" fillId="2" borderId="1" xfId="0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/>
    <xf numFmtId="3" fontId="9" fillId="2" borderId="1" xfId="0" applyNumberFormat="1" applyFont="1" applyFill="1" applyBorder="1"/>
    <xf numFmtId="165" fontId="9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/>
    <xf numFmtId="1" fontId="9" fillId="2" borderId="1" xfId="0" applyNumberFormat="1" applyFont="1" applyFill="1" applyBorder="1" applyAlignment="1"/>
    <xf numFmtId="3" fontId="1" fillId="2" borderId="1" xfId="0" quotePrefix="1" applyNumberFormat="1" applyFont="1" applyFill="1" applyBorder="1"/>
    <xf numFmtId="4" fontId="9" fillId="2" borderId="1" xfId="0" applyNumberFormat="1" applyFont="1" applyFill="1" applyBorder="1"/>
    <xf numFmtId="167" fontId="9" fillId="2" borderId="1" xfId="0" applyNumberFormat="1" applyFont="1" applyFill="1" applyBorder="1"/>
    <xf numFmtId="0" fontId="9" fillId="0" borderId="0" xfId="0" applyFont="1"/>
    <xf numFmtId="167" fontId="9" fillId="2" borderId="1" xfId="0" applyNumberFormat="1" applyFont="1" applyFill="1" applyBorder="1" applyAlignment="1"/>
    <xf numFmtId="165" fontId="1" fillId="2" borderId="1" xfId="0" applyNumberFormat="1" applyFont="1" applyFill="1" applyBorder="1"/>
    <xf numFmtId="3" fontId="9" fillId="2" borderId="1" xfId="0" applyNumberFormat="1" applyFont="1" applyFill="1" applyBorder="1" applyAlignment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169" fontId="1" fillId="2" borderId="1" xfId="0" applyNumberFormat="1" applyFont="1" applyFill="1" applyBorder="1"/>
    <xf numFmtId="169" fontId="1" fillId="0" borderId="1" xfId="0" applyNumberFormat="1" applyFont="1" applyFill="1" applyBorder="1"/>
    <xf numFmtId="3" fontId="1" fillId="2" borderId="1" xfId="0" applyNumberFormat="1" applyFont="1" applyFill="1" applyBorder="1"/>
    <xf numFmtId="4" fontId="1" fillId="0" borderId="1" xfId="0" applyNumberFormat="1" applyFont="1" applyFill="1" applyBorder="1"/>
    <xf numFmtId="3" fontId="9" fillId="2" borderId="1" xfId="0" applyNumberFormat="1" applyFont="1" applyFill="1" applyBorder="1"/>
    <xf numFmtId="165" fontId="1" fillId="0" borderId="1" xfId="0" applyNumberFormat="1" applyFont="1" applyFill="1" applyBorder="1"/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4" fontId="1" fillId="2" borderId="1" xfId="0" applyNumberFormat="1" applyFont="1" applyFill="1" applyBorder="1"/>
    <xf numFmtId="166" fontId="1" fillId="0" borderId="1" xfId="0" applyNumberFormat="1" applyFont="1" applyFill="1" applyBorder="1"/>
    <xf numFmtId="4" fontId="9" fillId="2" borderId="1" xfId="0" applyNumberFormat="1" applyFont="1" applyFill="1" applyBorder="1" applyAlignment="1"/>
    <xf numFmtId="165" fontId="9" fillId="2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/>
    </xf>
    <xf numFmtId="166" fontId="9" fillId="2" borderId="1" xfId="0" applyNumberFormat="1" applyFont="1" applyFill="1" applyBorder="1"/>
    <xf numFmtId="165" fontId="1" fillId="0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3" fontId="1" fillId="2" borderId="1" xfId="0" applyNumberFormat="1" applyFont="1" applyFill="1" applyBorder="1"/>
    <xf numFmtId="166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 applyAlignment="1">
      <alignment wrapText="1"/>
    </xf>
    <xf numFmtId="166" fontId="0" fillId="0" borderId="1" xfId="0" applyNumberFormat="1" applyFont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3" fontId="1" fillId="2" borderId="1" xfId="0" applyNumberFormat="1" applyFont="1" applyFill="1" applyBorder="1"/>
    <xf numFmtId="165" fontId="8" fillId="0" borderId="0" xfId="0" applyNumberFormat="1" applyFont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3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</cellXfs>
  <cellStyles count="4">
    <cellStyle name="Звичайний" xfId="0" builtinId="0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"/>
  <sheetViews>
    <sheetView showZeros="0" tabSelected="1" zoomScale="80" zoomScaleNormal="80" workbookViewId="0">
      <pane xSplit="4" ySplit="11" topLeftCell="T63" activePane="bottomRight" state="frozen"/>
      <selection pane="topRight" activeCell="E1" sqref="E1"/>
      <selection pane="bottomLeft" activeCell="A12" sqref="A12"/>
      <selection pane="bottomRight" activeCell="Y67" sqref="Y67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5.33203125" style="24" customWidth="1"/>
    <col min="7" max="7" width="14.33203125" style="24" customWidth="1"/>
    <col min="8" max="8" width="14.88671875" style="24" customWidth="1"/>
    <col min="9" max="10" width="13" style="24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22" width="12.6640625" style="24" customWidth="1"/>
    <col min="23" max="23" width="11.5546875" style="24" customWidth="1"/>
    <col min="24" max="24" width="11.88671875" style="24" customWidth="1"/>
    <col min="25" max="25" width="13.33203125" style="24" customWidth="1"/>
    <col min="26" max="28" width="11.88671875" style="24" customWidth="1"/>
    <col min="29" max="31" width="12.6640625" style="5" customWidth="1"/>
    <col min="32" max="33" width="13.33203125" style="5" customWidth="1"/>
    <col min="34" max="16384" width="9.109375" style="1"/>
  </cols>
  <sheetData>
    <row r="1" spans="1:34" x14ac:dyDescent="0.3">
      <c r="D1" s="20"/>
      <c r="E1" s="21"/>
      <c r="F1" s="23"/>
      <c r="G1" s="23"/>
      <c r="H1" s="23"/>
      <c r="I1" s="23"/>
      <c r="J1" s="23"/>
      <c r="K1" s="1"/>
      <c r="L1" s="1"/>
      <c r="M1" s="27" t="s">
        <v>108</v>
      </c>
      <c r="N1" s="27"/>
      <c r="O1" s="1"/>
      <c r="P1" s="1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4" x14ac:dyDescent="0.3">
      <c r="D2" s="20"/>
      <c r="E2" s="21"/>
      <c r="F2" s="23"/>
      <c r="G2" s="23"/>
      <c r="H2" s="23"/>
      <c r="I2" s="23"/>
      <c r="J2" s="23"/>
      <c r="K2" s="1"/>
      <c r="L2" s="1"/>
      <c r="M2" s="27" t="s">
        <v>39</v>
      </c>
      <c r="N2" s="27"/>
      <c r="O2" s="1"/>
      <c r="P2" s="1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4" x14ac:dyDescent="0.3">
      <c r="D3" s="20"/>
      <c r="E3" s="21"/>
      <c r="F3" s="23"/>
      <c r="G3" s="23"/>
      <c r="H3" s="23"/>
      <c r="I3" s="23"/>
      <c r="J3" s="23"/>
      <c r="K3" s="1"/>
      <c r="L3" s="1"/>
      <c r="M3" s="27" t="s">
        <v>27</v>
      </c>
      <c r="N3" s="27"/>
      <c r="O3" s="1"/>
      <c r="P3" s="1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 ht="16.5" customHeight="1" x14ac:dyDescent="0.3">
      <c r="K4" s="1"/>
      <c r="L4" s="1"/>
      <c r="M4" s="34" t="s">
        <v>40</v>
      </c>
      <c r="N4" s="34"/>
      <c r="O4" s="1"/>
      <c r="P4" s="1"/>
      <c r="X4" s="34"/>
      <c r="Y4" s="34"/>
      <c r="Z4" s="34"/>
      <c r="AA4" s="34"/>
      <c r="AB4" s="34"/>
      <c r="AC4" s="34"/>
      <c r="AD4" s="34"/>
      <c r="AE4" s="34"/>
      <c r="AF4" s="34"/>
      <c r="AG4" s="30"/>
    </row>
    <row r="5" spans="1:34" x14ac:dyDescent="0.3">
      <c r="A5" s="2"/>
      <c r="B5" s="2"/>
      <c r="C5" s="2"/>
      <c r="D5" s="3"/>
      <c r="E5" s="6"/>
      <c r="F5" s="25"/>
      <c r="G5" s="25"/>
      <c r="H5" s="25"/>
      <c r="I5" s="25"/>
      <c r="J5" s="25"/>
      <c r="K5" s="1"/>
      <c r="L5" s="1"/>
      <c r="M5" s="25" t="s">
        <v>87</v>
      </c>
      <c r="N5" s="25"/>
      <c r="O5" s="1"/>
      <c r="P5" s="1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4" x14ac:dyDescent="0.3">
      <c r="A6" s="2"/>
      <c r="B6" s="2"/>
      <c r="C6" s="2"/>
      <c r="D6" s="3"/>
      <c r="E6" s="6"/>
      <c r="F6" s="25"/>
      <c r="G6" s="25"/>
      <c r="H6" s="25"/>
      <c r="I6" s="25"/>
      <c r="J6" s="25"/>
      <c r="K6" s="1"/>
      <c r="L6" s="1"/>
      <c r="M6" s="25"/>
      <c r="N6" s="25"/>
      <c r="O6" s="1"/>
      <c r="P6" s="1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4" ht="47.25" customHeight="1" x14ac:dyDescent="0.3">
      <c r="A7" s="2"/>
      <c r="B7" s="2"/>
      <c r="C7" s="2"/>
      <c r="D7" s="3"/>
      <c r="E7" s="140" t="s">
        <v>110</v>
      </c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4" x14ac:dyDescent="0.3">
      <c r="A8" s="2"/>
      <c r="B8" s="2"/>
      <c r="C8" s="2"/>
      <c r="D8" s="3"/>
      <c r="E8" s="6"/>
      <c r="F8" s="25"/>
      <c r="G8" s="25"/>
      <c r="H8" s="25"/>
      <c r="I8" s="25"/>
      <c r="J8" s="25"/>
      <c r="K8" s="1"/>
      <c r="L8" s="1"/>
      <c r="M8" s="25"/>
      <c r="N8" s="25"/>
      <c r="O8" s="1"/>
      <c r="P8" s="1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4" ht="31.5" customHeight="1" x14ac:dyDescent="0.3">
      <c r="A9" s="144" t="s">
        <v>3</v>
      </c>
      <c r="B9" s="145" t="s">
        <v>28</v>
      </c>
      <c r="C9" s="145" t="s">
        <v>4</v>
      </c>
      <c r="D9" s="146" t="s">
        <v>29</v>
      </c>
      <c r="E9" s="141" t="s">
        <v>36</v>
      </c>
      <c r="F9" s="143"/>
      <c r="G9" s="143"/>
      <c r="H9" s="143"/>
      <c r="I9" s="143"/>
      <c r="J9" s="142"/>
      <c r="K9" s="141" t="s">
        <v>64</v>
      </c>
      <c r="L9" s="143"/>
      <c r="M9" s="143"/>
      <c r="N9" s="143"/>
      <c r="O9" s="143"/>
      <c r="P9" s="142"/>
      <c r="Q9" s="141" t="s">
        <v>37</v>
      </c>
      <c r="R9" s="143"/>
      <c r="S9" s="143"/>
      <c r="T9" s="143"/>
      <c r="U9" s="143"/>
      <c r="V9" s="142"/>
      <c r="W9" s="141" t="s">
        <v>38</v>
      </c>
      <c r="X9" s="143"/>
      <c r="Y9" s="143"/>
      <c r="Z9" s="143"/>
      <c r="AA9" s="143"/>
      <c r="AB9" s="142"/>
      <c r="AC9" s="141" t="s">
        <v>65</v>
      </c>
      <c r="AD9" s="143"/>
      <c r="AE9" s="142"/>
      <c r="AF9" s="141" t="s">
        <v>63</v>
      </c>
      <c r="AG9" s="143"/>
      <c r="AH9" s="142"/>
    </row>
    <row r="10" spans="1:34" ht="54" customHeight="1" x14ac:dyDescent="0.3">
      <c r="A10" s="144"/>
      <c r="B10" s="145"/>
      <c r="C10" s="145"/>
      <c r="D10" s="146"/>
      <c r="E10" s="141" t="s">
        <v>106</v>
      </c>
      <c r="F10" s="142"/>
      <c r="G10" s="141" t="s">
        <v>111</v>
      </c>
      <c r="H10" s="142"/>
      <c r="I10" s="141" t="s">
        <v>62</v>
      </c>
      <c r="J10" s="142"/>
      <c r="K10" s="141" t="s">
        <v>106</v>
      </c>
      <c r="L10" s="142"/>
      <c r="M10" s="141" t="s">
        <v>111</v>
      </c>
      <c r="N10" s="142"/>
      <c r="O10" s="141" t="s">
        <v>62</v>
      </c>
      <c r="P10" s="142"/>
      <c r="Q10" s="141" t="s">
        <v>106</v>
      </c>
      <c r="R10" s="142"/>
      <c r="S10" s="141" t="s">
        <v>111</v>
      </c>
      <c r="T10" s="142"/>
      <c r="U10" s="141" t="s">
        <v>62</v>
      </c>
      <c r="V10" s="142"/>
      <c r="W10" s="141" t="s">
        <v>106</v>
      </c>
      <c r="X10" s="142"/>
      <c r="Y10" s="141" t="s">
        <v>111</v>
      </c>
      <c r="Z10" s="142"/>
      <c r="AA10" s="141" t="s">
        <v>62</v>
      </c>
      <c r="AB10" s="142"/>
      <c r="AC10" s="147" t="s">
        <v>106</v>
      </c>
      <c r="AD10" s="147" t="s">
        <v>112</v>
      </c>
      <c r="AE10" s="147" t="s">
        <v>62</v>
      </c>
      <c r="AF10" s="147" t="s">
        <v>107</v>
      </c>
      <c r="AG10" s="147" t="s">
        <v>113</v>
      </c>
      <c r="AH10" s="147" t="s">
        <v>62</v>
      </c>
    </row>
    <row r="11" spans="1:34" ht="24" customHeight="1" x14ac:dyDescent="0.3">
      <c r="A11" s="144"/>
      <c r="B11" s="145"/>
      <c r="C11" s="145"/>
      <c r="D11" s="146"/>
      <c r="E11" s="28" t="s">
        <v>1</v>
      </c>
      <c r="F11" s="29" t="s">
        <v>35</v>
      </c>
      <c r="G11" s="28" t="s">
        <v>1</v>
      </c>
      <c r="H11" s="29" t="s">
        <v>35</v>
      </c>
      <c r="I11" s="28" t="s">
        <v>1</v>
      </c>
      <c r="J11" s="29" t="s">
        <v>35</v>
      </c>
      <c r="K11" s="28" t="s">
        <v>24</v>
      </c>
      <c r="L11" s="28" t="s">
        <v>35</v>
      </c>
      <c r="M11" s="28" t="s">
        <v>24</v>
      </c>
      <c r="N11" s="28" t="s">
        <v>35</v>
      </c>
      <c r="O11" s="28" t="s">
        <v>24</v>
      </c>
      <c r="P11" s="28" t="s">
        <v>35</v>
      </c>
      <c r="Q11" s="29" t="s">
        <v>25</v>
      </c>
      <c r="R11" s="29" t="s">
        <v>35</v>
      </c>
      <c r="S11" s="29" t="s">
        <v>25</v>
      </c>
      <c r="T11" s="29" t="s">
        <v>35</v>
      </c>
      <c r="U11" s="29" t="s">
        <v>25</v>
      </c>
      <c r="V11" s="29" t="s">
        <v>35</v>
      </c>
      <c r="W11" s="29" t="s">
        <v>2</v>
      </c>
      <c r="X11" s="29" t="s">
        <v>35</v>
      </c>
      <c r="Y11" s="29" t="s">
        <v>2</v>
      </c>
      <c r="Z11" s="29" t="s">
        <v>35</v>
      </c>
      <c r="AA11" s="29" t="s">
        <v>2</v>
      </c>
      <c r="AB11" s="29" t="s">
        <v>35</v>
      </c>
      <c r="AC11" s="148"/>
      <c r="AD11" s="148"/>
      <c r="AE11" s="148"/>
      <c r="AF11" s="148"/>
      <c r="AG11" s="148"/>
      <c r="AH11" s="148"/>
    </row>
    <row r="12" spans="1:34" ht="31.2" x14ac:dyDescent="0.3">
      <c r="A12" s="18" t="s">
        <v>32</v>
      </c>
      <c r="B12" s="18"/>
      <c r="C12" s="18"/>
      <c r="D12" s="22" t="s">
        <v>47</v>
      </c>
      <c r="E12" s="11">
        <f>E13+E14+E15+E16+E17</f>
        <v>577.83000000000004</v>
      </c>
      <c r="F12" s="12">
        <f>F13+F14+F15+F16+F17</f>
        <v>1935500</v>
      </c>
      <c r="G12" s="11">
        <f t="shared" ref="G12:H12" si="0">G13+G14+G15+G16+G17</f>
        <v>223.24387999999999</v>
      </c>
      <c r="H12" s="12">
        <f t="shared" si="0"/>
        <v>944400.66999999993</v>
      </c>
      <c r="I12" s="31">
        <f>G12/E12</f>
        <v>0.38634871848121416</v>
      </c>
      <c r="J12" s="31">
        <f>H12/F12</f>
        <v>0.4879362800309997</v>
      </c>
      <c r="K12" s="12">
        <f t="shared" ref="K12:L12" si="1">K13+K14+K15+K16+K17</f>
        <v>2412.1</v>
      </c>
      <c r="L12" s="12">
        <f t="shared" si="1"/>
        <v>109225</v>
      </c>
      <c r="M12" s="12">
        <f t="shared" ref="M12:AF12" si="2">M13+M14+M15+M16+M17</f>
        <v>1886.11</v>
      </c>
      <c r="N12" s="12">
        <f t="shared" si="2"/>
        <v>65978.87</v>
      </c>
      <c r="O12" s="31">
        <f>M12/K12</f>
        <v>0.78193690145516359</v>
      </c>
      <c r="P12" s="31">
        <f>N12/L12</f>
        <v>0.60406381322957192</v>
      </c>
      <c r="Q12" s="12">
        <f t="shared" ref="Q12:R12" si="3">Q13+Q14+Q15+Q16+Q17</f>
        <v>336100</v>
      </c>
      <c r="R12" s="12">
        <f t="shared" si="3"/>
        <v>2326515</v>
      </c>
      <c r="S12" s="12">
        <f t="shared" si="2"/>
        <v>188187</v>
      </c>
      <c r="T12" s="12">
        <f t="shared" si="2"/>
        <v>1182573.6199999999</v>
      </c>
      <c r="U12" s="31">
        <f>S12/Q12</f>
        <v>0.55991371615590602</v>
      </c>
      <c r="V12" s="31">
        <f>T12/R12</f>
        <v>0.50830259852182336</v>
      </c>
      <c r="W12" s="12">
        <f t="shared" ref="W12:X12" si="4">W13+W14+W15+W16+W17</f>
        <v>11324</v>
      </c>
      <c r="X12" s="12">
        <f t="shared" si="4"/>
        <v>217800</v>
      </c>
      <c r="Y12" s="12">
        <f t="shared" si="2"/>
        <v>4732</v>
      </c>
      <c r="Z12" s="12">
        <f t="shared" si="2"/>
        <v>80826.820000000007</v>
      </c>
      <c r="AA12" s="31">
        <f>Y12/W12</f>
        <v>0.41787354291769691</v>
      </c>
      <c r="AB12" s="31">
        <f>Z12/X12</f>
        <v>0.37110569329660242</v>
      </c>
      <c r="AC12" s="12">
        <f t="shared" ref="AC12" si="5">AC13+AC14+AC15+AC16+AC17</f>
        <v>49500</v>
      </c>
      <c r="AD12" s="12">
        <f t="shared" si="2"/>
        <v>35135.509999999995</v>
      </c>
      <c r="AE12" s="31">
        <f>AD12/AC12</f>
        <v>0.70980828282828268</v>
      </c>
      <c r="AF12" s="12">
        <f t="shared" si="2"/>
        <v>4638540</v>
      </c>
      <c r="AG12" s="12">
        <f>AG13+AG14+AG15+AG16+AG17</f>
        <v>2308915.4899999998</v>
      </c>
      <c r="AH12" s="31">
        <f>AG12/AF12</f>
        <v>0.49776772217120036</v>
      </c>
    </row>
    <row r="13" spans="1:34" ht="31.2" x14ac:dyDescent="0.3">
      <c r="A13" s="14" t="s">
        <v>16</v>
      </c>
      <c r="B13" s="14" t="s">
        <v>15</v>
      </c>
      <c r="C13" s="14" t="s">
        <v>5</v>
      </c>
      <c r="D13" s="36" t="s">
        <v>47</v>
      </c>
      <c r="E13" s="55">
        <v>562.63</v>
      </c>
      <c r="F13" s="77">
        <v>1883100</v>
      </c>
      <c r="G13" s="44">
        <v>217.46387999999999</v>
      </c>
      <c r="H13" s="47">
        <v>920338.2</v>
      </c>
      <c r="I13" s="35">
        <f t="shared" ref="I13:I58" si="6">G13/E13</f>
        <v>0.38651312585535785</v>
      </c>
      <c r="J13" s="41">
        <f t="shared" ref="J13:J58" si="7">H13/F13</f>
        <v>0.48873570176836068</v>
      </c>
      <c r="K13" s="77">
        <v>2100</v>
      </c>
      <c r="L13" s="77">
        <f>80200+21400</f>
        <v>101600</v>
      </c>
      <c r="M13" s="47">
        <v>1861</v>
      </c>
      <c r="N13" s="47">
        <v>64812.09</v>
      </c>
      <c r="O13" s="41">
        <f t="shared" ref="O13" si="8">M13/K13</f>
        <v>0.8861904761904762</v>
      </c>
      <c r="P13" s="41">
        <f t="shared" ref="P13" si="9">N13/L13</f>
        <v>0.63791427165354331</v>
      </c>
      <c r="Q13" s="77">
        <v>298000</v>
      </c>
      <c r="R13" s="77">
        <f>2206200-21400-20100-180000</f>
        <v>1984700</v>
      </c>
      <c r="S13" s="47">
        <v>164123</v>
      </c>
      <c r="T13" s="47">
        <v>1023724.02</v>
      </c>
      <c r="U13" s="41">
        <f t="shared" ref="U13:U15" si="10">S13/Q13</f>
        <v>0.55074832214765101</v>
      </c>
      <c r="V13" s="41">
        <f t="shared" ref="V13:V15" si="11">T13/R13</f>
        <v>0.51580794074671232</v>
      </c>
      <c r="W13" s="77"/>
      <c r="X13" s="77"/>
      <c r="Y13" s="47"/>
      <c r="Z13" s="47"/>
      <c r="AA13" s="41"/>
      <c r="AB13" s="41"/>
      <c r="AC13" s="77">
        <f>28500+20100</f>
        <v>48600</v>
      </c>
      <c r="AD13" s="47">
        <v>34511.67</v>
      </c>
      <c r="AE13" s="41">
        <f>AD13/AC13</f>
        <v>0.71011666666666662</v>
      </c>
      <c r="AF13" s="47">
        <f t="shared" ref="AF13:AF17" si="12">F13+L13+R13+X13+AC13</f>
        <v>4018000</v>
      </c>
      <c r="AG13" s="47">
        <f t="shared" ref="AG13:AG67" si="13">H13+N13+T13+Z13+AD13</f>
        <v>2043385.98</v>
      </c>
      <c r="AH13" s="41">
        <f>AG13/AF13</f>
        <v>0.5085579840716774</v>
      </c>
    </row>
    <row r="14" spans="1:34" ht="31.2" x14ac:dyDescent="0.3">
      <c r="A14" s="14" t="s">
        <v>16</v>
      </c>
      <c r="B14" s="14" t="s">
        <v>15</v>
      </c>
      <c r="C14" s="14" t="s">
        <v>5</v>
      </c>
      <c r="D14" s="32" t="s">
        <v>48</v>
      </c>
      <c r="E14" s="55"/>
      <c r="F14" s="77"/>
      <c r="G14" s="44"/>
      <c r="H14" s="47"/>
      <c r="I14" s="41"/>
      <c r="J14" s="41"/>
      <c r="K14" s="88">
        <v>27.1</v>
      </c>
      <c r="L14" s="77">
        <v>600</v>
      </c>
      <c r="M14" s="43"/>
      <c r="N14" s="43"/>
      <c r="O14" s="41"/>
      <c r="P14" s="41"/>
      <c r="Q14" s="77">
        <v>5800</v>
      </c>
      <c r="R14" s="77">
        <f>41800-14300</f>
        <v>27500</v>
      </c>
      <c r="S14" s="47">
        <v>2842</v>
      </c>
      <c r="T14" s="47">
        <v>14149.46</v>
      </c>
      <c r="U14" s="41">
        <f t="shared" si="10"/>
        <v>0.49</v>
      </c>
      <c r="V14" s="41">
        <f t="shared" si="11"/>
        <v>0.5145258181818182</v>
      </c>
      <c r="W14" s="77">
        <v>6200</v>
      </c>
      <c r="X14" s="77">
        <f>101700+14300</f>
        <v>116000</v>
      </c>
      <c r="Y14" s="47">
        <v>2500</v>
      </c>
      <c r="Z14" s="47">
        <v>53905.68</v>
      </c>
      <c r="AA14" s="41">
        <f t="shared" ref="AA14:AA18" si="14">Y14/W14</f>
        <v>0.40322580645161288</v>
      </c>
      <c r="AB14" s="41">
        <f t="shared" ref="AB14:AB18" si="15">Z14/X14</f>
        <v>0.46470413793103449</v>
      </c>
      <c r="AC14" s="77"/>
      <c r="AD14" s="47"/>
      <c r="AE14" s="41"/>
      <c r="AF14" s="47">
        <f t="shared" si="12"/>
        <v>144100</v>
      </c>
      <c r="AG14" s="47">
        <f t="shared" si="13"/>
        <v>68055.14</v>
      </c>
      <c r="AH14" s="41">
        <f t="shared" ref="AH14:AH16" si="16">AG14/AF14</f>
        <v>0.47227716863289382</v>
      </c>
    </row>
    <row r="15" spans="1:34" ht="31.2" x14ac:dyDescent="0.3">
      <c r="A15" s="14" t="s">
        <v>16</v>
      </c>
      <c r="B15" s="14" t="s">
        <v>15</v>
      </c>
      <c r="C15" s="14" t="s">
        <v>5</v>
      </c>
      <c r="D15" s="32" t="s">
        <v>76</v>
      </c>
      <c r="E15" s="55"/>
      <c r="F15" s="77"/>
      <c r="G15" s="44"/>
      <c r="H15" s="47"/>
      <c r="I15" s="41"/>
      <c r="J15" s="41"/>
      <c r="K15" s="77">
        <v>244</v>
      </c>
      <c r="L15" s="77">
        <v>5300</v>
      </c>
      <c r="M15" s="43"/>
      <c r="N15" s="43"/>
      <c r="O15" s="41"/>
      <c r="P15" s="41"/>
      <c r="Q15" s="77">
        <v>2200</v>
      </c>
      <c r="R15" s="77">
        <v>15800</v>
      </c>
      <c r="S15" s="43"/>
      <c r="T15" s="43"/>
      <c r="U15" s="41">
        <f t="shared" si="10"/>
        <v>0</v>
      </c>
      <c r="V15" s="41">
        <f t="shared" si="11"/>
        <v>0</v>
      </c>
      <c r="W15" s="77">
        <v>1724</v>
      </c>
      <c r="X15" s="77">
        <v>28300</v>
      </c>
      <c r="Y15" s="47"/>
      <c r="Z15" s="47"/>
      <c r="AA15" s="41"/>
      <c r="AB15" s="41"/>
      <c r="AC15" s="77"/>
      <c r="AD15" s="47"/>
      <c r="AE15" s="41"/>
      <c r="AF15" s="47">
        <f t="shared" si="12"/>
        <v>49400</v>
      </c>
      <c r="AG15" s="47">
        <f t="shared" si="13"/>
        <v>0</v>
      </c>
      <c r="AH15" s="41">
        <f t="shared" si="16"/>
        <v>0</v>
      </c>
    </row>
    <row r="16" spans="1:34" ht="31.2" x14ac:dyDescent="0.3">
      <c r="A16" s="14" t="s">
        <v>16</v>
      </c>
      <c r="B16" s="14" t="s">
        <v>15</v>
      </c>
      <c r="C16" s="14" t="s">
        <v>5</v>
      </c>
      <c r="D16" s="32" t="s">
        <v>49</v>
      </c>
      <c r="E16" s="55"/>
      <c r="F16" s="77"/>
      <c r="G16" s="44"/>
      <c r="H16" s="47"/>
      <c r="I16" s="41"/>
      <c r="J16" s="41"/>
      <c r="K16" s="77"/>
      <c r="L16" s="77"/>
      <c r="M16" s="47"/>
      <c r="N16" s="47"/>
      <c r="O16" s="41"/>
      <c r="P16" s="41"/>
      <c r="Q16" s="77">
        <v>5100</v>
      </c>
      <c r="R16" s="77">
        <f>36700-17700</f>
        <v>19000</v>
      </c>
      <c r="S16" s="47">
        <v>2163</v>
      </c>
      <c r="T16" s="47">
        <v>12072.41</v>
      </c>
      <c r="U16" s="41">
        <f t="shared" ref="U16" si="17">S16/Q16</f>
        <v>0.42411764705882354</v>
      </c>
      <c r="V16" s="41">
        <f t="shared" ref="V16" si="18">T16/R16</f>
        <v>0.63539000000000001</v>
      </c>
      <c r="W16" s="77">
        <v>3400</v>
      </c>
      <c r="X16" s="77">
        <f>55800+17700</f>
        <v>73500</v>
      </c>
      <c r="Y16" s="47">
        <v>2232</v>
      </c>
      <c r="Z16" s="47">
        <v>26921.14</v>
      </c>
      <c r="AA16" s="41">
        <f t="shared" si="14"/>
        <v>0.65647058823529414</v>
      </c>
      <c r="AB16" s="41">
        <f t="shared" si="15"/>
        <v>0.36627401360544215</v>
      </c>
      <c r="AC16" s="77"/>
      <c r="AD16" s="47"/>
      <c r="AE16" s="41"/>
      <c r="AF16" s="47">
        <f t="shared" si="12"/>
        <v>92500</v>
      </c>
      <c r="AG16" s="47">
        <f t="shared" si="13"/>
        <v>38993.550000000003</v>
      </c>
      <c r="AH16" s="41">
        <f t="shared" si="16"/>
        <v>0.42155189189189191</v>
      </c>
    </row>
    <row r="17" spans="1:34" ht="46.8" x14ac:dyDescent="0.3">
      <c r="A17" s="14" t="s">
        <v>30</v>
      </c>
      <c r="B17" s="10">
        <v>8210</v>
      </c>
      <c r="C17" s="14" t="s">
        <v>26</v>
      </c>
      <c r="D17" s="39" t="s">
        <v>50</v>
      </c>
      <c r="E17" s="55">
        <v>15.2</v>
      </c>
      <c r="F17" s="77">
        <f>53000-600</f>
        <v>52400</v>
      </c>
      <c r="G17" s="78">
        <v>5.78</v>
      </c>
      <c r="H17" s="47">
        <v>24062.47</v>
      </c>
      <c r="I17" s="41">
        <f t="shared" si="6"/>
        <v>0.38026315789473686</v>
      </c>
      <c r="J17" s="41">
        <f t="shared" si="7"/>
        <v>0.45920744274809161</v>
      </c>
      <c r="K17" s="77">
        <v>41</v>
      </c>
      <c r="L17" s="77">
        <f>1600+125</f>
        <v>1725</v>
      </c>
      <c r="M17" s="82">
        <v>25.11</v>
      </c>
      <c r="N17" s="43">
        <v>1166.78</v>
      </c>
      <c r="O17" s="80">
        <f t="shared" ref="O17" si="19">M17/K17</f>
        <v>0.61243902439024389</v>
      </c>
      <c r="P17" s="80">
        <f t="shared" ref="P17" si="20">N17/L17</f>
        <v>0.67639420289855068</v>
      </c>
      <c r="Q17" s="77">
        <v>25000</v>
      </c>
      <c r="R17" s="77">
        <f>180000+99640-125</f>
        <v>279515</v>
      </c>
      <c r="S17" s="79">
        <v>19059</v>
      </c>
      <c r="T17" s="47">
        <v>132627.73000000001</v>
      </c>
      <c r="U17" s="41">
        <f t="shared" ref="U17:U19" si="21">S17/Q17</f>
        <v>0.76236000000000004</v>
      </c>
      <c r="V17" s="41">
        <f t="shared" ref="V17:V58" si="22">T17/R17</f>
        <v>0.47449235282542979</v>
      </c>
      <c r="W17" s="77"/>
      <c r="X17" s="77"/>
      <c r="Y17" s="47"/>
      <c r="Z17" s="47"/>
      <c r="AA17" s="41"/>
      <c r="AB17" s="41"/>
      <c r="AC17" s="77">
        <f>300+600</f>
        <v>900</v>
      </c>
      <c r="AD17" s="43">
        <v>623.84</v>
      </c>
      <c r="AE17" s="41">
        <f t="shared" ref="AE17:AE54" si="23">AD17/AC17</f>
        <v>0.69315555555555564</v>
      </c>
      <c r="AF17" s="47">
        <f t="shared" si="12"/>
        <v>334540</v>
      </c>
      <c r="AG17" s="47">
        <f t="shared" si="13"/>
        <v>158480.82</v>
      </c>
      <c r="AH17" s="41">
        <f t="shared" ref="AH17" si="24">AG17/AF17</f>
        <v>0.47372756621031864</v>
      </c>
    </row>
    <row r="18" spans="1:34" ht="31.2" x14ac:dyDescent="0.3">
      <c r="A18" s="18" t="s">
        <v>33</v>
      </c>
      <c r="B18" s="18"/>
      <c r="C18" s="18"/>
      <c r="D18" s="22" t="s">
        <v>51</v>
      </c>
      <c r="E18" s="11">
        <f>E19+E20+E34+E45+E46+E49+E50+E51+E52</f>
        <v>7755.5561696093419</v>
      </c>
      <c r="F18" s="12">
        <f>F19+F20+F34+F45+F46+F49+F50+F51+F52</f>
        <v>26478317</v>
      </c>
      <c r="G18" s="11">
        <f>G19+G20+G34+G45+G46+G49+G50+G51+G52</f>
        <v>3144.9949842390047</v>
      </c>
      <c r="H18" s="12">
        <f>H19+H20+H34+H45+H46+H49+H50+H51+H52</f>
        <v>14890987.879999999</v>
      </c>
      <c r="I18" s="31">
        <f t="shared" si="6"/>
        <v>0.40551508047390267</v>
      </c>
      <c r="J18" s="31">
        <f t="shared" si="7"/>
        <v>0.56238422857464843</v>
      </c>
      <c r="K18" s="12">
        <f t="shared" ref="K18:L18" si="25">K19+K20+K34+K45+K46+K49+K50+K51+K52</f>
        <v>53299</v>
      </c>
      <c r="L18" s="12">
        <f t="shared" si="25"/>
        <v>2029130</v>
      </c>
      <c r="M18" s="12">
        <f>M19+M20+M34+M45+M46+M49+M50+M51+M52</f>
        <v>16596.270291457287</v>
      </c>
      <c r="N18" s="12">
        <f>N19+N20+N34+N45+N46+N49+N50+N51+N52</f>
        <v>568845.82999999996</v>
      </c>
      <c r="O18" s="31">
        <f t="shared" ref="O18:O19" si="26">M18/K18</f>
        <v>0.31138051917404241</v>
      </c>
      <c r="P18" s="31">
        <f t="shared" ref="P18:P19" si="27">N18/L18</f>
        <v>0.28033976630378532</v>
      </c>
      <c r="Q18" s="12">
        <f t="shared" ref="Q18:R18" si="28">Q19+Q20+Q34+Q45+Q46+Q49+Q50+Q51+Q52</f>
        <v>1659357</v>
      </c>
      <c r="R18" s="12">
        <f t="shared" si="28"/>
        <v>11910672</v>
      </c>
      <c r="S18" s="12">
        <f>S19+S20+S34+S45+S46+S49+S50+S51+S52</f>
        <v>522060.99700000009</v>
      </c>
      <c r="T18" s="12">
        <f>T19+T20+T34+T45+T46+T49+T50+T51+T52</f>
        <v>3591776.27</v>
      </c>
      <c r="U18" s="31">
        <f t="shared" si="21"/>
        <v>0.31461644299569053</v>
      </c>
      <c r="V18" s="31">
        <f t="shared" si="22"/>
        <v>0.30155949807030202</v>
      </c>
      <c r="W18" s="12">
        <f t="shared" ref="W18:X18" si="29">W19+W20+W34+W45+W46+W49+W50+W51+W52</f>
        <v>75768</v>
      </c>
      <c r="X18" s="12">
        <f t="shared" si="29"/>
        <v>1606683</v>
      </c>
      <c r="Y18" s="12">
        <f>Y19+Y20+Y34+Y45+Y46+Y49+Y50+Y51+Y52</f>
        <v>24856</v>
      </c>
      <c r="Z18" s="12">
        <f>Z19+Z20+Z34+Z45+Z46+Z49+Z50+Z51+Z52</f>
        <v>475138.81999999995</v>
      </c>
      <c r="AA18" s="31">
        <f t="shared" si="14"/>
        <v>0.32805405976137686</v>
      </c>
      <c r="AB18" s="31">
        <f t="shared" si="15"/>
        <v>0.29572654966785605</v>
      </c>
      <c r="AC18" s="12">
        <f t="shared" ref="AC18" si="30">AC19+AC20+AC34+AC45+AC46+AC49+AC50+AC51+AC52</f>
        <v>637500</v>
      </c>
      <c r="AD18" s="12">
        <f>AD19+AD20+AD34+AD45+AD46+AD49+AD50+AD51+AD52</f>
        <v>307134.33999999991</v>
      </c>
      <c r="AE18" s="31">
        <f>AD18/AC18</f>
        <v>0.48177935686274498</v>
      </c>
      <c r="AF18" s="12">
        <f>F18+L18+R18+X18+AC18</f>
        <v>42662302</v>
      </c>
      <c r="AG18" s="12">
        <f>AD18+Z18+T18+N18+H18</f>
        <v>19833883.140000001</v>
      </c>
      <c r="AH18" s="31">
        <f>AG18/AF18</f>
        <v>0.46490419434000541</v>
      </c>
    </row>
    <row r="19" spans="1:34" s="15" customFormat="1" ht="31.2" x14ac:dyDescent="0.3">
      <c r="A19" s="14" t="s">
        <v>19</v>
      </c>
      <c r="B19" s="14" t="s">
        <v>18</v>
      </c>
      <c r="C19" s="14" t="s">
        <v>5</v>
      </c>
      <c r="D19" s="36" t="s">
        <v>52</v>
      </c>
      <c r="E19" s="67">
        <v>69.128562049361562</v>
      </c>
      <c r="F19" s="79">
        <f>139800+95000</f>
        <v>234800</v>
      </c>
      <c r="G19" s="89">
        <v>18.027532600000001</v>
      </c>
      <c r="H19" s="90">
        <v>156548.83000000002</v>
      </c>
      <c r="I19" s="41">
        <f t="shared" ref="I19" si="31">G19/E19</f>
        <v>0.26078269336959969</v>
      </c>
      <c r="J19" s="41">
        <f t="shared" ref="J19" si="32">H19/F19</f>
        <v>0.66673266609880755</v>
      </c>
      <c r="K19" s="79">
        <v>148</v>
      </c>
      <c r="L19" s="81">
        <v>6000</v>
      </c>
      <c r="M19" s="95">
        <v>85.5</v>
      </c>
      <c r="N19" s="95">
        <v>3391</v>
      </c>
      <c r="O19" s="41">
        <f t="shared" si="26"/>
        <v>0.57770270270270274</v>
      </c>
      <c r="P19" s="41">
        <f t="shared" si="27"/>
        <v>0.56516666666666671</v>
      </c>
      <c r="Q19" s="79">
        <v>38760</v>
      </c>
      <c r="R19" s="81">
        <v>277900</v>
      </c>
      <c r="S19" s="111">
        <v>3477</v>
      </c>
      <c r="T19" s="112">
        <v>27795.08</v>
      </c>
      <c r="U19" s="41">
        <f t="shared" si="21"/>
        <v>8.9705882352941177E-2</v>
      </c>
      <c r="V19" s="41">
        <f t="shared" si="22"/>
        <v>0.100018279956819</v>
      </c>
      <c r="W19" s="62"/>
      <c r="X19" s="81"/>
      <c r="Y19" s="74"/>
      <c r="Z19" s="72"/>
      <c r="AA19" s="38"/>
      <c r="AB19" s="38"/>
      <c r="AC19" s="77">
        <v>1600</v>
      </c>
      <c r="AD19" s="124">
        <v>917.30000000000007</v>
      </c>
      <c r="AE19" s="41">
        <f t="shared" si="23"/>
        <v>0.5733125</v>
      </c>
      <c r="AF19" s="40">
        <f t="shared" ref="AF19" si="33">F19+L19+R19+X19+AC19</f>
        <v>520300</v>
      </c>
      <c r="AG19" s="40">
        <f t="shared" ref="AG19" si="34">H19+N19+T19+Z19+AD19</f>
        <v>188652.21000000002</v>
      </c>
      <c r="AH19" s="41">
        <f t="shared" ref="AH19" si="35">AG19/AF19</f>
        <v>0.36258352873342309</v>
      </c>
    </row>
    <row r="20" spans="1:34" s="15" customFormat="1" ht="46.8" x14ac:dyDescent="0.3">
      <c r="A20" s="14" t="s">
        <v>20</v>
      </c>
      <c r="B20" s="10">
        <v>1010</v>
      </c>
      <c r="C20" s="14" t="s">
        <v>7</v>
      </c>
      <c r="D20" s="49" t="s">
        <v>53</v>
      </c>
      <c r="E20" s="67">
        <f>SUM(E21:E33)</f>
        <v>3303.3030380648715</v>
      </c>
      <c r="F20" s="79">
        <f>SUM(F21:F33)</f>
        <v>11219900</v>
      </c>
      <c r="G20" s="79">
        <f t="shared" ref="G20:H20" si="36">SUM(G21:G33)</f>
        <v>1238.8689896809747</v>
      </c>
      <c r="H20" s="79">
        <f t="shared" si="36"/>
        <v>5703333.3700000001</v>
      </c>
      <c r="I20" s="41">
        <f t="shared" ref="I20:I29" si="37">G20/E20</f>
        <v>0.37503946062627186</v>
      </c>
      <c r="J20" s="41">
        <f t="shared" ref="J20:J29" si="38">H20/F20</f>
        <v>0.50832301268282254</v>
      </c>
      <c r="K20" s="79">
        <f t="shared" ref="K20" si="39">SUM(K21:K33)</f>
        <v>30903</v>
      </c>
      <c r="L20" s="79">
        <f>SUM(L21:L33)</f>
        <v>1273200</v>
      </c>
      <c r="M20" s="91">
        <f t="shared" ref="M20:N20" si="40">SUM(M21:M33)</f>
        <v>7180.0450000000001</v>
      </c>
      <c r="N20" s="91">
        <f t="shared" si="40"/>
        <v>295683.64999999997</v>
      </c>
      <c r="O20" s="41">
        <f t="shared" ref="O20:O32" si="41">M20/K20</f>
        <v>0.23234135844416401</v>
      </c>
      <c r="P20" s="41">
        <f t="shared" ref="P20:P32" si="42">N20/L20</f>
        <v>0.2322366085453974</v>
      </c>
      <c r="Q20" s="79">
        <f t="shared" ref="Q20:R20" si="43">SUM(Q21:Q33)</f>
        <v>837085</v>
      </c>
      <c r="R20" s="79">
        <f t="shared" si="43"/>
        <v>6010242</v>
      </c>
      <c r="S20" s="69">
        <f t="shared" ref="S20:T20" si="44">SUM(S21:S33)</f>
        <v>193215.00000000012</v>
      </c>
      <c r="T20" s="69">
        <f t="shared" si="44"/>
        <v>1319696.1599999997</v>
      </c>
      <c r="U20" s="41">
        <f t="shared" ref="U20:U54" si="45">S20/Q20</f>
        <v>0.2308188535214466</v>
      </c>
      <c r="V20" s="41">
        <f t="shared" ref="V20:V54" si="46">T20/R20</f>
        <v>0.21957454624955197</v>
      </c>
      <c r="W20" s="79">
        <f t="shared" ref="W20:X20" si="47">SUM(W21:W33)</f>
        <v>12000</v>
      </c>
      <c r="X20" s="79">
        <f t="shared" si="47"/>
        <v>233900</v>
      </c>
      <c r="Y20" s="71">
        <f t="shared" ref="Y20:Z20" si="48">SUM(Y21:Y33)</f>
        <v>3277</v>
      </c>
      <c r="Z20" s="71">
        <f t="shared" si="48"/>
        <v>60619.910000000011</v>
      </c>
      <c r="AA20" s="41">
        <f t="shared" ref="AA20" si="49">Y20/W20</f>
        <v>0.27308333333333334</v>
      </c>
      <c r="AB20" s="41">
        <f t="shared" ref="AB20" si="50">Z20/X20</f>
        <v>0.25917020094057291</v>
      </c>
      <c r="AC20" s="77">
        <f t="shared" ref="AC20" si="51">SUM(AC21:AC33)</f>
        <v>278300</v>
      </c>
      <c r="AD20" s="77">
        <f t="shared" ref="AD20" si="52">SUM(AD21:AD33)</f>
        <v>136611.89999999997</v>
      </c>
      <c r="AE20" s="41">
        <f t="shared" si="23"/>
        <v>0.49087998562702106</v>
      </c>
      <c r="AF20" s="40">
        <f t="shared" ref="AF20:AF54" si="53">F20+L20+R20+X20+AC20</f>
        <v>19015542</v>
      </c>
      <c r="AG20" s="40">
        <f t="shared" ref="AG20:AG54" si="54">H20+N20+T20+Z20+AD20</f>
        <v>7515944.9900000002</v>
      </c>
      <c r="AH20" s="41">
        <f t="shared" ref="AH20:AH54" si="55">AG20/AF20</f>
        <v>0.39525273536773237</v>
      </c>
    </row>
    <row r="21" spans="1:34" s="65" customFormat="1" ht="46.8" x14ac:dyDescent="0.3">
      <c r="A21" s="50"/>
      <c r="B21" s="51"/>
      <c r="C21" s="50"/>
      <c r="D21" s="42" t="s">
        <v>88</v>
      </c>
      <c r="E21" s="55">
        <v>244.9117786472824</v>
      </c>
      <c r="F21" s="63">
        <v>831860</v>
      </c>
      <c r="G21" s="149">
        <v>100.59996287</v>
      </c>
      <c r="H21" s="151">
        <v>499433.24000000005</v>
      </c>
      <c r="I21" s="64">
        <f t="shared" si="37"/>
        <v>0.4107600027472843</v>
      </c>
      <c r="J21" s="64">
        <f t="shared" si="38"/>
        <v>0.60038136224845529</v>
      </c>
      <c r="K21" s="77">
        <v>1869</v>
      </c>
      <c r="L21" s="63">
        <v>77642</v>
      </c>
      <c r="M21" s="97">
        <v>415</v>
      </c>
      <c r="N21" s="96">
        <v>17512.57</v>
      </c>
      <c r="O21" s="64">
        <f t="shared" si="41"/>
        <v>0.22204387372926698</v>
      </c>
      <c r="P21" s="64">
        <f t="shared" si="42"/>
        <v>0.22555536951649879</v>
      </c>
      <c r="Q21" s="77">
        <v>48536</v>
      </c>
      <c r="R21" s="63">
        <v>348490</v>
      </c>
      <c r="S21" s="113">
        <v>15097</v>
      </c>
      <c r="T21" s="113">
        <v>102271.03</v>
      </c>
      <c r="U21" s="64">
        <f t="shared" si="45"/>
        <v>0.31104746991923521</v>
      </c>
      <c r="V21" s="64">
        <f t="shared" si="46"/>
        <v>0.29346905219661967</v>
      </c>
      <c r="W21" s="77"/>
      <c r="X21" s="63"/>
      <c r="Y21" s="73"/>
      <c r="Z21" s="72"/>
      <c r="AA21" s="64"/>
      <c r="AB21" s="64"/>
      <c r="AC21" s="77">
        <v>17700</v>
      </c>
      <c r="AD21" s="125">
        <v>8806.08</v>
      </c>
      <c r="AE21" s="64">
        <f t="shared" si="23"/>
        <v>0.49751864406779661</v>
      </c>
      <c r="AF21" s="56">
        <f t="shared" si="53"/>
        <v>1275692</v>
      </c>
      <c r="AG21" s="56">
        <f t="shared" si="54"/>
        <v>628022.92000000004</v>
      </c>
      <c r="AH21" s="64">
        <f t="shared" si="55"/>
        <v>0.49229980277371033</v>
      </c>
    </row>
    <row r="22" spans="1:34" s="65" customFormat="1" ht="46.8" x14ac:dyDescent="0.3">
      <c r="A22" s="50"/>
      <c r="B22" s="51"/>
      <c r="C22" s="50"/>
      <c r="D22" s="42" t="s">
        <v>89</v>
      </c>
      <c r="E22" s="55">
        <v>295.7189164362872</v>
      </c>
      <c r="F22" s="63">
        <v>1004430</v>
      </c>
      <c r="G22" s="149">
        <v>116.51935864431289</v>
      </c>
      <c r="H22" s="151">
        <v>473796.47</v>
      </c>
      <c r="I22" s="64">
        <f t="shared" si="37"/>
        <v>0.39402064652640184</v>
      </c>
      <c r="J22" s="64">
        <f t="shared" si="38"/>
        <v>0.47170680883685273</v>
      </c>
      <c r="K22" s="77">
        <v>3036</v>
      </c>
      <c r="L22" s="63">
        <v>126262</v>
      </c>
      <c r="M22" s="97">
        <v>677</v>
      </c>
      <c r="N22" s="96">
        <v>28388.739999999998</v>
      </c>
      <c r="O22" s="64">
        <f t="shared" si="41"/>
        <v>0.22299077733860342</v>
      </c>
      <c r="P22" s="64">
        <f t="shared" si="42"/>
        <v>0.22483993600608257</v>
      </c>
      <c r="Q22" s="77">
        <v>54897</v>
      </c>
      <c r="R22" s="63">
        <v>394162</v>
      </c>
      <c r="S22" s="113">
        <v>21103</v>
      </c>
      <c r="T22" s="113">
        <v>143611.08000000002</v>
      </c>
      <c r="U22" s="64">
        <f t="shared" si="45"/>
        <v>0.38441080569065705</v>
      </c>
      <c r="V22" s="64">
        <f t="shared" si="46"/>
        <v>0.36434531994459135</v>
      </c>
      <c r="W22" s="77"/>
      <c r="X22" s="63"/>
      <c r="Y22" s="73"/>
      <c r="Z22" s="72"/>
      <c r="AA22" s="64"/>
      <c r="AB22" s="64"/>
      <c r="AC22" s="77">
        <v>38400</v>
      </c>
      <c r="AD22" s="125">
        <v>23417.979999999996</v>
      </c>
      <c r="AE22" s="64">
        <f t="shared" si="23"/>
        <v>0.60984322916666656</v>
      </c>
      <c r="AF22" s="56">
        <f t="shared" si="53"/>
        <v>1563254</v>
      </c>
      <c r="AG22" s="56">
        <f t="shared" si="54"/>
        <v>669214.27</v>
      </c>
      <c r="AH22" s="64">
        <f t="shared" si="55"/>
        <v>0.42809055342254043</v>
      </c>
    </row>
    <row r="23" spans="1:34" s="65" customFormat="1" ht="46.8" x14ac:dyDescent="0.3">
      <c r="A23" s="50"/>
      <c r="B23" s="51"/>
      <c r="C23" s="50"/>
      <c r="D23" s="42" t="s">
        <v>90</v>
      </c>
      <c r="E23" s="55">
        <v>368.07131900711596</v>
      </c>
      <c r="F23" s="63">
        <v>1250180</v>
      </c>
      <c r="G23" s="149">
        <v>152.56759409551694</v>
      </c>
      <c r="H23" s="151">
        <v>758017.12999999989</v>
      </c>
      <c r="I23" s="64">
        <f t="shared" si="37"/>
        <v>0.41450552166648802</v>
      </c>
      <c r="J23" s="64">
        <f t="shared" si="38"/>
        <v>0.60632639299940805</v>
      </c>
      <c r="K23" s="77">
        <v>3192</v>
      </c>
      <c r="L23" s="63">
        <v>132212</v>
      </c>
      <c r="M23" s="97">
        <v>1157</v>
      </c>
      <c r="N23" s="96">
        <v>47162.22</v>
      </c>
      <c r="O23" s="64">
        <f t="shared" si="41"/>
        <v>0.362468671679198</v>
      </c>
      <c r="P23" s="64">
        <f t="shared" si="42"/>
        <v>0.35671663691646749</v>
      </c>
      <c r="Q23" s="77">
        <v>83792</v>
      </c>
      <c r="R23" s="63">
        <v>601625</v>
      </c>
      <c r="S23" s="113">
        <v>22603.000000000047</v>
      </c>
      <c r="T23" s="113">
        <v>152623.32999999999</v>
      </c>
      <c r="U23" s="64">
        <f t="shared" si="45"/>
        <v>0.2697512889058627</v>
      </c>
      <c r="V23" s="64">
        <f t="shared" si="46"/>
        <v>0.25368515271140657</v>
      </c>
      <c r="W23" s="77"/>
      <c r="X23" s="63"/>
      <c r="Y23" s="73"/>
      <c r="Z23" s="72"/>
      <c r="AA23" s="64"/>
      <c r="AB23" s="64"/>
      <c r="AC23" s="77">
        <v>23200</v>
      </c>
      <c r="AD23" s="125">
        <v>10548.95</v>
      </c>
      <c r="AE23" s="64">
        <f t="shared" si="23"/>
        <v>0.4546961206896552</v>
      </c>
      <c r="AF23" s="56">
        <f t="shared" si="53"/>
        <v>2007217</v>
      </c>
      <c r="AG23" s="56">
        <f t="shared" si="54"/>
        <v>968351.62999999977</v>
      </c>
      <c r="AH23" s="64">
        <f t="shared" si="55"/>
        <v>0.48243494848837959</v>
      </c>
    </row>
    <row r="24" spans="1:34" s="65" customFormat="1" ht="46.8" x14ac:dyDescent="0.3">
      <c r="A24" s="50"/>
      <c r="B24" s="51"/>
      <c r="C24" s="50"/>
      <c r="D24" s="42" t="s">
        <v>91</v>
      </c>
      <c r="E24" s="55">
        <v>245.32690331716995</v>
      </c>
      <c r="F24" s="63">
        <v>833270</v>
      </c>
      <c r="G24" s="149">
        <v>73.092115265394028</v>
      </c>
      <c r="H24" s="151">
        <v>325396.45999999996</v>
      </c>
      <c r="I24" s="64">
        <f t="shared" si="37"/>
        <v>0.29793762639598137</v>
      </c>
      <c r="J24" s="64">
        <f t="shared" si="38"/>
        <v>0.3905054304127113</v>
      </c>
      <c r="K24" s="77">
        <v>3841</v>
      </c>
      <c r="L24" s="63">
        <v>158722</v>
      </c>
      <c r="M24" s="97">
        <v>522</v>
      </c>
      <c r="N24" s="96">
        <v>21873.039999999994</v>
      </c>
      <c r="O24" s="64">
        <f t="shared" si="41"/>
        <v>0.1359021088258266</v>
      </c>
      <c r="P24" s="64">
        <f t="shared" si="42"/>
        <v>0.13780723529189395</v>
      </c>
      <c r="Q24" s="77">
        <v>74856</v>
      </c>
      <c r="R24" s="63">
        <v>537460</v>
      </c>
      <c r="S24" s="113">
        <v>14029.000000000036</v>
      </c>
      <c r="T24" s="113">
        <v>95556.3</v>
      </c>
      <c r="U24" s="64">
        <f t="shared" si="45"/>
        <v>0.18741316661323124</v>
      </c>
      <c r="V24" s="64">
        <f t="shared" si="46"/>
        <v>0.17779239385256579</v>
      </c>
      <c r="W24" s="77"/>
      <c r="X24" s="63"/>
      <c r="Y24" s="73"/>
      <c r="Z24" s="72"/>
      <c r="AA24" s="64"/>
      <c r="AB24" s="64"/>
      <c r="AC24" s="77">
        <v>14100</v>
      </c>
      <c r="AD24" s="125">
        <v>8255.7000000000007</v>
      </c>
      <c r="AE24" s="64">
        <f t="shared" si="23"/>
        <v>0.58551063829787242</v>
      </c>
      <c r="AF24" s="56">
        <f t="shared" si="53"/>
        <v>1543552</v>
      </c>
      <c r="AG24" s="56">
        <f t="shared" si="54"/>
        <v>451081.49999999994</v>
      </c>
      <c r="AH24" s="64">
        <f t="shared" si="55"/>
        <v>0.29223602444232522</v>
      </c>
    </row>
    <row r="25" spans="1:34" s="65" customFormat="1" ht="46.8" x14ac:dyDescent="0.3">
      <c r="A25" s="50"/>
      <c r="B25" s="51"/>
      <c r="C25" s="50"/>
      <c r="D25" s="53" t="s">
        <v>92</v>
      </c>
      <c r="E25" s="55">
        <v>322.11907895317921</v>
      </c>
      <c r="F25" s="63">
        <v>1094100</v>
      </c>
      <c r="G25" s="149">
        <v>115.74969681024446</v>
      </c>
      <c r="H25" s="151">
        <v>537444.17000000004</v>
      </c>
      <c r="I25" s="64">
        <f t="shared" si="37"/>
        <v>0.35933822109018559</v>
      </c>
      <c r="J25" s="64">
        <f t="shared" si="38"/>
        <v>0.49122033634951107</v>
      </c>
      <c r="K25" s="77">
        <v>3696</v>
      </c>
      <c r="L25" s="63">
        <v>152967</v>
      </c>
      <c r="M25" s="97">
        <v>1057</v>
      </c>
      <c r="N25" s="96">
        <v>42672.63</v>
      </c>
      <c r="O25" s="64">
        <f t="shared" si="41"/>
        <v>0.28598484848484851</v>
      </c>
      <c r="P25" s="64">
        <f t="shared" si="42"/>
        <v>0.27896624762203609</v>
      </c>
      <c r="Q25" s="77">
        <v>91200</v>
      </c>
      <c r="R25" s="63">
        <v>654810</v>
      </c>
      <c r="S25" s="113">
        <v>10960</v>
      </c>
      <c r="T25" s="113">
        <v>75184.899999999994</v>
      </c>
      <c r="U25" s="64">
        <f t="shared" si="45"/>
        <v>0.12017543859649123</v>
      </c>
      <c r="V25" s="64">
        <f t="shared" si="46"/>
        <v>0.11481941326491653</v>
      </c>
      <c r="W25" s="77"/>
      <c r="X25" s="63"/>
      <c r="Y25" s="73"/>
      <c r="Z25" s="72"/>
      <c r="AA25" s="64"/>
      <c r="AB25" s="64"/>
      <c r="AC25" s="77">
        <v>22200</v>
      </c>
      <c r="AD25" s="125">
        <v>8806.08</v>
      </c>
      <c r="AE25" s="64">
        <f t="shared" si="23"/>
        <v>0.39667027027027024</v>
      </c>
      <c r="AF25" s="56">
        <f t="shared" si="53"/>
        <v>1924077</v>
      </c>
      <c r="AG25" s="56">
        <f t="shared" si="54"/>
        <v>664107.78</v>
      </c>
      <c r="AH25" s="64">
        <f t="shared" si="55"/>
        <v>0.34515655038753645</v>
      </c>
    </row>
    <row r="26" spans="1:34" s="65" customFormat="1" ht="46.8" x14ac:dyDescent="0.3">
      <c r="A26" s="51"/>
      <c r="B26" s="51"/>
      <c r="C26" s="50"/>
      <c r="D26" s="42" t="s">
        <v>93</v>
      </c>
      <c r="E26" s="55">
        <v>358.69126795561402</v>
      </c>
      <c r="F26" s="63">
        <v>1218320</v>
      </c>
      <c r="G26" s="149">
        <v>147.43409498203215</v>
      </c>
      <c r="H26" s="151">
        <v>736368.57</v>
      </c>
      <c r="I26" s="64">
        <f t="shared" si="37"/>
        <v>0.41103340993591253</v>
      </c>
      <c r="J26" s="64">
        <f t="shared" si="38"/>
        <v>0.60441310164817119</v>
      </c>
      <c r="K26" s="77">
        <v>4436</v>
      </c>
      <c r="L26" s="63">
        <v>184202</v>
      </c>
      <c r="M26" s="97">
        <v>600</v>
      </c>
      <c r="N26" s="96">
        <v>24913.239999999998</v>
      </c>
      <c r="O26" s="64">
        <f t="shared" si="41"/>
        <v>0.13525698827772767</v>
      </c>
      <c r="P26" s="64">
        <f t="shared" si="42"/>
        <v>0.1352495629797722</v>
      </c>
      <c r="Q26" s="77">
        <v>51620</v>
      </c>
      <c r="R26" s="63">
        <v>370630</v>
      </c>
      <c r="S26" s="113">
        <v>18138</v>
      </c>
      <c r="T26" s="113">
        <v>123923.18999999999</v>
      </c>
      <c r="U26" s="64">
        <f t="shared" si="45"/>
        <v>0.35137543587756681</v>
      </c>
      <c r="V26" s="64">
        <f t="shared" si="46"/>
        <v>0.3343582278822545</v>
      </c>
      <c r="W26" s="77"/>
      <c r="X26" s="63"/>
      <c r="Y26" s="73"/>
      <c r="Z26" s="72"/>
      <c r="AA26" s="64"/>
      <c r="AB26" s="64"/>
      <c r="AC26" s="77">
        <v>23200</v>
      </c>
      <c r="AD26" s="125">
        <v>10548.95</v>
      </c>
      <c r="AE26" s="64">
        <f t="shared" si="23"/>
        <v>0.4546961206896552</v>
      </c>
      <c r="AF26" s="56">
        <f t="shared" si="53"/>
        <v>1796352</v>
      </c>
      <c r="AG26" s="56">
        <f t="shared" si="54"/>
        <v>895753.94999999984</v>
      </c>
      <c r="AH26" s="64">
        <f t="shared" si="55"/>
        <v>0.49865168407973481</v>
      </c>
    </row>
    <row r="27" spans="1:34" s="65" customFormat="1" ht="46.8" x14ac:dyDescent="0.3">
      <c r="A27" s="50"/>
      <c r="B27" s="51"/>
      <c r="C27" s="50"/>
      <c r="D27" s="42" t="s">
        <v>94</v>
      </c>
      <c r="E27" s="55">
        <v>296.08399061406067</v>
      </c>
      <c r="F27" s="63">
        <v>1005670</v>
      </c>
      <c r="G27" s="149">
        <v>118.28803199983817</v>
      </c>
      <c r="H27" s="151">
        <v>539947.14</v>
      </c>
      <c r="I27" s="64">
        <f t="shared" si="37"/>
        <v>0.39950836840085746</v>
      </c>
      <c r="J27" s="64">
        <f t="shared" si="38"/>
        <v>0.53690290055385959</v>
      </c>
      <c r="K27" s="77">
        <v>1415</v>
      </c>
      <c r="L27" s="63">
        <v>58525</v>
      </c>
      <c r="M27" s="97">
        <v>714</v>
      </c>
      <c r="N27" s="96">
        <v>29227.59</v>
      </c>
      <c r="O27" s="64">
        <f t="shared" si="41"/>
        <v>0.5045936395759717</v>
      </c>
      <c r="P27" s="64">
        <f t="shared" si="42"/>
        <v>0.49940350277659118</v>
      </c>
      <c r="Q27" s="77">
        <v>70104</v>
      </c>
      <c r="R27" s="63">
        <v>503340</v>
      </c>
      <c r="S27" s="113">
        <v>15153</v>
      </c>
      <c r="T27" s="113">
        <v>106384.35999999999</v>
      </c>
      <c r="U27" s="64">
        <f t="shared" si="45"/>
        <v>0.21615029099623417</v>
      </c>
      <c r="V27" s="64">
        <f t="shared" si="46"/>
        <v>0.21135685620058009</v>
      </c>
      <c r="W27" s="77"/>
      <c r="X27" s="63"/>
      <c r="Y27" s="73"/>
      <c r="Z27" s="72"/>
      <c r="AA27" s="64"/>
      <c r="AB27" s="64"/>
      <c r="AC27" s="77">
        <v>13900</v>
      </c>
      <c r="AD27" s="125">
        <v>6971.4800000000005</v>
      </c>
      <c r="AE27" s="64">
        <f t="shared" si="23"/>
        <v>0.50154532374100724</v>
      </c>
      <c r="AF27" s="56">
        <f t="shared" si="53"/>
        <v>1581435</v>
      </c>
      <c r="AG27" s="56">
        <f t="shared" si="54"/>
        <v>682530.57</v>
      </c>
      <c r="AH27" s="64">
        <f t="shared" si="55"/>
        <v>0.43158939191304097</v>
      </c>
    </row>
    <row r="28" spans="1:34" s="65" customFormat="1" ht="46.8" x14ac:dyDescent="0.3">
      <c r="A28" s="51"/>
      <c r="B28" s="51"/>
      <c r="C28" s="50"/>
      <c r="D28" s="42" t="s">
        <v>95</v>
      </c>
      <c r="E28" s="55">
        <v>351.21313560444798</v>
      </c>
      <c r="F28" s="63">
        <v>1192920</v>
      </c>
      <c r="G28" s="149">
        <v>122.22000199999999</v>
      </c>
      <c r="H28" s="151">
        <v>469770.83999999991</v>
      </c>
      <c r="I28" s="64">
        <f t="shared" si="37"/>
        <v>0.34799382372090332</v>
      </c>
      <c r="J28" s="64">
        <f t="shared" si="38"/>
        <v>0.39379911477718532</v>
      </c>
      <c r="K28" s="77">
        <v>2850</v>
      </c>
      <c r="L28" s="63">
        <v>117572</v>
      </c>
      <c r="M28" s="97">
        <v>548</v>
      </c>
      <c r="N28" s="96">
        <v>22895.95</v>
      </c>
      <c r="O28" s="64">
        <f t="shared" si="41"/>
        <v>0.19228070175438597</v>
      </c>
      <c r="P28" s="64">
        <f t="shared" si="42"/>
        <v>0.19473981900452489</v>
      </c>
      <c r="Q28" s="77">
        <v>116556</v>
      </c>
      <c r="R28" s="63">
        <v>836870</v>
      </c>
      <c r="S28" s="113">
        <v>21194</v>
      </c>
      <c r="T28" s="113">
        <v>143146.35</v>
      </c>
      <c r="U28" s="64">
        <f t="shared" si="45"/>
        <v>0.18183534095198875</v>
      </c>
      <c r="V28" s="64">
        <f t="shared" si="46"/>
        <v>0.17104968513628163</v>
      </c>
      <c r="W28" s="77"/>
      <c r="X28" s="63"/>
      <c r="Y28" s="73"/>
      <c r="Z28" s="72"/>
      <c r="AA28" s="64"/>
      <c r="AB28" s="64"/>
      <c r="AC28" s="77">
        <v>26400</v>
      </c>
      <c r="AD28" s="125">
        <v>13117.390000000001</v>
      </c>
      <c r="AE28" s="64">
        <f t="shared" si="23"/>
        <v>0.49687083333333337</v>
      </c>
      <c r="AF28" s="56">
        <f t="shared" si="53"/>
        <v>2173762</v>
      </c>
      <c r="AG28" s="56">
        <f t="shared" si="54"/>
        <v>648930.52999999991</v>
      </c>
      <c r="AH28" s="64">
        <f t="shared" si="55"/>
        <v>0.29852878558002205</v>
      </c>
    </row>
    <row r="29" spans="1:34" s="65" customFormat="1" ht="46.8" x14ac:dyDescent="0.3">
      <c r="A29" s="51"/>
      <c r="B29" s="51"/>
      <c r="C29" s="50"/>
      <c r="D29" s="42" t="s">
        <v>96</v>
      </c>
      <c r="E29" s="55">
        <v>282.7896966645763</v>
      </c>
      <c r="F29" s="63">
        <v>960515</v>
      </c>
      <c r="G29" s="149">
        <v>93.421999999999997</v>
      </c>
      <c r="H29" s="151">
        <v>457927.04000000004</v>
      </c>
      <c r="I29" s="64">
        <f t="shared" si="37"/>
        <v>0.33035857070425761</v>
      </c>
      <c r="J29" s="64">
        <f t="shared" si="38"/>
        <v>0.47675157597747048</v>
      </c>
      <c r="K29" s="77">
        <v>2925</v>
      </c>
      <c r="L29" s="63">
        <v>121692</v>
      </c>
      <c r="M29" s="97">
        <v>562</v>
      </c>
      <c r="N29" s="96">
        <v>24178.510000000002</v>
      </c>
      <c r="O29" s="64">
        <f t="shared" si="41"/>
        <v>0.19213675213675213</v>
      </c>
      <c r="P29" s="64">
        <f t="shared" si="42"/>
        <v>0.19868610919370214</v>
      </c>
      <c r="Q29" s="77">
        <v>61344</v>
      </c>
      <c r="R29" s="63">
        <v>440450</v>
      </c>
      <c r="S29" s="113">
        <v>23848</v>
      </c>
      <c r="T29" s="113">
        <v>164477.33000000002</v>
      </c>
      <c r="U29" s="64">
        <f t="shared" si="45"/>
        <v>0.38875847678664582</v>
      </c>
      <c r="V29" s="64">
        <f t="shared" si="46"/>
        <v>0.37343019639005565</v>
      </c>
      <c r="W29" s="77"/>
      <c r="X29" s="63"/>
      <c r="Y29" s="73"/>
      <c r="Z29" s="72"/>
      <c r="AA29" s="64"/>
      <c r="AB29" s="64"/>
      <c r="AC29" s="77">
        <v>29800</v>
      </c>
      <c r="AD29" s="125">
        <v>14126.42</v>
      </c>
      <c r="AE29" s="64">
        <f t="shared" si="23"/>
        <v>0.47404093959731541</v>
      </c>
      <c r="AF29" s="56">
        <f t="shared" si="53"/>
        <v>1552457</v>
      </c>
      <c r="AG29" s="56">
        <f t="shared" si="54"/>
        <v>660709.30000000016</v>
      </c>
      <c r="AH29" s="64">
        <f t="shared" si="55"/>
        <v>0.42558943661563586</v>
      </c>
    </row>
    <row r="30" spans="1:34" s="65" customFormat="1" ht="46.8" x14ac:dyDescent="0.3">
      <c r="A30" s="51"/>
      <c r="B30" s="51"/>
      <c r="C30" s="50"/>
      <c r="D30" s="42" t="s">
        <v>97</v>
      </c>
      <c r="E30" s="55">
        <v>0</v>
      </c>
      <c r="F30" s="63">
        <v>0</v>
      </c>
      <c r="G30" s="149">
        <v>0</v>
      </c>
      <c r="H30" s="151">
        <v>0</v>
      </c>
      <c r="I30" s="64"/>
      <c r="J30" s="64"/>
      <c r="K30" s="77">
        <v>250</v>
      </c>
      <c r="L30" s="63">
        <v>5170</v>
      </c>
      <c r="M30" s="97">
        <v>96</v>
      </c>
      <c r="N30" s="96">
        <v>1760.4599999999998</v>
      </c>
      <c r="O30" s="64">
        <f t="shared" si="41"/>
        <v>0.38400000000000001</v>
      </c>
      <c r="P30" s="64">
        <f t="shared" si="42"/>
        <v>0.34051450676982586</v>
      </c>
      <c r="Q30" s="77">
        <v>10452</v>
      </c>
      <c r="R30" s="63">
        <v>75045</v>
      </c>
      <c r="S30" s="113">
        <v>2771</v>
      </c>
      <c r="T30" s="113">
        <v>18805.89</v>
      </c>
      <c r="U30" s="64">
        <f t="shared" si="45"/>
        <v>0.26511672407194797</v>
      </c>
      <c r="V30" s="64">
        <f t="shared" si="46"/>
        <v>0.25059484309414348</v>
      </c>
      <c r="W30" s="77">
        <v>12000</v>
      </c>
      <c r="X30" s="77">
        <v>233900</v>
      </c>
      <c r="Y30" s="120">
        <v>3277</v>
      </c>
      <c r="Z30" s="121">
        <v>60619.910000000011</v>
      </c>
      <c r="AA30" s="64">
        <f t="shared" ref="AA30" si="56">Y30/W30</f>
        <v>0.27308333333333334</v>
      </c>
      <c r="AB30" s="64">
        <f t="shared" ref="AB30" si="57">Z30/X30</f>
        <v>0.25917020094057291</v>
      </c>
      <c r="AC30" s="77">
        <v>23800</v>
      </c>
      <c r="AD30" s="125">
        <v>6360.9299999999994</v>
      </c>
      <c r="AE30" s="64">
        <f t="shared" si="23"/>
        <v>0.26726596638655459</v>
      </c>
      <c r="AF30" s="56">
        <f t="shared" si="53"/>
        <v>337915</v>
      </c>
      <c r="AG30" s="56">
        <f t="shared" si="54"/>
        <v>87547.19</v>
      </c>
      <c r="AH30" s="64">
        <f t="shared" si="55"/>
        <v>0.25908050841187874</v>
      </c>
    </row>
    <row r="31" spans="1:34" s="65" customFormat="1" ht="46.8" x14ac:dyDescent="0.3">
      <c r="A31" s="51"/>
      <c r="B31" s="51"/>
      <c r="C31" s="50"/>
      <c r="D31" s="42" t="s">
        <v>98</v>
      </c>
      <c r="E31" s="55">
        <v>231.91189935729278</v>
      </c>
      <c r="F31" s="63">
        <v>787705</v>
      </c>
      <c r="G31" s="149">
        <v>100.46109179208464</v>
      </c>
      <c r="H31" s="151">
        <v>478916.73999999993</v>
      </c>
      <c r="I31" s="64">
        <f t="shared" ref="I31:I33" si="58">G31/E31</f>
        <v>0.43318644739876089</v>
      </c>
      <c r="J31" s="64">
        <f t="shared" ref="J31:J33" si="59">H31/F31</f>
        <v>0.60798997086472717</v>
      </c>
      <c r="K31" s="77">
        <v>1574</v>
      </c>
      <c r="L31" s="63">
        <v>64082</v>
      </c>
      <c r="M31" s="97">
        <v>340.44500000000016</v>
      </c>
      <c r="N31" s="96">
        <v>14555.32</v>
      </c>
      <c r="O31" s="64">
        <f t="shared" si="41"/>
        <v>0.21629288437102934</v>
      </c>
      <c r="P31" s="64">
        <f t="shared" si="42"/>
        <v>0.22713585718298429</v>
      </c>
      <c r="Q31" s="77">
        <v>79920</v>
      </c>
      <c r="R31" s="63">
        <v>573820</v>
      </c>
      <c r="S31" s="113">
        <v>11228</v>
      </c>
      <c r="T31" s="113">
        <v>76943.889999999985</v>
      </c>
      <c r="U31" s="64">
        <f t="shared" si="45"/>
        <v>0.14049049049049048</v>
      </c>
      <c r="V31" s="64">
        <f t="shared" si="46"/>
        <v>0.13409063817921993</v>
      </c>
      <c r="W31" s="77"/>
      <c r="X31" s="63"/>
      <c r="Y31" s="81"/>
      <c r="Z31" s="81"/>
      <c r="AA31" s="64"/>
      <c r="AB31" s="64"/>
      <c r="AC31" s="77">
        <v>16500</v>
      </c>
      <c r="AD31" s="125">
        <v>8530.8900000000012</v>
      </c>
      <c r="AE31" s="64">
        <f t="shared" si="23"/>
        <v>0.51702363636363646</v>
      </c>
      <c r="AF31" s="56">
        <f t="shared" si="53"/>
        <v>1442107</v>
      </c>
      <c r="AG31" s="56">
        <f t="shared" si="54"/>
        <v>578946.84</v>
      </c>
      <c r="AH31" s="64">
        <f t="shared" si="55"/>
        <v>0.40145900408222135</v>
      </c>
    </row>
    <row r="32" spans="1:34" s="65" customFormat="1" ht="52.2" customHeight="1" x14ac:dyDescent="0.3">
      <c r="A32" s="51"/>
      <c r="B32" s="51"/>
      <c r="C32" s="50"/>
      <c r="D32" s="42" t="s">
        <v>99</v>
      </c>
      <c r="E32" s="55">
        <v>155.77332426536182</v>
      </c>
      <c r="F32" s="63">
        <v>529095</v>
      </c>
      <c r="G32" s="149">
        <v>52.016721199592176</v>
      </c>
      <c r="H32" s="151">
        <v>235395.13</v>
      </c>
      <c r="I32" s="64">
        <f t="shared" si="58"/>
        <v>0.3339257311539493</v>
      </c>
      <c r="J32" s="64">
        <f t="shared" si="59"/>
        <v>0.44490144492009942</v>
      </c>
      <c r="K32" s="77">
        <v>1173</v>
      </c>
      <c r="L32" s="63">
        <v>47702</v>
      </c>
      <c r="M32" s="97">
        <v>276</v>
      </c>
      <c r="N32" s="96">
        <v>12086.079999999998</v>
      </c>
      <c r="O32" s="64">
        <f t="shared" si="41"/>
        <v>0.23529411764705882</v>
      </c>
      <c r="P32" s="64">
        <f t="shared" si="42"/>
        <v>0.25336631587774094</v>
      </c>
      <c r="Q32" s="77">
        <v>57808</v>
      </c>
      <c r="R32" s="63">
        <v>415060</v>
      </c>
      <c r="S32" s="113">
        <v>9164.9999999999945</v>
      </c>
      <c r="T32" s="113">
        <v>62745.68</v>
      </c>
      <c r="U32" s="64">
        <f t="shared" si="45"/>
        <v>0.15854207030168826</v>
      </c>
      <c r="V32" s="64">
        <f t="shared" si="46"/>
        <v>0.15117255336577845</v>
      </c>
      <c r="W32" s="77"/>
      <c r="X32" s="63"/>
      <c r="Y32" s="73"/>
      <c r="Z32" s="72"/>
      <c r="AA32" s="64"/>
      <c r="AB32" s="64"/>
      <c r="AC32" s="77">
        <v>13900</v>
      </c>
      <c r="AD32" s="125">
        <v>8957.0799999999981</v>
      </c>
      <c r="AE32" s="64">
        <f t="shared" si="23"/>
        <v>0.64439424460431638</v>
      </c>
      <c r="AF32" s="56">
        <f t="shared" si="53"/>
        <v>1005757</v>
      </c>
      <c r="AG32" s="56">
        <f t="shared" si="54"/>
        <v>319183.97000000003</v>
      </c>
      <c r="AH32" s="64">
        <f t="shared" si="55"/>
        <v>0.31735694606152381</v>
      </c>
    </row>
    <row r="33" spans="1:34" s="65" customFormat="1" ht="46.8" x14ac:dyDescent="0.3">
      <c r="A33" s="51"/>
      <c r="B33" s="51"/>
      <c r="C33" s="50"/>
      <c r="D33" s="52" t="s">
        <v>75</v>
      </c>
      <c r="E33" s="55">
        <v>150.69172724248284</v>
      </c>
      <c r="F33" s="63">
        <v>511835</v>
      </c>
      <c r="G33" s="149">
        <v>46.498320021959323</v>
      </c>
      <c r="H33" s="150">
        <v>190920.44</v>
      </c>
      <c r="I33" s="64">
        <f t="shared" si="58"/>
        <v>0.30856584414310551</v>
      </c>
      <c r="J33" s="64">
        <f t="shared" si="59"/>
        <v>0.37301169322144834</v>
      </c>
      <c r="K33" s="77">
        <v>646</v>
      </c>
      <c r="L33" s="63">
        <v>26450</v>
      </c>
      <c r="M33" s="97">
        <v>215.60000000000002</v>
      </c>
      <c r="N33" s="96">
        <v>8457.2999999999993</v>
      </c>
      <c r="O33" s="64">
        <f t="shared" ref="O33" si="60">M33/K33</f>
        <v>0.33374613003095976</v>
      </c>
      <c r="P33" s="64">
        <f t="shared" ref="P33" si="61">N33/L33</f>
        <v>0.31974669187145555</v>
      </c>
      <c r="Q33" s="77">
        <v>36000</v>
      </c>
      <c r="R33" s="63">
        <v>258480</v>
      </c>
      <c r="S33" s="113">
        <v>7926.0000000000155</v>
      </c>
      <c r="T33" s="113">
        <v>54022.83</v>
      </c>
      <c r="U33" s="64">
        <f t="shared" si="45"/>
        <v>0.22016666666666709</v>
      </c>
      <c r="V33" s="64">
        <f t="shared" si="46"/>
        <v>0.20900197307335192</v>
      </c>
      <c r="W33" s="77"/>
      <c r="X33" s="63"/>
      <c r="Y33" s="73"/>
      <c r="Z33" s="72"/>
      <c r="AA33" s="64"/>
      <c r="AB33" s="64"/>
      <c r="AC33" s="77">
        <v>15200</v>
      </c>
      <c r="AD33" s="125">
        <v>8163.97</v>
      </c>
      <c r="AE33" s="64">
        <f t="shared" si="23"/>
        <v>0.53710328947368424</v>
      </c>
      <c r="AF33" s="56">
        <f t="shared" si="53"/>
        <v>811965</v>
      </c>
      <c r="AG33" s="56">
        <f t="shared" si="54"/>
        <v>261564.54</v>
      </c>
      <c r="AH33" s="64">
        <f t="shared" si="55"/>
        <v>0.32213770297980826</v>
      </c>
    </row>
    <row r="34" spans="1:34" ht="46.8" x14ac:dyDescent="0.3">
      <c r="A34" s="14" t="s">
        <v>41</v>
      </c>
      <c r="B34" s="10">
        <v>1021</v>
      </c>
      <c r="C34" s="14" t="s">
        <v>6</v>
      </c>
      <c r="D34" s="49" t="s">
        <v>54</v>
      </c>
      <c r="E34" s="67">
        <f t="shared" ref="E34:F34" si="62">SUM(E35:E44)</f>
        <v>3800.3094298071287</v>
      </c>
      <c r="F34" s="79">
        <f t="shared" si="62"/>
        <v>12908017</v>
      </c>
      <c r="G34" s="79">
        <f t="shared" ref="G34:H34" si="63">SUM(G35:G44)</f>
        <v>1704.2834616005309</v>
      </c>
      <c r="H34" s="79">
        <f t="shared" si="63"/>
        <v>8252911.0800000001</v>
      </c>
      <c r="I34" s="41">
        <f t="shared" ref="I34:I54" si="64">G34/E34</f>
        <v>0.44845913025746059</v>
      </c>
      <c r="J34" s="41">
        <f t="shared" ref="J34:J54" si="65">H34/F34</f>
        <v>0.63936320195425833</v>
      </c>
      <c r="K34" s="79">
        <f t="shared" ref="K34:L34" si="66">SUM(K35:K44)</f>
        <v>11331</v>
      </c>
      <c r="L34" s="79">
        <f t="shared" si="66"/>
        <v>465330</v>
      </c>
      <c r="M34" s="91">
        <f t="shared" ref="M34:N34" si="67">SUM(M35:M44)</f>
        <v>2667.4942914572866</v>
      </c>
      <c r="N34" s="91">
        <f t="shared" si="67"/>
        <v>108509.70999999998</v>
      </c>
      <c r="O34" s="41">
        <f t="shared" ref="O34:O54" si="68">M34/K34</f>
        <v>0.23541561128384844</v>
      </c>
      <c r="P34" s="41">
        <f t="shared" ref="P34:P54" si="69">N34/L34</f>
        <v>0.23318872628027418</v>
      </c>
      <c r="Q34" s="79">
        <f t="shared" ref="Q34:R34" si="70">SUM(Q35:Q44)</f>
        <v>550876</v>
      </c>
      <c r="R34" s="79">
        <f t="shared" si="70"/>
        <v>3955270</v>
      </c>
      <c r="S34" s="69">
        <f t="shared" ref="S34:T34" si="71">SUM(S35:S44)</f>
        <v>255144</v>
      </c>
      <c r="T34" s="69">
        <f t="shared" si="71"/>
        <v>1757498.76</v>
      </c>
      <c r="U34" s="41">
        <f t="shared" si="45"/>
        <v>0.46316049346858457</v>
      </c>
      <c r="V34" s="41">
        <f t="shared" si="46"/>
        <v>0.44434356188073126</v>
      </c>
      <c r="W34" s="79">
        <f t="shared" ref="W34:X34" si="72">SUM(W35:W44)</f>
        <v>63768</v>
      </c>
      <c r="X34" s="79">
        <f t="shared" si="72"/>
        <v>1372783</v>
      </c>
      <c r="Y34" s="71">
        <f t="shared" ref="Y34:Z34" si="73">SUM(Y35:Y44)</f>
        <v>21579</v>
      </c>
      <c r="Z34" s="71">
        <f t="shared" si="73"/>
        <v>414518.90999999992</v>
      </c>
      <c r="AA34" s="41">
        <f t="shared" ref="AA34" si="74">Y34/W34</f>
        <v>0.33839856981558147</v>
      </c>
      <c r="AB34" s="41">
        <f t="shared" ref="AB34" si="75">Z34/X34</f>
        <v>0.30195515970113262</v>
      </c>
      <c r="AC34" s="77">
        <f t="shared" ref="AC34" si="76">SUM(AC35:AC44)</f>
        <v>289700</v>
      </c>
      <c r="AD34" s="77">
        <f t="shared" ref="AD34" si="77">SUM(AD35:AD44)</f>
        <v>131817.29</v>
      </c>
      <c r="AE34" s="41">
        <f t="shared" si="23"/>
        <v>0.45501308249913708</v>
      </c>
      <c r="AF34" s="40">
        <f t="shared" si="53"/>
        <v>18991100</v>
      </c>
      <c r="AG34" s="40">
        <f t="shared" si="54"/>
        <v>10665255.75</v>
      </c>
      <c r="AH34" s="41">
        <f t="shared" si="55"/>
        <v>0.56159231166177837</v>
      </c>
    </row>
    <row r="35" spans="1:34" s="65" customFormat="1" ht="46.8" x14ac:dyDescent="0.3">
      <c r="A35" s="50"/>
      <c r="B35" s="51"/>
      <c r="C35" s="50"/>
      <c r="D35" s="42" t="s">
        <v>100</v>
      </c>
      <c r="E35" s="55">
        <v>369.86459869809835</v>
      </c>
      <c r="F35" s="77">
        <v>1256271</v>
      </c>
      <c r="G35" s="157">
        <v>173.25705090006636</v>
      </c>
      <c r="H35" s="152">
        <v>830514.7200000002</v>
      </c>
      <c r="I35" s="64">
        <f t="shared" si="64"/>
        <v>0.46843372279996787</v>
      </c>
      <c r="J35" s="64">
        <f t="shared" si="65"/>
        <v>0.66109519363258418</v>
      </c>
      <c r="K35" s="77">
        <v>1467</v>
      </c>
      <c r="L35" s="63">
        <v>60960</v>
      </c>
      <c r="M35" s="99">
        <v>442.79999999999995</v>
      </c>
      <c r="N35" s="98">
        <v>18495.719999999998</v>
      </c>
      <c r="O35" s="64">
        <f t="shared" si="68"/>
        <v>0.30184049079754599</v>
      </c>
      <c r="P35" s="64">
        <f t="shared" si="69"/>
        <v>0.30340748031496056</v>
      </c>
      <c r="Q35" s="77">
        <v>37409</v>
      </c>
      <c r="R35" s="63">
        <v>268594.57999999996</v>
      </c>
      <c r="S35" s="114">
        <v>18084.999999999978</v>
      </c>
      <c r="T35" s="114">
        <v>123386.88</v>
      </c>
      <c r="U35" s="64">
        <f t="shared" si="45"/>
        <v>0.48343981394851449</v>
      </c>
      <c r="V35" s="64">
        <f t="shared" si="46"/>
        <v>0.45937963454065239</v>
      </c>
      <c r="W35" s="77"/>
      <c r="X35" s="63"/>
      <c r="Y35" s="73"/>
      <c r="Z35" s="72"/>
      <c r="AA35" s="64"/>
      <c r="AB35" s="64"/>
      <c r="AC35" s="77">
        <v>17700</v>
      </c>
      <c r="AD35" s="126">
        <v>7612.7100000000009</v>
      </c>
      <c r="AE35" s="64">
        <f t="shared" si="23"/>
        <v>0.43009661016949158</v>
      </c>
      <c r="AF35" s="56">
        <f t="shared" si="53"/>
        <v>1603525.58</v>
      </c>
      <c r="AG35" s="56">
        <f t="shared" si="54"/>
        <v>980010.03000000014</v>
      </c>
      <c r="AH35" s="64">
        <f t="shared" si="55"/>
        <v>0.61115958624121236</v>
      </c>
    </row>
    <row r="36" spans="1:34" s="65" customFormat="1" ht="31.2" x14ac:dyDescent="0.3">
      <c r="A36" s="50"/>
      <c r="B36" s="51"/>
      <c r="C36" s="50"/>
      <c r="D36" s="42" t="s">
        <v>80</v>
      </c>
      <c r="E36" s="55">
        <v>429.84363637434234</v>
      </c>
      <c r="F36" s="77">
        <v>1459994</v>
      </c>
      <c r="G36" s="157">
        <v>189.14347220006638</v>
      </c>
      <c r="H36" s="152">
        <v>1054363.1000000001</v>
      </c>
      <c r="I36" s="64">
        <f t="shared" si="64"/>
        <v>0.44002855037115185</v>
      </c>
      <c r="J36" s="64">
        <f t="shared" si="65"/>
        <v>0.722169474669074</v>
      </c>
      <c r="K36" s="77">
        <v>678</v>
      </c>
      <c r="L36" s="63">
        <v>28346</v>
      </c>
      <c r="M36" s="99">
        <v>85.5</v>
      </c>
      <c r="N36" s="98">
        <v>3573.0399999999995</v>
      </c>
      <c r="O36" s="64">
        <f t="shared" si="68"/>
        <v>0.12610619469026549</v>
      </c>
      <c r="P36" s="64">
        <f t="shared" si="69"/>
        <v>0.12605094193184221</v>
      </c>
      <c r="Q36" s="77">
        <v>28721</v>
      </c>
      <c r="R36" s="63">
        <v>206214.58000000002</v>
      </c>
      <c r="S36" s="114">
        <v>13128</v>
      </c>
      <c r="T36" s="114">
        <v>89724.160000000003</v>
      </c>
      <c r="U36" s="64">
        <f t="shared" si="45"/>
        <v>0.4570871487761568</v>
      </c>
      <c r="V36" s="64">
        <f t="shared" si="46"/>
        <v>0.4351009516397919</v>
      </c>
      <c r="W36" s="77"/>
      <c r="X36" s="63"/>
      <c r="Y36" s="73"/>
      <c r="Z36" s="72"/>
      <c r="AA36" s="64"/>
      <c r="AB36" s="64"/>
      <c r="AC36" s="77">
        <v>35100</v>
      </c>
      <c r="AD36" s="126">
        <v>12016.63</v>
      </c>
      <c r="AE36" s="64">
        <f t="shared" si="23"/>
        <v>0.34235413105413104</v>
      </c>
      <c r="AF36" s="56">
        <f t="shared" si="53"/>
        <v>1729654.58</v>
      </c>
      <c r="AG36" s="56">
        <f t="shared" si="54"/>
        <v>1159676.93</v>
      </c>
      <c r="AH36" s="64">
        <f t="shared" si="55"/>
        <v>0.67046735423901804</v>
      </c>
    </row>
    <row r="37" spans="1:34" s="65" customFormat="1" ht="31.2" x14ac:dyDescent="0.3">
      <c r="A37" s="50"/>
      <c r="B37" s="51"/>
      <c r="C37" s="50"/>
      <c r="D37" s="42" t="s">
        <v>81</v>
      </c>
      <c r="E37" s="55">
        <v>483.85047268273581</v>
      </c>
      <c r="F37" s="77">
        <v>1653432</v>
      </c>
      <c r="G37" s="157">
        <v>201.47721570006638</v>
      </c>
      <c r="H37" s="152">
        <v>968128.89000000013</v>
      </c>
      <c r="I37" s="64">
        <f t="shared" si="64"/>
        <v>0.4164038831727595</v>
      </c>
      <c r="J37" s="64">
        <f t="shared" si="65"/>
        <v>0.58552688589551927</v>
      </c>
      <c r="K37" s="77">
        <v>650</v>
      </c>
      <c r="L37" s="63">
        <v>26822</v>
      </c>
      <c r="M37" s="99">
        <v>46.717097152428806</v>
      </c>
      <c r="N37" s="98">
        <v>1803.3199999999995</v>
      </c>
      <c r="O37" s="64">
        <f t="shared" si="68"/>
        <v>7.1872457157582781E-2</v>
      </c>
      <c r="P37" s="64">
        <f t="shared" si="69"/>
        <v>6.7232868540750113E-2</v>
      </c>
      <c r="Q37" s="77">
        <v>62784</v>
      </c>
      <c r="R37" s="63">
        <v>450785</v>
      </c>
      <c r="S37" s="114">
        <v>24775</v>
      </c>
      <c r="T37" s="114">
        <v>171306.76999999996</v>
      </c>
      <c r="U37" s="64">
        <f t="shared" si="45"/>
        <v>0.39460690621814476</v>
      </c>
      <c r="V37" s="64">
        <f t="shared" si="46"/>
        <v>0.38001878944507905</v>
      </c>
      <c r="W37" s="77"/>
      <c r="X37" s="63"/>
      <c r="Y37" s="73"/>
      <c r="Z37" s="72"/>
      <c r="AA37" s="64"/>
      <c r="AB37" s="64"/>
      <c r="AC37" s="77">
        <v>37800</v>
      </c>
      <c r="AD37" s="126">
        <v>14308.73</v>
      </c>
      <c r="AE37" s="64">
        <f t="shared" si="23"/>
        <v>0.3785378306878307</v>
      </c>
      <c r="AF37" s="56">
        <f t="shared" si="53"/>
        <v>2168839</v>
      </c>
      <c r="AG37" s="56">
        <f t="shared" si="54"/>
        <v>1155547.71</v>
      </c>
      <c r="AH37" s="64">
        <f t="shared" si="55"/>
        <v>0.53279552331915825</v>
      </c>
    </row>
    <row r="38" spans="1:34" s="65" customFormat="1" ht="31.2" x14ac:dyDescent="0.3">
      <c r="A38" s="50"/>
      <c r="B38" s="51"/>
      <c r="C38" s="50"/>
      <c r="D38" s="42" t="s">
        <v>82</v>
      </c>
      <c r="E38" s="55">
        <v>543.00279399511862</v>
      </c>
      <c r="F38" s="77">
        <v>1844347</v>
      </c>
      <c r="G38" s="157">
        <v>242.99345390006638</v>
      </c>
      <c r="H38" s="152">
        <v>1136299.0499999998</v>
      </c>
      <c r="I38" s="64">
        <f t="shared" si="64"/>
        <v>0.44749945412297604</v>
      </c>
      <c r="J38" s="64">
        <f t="shared" si="65"/>
        <v>0.6160982992896672</v>
      </c>
      <c r="K38" s="77">
        <v>1423</v>
      </c>
      <c r="L38" s="63">
        <v>58826</v>
      </c>
      <c r="M38" s="99">
        <v>175.09700000000001</v>
      </c>
      <c r="N38" s="98">
        <v>7029.9699999999993</v>
      </c>
      <c r="O38" s="64">
        <f t="shared" si="68"/>
        <v>0.12304778636683064</v>
      </c>
      <c r="P38" s="64">
        <f t="shared" si="69"/>
        <v>0.11950447081222587</v>
      </c>
      <c r="Q38" s="77">
        <v>35654</v>
      </c>
      <c r="R38" s="63">
        <v>255994.15999999997</v>
      </c>
      <c r="S38" s="114">
        <v>17305</v>
      </c>
      <c r="T38" s="114">
        <v>118537.77999999998</v>
      </c>
      <c r="U38" s="64">
        <f t="shared" si="45"/>
        <v>0.48535928647557075</v>
      </c>
      <c r="V38" s="64">
        <f t="shared" si="46"/>
        <v>0.46304876642498405</v>
      </c>
      <c r="W38" s="77"/>
      <c r="X38" s="63"/>
      <c r="Y38" s="73"/>
      <c r="Z38" s="72"/>
      <c r="AA38" s="64"/>
      <c r="AB38" s="64"/>
      <c r="AC38" s="77">
        <v>35500</v>
      </c>
      <c r="AD38" s="126">
        <v>12928.11</v>
      </c>
      <c r="AE38" s="64">
        <f t="shared" si="23"/>
        <v>0.36417211267605637</v>
      </c>
      <c r="AF38" s="56">
        <f t="shared" si="53"/>
        <v>2194667.16</v>
      </c>
      <c r="AG38" s="56">
        <f t="shared" si="54"/>
        <v>1274794.9099999999</v>
      </c>
      <c r="AH38" s="64">
        <f t="shared" si="55"/>
        <v>0.58086024761950683</v>
      </c>
    </row>
    <row r="39" spans="1:34" s="65" customFormat="1" ht="31.2" x14ac:dyDescent="0.3">
      <c r="A39" s="50"/>
      <c r="B39" s="51"/>
      <c r="C39" s="50"/>
      <c r="D39" s="42" t="s">
        <v>83</v>
      </c>
      <c r="E39" s="55">
        <v>504.79100975395767</v>
      </c>
      <c r="F39" s="77">
        <v>1714558</v>
      </c>
      <c r="G39" s="157">
        <v>235.52008430006637</v>
      </c>
      <c r="H39" s="153">
        <v>1318032.7399999998</v>
      </c>
      <c r="I39" s="64">
        <f t="shared" si="64"/>
        <v>0.46656949063903141</v>
      </c>
      <c r="J39" s="64">
        <f t="shared" si="65"/>
        <v>0.76873033166565363</v>
      </c>
      <c r="K39" s="77">
        <v>2420</v>
      </c>
      <c r="L39" s="63">
        <v>99670</v>
      </c>
      <c r="M39" s="99">
        <v>925.48009715242893</v>
      </c>
      <c r="N39" s="98">
        <v>38253.049999999996</v>
      </c>
      <c r="O39" s="64">
        <f t="shared" si="68"/>
        <v>0.3824297922117475</v>
      </c>
      <c r="P39" s="64">
        <f t="shared" si="69"/>
        <v>0.38379703019965883</v>
      </c>
      <c r="Q39" s="77">
        <v>120804</v>
      </c>
      <c r="R39" s="63">
        <v>867370</v>
      </c>
      <c r="S39" s="114">
        <v>60342</v>
      </c>
      <c r="T39" s="114">
        <v>425189.53</v>
      </c>
      <c r="U39" s="64">
        <f t="shared" si="45"/>
        <v>0.49950332770438066</v>
      </c>
      <c r="V39" s="64">
        <f t="shared" si="46"/>
        <v>0.49020548324244556</v>
      </c>
      <c r="W39" s="77"/>
      <c r="X39" s="63"/>
      <c r="Y39" s="73"/>
      <c r="Z39" s="72"/>
      <c r="AA39" s="64"/>
      <c r="AB39" s="64"/>
      <c r="AC39" s="77">
        <v>34300</v>
      </c>
      <c r="AD39" s="126">
        <v>16323.340000000002</v>
      </c>
      <c r="AE39" s="64">
        <f t="shared" si="23"/>
        <v>0.47589912536443152</v>
      </c>
      <c r="AF39" s="56">
        <f t="shared" si="53"/>
        <v>2715898</v>
      </c>
      <c r="AG39" s="56">
        <f t="shared" si="54"/>
        <v>1797798.66</v>
      </c>
      <c r="AH39" s="64">
        <f t="shared" si="55"/>
        <v>0.66195367425433504</v>
      </c>
    </row>
    <row r="40" spans="1:34" s="65" customFormat="1" ht="31.2" x14ac:dyDescent="0.3">
      <c r="A40" s="50"/>
      <c r="B40" s="51"/>
      <c r="C40" s="50"/>
      <c r="D40" s="42" t="s">
        <v>101</v>
      </c>
      <c r="E40" s="55">
        <v>840.03627188604969</v>
      </c>
      <c r="F40" s="77">
        <v>3327242</v>
      </c>
      <c r="G40" s="157">
        <v>391.1793624000664</v>
      </c>
      <c r="H40" s="153">
        <v>1707239.4100000001</v>
      </c>
      <c r="I40" s="64">
        <f t="shared" si="64"/>
        <v>0.46566960914888872</v>
      </c>
      <c r="J40" s="64">
        <f t="shared" si="65"/>
        <v>0.51310947926240413</v>
      </c>
      <c r="K40" s="77">
        <v>2092</v>
      </c>
      <c r="L40" s="63">
        <v>86411</v>
      </c>
      <c r="M40" s="99">
        <v>300.56899999999996</v>
      </c>
      <c r="N40" s="98">
        <v>12253.929999999998</v>
      </c>
      <c r="O40" s="64">
        <f t="shared" si="68"/>
        <v>0.14367543021032503</v>
      </c>
      <c r="P40" s="64">
        <f t="shared" si="69"/>
        <v>0.14180983902512409</v>
      </c>
      <c r="Q40" s="77">
        <v>61026</v>
      </c>
      <c r="R40" s="63">
        <v>438164.16</v>
      </c>
      <c r="S40" s="114">
        <v>30531</v>
      </c>
      <c r="T40" s="114">
        <v>208646.82</v>
      </c>
      <c r="U40" s="64">
        <f t="shared" si="45"/>
        <v>0.50029495624815656</v>
      </c>
      <c r="V40" s="64">
        <f t="shared" si="46"/>
        <v>0.47618413153645434</v>
      </c>
      <c r="W40" s="77"/>
      <c r="X40" s="63"/>
      <c r="Y40" s="73"/>
      <c r="Z40" s="72"/>
      <c r="AA40" s="64"/>
      <c r="AB40" s="64"/>
      <c r="AC40" s="77">
        <v>33600</v>
      </c>
      <c r="AD40" s="126">
        <v>15745.1</v>
      </c>
      <c r="AE40" s="64">
        <f t="shared" si="23"/>
        <v>0.46860416666666665</v>
      </c>
      <c r="AF40" s="56">
        <f t="shared" si="53"/>
        <v>3885417.16</v>
      </c>
      <c r="AG40" s="56">
        <f t="shared" si="54"/>
        <v>1943885.2600000002</v>
      </c>
      <c r="AH40" s="64">
        <f t="shared" si="55"/>
        <v>0.50030284521623936</v>
      </c>
    </row>
    <row r="41" spans="1:34" s="65" customFormat="1" ht="46.8" x14ac:dyDescent="0.3">
      <c r="A41" s="50"/>
      <c r="B41" s="51"/>
      <c r="C41" s="50"/>
      <c r="D41" s="42" t="s">
        <v>109</v>
      </c>
      <c r="E41" s="55">
        <v>227.41765958010581</v>
      </c>
      <c r="F41" s="77">
        <v>448440</v>
      </c>
      <c r="G41" s="157">
        <v>69.06418010006638</v>
      </c>
      <c r="H41" s="153">
        <v>423163.9</v>
      </c>
      <c r="I41" s="64">
        <f t="shared" si="64"/>
        <v>0.3036887294838207</v>
      </c>
      <c r="J41" s="64">
        <f t="shared" si="65"/>
        <v>0.94363549192757123</v>
      </c>
      <c r="K41" s="77">
        <v>428</v>
      </c>
      <c r="L41" s="63">
        <v>17678</v>
      </c>
      <c r="M41" s="99">
        <v>84.918999999999983</v>
      </c>
      <c r="N41" s="98">
        <v>3463.0799999999995</v>
      </c>
      <c r="O41" s="64">
        <f t="shared" si="68"/>
        <v>0.19840887850467287</v>
      </c>
      <c r="P41" s="64">
        <f t="shared" si="69"/>
        <v>0.19589772598710259</v>
      </c>
      <c r="Q41" s="77">
        <v>23312</v>
      </c>
      <c r="R41" s="63">
        <v>167380</v>
      </c>
      <c r="S41" s="114">
        <v>4050</v>
      </c>
      <c r="T41" s="114">
        <v>27096.19999999999</v>
      </c>
      <c r="U41" s="64">
        <f t="shared" si="45"/>
        <v>0.1737302676733013</v>
      </c>
      <c r="V41" s="64">
        <f t="shared" si="46"/>
        <v>0.16188433504600305</v>
      </c>
      <c r="W41" s="77"/>
      <c r="X41" s="77"/>
      <c r="Y41" s="73"/>
      <c r="Z41" s="72"/>
      <c r="AA41" s="64"/>
      <c r="AB41" s="64"/>
      <c r="AC41" s="77">
        <v>10900</v>
      </c>
      <c r="AD41" s="126">
        <v>6054.18</v>
      </c>
      <c r="AE41" s="64">
        <f t="shared" si="23"/>
        <v>0.55542935779816516</v>
      </c>
      <c r="AF41" s="56">
        <f t="shared" si="53"/>
        <v>644398</v>
      </c>
      <c r="AG41" s="56">
        <f t="shared" si="54"/>
        <v>459777.36000000004</v>
      </c>
      <c r="AH41" s="64">
        <f t="shared" si="55"/>
        <v>0.71349904872454606</v>
      </c>
    </row>
    <row r="42" spans="1:34" s="65" customFormat="1" ht="46.8" x14ac:dyDescent="0.3">
      <c r="A42" s="50"/>
      <c r="B42" s="51"/>
      <c r="C42" s="50"/>
      <c r="D42" s="42" t="s">
        <v>84</v>
      </c>
      <c r="E42" s="55">
        <v>0</v>
      </c>
      <c r="F42" s="77">
        <v>0</v>
      </c>
      <c r="G42" s="157">
        <v>0</v>
      </c>
      <c r="H42" s="152">
        <v>0</v>
      </c>
      <c r="I42" s="64"/>
      <c r="J42" s="64"/>
      <c r="K42" s="77">
        <v>932</v>
      </c>
      <c r="L42" s="63">
        <v>37795</v>
      </c>
      <c r="M42" s="99">
        <v>383.69600000000003</v>
      </c>
      <c r="N42" s="98">
        <v>15577.87</v>
      </c>
      <c r="O42" s="64">
        <f t="shared" si="68"/>
        <v>0.41169098712446356</v>
      </c>
      <c r="P42" s="64">
        <f t="shared" si="69"/>
        <v>0.41216748247122637</v>
      </c>
      <c r="Q42" s="77">
        <v>62353</v>
      </c>
      <c r="R42" s="63">
        <v>447689.58</v>
      </c>
      <c r="S42" s="114">
        <v>31566.999999999996</v>
      </c>
      <c r="T42" s="114">
        <v>217087.57000000007</v>
      </c>
      <c r="U42" s="64">
        <f t="shared" si="45"/>
        <v>0.50626272994082078</v>
      </c>
      <c r="V42" s="64">
        <f t="shared" si="46"/>
        <v>0.48490646130294135</v>
      </c>
      <c r="W42" s="77">
        <v>47498</v>
      </c>
      <c r="X42" s="77">
        <v>1022515</v>
      </c>
      <c r="Y42" s="122">
        <v>14929</v>
      </c>
      <c r="Z42" s="123">
        <v>289813.04999999993</v>
      </c>
      <c r="AA42" s="64">
        <f t="shared" ref="AA42" si="78">Y42/W42</f>
        <v>0.31430797086193102</v>
      </c>
      <c r="AB42" s="64">
        <f t="shared" ref="AB42" si="79">Z42/X42</f>
        <v>0.28343158780066791</v>
      </c>
      <c r="AC42" s="77">
        <v>35700</v>
      </c>
      <c r="AD42" s="126">
        <v>21464.819999999996</v>
      </c>
      <c r="AE42" s="64">
        <f t="shared" si="23"/>
        <v>0.6012554621848738</v>
      </c>
      <c r="AF42" s="56">
        <f t="shared" si="53"/>
        <v>1543699.58</v>
      </c>
      <c r="AG42" s="56">
        <f t="shared" si="54"/>
        <v>543943.30999999994</v>
      </c>
      <c r="AH42" s="64">
        <f t="shared" si="55"/>
        <v>0.35236345014746973</v>
      </c>
    </row>
    <row r="43" spans="1:34" s="65" customFormat="1" ht="46.8" x14ac:dyDescent="0.3">
      <c r="A43" s="50"/>
      <c r="B43" s="51"/>
      <c r="C43" s="50"/>
      <c r="D43" s="42" t="s">
        <v>85</v>
      </c>
      <c r="E43" s="55">
        <v>401.50298683672054</v>
      </c>
      <c r="F43" s="77">
        <v>1203733</v>
      </c>
      <c r="G43" s="157">
        <v>201.64864210006638</v>
      </c>
      <c r="H43" s="152">
        <v>815169.2699999999</v>
      </c>
      <c r="I43" s="64">
        <f t="shared" si="64"/>
        <v>0.50223447573522273</v>
      </c>
      <c r="J43" s="64">
        <f t="shared" si="65"/>
        <v>0.67720106535253244</v>
      </c>
      <c r="K43" s="77">
        <v>1101</v>
      </c>
      <c r="L43" s="63">
        <v>45720</v>
      </c>
      <c r="M43" s="99">
        <v>165.7160971524288</v>
      </c>
      <c r="N43" s="98">
        <v>6797.7499999999991</v>
      </c>
      <c r="O43" s="64">
        <f t="shared" si="68"/>
        <v>0.15051416635097983</v>
      </c>
      <c r="P43" s="64">
        <f t="shared" si="69"/>
        <v>0.14868219597550303</v>
      </c>
      <c r="Q43" s="77">
        <v>105813</v>
      </c>
      <c r="R43" s="63">
        <v>759737.94000000006</v>
      </c>
      <c r="S43" s="114">
        <v>49254.000000000029</v>
      </c>
      <c r="T43" s="114">
        <v>334544.12000000005</v>
      </c>
      <c r="U43" s="64">
        <f t="shared" si="45"/>
        <v>0.46548155708655864</v>
      </c>
      <c r="V43" s="64">
        <f t="shared" si="46"/>
        <v>0.4403414682699669</v>
      </c>
      <c r="W43" s="77"/>
      <c r="X43" s="77"/>
      <c r="Y43" s="110"/>
      <c r="Z43" s="123"/>
      <c r="AA43" s="64"/>
      <c r="AB43" s="64"/>
      <c r="AC43" s="77">
        <v>23100</v>
      </c>
      <c r="AD43" s="126">
        <v>14308.73</v>
      </c>
      <c r="AE43" s="64">
        <f t="shared" si="23"/>
        <v>0.61942554112554116</v>
      </c>
      <c r="AF43" s="56">
        <f t="shared" si="53"/>
        <v>2032290.94</v>
      </c>
      <c r="AG43" s="56">
        <f t="shared" si="54"/>
        <v>1170819.8699999999</v>
      </c>
      <c r="AH43" s="64">
        <f t="shared" si="55"/>
        <v>0.57610839420462112</v>
      </c>
    </row>
    <row r="44" spans="1:34" s="65" customFormat="1" ht="31.2" x14ac:dyDescent="0.3">
      <c r="A44" s="50"/>
      <c r="B44" s="51"/>
      <c r="C44" s="50"/>
      <c r="D44" s="52" t="s">
        <v>86</v>
      </c>
      <c r="E44" s="55">
        <v>0</v>
      </c>
      <c r="F44" s="77"/>
      <c r="G44" s="157">
        <v>0</v>
      </c>
      <c r="H44" s="152">
        <v>0</v>
      </c>
      <c r="I44" s="64"/>
      <c r="J44" s="64"/>
      <c r="K44" s="77">
        <v>140</v>
      </c>
      <c r="L44" s="63">
        <v>3102</v>
      </c>
      <c r="M44" s="99">
        <v>57</v>
      </c>
      <c r="N44" s="98">
        <v>1261.98</v>
      </c>
      <c r="O44" s="64">
        <f t="shared" si="68"/>
        <v>0.40714285714285714</v>
      </c>
      <c r="P44" s="64">
        <f t="shared" si="69"/>
        <v>0.40682785299806579</v>
      </c>
      <c r="Q44" s="77">
        <v>13000</v>
      </c>
      <c r="R44" s="63">
        <v>93340</v>
      </c>
      <c r="S44" s="114">
        <v>6107</v>
      </c>
      <c r="T44" s="114">
        <v>41978.93</v>
      </c>
      <c r="U44" s="64">
        <f t="shared" si="45"/>
        <v>0.46976923076923077</v>
      </c>
      <c r="V44" s="64">
        <f t="shared" si="46"/>
        <v>0.44974212556245985</v>
      </c>
      <c r="W44" s="77">
        <v>16270</v>
      </c>
      <c r="X44" s="77">
        <v>350268</v>
      </c>
      <c r="Y44" s="122">
        <v>6650</v>
      </c>
      <c r="Z44" s="123">
        <v>124705.86</v>
      </c>
      <c r="AA44" s="64">
        <f t="shared" ref="AA44" si="80">Y44/W44</f>
        <v>0.40872771972956362</v>
      </c>
      <c r="AB44" s="64">
        <f t="shared" ref="AB44" si="81">Z44/X44</f>
        <v>0.3560298400082223</v>
      </c>
      <c r="AC44" s="77">
        <v>26000</v>
      </c>
      <c r="AD44" s="126">
        <v>11054.94</v>
      </c>
      <c r="AE44" s="64">
        <f t="shared" si="23"/>
        <v>0.42519000000000001</v>
      </c>
      <c r="AF44" s="56">
        <f t="shared" si="53"/>
        <v>472710</v>
      </c>
      <c r="AG44" s="56">
        <f t="shared" si="54"/>
        <v>179001.71000000002</v>
      </c>
      <c r="AH44" s="64">
        <f t="shared" si="55"/>
        <v>0.37867129952825201</v>
      </c>
    </row>
    <row r="45" spans="1:34" ht="31.2" x14ac:dyDescent="0.3">
      <c r="A45" s="14" t="s">
        <v>42</v>
      </c>
      <c r="B45" s="10">
        <v>1022</v>
      </c>
      <c r="C45" s="14" t="s">
        <v>8</v>
      </c>
      <c r="D45" s="48" t="s">
        <v>77</v>
      </c>
      <c r="E45" s="55">
        <v>225.58</v>
      </c>
      <c r="F45" s="63">
        <v>766200</v>
      </c>
      <c r="G45" s="157">
        <v>67.566000599999995</v>
      </c>
      <c r="H45" s="154">
        <v>75662.62</v>
      </c>
      <c r="I45" s="41">
        <f t="shared" si="64"/>
        <v>0.29952123681177406</v>
      </c>
      <c r="J45" s="41">
        <f t="shared" si="65"/>
        <v>9.8750482902636383E-2</v>
      </c>
      <c r="K45" s="79">
        <v>970</v>
      </c>
      <c r="L45" s="81">
        <v>39700</v>
      </c>
      <c r="M45" s="101">
        <v>323.40000000000003</v>
      </c>
      <c r="N45" s="100">
        <v>12685.92</v>
      </c>
      <c r="O45" s="41">
        <f t="shared" si="68"/>
        <v>0.33340206185567012</v>
      </c>
      <c r="P45" s="41">
        <f t="shared" si="69"/>
        <v>0.31954458438287153</v>
      </c>
      <c r="Q45" s="79">
        <v>54000</v>
      </c>
      <c r="R45" s="81">
        <v>387700</v>
      </c>
      <c r="S45" s="115">
        <v>11889.00000000002</v>
      </c>
      <c r="T45" s="115">
        <v>81034.25</v>
      </c>
      <c r="U45" s="41">
        <f t="shared" si="45"/>
        <v>0.22016666666666704</v>
      </c>
      <c r="V45" s="41">
        <f t="shared" si="46"/>
        <v>0.20901276760381737</v>
      </c>
      <c r="W45" s="79"/>
      <c r="X45" s="79"/>
      <c r="Y45" s="73"/>
      <c r="Z45" s="72"/>
      <c r="AA45" s="38"/>
      <c r="AB45" s="38"/>
      <c r="AC45" s="77">
        <v>15200</v>
      </c>
      <c r="AD45" s="127">
        <v>8163.97</v>
      </c>
      <c r="AE45" s="41">
        <f t="shared" si="23"/>
        <v>0.53710328947368424</v>
      </c>
      <c r="AF45" s="40">
        <f t="shared" si="53"/>
        <v>1208800</v>
      </c>
      <c r="AG45" s="40">
        <f t="shared" si="54"/>
        <v>177546.75999999998</v>
      </c>
      <c r="AH45" s="41">
        <f t="shared" si="55"/>
        <v>0.14687852415618793</v>
      </c>
    </row>
    <row r="46" spans="1:34" ht="46.8" x14ac:dyDescent="0.3">
      <c r="A46" s="14" t="s">
        <v>43</v>
      </c>
      <c r="B46" s="10">
        <v>1070</v>
      </c>
      <c r="C46" s="14" t="s">
        <v>9</v>
      </c>
      <c r="D46" s="49" t="s">
        <v>55</v>
      </c>
      <c r="E46" s="67">
        <f>SUM(E47:E48)</f>
        <v>68.834147389866828</v>
      </c>
      <c r="F46" s="79">
        <f t="shared" ref="F46" si="82">SUM(F47:F48)</f>
        <v>233800</v>
      </c>
      <c r="G46" s="157">
        <f t="shared" ref="G46:H46" si="83">SUM(G47:G48)</f>
        <v>31.207264065022791</v>
      </c>
      <c r="H46" s="79">
        <f t="shared" si="83"/>
        <v>107324.60000000002</v>
      </c>
      <c r="I46" s="41">
        <f t="shared" si="64"/>
        <v>0.4533689345822689</v>
      </c>
      <c r="J46" s="41">
        <f t="shared" si="65"/>
        <v>0.45904448246364421</v>
      </c>
      <c r="K46" s="79">
        <f>SUM(K47:K48)</f>
        <v>9361</v>
      </c>
      <c r="L46" s="79">
        <f t="shared" ref="L46" si="84">SUM(L47:L48)</f>
        <v>221000</v>
      </c>
      <c r="M46" s="91">
        <f t="shared" ref="M46:N46" si="85">SUM(M47:M48)</f>
        <v>5994.51</v>
      </c>
      <c r="N46" s="91">
        <f t="shared" si="85"/>
        <v>135518.06</v>
      </c>
      <c r="O46" s="41">
        <f t="shared" si="68"/>
        <v>0.64037068689242604</v>
      </c>
      <c r="P46" s="41">
        <f t="shared" si="69"/>
        <v>0.61320389140271492</v>
      </c>
      <c r="Q46" s="79">
        <f t="shared" ref="Q46:R46" si="86">SUM(Q47:Q48)</f>
        <v>101260</v>
      </c>
      <c r="R46" s="79">
        <f t="shared" si="86"/>
        <v>727100</v>
      </c>
      <c r="S46" s="69">
        <f t="shared" ref="S46:T46" si="87">SUM(S47:S48)</f>
        <v>32360</v>
      </c>
      <c r="T46" s="69">
        <f t="shared" si="87"/>
        <v>223160.24000000002</v>
      </c>
      <c r="U46" s="41">
        <f t="shared" si="45"/>
        <v>0.31957337546908948</v>
      </c>
      <c r="V46" s="41">
        <f t="shared" si="46"/>
        <v>0.30691822307798106</v>
      </c>
      <c r="W46" s="79"/>
      <c r="X46" s="79"/>
      <c r="Y46" s="73"/>
      <c r="Z46" s="72"/>
      <c r="AA46" s="38"/>
      <c r="AB46" s="38"/>
      <c r="AC46" s="79">
        <f t="shared" ref="AC46" si="88">SUM(AC47:AC48)</f>
        <v>43400</v>
      </c>
      <c r="AD46" s="75">
        <f t="shared" ref="AD46" si="89">SUM(AD47:AD48)</f>
        <v>23849.800000000003</v>
      </c>
      <c r="AE46" s="41">
        <f t="shared" si="23"/>
        <v>0.5495345622119816</v>
      </c>
      <c r="AF46" s="40">
        <f t="shared" si="53"/>
        <v>1225300</v>
      </c>
      <c r="AG46" s="40">
        <f t="shared" si="54"/>
        <v>489852.7</v>
      </c>
      <c r="AH46" s="41">
        <f t="shared" si="55"/>
        <v>0.39978184934301803</v>
      </c>
    </row>
    <row r="47" spans="1:34" s="65" customFormat="1" ht="31.2" x14ac:dyDescent="0.3">
      <c r="A47" s="50"/>
      <c r="B47" s="51"/>
      <c r="C47" s="50" t="s">
        <v>9</v>
      </c>
      <c r="D47" s="42" t="s">
        <v>78</v>
      </c>
      <c r="E47" s="55">
        <v>68.834147389866828</v>
      </c>
      <c r="F47" s="63">
        <v>233800</v>
      </c>
      <c r="G47" s="157">
        <v>31.207264065022791</v>
      </c>
      <c r="H47" s="155">
        <v>107324.60000000002</v>
      </c>
      <c r="I47" s="64">
        <f t="shared" si="64"/>
        <v>0.4533689345822689</v>
      </c>
      <c r="J47" s="64">
        <f t="shared" si="65"/>
        <v>0.45904448246364421</v>
      </c>
      <c r="K47" s="77">
        <v>416</v>
      </c>
      <c r="L47" s="63">
        <v>17250</v>
      </c>
      <c r="M47" s="103">
        <v>113.50999999999999</v>
      </c>
      <c r="N47" s="102">
        <v>5383.1</v>
      </c>
      <c r="O47" s="64">
        <f t="shared" si="68"/>
        <v>0.27286057692307691</v>
      </c>
      <c r="P47" s="64">
        <f t="shared" si="69"/>
        <v>0.31206376811594205</v>
      </c>
      <c r="Q47" s="77">
        <v>25348</v>
      </c>
      <c r="R47" s="63">
        <v>182000</v>
      </c>
      <c r="S47" s="116">
        <v>12776</v>
      </c>
      <c r="T47" s="116">
        <v>88580.47</v>
      </c>
      <c r="U47" s="64">
        <f t="shared" si="45"/>
        <v>0.50402398611330279</v>
      </c>
      <c r="V47" s="64">
        <f t="shared" si="46"/>
        <v>0.48670587912087915</v>
      </c>
      <c r="W47" s="77"/>
      <c r="X47" s="77"/>
      <c r="Y47" s="73"/>
      <c r="Z47" s="72"/>
      <c r="AA47" s="64"/>
      <c r="AB47" s="64"/>
      <c r="AC47" s="77">
        <v>21600</v>
      </c>
      <c r="AD47" s="128">
        <v>9356.4600000000009</v>
      </c>
      <c r="AE47" s="64">
        <f t="shared" si="23"/>
        <v>0.4331694444444445</v>
      </c>
      <c r="AF47" s="56">
        <f t="shared" si="53"/>
        <v>454650</v>
      </c>
      <c r="AG47" s="56">
        <f t="shared" si="54"/>
        <v>210644.63000000003</v>
      </c>
      <c r="AH47" s="64">
        <f t="shared" si="55"/>
        <v>0.46331162432640499</v>
      </c>
    </row>
    <row r="48" spans="1:34" s="65" customFormat="1" ht="31.2" x14ac:dyDescent="0.3">
      <c r="A48" s="50"/>
      <c r="B48" s="51"/>
      <c r="C48" s="50" t="s">
        <v>9</v>
      </c>
      <c r="D48" s="42" t="s">
        <v>102</v>
      </c>
      <c r="E48" s="55"/>
      <c r="F48" s="77"/>
      <c r="G48" s="157"/>
      <c r="H48" s="81"/>
      <c r="I48" s="64"/>
      <c r="J48" s="64"/>
      <c r="K48" s="77">
        <v>8945</v>
      </c>
      <c r="L48" s="63">
        <v>203750</v>
      </c>
      <c r="M48" s="103">
        <v>5881</v>
      </c>
      <c r="N48" s="102">
        <v>130134.95999999999</v>
      </c>
      <c r="O48" s="64">
        <f t="shared" si="68"/>
        <v>0.65746226942425934</v>
      </c>
      <c r="P48" s="64">
        <f t="shared" si="69"/>
        <v>0.63869919018404908</v>
      </c>
      <c r="Q48" s="77">
        <v>75912</v>
      </c>
      <c r="R48" s="63">
        <v>545100</v>
      </c>
      <c r="S48" s="116">
        <v>19584</v>
      </c>
      <c r="T48" s="116">
        <v>134579.77000000002</v>
      </c>
      <c r="U48" s="64">
        <f t="shared" si="45"/>
        <v>0.25798292760037939</v>
      </c>
      <c r="V48" s="64">
        <f t="shared" si="46"/>
        <v>0.24689005687029905</v>
      </c>
      <c r="W48" s="77"/>
      <c r="X48" s="77"/>
      <c r="Y48" s="73"/>
      <c r="Z48" s="72"/>
      <c r="AA48" s="64"/>
      <c r="AB48" s="64"/>
      <c r="AC48" s="77">
        <v>21800</v>
      </c>
      <c r="AD48" s="128">
        <v>14493.34</v>
      </c>
      <c r="AE48" s="64">
        <f t="shared" si="23"/>
        <v>0.66483211009174314</v>
      </c>
      <c r="AF48" s="56">
        <f t="shared" si="53"/>
        <v>770650</v>
      </c>
      <c r="AG48" s="56">
        <f t="shared" si="54"/>
        <v>279208.07</v>
      </c>
      <c r="AH48" s="64">
        <f t="shared" si="55"/>
        <v>0.3623020437293194</v>
      </c>
    </row>
    <row r="49" spans="1:34" ht="46.8" x14ac:dyDescent="0.3">
      <c r="A49" s="14" t="s">
        <v>44</v>
      </c>
      <c r="B49" s="10">
        <v>1130</v>
      </c>
      <c r="C49" s="14" t="s">
        <v>10</v>
      </c>
      <c r="D49" s="49" t="s">
        <v>79</v>
      </c>
      <c r="E49" s="67">
        <v>7.2131591576207761</v>
      </c>
      <c r="F49" s="81">
        <v>24500</v>
      </c>
      <c r="G49" s="157"/>
      <c r="H49" s="76"/>
      <c r="I49" s="41">
        <f t="shared" si="64"/>
        <v>0</v>
      </c>
      <c r="J49" s="41">
        <f t="shared" si="65"/>
        <v>0</v>
      </c>
      <c r="K49" s="79">
        <v>56</v>
      </c>
      <c r="L49" s="81">
        <v>2300</v>
      </c>
      <c r="M49" s="104">
        <v>16</v>
      </c>
      <c r="N49" s="104">
        <v>647.18000000000006</v>
      </c>
      <c r="O49" s="41">
        <f t="shared" si="68"/>
        <v>0.2857142857142857</v>
      </c>
      <c r="P49" s="41">
        <f t="shared" si="69"/>
        <v>0.28138260869565218</v>
      </c>
      <c r="Q49" s="79">
        <v>1200</v>
      </c>
      <c r="R49" s="81">
        <v>8500</v>
      </c>
      <c r="S49" s="117">
        <v>800</v>
      </c>
      <c r="T49" s="117">
        <v>5549.03</v>
      </c>
      <c r="U49" s="41">
        <f t="shared" si="45"/>
        <v>0.66666666666666663</v>
      </c>
      <c r="V49" s="41">
        <f t="shared" si="46"/>
        <v>0.65282705882352943</v>
      </c>
      <c r="W49" s="79"/>
      <c r="X49" s="81"/>
      <c r="Y49" s="73"/>
      <c r="Z49" s="72"/>
      <c r="AA49" s="38"/>
      <c r="AB49" s="38"/>
      <c r="AC49" s="77">
        <v>2100</v>
      </c>
      <c r="AD49" s="129">
        <v>1375.95</v>
      </c>
      <c r="AE49" s="41">
        <f t="shared" si="23"/>
        <v>0.65521428571428575</v>
      </c>
      <c r="AF49" s="40">
        <f t="shared" si="53"/>
        <v>37400</v>
      </c>
      <c r="AG49" s="40">
        <f t="shared" si="54"/>
        <v>7572.16</v>
      </c>
      <c r="AH49" s="41">
        <f t="shared" si="55"/>
        <v>0.20246417112299464</v>
      </c>
    </row>
    <row r="50" spans="1:34" ht="31.2" x14ac:dyDescent="0.3">
      <c r="A50" s="14" t="s">
        <v>45</v>
      </c>
      <c r="B50" s="10">
        <v>1141</v>
      </c>
      <c r="C50" s="14" t="s">
        <v>10</v>
      </c>
      <c r="D50" s="49" t="s">
        <v>56</v>
      </c>
      <c r="E50" s="67">
        <v>37.912999999999997</v>
      </c>
      <c r="F50" s="79">
        <f>139800+125000</f>
        <v>264800</v>
      </c>
      <c r="G50" s="157">
        <v>18.2045727</v>
      </c>
      <c r="H50" s="156">
        <v>187578.04000000004</v>
      </c>
      <c r="I50" s="41">
        <f t="shared" si="64"/>
        <v>0.48016703241632164</v>
      </c>
      <c r="J50" s="41">
        <f t="shared" si="65"/>
        <v>0.70837628398791552</v>
      </c>
      <c r="K50" s="59">
        <v>137</v>
      </c>
      <c r="L50" s="81">
        <v>5560</v>
      </c>
      <c r="M50" s="106">
        <v>85.5</v>
      </c>
      <c r="N50" s="105">
        <v>3391</v>
      </c>
      <c r="O50" s="41">
        <f t="shared" si="68"/>
        <v>0.62408759124087587</v>
      </c>
      <c r="P50" s="41">
        <f t="shared" si="69"/>
        <v>0.60989208633093528</v>
      </c>
      <c r="Q50" s="79">
        <v>38760</v>
      </c>
      <c r="R50" s="81">
        <v>278300</v>
      </c>
      <c r="S50" s="118">
        <v>15524</v>
      </c>
      <c r="T50" s="118">
        <v>110899.29000000001</v>
      </c>
      <c r="U50" s="41">
        <f t="shared" si="45"/>
        <v>0.40051599587203301</v>
      </c>
      <c r="V50" s="41">
        <f t="shared" si="46"/>
        <v>0.39848828602227815</v>
      </c>
      <c r="W50" s="79"/>
      <c r="X50" s="81"/>
      <c r="Y50" s="73"/>
      <c r="Z50" s="72"/>
      <c r="AA50" s="38"/>
      <c r="AB50" s="38"/>
      <c r="AC50" s="77">
        <v>1600</v>
      </c>
      <c r="AD50" s="130">
        <v>917.30000000000007</v>
      </c>
      <c r="AE50" s="41">
        <f t="shared" si="23"/>
        <v>0.5733125</v>
      </c>
      <c r="AF50" s="40">
        <f t="shared" si="53"/>
        <v>550260</v>
      </c>
      <c r="AG50" s="40">
        <f t="shared" si="54"/>
        <v>302785.63000000006</v>
      </c>
      <c r="AH50" s="41">
        <f t="shared" si="55"/>
        <v>0.55025920473957779</v>
      </c>
    </row>
    <row r="51" spans="1:34" ht="31.2" x14ac:dyDescent="0.3">
      <c r="A51" s="14" t="s">
        <v>46</v>
      </c>
      <c r="B51" s="17">
        <v>1151</v>
      </c>
      <c r="C51" s="17" t="s">
        <v>10</v>
      </c>
      <c r="D51" s="49" t="s">
        <v>67</v>
      </c>
      <c r="E51" s="67">
        <v>69.4524181748058</v>
      </c>
      <c r="F51" s="81">
        <v>235900</v>
      </c>
      <c r="G51" s="157">
        <v>13.101662000000001</v>
      </c>
      <c r="H51" s="156">
        <v>29061.489999999998</v>
      </c>
      <c r="I51" s="41">
        <f t="shared" si="64"/>
        <v>0.18864227257032631</v>
      </c>
      <c r="J51" s="41">
        <f t="shared" si="65"/>
        <v>0.12319410767274268</v>
      </c>
      <c r="K51" s="59">
        <v>79</v>
      </c>
      <c r="L51" s="81">
        <v>3240</v>
      </c>
      <c r="M51" s="106">
        <v>48.72</v>
      </c>
      <c r="N51" s="105">
        <v>1971.17</v>
      </c>
      <c r="O51" s="41">
        <f t="shared" si="68"/>
        <v>0.6167088607594936</v>
      </c>
      <c r="P51" s="41">
        <f t="shared" si="69"/>
        <v>0.60838580246913587</v>
      </c>
      <c r="Q51" s="79">
        <v>5388</v>
      </c>
      <c r="R51" s="81">
        <v>38260</v>
      </c>
      <c r="S51" s="118">
        <v>3318.0000000000009</v>
      </c>
      <c r="T51" s="118">
        <v>22812.44</v>
      </c>
      <c r="U51" s="41">
        <f t="shared" si="45"/>
        <v>0.61581291759465495</v>
      </c>
      <c r="V51" s="41">
        <f t="shared" si="46"/>
        <v>0.59624777835859899</v>
      </c>
      <c r="W51" s="79"/>
      <c r="X51" s="81"/>
      <c r="Y51" s="73"/>
      <c r="Z51" s="72"/>
      <c r="AA51" s="38"/>
      <c r="AB51" s="38"/>
      <c r="AC51" s="77">
        <v>1200</v>
      </c>
      <c r="AD51" s="130">
        <v>820.66000000000008</v>
      </c>
      <c r="AE51" s="41">
        <f t="shared" si="23"/>
        <v>0.6838833333333334</v>
      </c>
      <c r="AF51" s="40">
        <f t="shared" si="53"/>
        <v>278600</v>
      </c>
      <c r="AG51" s="40">
        <f t="shared" si="54"/>
        <v>54665.759999999995</v>
      </c>
      <c r="AH51" s="41">
        <f t="shared" si="55"/>
        <v>0.19621593682699209</v>
      </c>
    </row>
    <row r="52" spans="1:34" x14ac:dyDescent="0.3">
      <c r="A52" s="14" t="s">
        <v>23</v>
      </c>
      <c r="B52" s="10">
        <v>5031</v>
      </c>
      <c r="C52" s="14" t="s">
        <v>14</v>
      </c>
      <c r="D52" s="37" t="s">
        <v>31</v>
      </c>
      <c r="E52" s="45">
        <f>E53+E54</f>
        <v>173.82241496568597</v>
      </c>
      <c r="F52" s="70">
        <f>F53+F54</f>
        <v>590400</v>
      </c>
      <c r="G52" s="70">
        <f t="shared" ref="G52:H52" si="90">G53+G54</f>
        <v>53.735500992476219</v>
      </c>
      <c r="H52" s="70">
        <f t="shared" si="90"/>
        <v>378567.85</v>
      </c>
      <c r="I52" s="41">
        <f t="shared" si="64"/>
        <v>0.30914022799121776</v>
      </c>
      <c r="J52" s="41">
        <f t="shared" si="65"/>
        <v>0.64120570799457988</v>
      </c>
      <c r="K52" s="60">
        <f t="shared" ref="K52:L52" si="91">K53+K54</f>
        <v>314</v>
      </c>
      <c r="L52" s="70">
        <f t="shared" si="91"/>
        <v>12800</v>
      </c>
      <c r="M52" s="92">
        <f t="shared" ref="M52:N52" si="92">M53+M54</f>
        <v>195.101</v>
      </c>
      <c r="N52" s="92">
        <f t="shared" si="92"/>
        <v>7048.1399999999994</v>
      </c>
      <c r="O52" s="41">
        <f t="shared" si="68"/>
        <v>0.62134076433121022</v>
      </c>
      <c r="P52" s="41">
        <f t="shared" si="69"/>
        <v>0.55063593749999995</v>
      </c>
      <c r="Q52" s="70">
        <f t="shared" ref="Q52:R52" si="93">Q53+Q54</f>
        <v>32028</v>
      </c>
      <c r="R52" s="70">
        <f t="shared" si="93"/>
        <v>227400</v>
      </c>
      <c r="S52" s="70">
        <f t="shared" ref="S52:T52" si="94">S53+S54</f>
        <v>6333.9970000000012</v>
      </c>
      <c r="T52" s="70">
        <f t="shared" si="94"/>
        <v>43331.020000000004</v>
      </c>
      <c r="U52" s="41">
        <f t="shared" si="45"/>
        <v>0.19776436243287127</v>
      </c>
      <c r="V52" s="41">
        <f t="shared" si="46"/>
        <v>0.19054978012313106</v>
      </c>
      <c r="W52" s="70"/>
      <c r="X52" s="46"/>
      <c r="Y52" s="73"/>
      <c r="Z52" s="73"/>
      <c r="AA52" s="38"/>
      <c r="AB52" s="38"/>
      <c r="AC52" s="68">
        <f t="shared" ref="AC52" si="95">AC53+AC54</f>
        <v>4400</v>
      </c>
      <c r="AD52" s="68">
        <f t="shared" ref="AD52" si="96">AD53+AD54</f>
        <v>2660.17</v>
      </c>
      <c r="AE52" s="41">
        <f t="shared" si="23"/>
        <v>0.60458409090909093</v>
      </c>
      <c r="AF52" s="40">
        <f t="shared" si="53"/>
        <v>835000</v>
      </c>
      <c r="AG52" s="40">
        <f t="shared" si="54"/>
        <v>431607.18</v>
      </c>
      <c r="AH52" s="41">
        <f t="shared" si="55"/>
        <v>0.51689482634730544</v>
      </c>
    </row>
    <row r="53" spans="1:34" s="65" customFormat="1" ht="46.8" x14ac:dyDescent="0.3">
      <c r="A53" s="50"/>
      <c r="B53" s="51"/>
      <c r="C53" s="50"/>
      <c r="D53" s="42" t="s">
        <v>103</v>
      </c>
      <c r="E53" s="57">
        <v>159.62309035291486</v>
      </c>
      <c r="F53" s="83">
        <v>542171</v>
      </c>
      <c r="G53" s="157">
        <v>48.682099000000001</v>
      </c>
      <c r="H53" s="158">
        <v>355131.14</v>
      </c>
      <c r="I53" s="64">
        <f t="shared" si="64"/>
        <v>0.30498155932432758</v>
      </c>
      <c r="J53" s="64">
        <f t="shared" si="65"/>
        <v>0.65501684892773682</v>
      </c>
      <c r="K53" s="61">
        <v>222</v>
      </c>
      <c r="L53" s="83">
        <v>8962</v>
      </c>
      <c r="M53" s="108">
        <v>136.571</v>
      </c>
      <c r="N53" s="107">
        <v>5385.99</v>
      </c>
      <c r="O53" s="64">
        <f t="shared" si="68"/>
        <v>0.61518468468468468</v>
      </c>
      <c r="P53" s="64">
        <f t="shared" si="69"/>
        <v>0.60098080785538943</v>
      </c>
      <c r="Q53" s="77">
        <v>25344</v>
      </c>
      <c r="R53" s="63">
        <v>179944</v>
      </c>
      <c r="S53" s="119">
        <v>4302.9970000000012</v>
      </c>
      <c r="T53" s="119">
        <v>29652.14</v>
      </c>
      <c r="U53" s="64">
        <f t="shared" si="45"/>
        <v>0.16978365688131317</v>
      </c>
      <c r="V53" s="64">
        <f t="shared" si="46"/>
        <v>0.16478537767305385</v>
      </c>
      <c r="W53" s="77"/>
      <c r="X53" s="63"/>
      <c r="Y53" s="73"/>
      <c r="Z53" s="72"/>
      <c r="AA53" s="64"/>
      <c r="AB53" s="64"/>
      <c r="AC53" s="77">
        <v>3200</v>
      </c>
      <c r="AD53" s="131">
        <v>1834.6000000000001</v>
      </c>
      <c r="AE53" s="64">
        <f t="shared" si="23"/>
        <v>0.5733125</v>
      </c>
      <c r="AF53" s="56">
        <f t="shared" si="53"/>
        <v>734277</v>
      </c>
      <c r="AG53" s="56">
        <f t="shared" si="54"/>
        <v>392003.87</v>
      </c>
      <c r="AH53" s="64">
        <f t="shared" si="55"/>
        <v>0.53386374624290289</v>
      </c>
    </row>
    <row r="54" spans="1:34" s="65" customFormat="1" ht="46.8" x14ac:dyDescent="0.3">
      <c r="A54" s="50"/>
      <c r="B54" s="51"/>
      <c r="C54" s="50"/>
      <c r="D54" s="54" t="s">
        <v>104</v>
      </c>
      <c r="E54" s="84">
        <v>14.199324612771118</v>
      </c>
      <c r="F54" s="85">
        <v>48229</v>
      </c>
      <c r="G54" s="157">
        <v>5.0534019924762141</v>
      </c>
      <c r="H54" s="159">
        <v>23436.709999999992</v>
      </c>
      <c r="I54" s="64">
        <f t="shared" si="64"/>
        <v>0.35589030677776723</v>
      </c>
      <c r="J54" s="64">
        <f t="shared" si="65"/>
        <v>0.48594642227705304</v>
      </c>
      <c r="K54" s="58">
        <v>92</v>
      </c>
      <c r="L54" s="85">
        <v>3837.9999999999995</v>
      </c>
      <c r="M54" s="108">
        <v>58.53</v>
      </c>
      <c r="N54" s="109">
        <v>1662.15</v>
      </c>
      <c r="O54" s="64">
        <f t="shared" si="68"/>
        <v>0.63619565217391305</v>
      </c>
      <c r="P54" s="64">
        <f t="shared" si="69"/>
        <v>0.43307712350182392</v>
      </c>
      <c r="Q54" s="77">
        <v>6684</v>
      </c>
      <c r="R54" s="63">
        <v>47456</v>
      </c>
      <c r="S54" s="119">
        <v>2031</v>
      </c>
      <c r="T54" s="119">
        <v>13678.880000000001</v>
      </c>
      <c r="U54" s="64">
        <f t="shared" si="45"/>
        <v>0.30385996409335725</v>
      </c>
      <c r="V54" s="64">
        <f t="shared" si="46"/>
        <v>0.28824342548887394</v>
      </c>
      <c r="W54" s="77"/>
      <c r="X54" s="77"/>
      <c r="Y54" s="73"/>
      <c r="Z54" s="72"/>
      <c r="AA54" s="66"/>
      <c r="AB54" s="66"/>
      <c r="AC54" s="77">
        <v>1200</v>
      </c>
      <c r="AD54" s="131">
        <v>825.57</v>
      </c>
      <c r="AE54" s="64">
        <f t="shared" si="23"/>
        <v>0.687975</v>
      </c>
      <c r="AF54" s="56">
        <f t="shared" si="53"/>
        <v>100723</v>
      </c>
      <c r="AG54" s="56">
        <f t="shared" si="54"/>
        <v>39603.30999999999</v>
      </c>
      <c r="AH54" s="64">
        <f t="shared" si="55"/>
        <v>0.39319033388600411</v>
      </c>
    </row>
    <row r="55" spans="1:34" ht="31.2" x14ac:dyDescent="0.3">
      <c r="A55" s="18" t="s">
        <v>34</v>
      </c>
      <c r="B55" s="18"/>
      <c r="C55" s="18"/>
      <c r="D55" s="22" t="s">
        <v>57</v>
      </c>
      <c r="E55" s="11">
        <f>E56+E57+E58</f>
        <v>128.06399999999999</v>
      </c>
      <c r="F55" s="12">
        <f t="shared" ref="F55" si="97">F56+F57+F58</f>
        <v>600400</v>
      </c>
      <c r="G55" s="11">
        <f t="shared" ref="G55:H55" si="98">SUM(G56:G58)</f>
        <v>76.162000000000006</v>
      </c>
      <c r="H55" s="12">
        <f t="shared" si="98"/>
        <v>412813.81</v>
      </c>
      <c r="I55" s="31">
        <f t="shared" si="6"/>
        <v>0.59471826586706655</v>
      </c>
      <c r="J55" s="31">
        <f t="shared" si="7"/>
        <v>0.6875646402398401</v>
      </c>
      <c r="K55" s="12">
        <f t="shared" ref="K55:L55" si="99">K56+K57+K58</f>
        <v>613</v>
      </c>
      <c r="L55" s="12">
        <f t="shared" si="99"/>
        <v>25200</v>
      </c>
      <c r="M55" s="12">
        <f t="shared" ref="M55" si="100">SUM(M56:M58)</f>
        <v>265.19</v>
      </c>
      <c r="N55" s="12">
        <f t="shared" ref="N55" si="101">SUM(N56:N58)</f>
        <v>10841.99</v>
      </c>
      <c r="O55" s="31">
        <f t="shared" ref="O55:O58" si="102">M55/K55</f>
        <v>0.4326101141924959</v>
      </c>
      <c r="P55" s="31">
        <f t="shared" ref="P55:P58" si="103">N55/L55</f>
        <v>0.43023769841269838</v>
      </c>
      <c r="Q55" s="12">
        <f t="shared" ref="Q55:R55" si="104">Q56+Q57+Q58</f>
        <v>63128</v>
      </c>
      <c r="R55" s="12">
        <f t="shared" si="104"/>
        <v>354700</v>
      </c>
      <c r="S55" s="12">
        <f t="shared" ref="S55" si="105">SUM(S56:S58)</f>
        <v>34561</v>
      </c>
      <c r="T55" s="12">
        <f t="shared" ref="T55" si="106">SUM(T56:T58)</f>
        <v>195545.57</v>
      </c>
      <c r="U55" s="31">
        <f t="shared" ref="U55:U58" si="107">S55/Q55</f>
        <v>0.54747497148650359</v>
      </c>
      <c r="V55" s="31">
        <f t="shared" si="22"/>
        <v>0.55129847758669304</v>
      </c>
      <c r="W55" s="12">
        <f t="shared" ref="W55:X55" si="108">W56+W57+W58</f>
        <v>0</v>
      </c>
      <c r="X55" s="12">
        <f t="shared" si="108"/>
        <v>0</v>
      </c>
      <c r="Y55" s="12"/>
      <c r="Z55" s="12"/>
      <c r="AA55" s="31"/>
      <c r="AB55" s="31"/>
      <c r="AC55" s="12">
        <f t="shared" ref="AC55" si="109">AC56+AC57+AC58</f>
        <v>0</v>
      </c>
      <c r="AD55" s="12"/>
      <c r="AE55" s="31"/>
      <c r="AF55" s="12">
        <f t="shared" ref="AF55" si="110">AF56+AF57+AF58</f>
        <v>980300</v>
      </c>
      <c r="AG55" s="12">
        <f>AG56+AG57+AG58</f>
        <v>619201.37</v>
      </c>
      <c r="AH55" s="31">
        <f>AG55/AF55</f>
        <v>0.63164477200856883</v>
      </c>
    </row>
    <row r="56" spans="1:34" ht="31.2" x14ac:dyDescent="0.3">
      <c r="A56" s="14" t="s">
        <v>17</v>
      </c>
      <c r="B56" s="14" t="s">
        <v>18</v>
      </c>
      <c r="C56" s="14" t="s">
        <v>5</v>
      </c>
      <c r="D56" s="32" t="s">
        <v>58</v>
      </c>
      <c r="E56" s="55">
        <v>82.8</v>
      </c>
      <c r="F56" s="77">
        <f>305400+99800</f>
        <v>405200</v>
      </c>
      <c r="G56" s="44">
        <v>42.83</v>
      </c>
      <c r="H56" s="47">
        <v>297137.40000000002</v>
      </c>
      <c r="I56" s="41">
        <f t="shared" si="6"/>
        <v>0.51727053140096613</v>
      </c>
      <c r="J56" s="41">
        <f t="shared" si="7"/>
        <v>0.73331046396841071</v>
      </c>
      <c r="K56" s="77">
        <v>263</v>
      </c>
      <c r="L56" s="77">
        <v>10800</v>
      </c>
      <c r="M56" s="94">
        <v>162</v>
      </c>
      <c r="N56" s="93">
        <v>6534.36</v>
      </c>
      <c r="O56" s="41">
        <f t="shared" si="102"/>
        <v>0.61596958174904948</v>
      </c>
      <c r="P56" s="41">
        <f t="shared" si="103"/>
        <v>0.60503333333333331</v>
      </c>
      <c r="Q56" s="77">
        <v>35000</v>
      </c>
      <c r="R56" s="77">
        <f>252000-45000</f>
        <v>207000</v>
      </c>
      <c r="S56" s="47">
        <v>16860</v>
      </c>
      <c r="T56" s="47">
        <v>118668.94</v>
      </c>
      <c r="U56" s="41">
        <f t="shared" si="107"/>
        <v>0.48171428571428571</v>
      </c>
      <c r="V56" s="41">
        <f t="shared" si="22"/>
        <v>0.57327990338164247</v>
      </c>
      <c r="W56" s="77"/>
      <c r="X56" s="77"/>
      <c r="Y56" s="47"/>
      <c r="Z56" s="47"/>
      <c r="AA56" s="41"/>
      <c r="AB56" s="41"/>
      <c r="AC56" s="77"/>
      <c r="AD56" s="47"/>
      <c r="AE56" s="41"/>
      <c r="AF56" s="47">
        <f t="shared" ref="AF56:AF67" si="111">F56+L56+R56+X56+AC56</f>
        <v>623000</v>
      </c>
      <c r="AG56" s="47">
        <f>H56+N56+T56+Z56+AD56</f>
        <v>422340.7</v>
      </c>
      <c r="AH56" s="41">
        <f t="shared" ref="AH56:AH68" si="112">AG56/AF56</f>
        <v>0.6779144462279294</v>
      </c>
    </row>
    <row r="57" spans="1:34" ht="48" customHeight="1" x14ac:dyDescent="0.3">
      <c r="A57" s="14" t="s">
        <v>22</v>
      </c>
      <c r="B57" s="10">
        <v>3104</v>
      </c>
      <c r="C57" s="10">
        <v>1020</v>
      </c>
      <c r="D57" s="49" t="s">
        <v>59</v>
      </c>
      <c r="E57" s="55">
        <v>18.347999999999999</v>
      </c>
      <c r="F57" s="77">
        <v>82800</v>
      </c>
      <c r="G57" s="44">
        <v>11.42</v>
      </c>
      <c r="H57" s="47">
        <v>42217.98</v>
      </c>
      <c r="I57" s="41">
        <f t="shared" si="6"/>
        <v>0.6224111619795073</v>
      </c>
      <c r="J57" s="41">
        <f t="shared" si="7"/>
        <v>0.50987898550724642</v>
      </c>
      <c r="K57" s="77">
        <v>100</v>
      </c>
      <c r="L57" s="77">
        <v>4100</v>
      </c>
      <c r="M57" s="33">
        <v>22.33</v>
      </c>
      <c r="N57" s="47">
        <v>1014.34</v>
      </c>
      <c r="O57" s="41">
        <f t="shared" si="102"/>
        <v>0.22329999999999997</v>
      </c>
      <c r="P57" s="41">
        <f t="shared" si="103"/>
        <v>0.24740000000000001</v>
      </c>
      <c r="Q57" s="77">
        <v>10000</v>
      </c>
      <c r="R57" s="77">
        <v>72000</v>
      </c>
      <c r="S57" s="47">
        <v>5684</v>
      </c>
      <c r="T57" s="47">
        <v>33159.800000000003</v>
      </c>
      <c r="U57" s="41">
        <f t="shared" si="107"/>
        <v>0.56840000000000002</v>
      </c>
      <c r="V57" s="41">
        <f t="shared" si="22"/>
        <v>0.46055277777777781</v>
      </c>
      <c r="W57" s="77"/>
      <c r="X57" s="77"/>
      <c r="Y57" s="47"/>
      <c r="Z57" s="47"/>
      <c r="AA57" s="41"/>
      <c r="AB57" s="41"/>
      <c r="AC57" s="77"/>
      <c r="AD57" s="47"/>
      <c r="AE57" s="47"/>
      <c r="AF57" s="47">
        <f t="shared" si="111"/>
        <v>158900</v>
      </c>
      <c r="AG57" s="47">
        <f t="shared" si="13"/>
        <v>76392.12</v>
      </c>
      <c r="AH57" s="41">
        <f t="shared" si="112"/>
        <v>0.48075594713656383</v>
      </c>
    </row>
    <row r="58" spans="1:34" ht="46.8" x14ac:dyDescent="0.3">
      <c r="A58" s="14" t="s">
        <v>21</v>
      </c>
      <c r="B58" s="10">
        <v>3121</v>
      </c>
      <c r="C58" s="10">
        <v>1040</v>
      </c>
      <c r="D58" s="39" t="s">
        <v>105</v>
      </c>
      <c r="E58" s="55">
        <v>26.916</v>
      </c>
      <c r="F58" s="77">
        <v>112400</v>
      </c>
      <c r="G58" s="44">
        <v>21.911999999999999</v>
      </c>
      <c r="H58" s="47">
        <v>73458.429999999993</v>
      </c>
      <c r="I58" s="41">
        <f t="shared" si="6"/>
        <v>0.81408827463218902</v>
      </c>
      <c r="J58" s="41">
        <f t="shared" si="7"/>
        <v>0.65354475088967967</v>
      </c>
      <c r="K58" s="77">
        <v>250</v>
      </c>
      <c r="L58" s="77">
        <v>10300</v>
      </c>
      <c r="M58" s="33">
        <v>80.86</v>
      </c>
      <c r="N58" s="47">
        <v>3293.29</v>
      </c>
      <c r="O58" s="41">
        <f t="shared" si="102"/>
        <v>0.32344000000000001</v>
      </c>
      <c r="P58" s="41">
        <f t="shared" si="103"/>
        <v>0.31973689320388349</v>
      </c>
      <c r="Q58" s="77">
        <v>18128</v>
      </c>
      <c r="R58" s="77">
        <f>130500-54800</f>
        <v>75700</v>
      </c>
      <c r="S58" s="47">
        <v>12017</v>
      </c>
      <c r="T58" s="47">
        <v>43716.83</v>
      </c>
      <c r="U58" s="41">
        <f t="shared" si="107"/>
        <v>0.66289717563989403</v>
      </c>
      <c r="V58" s="41">
        <f t="shared" si="22"/>
        <v>0.57750105680317043</v>
      </c>
      <c r="W58" s="77"/>
      <c r="X58" s="77"/>
      <c r="Y58" s="47"/>
      <c r="Z58" s="47"/>
      <c r="AA58" s="41"/>
      <c r="AB58" s="41"/>
      <c r="AC58" s="77"/>
      <c r="AD58" s="47"/>
      <c r="AE58" s="47"/>
      <c r="AF58" s="47">
        <f t="shared" si="111"/>
        <v>198400</v>
      </c>
      <c r="AG58" s="47">
        <f t="shared" si="13"/>
        <v>120468.54999999999</v>
      </c>
      <c r="AH58" s="41">
        <f t="shared" si="112"/>
        <v>0.60720035282258056</v>
      </c>
    </row>
    <row r="59" spans="1:34" ht="31.2" x14ac:dyDescent="0.3">
      <c r="A59" s="19">
        <v>1010000</v>
      </c>
      <c r="B59" s="19"/>
      <c r="C59" s="19"/>
      <c r="D59" s="13" t="s">
        <v>60</v>
      </c>
      <c r="E59" s="11">
        <f>SUM(E60:E67)</f>
        <v>306.7</v>
      </c>
      <c r="F59" s="12">
        <f>SUM(F60:F67)</f>
        <v>1040450</v>
      </c>
      <c r="G59" s="11">
        <f t="shared" ref="G59:H59" si="113">SUM(G60:G67)</f>
        <v>205.51</v>
      </c>
      <c r="H59" s="12">
        <f t="shared" si="113"/>
        <v>592473.02</v>
      </c>
      <c r="I59" s="31">
        <f t="shared" ref="I59:I68" si="114">G59/E59</f>
        <v>0.67006847081838927</v>
      </c>
      <c r="J59" s="31">
        <f t="shared" ref="J59:J68" si="115">H59/F59</f>
        <v>0.56943920419049454</v>
      </c>
      <c r="K59" s="12">
        <f t="shared" ref="K59:L59" si="116">SUM(K60:K67)</f>
        <v>1735</v>
      </c>
      <c r="L59" s="12">
        <f t="shared" si="116"/>
        <v>71200</v>
      </c>
      <c r="M59" s="12">
        <f t="shared" ref="M59:AG59" si="117">SUM(M60:M67)</f>
        <v>819</v>
      </c>
      <c r="N59" s="12">
        <f t="shared" si="117"/>
        <v>29591.4</v>
      </c>
      <c r="O59" s="31">
        <f t="shared" ref="O59:O68" si="118">M59/K59</f>
        <v>0.47204610951008646</v>
      </c>
      <c r="P59" s="31">
        <f t="shared" ref="P59:P68" si="119">N59/L59</f>
        <v>0.41560955056179777</v>
      </c>
      <c r="Q59" s="12">
        <f t="shared" ref="Q59:R59" si="120">SUM(Q60:Q67)</f>
        <v>134000</v>
      </c>
      <c r="R59" s="12">
        <f t="shared" si="120"/>
        <v>942800</v>
      </c>
      <c r="S59" s="12">
        <f t="shared" si="117"/>
        <v>70855</v>
      </c>
      <c r="T59" s="12">
        <f t="shared" si="117"/>
        <v>395933</v>
      </c>
      <c r="U59" s="31">
        <f t="shared" ref="U59:U68" si="121">S59/Q59</f>
        <v>0.52876865671641793</v>
      </c>
      <c r="V59" s="31">
        <f t="shared" ref="V59:V68" si="122">T59/R59</f>
        <v>0.41995439117522276</v>
      </c>
      <c r="W59" s="12">
        <f t="shared" ref="W59:X59" si="123">SUM(W60:W67)</f>
        <v>40500</v>
      </c>
      <c r="X59" s="12">
        <f t="shared" si="123"/>
        <v>767100</v>
      </c>
      <c r="Y59" s="12">
        <f t="shared" si="117"/>
        <v>17540</v>
      </c>
      <c r="Z59" s="12">
        <f t="shared" si="117"/>
        <v>298479</v>
      </c>
      <c r="AA59" s="31">
        <f>Y59/W59</f>
        <v>0.43308641975308643</v>
      </c>
      <c r="AB59" s="31">
        <f>Z59/X59</f>
        <v>0.38910050840829097</v>
      </c>
      <c r="AC59" s="12">
        <f t="shared" ref="AC59" si="124">SUM(AC60:AC67)</f>
        <v>146750</v>
      </c>
      <c r="AD59" s="12">
        <f t="shared" si="117"/>
        <v>57366</v>
      </c>
      <c r="AE59" s="31">
        <f>AD59/AC59</f>
        <v>0.39090971039182282</v>
      </c>
      <c r="AF59" s="12">
        <f t="shared" si="111"/>
        <v>2968300</v>
      </c>
      <c r="AG59" s="12">
        <f t="shared" si="117"/>
        <v>1373842.42</v>
      </c>
      <c r="AH59" s="31">
        <f>AG59/AF59</f>
        <v>0.46283812956911363</v>
      </c>
    </row>
    <row r="60" spans="1:34" ht="31.2" x14ac:dyDescent="0.3">
      <c r="A60" s="10">
        <v>1011080</v>
      </c>
      <c r="B60" s="10">
        <v>1100</v>
      </c>
      <c r="C60" s="14" t="s">
        <v>9</v>
      </c>
      <c r="D60" s="39" t="s">
        <v>68</v>
      </c>
      <c r="E60" s="55"/>
      <c r="F60" s="77"/>
      <c r="G60" s="133"/>
      <c r="H60" s="132"/>
      <c r="I60" s="41"/>
      <c r="J60" s="41"/>
      <c r="K60" s="77">
        <v>340</v>
      </c>
      <c r="L60" s="77">
        <v>14000</v>
      </c>
      <c r="M60" s="134">
        <v>228</v>
      </c>
      <c r="N60" s="134">
        <v>8061</v>
      </c>
      <c r="O60" s="41">
        <f t="shared" si="118"/>
        <v>0.6705882352941176</v>
      </c>
      <c r="P60" s="41">
        <f t="shared" si="119"/>
        <v>0.57578571428571423</v>
      </c>
      <c r="Q60" s="77">
        <v>35000</v>
      </c>
      <c r="R60" s="77">
        <f>252000-22000</f>
        <v>230000</v>
      </c>
      <c r="S60" s="135">
        <v>14437</v>
      </c>
      <c r="T60" s="135">
        <v>73605</v>
      </c>
      <c r="U60" s="41">
        <f t="shared" si="121"/>
        <v>0.41248571428571429</v>
      </c>
      <c r="V60" s="41">
        <f t="shared" si="122"/>
        <v>0.3200217391304348</v>
      </c>
      <c r="W60" s="77">
        <v>16000</v>
      </c>
      <c r="X60" s="77">
        <f>278600+22000</f>
        <v>300600</v>
      </c>
      <c r="Y60" s="138">
        <v>7000</v>
      </c>
      <c r="Z60" s="137">
        <v>112555</v>
      </c>
      <c r="AA60" s="41">
        <f t="shared" ref="AA60:AA68" si="125">Y60/W60</f>
        <v>0.4375</v>
      </c>
      <c r="AB60" s="41">
        <f t="shared" ref="AB60:AB68" si="126">Z60/X60</f>
        <v>0.37443446440452427</v>
      </c>
      <c r="AC60" s="77">
        <v>2600</v>
      </c>
      <c r="AD60" s="139">
        <v>1619</v>
      </c>
      <c r="AE60" s="41">
        <f t="shared" ref="AE60:AE68" si="127">AD60/AC60</f>
        <v>0.62269230769230766</v>
      </c>
      <c r="AF60" s="47">
        <f t="shared" si="111"/>
        <v>547200</v>
      </c>
      <c r="AG60" s="47">
        <f t="shared" si="13"/>
        <v>195840</v>
      </c>
      <c r="AH60" s="41">
        <f t="shared" si="112"/>
        <v>0.35789473684210527</v>
      </c>
    </row>
    <row r="61" spans="1:34" ht="31.2" x14ac:dyDescent="0.3">
      <c r="A61" s="10">
        <v>1014030</v>
      </c>
      <c r="B61" s="10">
        <v>4030</v>
      </c>
      <c r="C61" s="14" t="s">
        <v>11</v>
      </c>
      <c r="D61" s="49" t="s">
        <v>69</v>
      </c>
      <c r="E61" s="55">
        <v>200</v>
      </c>
      <c r="F61" s="77">
        <f>669400+50</f>
        <v>669450</v>
      </c>
      <c r="G61" s="133">
        <v>142.41</v>
      </c>
      <c r="H61" s="132">
        <v>410150</v>
      </c>
      <c r="I61" s="41">
        <f t="shared" si="114"/>
        <v>0.71204999999999996</v>
      </c>
      <c r="J61" s="41">
        <f t="shared" si="115"/>
        <v>0.61266711479572789</v>
      </c>
      <c r="K61" s="77">
        <v>280</v>
      </c>
      <c r="L61" s="77">
        <v>11500</v>
      </c>
      <c r="M61" s="134">
        <v>180</v>
      </c>
      <c r="N61" s="134">
        <v>7201</v>
      </c>
      <c r="O61" s="41">
        <f t="shared" si="118"/>
        <v>0.6428571428571429</v>
      </c>
      <c r="P61" s="41">
        <f t="shared" si="119"/>
        <v>0.62617391304347825</v>
      </c>
      <c r="Q61" s="77">
        <v>36000</v>
      </c>
      <c r="R61" s="77">
        <v>259200</v>
      </c>
      <c r="S61" s="135">
        <v>22697</v>
      </c>
      <c r="T61" s="135">
        <v>137675</v>
      </c>
      <c r="U61" s="41">
        <f t="shared" si="121"/>
        <v>0.63047222222222221</v>
      </c>
      <c r="V61" s="41">
        <f t="shared" si="122"/>
        <v>0.53115354938271608</v>
      </c>
      <c r="W61" s="77">
        <v>2500</v>
      </c>
      <c r="X61" s="77">
        <v>43500</v>
      </c>
      <c r="Y61" s="138"/>
      <c r="Z61" s="137"/>
      <c r="AA61" s="41">
        <f t="shared" si="125"/>
        <v>0</v>
      </c>
      <c r="AB61" s="41">
        <f t="shared" si="126"/>
        <v>0</v>
      </c>
      <c r="AC61" s="77">
        <f>700-50</f>
        <v>650</v>
      </c>
      <c r="AD61" s="139">
        <v>384</v>
      </c>
      <c r="AE61" s="41">
        <f t="shared" si="127"/>
        <v>0.59076923076923082</v>
      </c>
      <c r="AF61" s="47">
        <f t="shared" si="111"/>
        <v>984300</v>
      </c>
      <c r="AG61" s="47">
        <f t="shared" si="13"/>
        <v>555410</v>
      </c>
      <c r="AH61" s="41">
        <f t="shared" si="112"/>
        <v>0.56426902367164478</v>
      </c>
    </row>
    <row r="62" spans="1:34" ht="31.2" x14ac:dyDescent="0.3">
      <c r="A62" s="10">
        <v>1014040</v>
      </c>
      <c r="B62" s="10">
        <v>4040</v>
      </c>
      <c r="C62" s="14" t="s">
        <v>11</v>
      </c>
      <c r="D62" s="49" t="s">
        <v>70</v>
      </c>
      <c r="E62" s="55">
        <v>95</v>
      </c>
      <c r="F62" s="77">
        <v>318000</v>
      </c>
      <c r="G62" s="133">
        <v>59.81</v>
      </c>
      <c r="H62" s="132">
        <v>171002</v>
      </c>
      <c r="I62" s="41">
        <f t="shared" si="114"/>
        <v>0.62957894736842113</v>
      </c>
      <c r="J62" s="41">
        <f t="shared" si="115"/>
        <v>0.53774213836477991</v>
      </c>
      <c r="K62" s="77">
        <v>140</v>
      </c>
      <c r="L62" s="77">
        <v>5700</v>
      </c>
      <c r="M62" s="134">
        <v>88</v>
      </c>
      <c r="N62" s="134">
        <v>3582</v>
      </c>
      <c r="O62" s="41">
        <f t="shared" si="118"/>
        <v>0.62857142857142856</v>
      </c>
      <c r="P62" s="41">
        <f t="shared" si="119"/>
        <v>0.62842105263157899</v>
      </c>
      <c r="Q62" s="77">
        <v>11000</v>
      </c>
      <c r="R62" s="77">
        <v>79200</v>
      </c>
      <c r="S62" s="135">
        <v>7403</v>
      </c>
      <c r="T62" s="135">
        <v>42772</v>
      </c>
      <c r="U62" s="41">
        <f t="shared" si="121"/>
        <v>0.67300000000000004</v>
      </c>
      <c r="V62" s="41">
        <f t="shared" si="122"/>
        <v>0.540050505050505</v>
      </c>
      <c r="W62" s="77"/>
      <c r="X62" s="77"/>
      <c r="Y62" s="138"/>
      <c r="Z62" s="137"/>
      <c r="AA62" s="41"/>
      <c r="AB62" s="41"/>
      <c r="AC62" s="77">
        <v>400</v>
      </c>
      <c r="AD62" s="139">
        <v>184</v>
      </c>
      <c r="AE62" s="41">
        <f t="shared" si="127"/>
        <v>0.46</v>
      </c>
      <c r="AF62" s="47">
        <f t="shared" si="111"/>
        <v>403300</v>
      </c>
      <c r="AG62" s="47">
        <f t="shared" si="13"/>
        <v>217540</v>
      </c>
      <c r="AH62" s="41">
        <f t="shared" si="112"/>
        <v>0.5393999504091247</v>
      </c>
    </row>
    <row r="63" spans="1:34" ht="31.2" x14ac:dyDescent="0.3">
      <c r="A63" s="10">
        <v>1014060</v>
      </c>
      <c r="B63" s="10">
        <v>4060</v>
      </c>
      <c r="C63" s="14" t="s">
        <v>12</v>
      </c>
      <c r="D63" s="49" t="s">
        <v>71</v>
      </c>
      <c r="E63" s="55"/>
      <c r="F63" s="77"/>
      <c r="G63" s="133"/>
      <c r="H63" s="132"/>
      <c r="I63" s="41"/>
      <c r="J63" s="41"/>
      <c r="K63" s="77">
        <v>340</v>
      </c>
      <c r="L63" s="77">
        <v>14000</v>
      </c>
      <c r="M63" s="134">
        <v>228</v>
      </c>
      <c r="N63" s="134">
        <v>8061</v>
      </c>
      <c r="O63" s="41">
        <f t="shared" si="118"/>
        <v>0.6705882352941176</v>
      </c>
      <c r="P63" s="41">
        <f t="shared" si="119"/>
        <v>0.57578571428571423</v>
      </c>
      <c r="Q63" s="77">
        <v>35000</v>
      </c>
      <c r="R63" s="77">
        <v>252000</v>
      </c>
      <c r="S63" s="135">
        <v>14437</v>
      </c>
      <c r="T63" s="135">
        <v>73605</v>
      </c>
      <c r="U63" s="41">
        <f t="shared" si="121"/>
        <v>0.41248571428571429</v>
      </c>
      <c r="V63" s="41">
        <f t="shared" si="122"/>
        <v>0.29208333333333331</v>
      </c>
      <c r="W63" s="77">
        <v>16000</v>
      </c>
      <c r="X63" s="77">
        <f>278600+40000</f>
        <v>318600</v>
      </c>
      <c r="Y63" s="138">
        <v>7000</v>
      </c>
      <c r="Z63" s="137">
        <v>112572</v>
      </c>
      <c r="AA63" s="41">
        <f t="shared" si="125"/>
        <v>0.4375</v>
      </c>
      <c r="AB63" s="41">
        <f t="shared" si="126"/>
        <v>0.35333333333333333</v>
      </c>
      <c r="AC63" s="77">
        <v>2800</v>
      </c>
      <c r="AD63" s="139">
        <v>1619</v>
      </c>
      <c r="AE63" s="41">
        <f t="shared" si="127"/>
        <v>0.57821428571428568</v>
      </c>
      <c r="AF63" s="47">
        <f t="shared" si="111"/>
        <v>587400</v>
      </c>
      <c r="AG63" s="47">
        <f t="shared" si="13"/>
        <v>195857</v>
      </c>
      <c r="AH63" s="41">
        <f t="shared" si="112"/>
        <v>0.33343037112700036</v>
      </c>
    </row>
    <row r="64" spans="1:34" ht="31.2" x14ac:dyDescent="0.3">
      <c r="A64" s="10">
        <v>1014060</v>
      </c>
      <c r="B64" s="10">
        <v>4060</v>
      </c>
      <c r="C64" s="14" t="s">
        <v>12</v>
      </c>
      <c r="D64" s="49" t="s">
        <v>72</v>
      </c>
      <c r="E64" s="55"/>
      <c r="F64" s="77"/>
      <c r="G64" s="133"/>
      <c r="H64" s="132"/>
      <c r="I64" s="41"/>
      <c r="J64" s="41"/>
      <c r="K64" s="77">
        <v>120</v>
      </c>
      <c r="L64" s="77">
        <v>4900</v>
      </c>
      <c r="M64" s="134">
        <v>10</v>
      </c>
      <c r="N64" s="134">
        <v>221.4</v>
      </c>
      <c r="O64" s="41">
        <f t="shared" si="118"/>
        <v>8.3333333333333329E-2</v>
      </c>
      <c r="P64" s="41">
        <f t="shared" si="119"/>
        <v>4.5183673469387758E-2</v>
      </c>
      <c r="Q64" s="77">
        <v>4000</v>
      </c>
      <c r="R64" s="77">
        <v>28800</v>
      </c>
      <c r="S64" s="135">
        <v>4882</v>
      </c>
      <c r="T64" s="135">
        <v>28162</v>
      </c>
      <c r="U64" s="41">
        <f t="shared" si="121"/>
        <v>1.2204999999999999</v>
      </c>
      <c r="V64" s="41">
        <f t="shared" si="122"/>
        <v>0.9778472222222222</v>
      </c>
      <c r="W64" s="77"/>
      <c r="X64" s="77"/>
      <c r="Y64" s="138"/>
      <c r="Z64" s="137"/>
      <c r="AA64" s="41"/>
      <c r="AB64" s="41"/>
      <c r="AC64" s="77">
        <f>85000-40000</f>
        <v>45000</v>
      </c>
      <c r="AD64" s="139">
        <v>1472</v>
      </c>
      <c r="AE64" s="41">
        <f t="shared" si="127"/>
        <v>3.2711111111111114E-2</v>
      </c>
      <c r="AF64" s="47">
        <f t="shared" si="111"/>
        <v>78700</v>
      </c>
      <c r="AG64" s="47">
        <f t="shared" si="13"/>
        <v>29855.4</v>
      </c>
      <c r="AH64" s="41">
        <f t="shared" si="112"/>
        <v>0.37935705209656928</v>
      </c>
    </row>
    <row r="65" spans="1:34" ht="31.2" x14ac:dyDescent="0.3">
      <c r="A65" s="10">
        <v>1014060</v>
      </c>
      <c r="B65" s="10">
        <v>4060</v>
      </c>
      <c r="C65" s="14" t="s">
        <v>12</v>
      </c>
      <c r="D65" s="49" t="s">
        <v>73</v>
      </c>
      <c r="E65" s="55"/>
      <c r="F65" s="77"/>
      <c r="G65" s="133"/>
      <c r="H65" s="132"/>
      <c r="I65" s="41"/>
      <c r="J65" s="41"/>
      <c r="K65" s="77">
        <v>150</v>
      </c>
      <c r="L65" s="77">
        <v>6100</v>
      </c>
      <c r="M65" s="134">
        <v>56</v>
      </c>
      <c r="N65" s="134">
        <v>1762</v>
      </c>
      <c r="O65" s="41">
        <f t="shared" si="118"/>
        <v>0.37333333333333335</v>
      </c>
      <c r="P65" s="41">
        <f t="shared" si="119"/>
        <v>0.28885245901639345</v>
      </c>
      <c r="Q65" s="77">
        <v>7500</v>
      </c>
      <c r="R65" s="77">
        <v>54000</v>
      </c>
      <c r="S65" s="135">
        <v>5363</v>
      </c>
      <c r="T65" s="135">
        <v>30422</v>
      </c>
      <c r="U65" s="41">
        <f t="shared" si="121"/>
        <v>0.71506666666666663</v>
      </c>
      <c r="V65" s="41">
        <f t="shared" si="122"/>
        <v>0.56337037037037041</v>
      </c>
      <c r="W65" s="77"/>
      <c r="X65" s="77"/>
      <c r="Y65" s="138"/>
      <c r="Z65" s="137"/>
      <c r="AA65" s="41"/>
      <c r="AB65" s="41"/>
      <c r="AC65" s="77">
        <v>94000</v>
      </c>
      <c r="AD65" s="139">
        <v>51352</v>
      </c>
      <c r="AE65" s="41">
        <f t="shared" si="127"/>
        <v>0.54629787234042548</v>
      </c>
      <c r="AF65" s="47">
        <f t="shared" si="111"/>
        <v>154100</v>
      </c>
      <c r="AG65" s="47">
        <f t="shared" si="13"/>
        <v>83536</v>
      </c>
      <c r="AH65" s="41">
        <f t="shared" si="112"/>
        <v>0.54208955223880595</v>
      </c>
    </row>
    <row r="66" spans="1:34" ht="31.2" x14ac:dyDescent="0.3">
      <c r="A66" s="10">
        <v>1014060</v>
      </c>
      <c r="B66" s="10">
        <v>4060</v>
      </c>
      <c r="C66" s="14" t="s">
        <v>12</v>
      </c>
      <c r="D66" s="49" t="s">
        <v>74</v>
      </c>
      <c r="E66" s="55"/>
      <c r="F66" s="77"/>
      <c r="G66" s="133"/>
      <c r="H66" s="132"/>
      <c r="I66" s="41"/>
      <c r="J66" s="41"/>
      <c r="K66" s="77">
        <v>340</v>
      </c>
      <c r="L66" s="77">
        <v>14000</v>
      </c>
      <c r="M66" s="134">
        <v>20</v>
      </c>
      <c r="N66" s="134">
        <v>398</v>
      </c>
      <c r="O66" s="41">
        <f t="shared" si="118"/>
        <v>5.8823529411764705E-2</v>
      </c>
      <c r="P66" s="41">
        <f t="shared" si="119"/>
        <v>2.8428571428571428E-2</v>
      </c>
      <c r="Q66" s="77">
        <v>1500</v>
      </c>
      <c r="R66" s="77">
        <v>10800</v>
      </c>
      <c r="S66" s="136">
        <v>310</v>
      </c>
      <c r="T66" s="136">
        <v>1926</v>
      </c>
      <c r="U66" s="41">
        <f t="shared" si="121"/>
        <v>0.20666666666666667</v>
      </c>
      <c r="V66" s="41">
        <f t="shared" si="122"/>
        <v>0.17833333333333334</v>
      </c>
      <c r="W66" s="77">
        <v>6000</v>
      </c>
      <c r="X66" s="77">
        <v>104400</v>
      </c>
      <c r="Y66" s="138">
        <v>3540</v>
      </c>
      <c r="Z66" s="137">
        <v>73352</v>
      </c>
      <c r="AA66" s="41">
        <f t="shared" si="125"/>
        <v>0.59</v>
      </c>
      <c r="AB66" s="41">
        <f t="shared" si="126"/>
        <v>0.70260536398467432</v>
      </c>
      <c r="AC66" s="77">
        <v>1300</v>
      </c>
      <c r="AD66" s="139">
        <v>736</v>
      </c>
      <c r="AE66" s="41">
        <f t="shared" si="127"/>
        <v>0.56615384615384612</v>
      </c>
      <c r="AF66" s="47">
        <f t="shared" si="111"/>
        <v>130500</v>
      </c>
      <c r="AG66" s="47">
        <f t="shared" si="13"/>
        <v>76412</v>
      </c>
      <c r="AH66" s="41">
        <f t="shared" si="112"/>
        <v>0.58553256704980838</v>
      </c>
    </row>
    <row r="67" spans="1:34" ht="30.6" customHeight="1" x14ac:dyDescent="0.3">
      <c r="A67" s="10">
        <v>1014081</v>
      </c>
      <c r="B67" s="10">
        <v>4081</v>
      </c>
      <c r="C67" s="14" t="s">
        <v>13</v>
      </c>
      <c r="D67" s="49" t="s">
        <v>61</v>
      </c>
      <c r="E67" s="86">
        <v>11.7</v>
      </c>
      <c r="F67" s="87">
        <v>53000</v>
      </c>
      <c r="G67" s="133">
        <v>3.29</v>
      </c>
      <c r="H67" s="132">
        <v>11321.02</v>
      </c>
      <c r="I67" s="41">
        <f t="shared" si="114"/>
        <v>0.2811965811965812</v>
      </c>
      <c r="J67" s="41">
        <f t="shared" si="115"/>
        <v>0.21360415094339624</v>
      </c>
      <c r="K67" s="87">
        <v>25</v>
      </c>
      <c r="L67" s="87">
        <v>1000</v>
      </c>
      <c r="M67" s="134">
        <v>9</v>
      </c>
      <c r="N67" s="134">
        <v>305</v>
      </c>
      <c r="O67" s="41">
        <f t="shared" si="118"/>
        <v>0.36</v>
      </c>
      <c r="P67" s="41">
        <f t="shared" si="119"/>
        <v>0.30499999999999999</v>
      </c>
      <c r="Q67" s="87">
        <v>4000</v>
      </c>
      <c r="R67" s="87">
        <v>28800</v>
      </c>
      <c r="S67" s="135">
        <v>1326</v>
      </c>
      <c r="T67" s="135">
        <v>7766</v>
      </c>
      <c r="U67" s="41">
        <f t="shared" si="121"/>
        <v>0.33150000000000002</v>
      </c>
      <c r="V67" s="41">
        <f t="shared" si="122"/>
        <v>0.2696527777777778</v>
      </c>
      <c r="W67" s="87"/>
      <c r="X67" s="87"/>
      <c r="Y67" s="137"/>
      <c r="Z67" s="137"/>
      <c r="AA67" s="41"/>
      <c r="AB67" s="41"/>
      <c r="AC67" s="87"/>
      <c r="AD67" s="139"/>
      <c r="AE67" s="41"/>
      <c r="AF67" s="47">
        <f t="shared" si="111"/>
        <v>82800</v>
      </c>
      <c r="AG67" s="47">
        <f t="shared" si="13"/>
        <v>19392.02</v>
      </c>
      <c r="AH67" s="41">
        <f t="shared" si="112"/>
        <v>0.23420314009661836</v>
      </c>
    </row>
    <row r="68" spans="1:34" x14ac:dyDescent="0.3">
      <c r="A68" s="19"/>
      <c r="B68" s="19"/>
      <c r="C68" s="19"/>
      <c r="D68" s="16" t="s">
        <v>0</v>
      </c>
      <c r="E68" s="11">
        <f>E12+E18+E55+E59</f>
        <v>8768.1501696093437</v>
      </c>
      <c r="F68" s="12">
        <f>F12+F18+F55+F59</f>
        <v>30054667</v>
      </c>
      <c r="G68" s="11">
        <f>G12+G18+G55+G59</f>
        <v>3649.9108642390047</v>
      </c>
      <c r="H68" s="12">
        <f>H12+H18+H55+H59</f>
        <v>16840675.379999999</v>
      </c>
      <c r="I68" s="31">
        <f t="shared" si="114"/>
        <v>0.41626920087314412</v>
      </c>
      <c r="J68" s="31">
        <f t="shared" si="115"/>
        <v>0.56033478527644309</v>
      </c>
      <c r="K68" s="12">
        <f t="shared" ref="K68:L68" si="128">K12+K18+K55+K59</f>
        <v>58059.1</v>
      </c>
      <c r="L68" s="12">
        <f t="shared" si="128"/>
        <v>2234755</v>
      </c>
      <c r="M68" s="12">
        <f>M12+M18+M55+M59</f>
        <v>19566.570291457287</v>
      </c>
      <c r="N68" s="12">
        <f>N12+N18+N55+N59</f>
        <v>675258.09</v>
      </c>
      <c r="O68" s="31">
        <f t="shared" si="118"/>
        <v>0.3370112573473803</v>
      </c>
      <c r="P68" s="31">
        <f t="shared" si="119"/>
        <v>0.30216202223509958</v>
      </c>
      <c r="Q68" s="12">
        <f t="shared" ref="Q68:R68" si="129">Q12+Q18+Q55+Q59</f>
        <v>2192585</v>
      </c>
      <c r="R68" s="12">
        <f t="shared" si="129"/>
        <v>15534687</v>
      </c>
      <c r="S68" s="12">
        <f>S12+S18+S55+S59</f>
        <v>815663.99700000009</v>
      </c>
      <c r="T68" s="12">
        <f>T12+T18+T55+T59</f>
        <v>5365828.46</v>
      </c>
      <c r="U68" s="31">
        <f t="shared" si="121"/>
        <v>0.3720102057616923</v>
      </c>
      <c r="V68" s="31">
        <f t="shared" si="122"/>
        <v>0.34540949939963383</v>
      </c>
      <c r="W68" s="12">
        <f t="shared" ref="W68:X68" si="130">W12+W18+W55+W59</f>
        <v>127592</v>
      </c>
      <c r="X68" s="12">
        <f t="shared" si="130"/>
        <v>2591583</v>
      </c>
      <c r="Y68" s="12">
        <f>Y12+Y18+Y55+Y59</f>
        <v>47128</v>
      </c>
      <c r="Z68" s="12">
        <f>Z12+Z18+Z55+Z59</f>
        <v>854444.6399999999</v>
      </c>
      <c r="AA68" s="31">
        <f t="shared" si="125"/>
        <v>0.36936485046084394</v>
      </c>
      <c r="AB68" s="31">
        <f t="shared" si="126"/>
        <v>0.32969989384866311</v>
      </c>
      <c r="AC68" s="12">
        <f t="shared" ref="AC68" si="131">AC12+AC18+AC55+AC59</f>
        <v>833750</v>
      </c>
      <c r="AD68" s="12">
        <f>AD12+AD18+AD55+AD59</f>
        <v>399635.84999999992</v>
      </c>
      <c r="AE68" s="31">
        <f t="shared" si="127"/>
        <v>0.4793233583208395</v>
      </c>
      <c r="AF68" s="12">
        <f>AF12+AF18+AF55+AF59</f>
        <v>51249442</v>
      </c>
      <c r="AG68" s="12">
        <f>AG12+AG18+AG55+AG59</f>
        <v>24135842.420000002</v>
      </c>
      <c r="AH68" s="31">
        <f t="shared" si="112"/>
        <v>0.47094839432593238</v>
      </c>
    </row>
    <row r="69" spans="1:34" x14ac:dyDescent="0.3">
      <c r="A69" s="9"/>
      <c r="B69" s="9"/>
      <c r="C69" s="9"/>
      <c r="D69" s="4"/>
      <c r="E69" s="7"/>
      <c r="F69" s="26"/>
      <c r="G69" s="26"/>
      <c r="H69" s="26"/>
      <c r="I69" s="26"/>
      <c r="J69" s="26"/>
      <c r="K69" s="7"/>
      <c r="L69" s="7"/>
      <c r="M69" s="7"/>
      <c r="N69" s="7"/>
      <c r="O69" s="7"/>
      <c r="P69" s="7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7"/>
      <c r="AD69" s="7"/>
      <c r="AE69" s="7"/>
      <c r="AF69" s="7"/>
      <c r="AG69" s="7"/>
    </row>
    <row r="70" spans="1:34" x14ac:dyDescent="0.3">
      <c r="A70" s="9"/>
      <c r="B70" s="9"/>
      <c r="C70" s="9"/>
      <c r="D70" s="4"/>
      <c r="F70" s="26"/>
      <c r="G70" s="26"/>
      <c r="H70" s="26"/>
      <c r="I70" s="26"/>
      <c r="J70" s="26"/>
      <c r="K70" s="7"/>
      <c r="L70" s="7"/>
      <c r="M70" s="7"/>
      <c r="N70" s="7"/>
      <c r="O70" s="7"/>
      <c r="P70" s="7"/>
      <c r="Q70" s="1"/>
      <c r="R70" s="26"/>
      <c r="S70" s="26"/>
      <c r="T70" s="26"/>
      <c r="U70" s="26"/>
      <c r="V70" s="26"/>
      <c r="W70" s="26"/>
      <c r="X70" s="7" t="s">
        <v>66</v>
      </c>
      <c r="Y70" s="26"/>
      <c r="Z70" s="26"/>
      <c r="AA70" s="26"/>
      <c r="AB70" s="26"/>
      <c r="AC70" s="7"/>
      <c r="AD70" s="7"/>
      <c r="AE70" s="7"/>
      <c r="AF70" s="7"/>
      <c r="AG70" s="7"/>
    </row>
    <row r="71" spans="1:34" x14ac:dyDescent="0.3">
      <c r="A71" s="8"/>
      <c r="B71" s="9"/>
      <c r="C71" s="9"/>
      <c r="D71" s="4"/>
      <c r="E71" s="7"/>
      <c r="F71" s="26"/>
      <c r="G71" s="26"/>
      <c r="H71" s="26"/>
      <c r="I71" s="26"/>
      <c r="J71" s="26"/>
      <c r="K71" s="7"/>
      <c r="L71" s="7"/>
      <c r="M71" s="7"/>
      <c r="N71" s="7"/>
      <c r="O71" s="7"/>
      <c r="P71" s="7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7"/>
      <c r="AD71" s="7"/>
      <c r="AE71" s="7"/>
      <c r="AF71" s="7"/>
      <c r="AG71" s="7"/>
    </row>
    <row r="72" spans="1:34" x14ac:dyDescent="0.3">
      <c r="A72" s="9"/>
      <c r="B72" s="9"/>
      <c r="C72" s="9"/>
      <c r="D72" s="4"/>
      <c r="E72" s="7"/>
      <c r="F72" s="26"/>
      <c r="G72" s="26"/>
      <c r="H72" s="26"/>
      <c r="I72" s="26"/>
      <c r="J72" s="26"/>
      <c r="K72" s="7"/>
      <c r="L72" s="7"/>
      <c r="M72" s="7"/>
      <c r="N72" s="7"/>
      <c r="O72" s="7"/>
      <c r="P72" s="7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7"/>
      <c r="AD72" s="7"/>
      <c r="AE72" s="7"/>
      <c r="AF72" s="7"/>
      <c r="AG72" s="7"/>
    </row>
  </sheetData>
  <mergeCells count="29">
    <mergeCell ref="Y10:Z10"/>
    <mergeCell ref="AA10:AB10"/>
    <mergeCell ref="W9:AB9"/>
    <mergeCell ref="AC9:AE9"/>
    <mergeCell ref="AF9:AH9"/>
    <mergeCell ref="AC10:AC11"/>
    <mergeCell ref="AD10:AD11"/>
    <mergeCell ref="AE10:AE11"/>
    <mergeCell ref="AF10:AF11"/>
    <mergeCell ref="AG10:AG11"/>
    <mergeCell ref="AH10:AH11"/>
    <mergeCell ref="Q10:R10"/>
    <mergeCell ref="S10:T10"/>
    <mergeCell ref="U10:V10"/>
    <mergeCell ref="Q9:V9"/>
    <mergeCell ref="W10:X10"/>
    <mergeCell ref="E7:P7"/>
    <mergeCell ref="I10:J10"/>
    <mergeCell ref="E9:J9"/>
    <mergeCell ref="A9:A11"/>
    <mergeCell ref="B9:B11"/>
    <mergeCell ref="C9:C11"/>
    <mergeCell ref="D9:D11"/>
    <mergeCell ref="E10:F10"/>
    <mergeCell ref="G10:H10"/>
    <mergeCell ref="K10:L10"/>
    <mergeCell ref="M10:N10"/>
    <mergeCell ref="O10:P10"/>
    <mergeCell ref="K9:P9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45" fitToWidth="2" fitToHeight="16" orientation="landscape" r:id="rId1"/>
  <headerFooter alignWithMargins="0"/>
  <rowBreaks count="1" manualBreakCount="1">
    <brk id="39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2022-07-21T13:18:49Z</cp:lastPrinted>
  <dcterms:created xsi:type="dcterms:W3CDTF">2002-01-03T07:12:49Z</dcterms:created>
  <dcterms:modified xsi:type="dcterms:W3CDTF">2022-10-07T10:52:12Z</dcterms:modified>
</cp:coreProperties>
</file>