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89365E12-3C70-4CB6-B452-B77DF0BBC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2" r:id="rId1"/>
  </sheets>
  <definedNames>
    <definedName name="_xlnm.Print_Titles" localSheetId="0">'2026'!$9:$11</definedName>
    <definedName name="_xlnm.Print_Area" localSheetId="0">'2026'!$A$1:$R$150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2" l="1"/>
  <c r="N133" i="12" l="1"/>
  <c r="P42" i="12" l="1"/>
  <c r="N88" i="12" l="1"/>
  <c r="N87" i="12"/>
  <c r="N73" i="12"/>
  <c r="N33" i="12" l="1"/>
  <c r="N25" i="12"/>
  <c r="N22" i="12"/>
  <c r="P161" i="12" l="1"/>
  <c r="O161" i="12"/>
  <c r="P160" i="12"/>
  <c r="O160" i="12"/>
  <c r="N160" i="12"/>
  <c r="P159" i="12"/>
  <c r="N159" i="12"/>
  <c r="P157" i="12"/>
  <c r="O157" i="12"/>
  <c r="P156" i="12"/>
  <c r="O156" i="12"/>
  <c r="P155" i="12"/>
  <c r="O155" i="12"/>
  <c r="P154" i="12"/>
  <c r="O154" i="12"/>
  <c r="P153" i="12"/>
  <c r="O153" i="12"/>
  <c r="P152" i="12"/>
  <c r="O152" i="12"/>
  <c r="M146" i="12"/>
  <c r="Q146" i="12" s="1"/>
  <c r="N145" i="12"/>
  <c r="M145" i="12" s="1"/>
  <c r="M144" i="12"/>
  <c r="P143" i="12"/>
  <c r="O143" i="12"/>
  <c r="N143" i="12"/>
  <c r="M142" i="12"/>
  <c r="M141" i="12"/>
  <c r="M140" i="12"/>
  <c r="M139" i="12"/>
  <c r="M138" i="12"/>
  <c r="M137" i="12"/>
  <c r="M136" i="12"/>
  <c r="M135" i="12"/>
  <c r="M134" i="12"/>
  <c r="M133" i="12"/>
  <c r="P132" i="12"/>
  <c r="O132" i="12"/>
  <c r="M131" i="12"/>
  <c r="P130" i="12"/>
  <c r="O130" i="12"/>
  <c r="N130" i="12"/>
  <c r="M129" i="12"/>
  <c r="M128" i="12"/>
  <c r="M127" i="12"/>
  <c r="M126" i="12"/>
  <c r="M125" i="12"/>
  <c r="M124" i="12"/>
  <c r="M123" i="12"/>
  <c r="R123" i="12" s="1"/>
  <c r="M122" i="12"/>
  <c r="M121" i="12"/>
  <c r="M120" i="12"/>
  <c r="M119" i="12"/>
  <c r="M118" i="12"/>
  <c r="P117" i="12"/>
  <c r="O117" i="12"/>
  <c r="M116" i="12"/>
  <c r="P115" i="12"/>
  <c r="O115" i="12"/>
  <c r="N115" i="12"/>
  <c r="M115" i="12" s="1"/>
  <c r="M114" i="12"/>
  <c r="M113" i="12"/>
  <c r="M112" i="12"/>
  <c r="P111" i="12"/>
  <c r="O111" i="12"/>
  <c r="N111" i="12"/>
  <c r="N100" i="12"/>
  <c r="M109" i="12"/>
  <c r="M108" i="12"/>
  <c r="M107" i="12"/>
  <c r="M106" i="12"/>
  <c r="M105" i="12"/>
  <c r="M104" i="12"/>
  <c r="R104" i="12" s="1"/>
  <c r="M103" i="12"/>
  <c r="M102" i="12"/>
  <c r="M101" i="12"/>
  <c r="P100" i="12"/>
  <c r="O100" i="12"/>
  <c r="M99" i="12"/>
  <c r="M98" i="12"/>
  <c r="M97" i="12"/>
  <c r="M96" i="12"/>
  <c r="M95" i="12"/>
  <c r="M94" i="12"/>
  <c r="P93" i="12"/>
  <c r="O93" i="12"/>
  <c r="M92" i="12"/>
  <c r="P91" i="12"/>
  <c r="O91" i="12"/>
  <c r="N91" i="12"/>
  <c r="M90" i="12"/>
  <c r="N89" i="12"/>
  <c r="M89" i="12" s="1"/>
  <c r="M88" i="12"/>
  <c r="M87" i="12"/>
  <c r="M86" i="12"/>
  <c r="P85" i="12"/>
  <c r="O85" i="12"/>
  <c r="M84" i="12"/>
  <c r="P83" i="12"/>
  <c r="O83" i="12"/>
  <c r="M82" i="12"/>
  <c r="P81" i="12"/>
  <c r="O81" i="12"/>
  <c r="N81" i="12"/>
  <c r="M80" i="12"/>
  <c r="M79" i="12"/>
  <c r="M78" i="12"/>
  <c r="M77" i="12"/>
  <c r="P76" i="12"/>
  <c r="O76" i="12"/>
  <c r="N76" i="12"/>
  <c r="M75" i="12"/>
  <c r="M74" i="12"/>
  <c r="M73" i="12"/>
  <c r="N69" i="12"/>
  <c r="M71" i="12"/>
  <c r="M70" i="12"/>
  <c r="P69" i="12"/>
  <c r="O69" i="12"/>
  <c r="N154" i="12"/>
  <c r="M68" i="12"/>
  <c r="M67" i="12"/>
  <c r="P66" i="12"/>
  <c r="O66" i="12"/>
  <c r="M65" i="12"/>
  <c r="M64" i="12"/>
  <c r="M63" i="12"/>
  <c r="M62" i="12"/>
  <c r="N60" i="12"/>
  <c r="P60" i="12"/>
  <c r="O60" i="12"/>
  <c r="M59" i="12"/>
  <c r="M58" i="12"/>
  <c r="P57" i="12"/>
  <c r="O57" i="12"/>
  <c r="N57" i="12"/>
  <c r="M57" i="12" s="1"/>
  <c r="M56" i="12"/>
  <c r="P55" i="12"/>
  <c r="O55" i="12"/>
  <c r="N55" i="12"/>
  <c r="M55" i="12" s="1"/>
  <c r="M54" i="12"/>
  <c r="M53" i="12"/>
  <c r="M52" i="12"/>
  <c r="P51" i="12"/>
  <c r="O51" i="12"/>
  <c r="N51" i="12"/>
  <c r="M50" i="12"/>
  <c r="P49" i="12"/>
  <c r="O49" i="12"/>
  <c r="N49" i="12"/>
  <c r="M48" i="12"/>
  <c r="P47" i="12"/>
  <c r="O47" i="12"/>
  <c r="N47" i="12"/>
  <c r="M46" i="12"/>
  <c r="P45" i="12"/>
  <c r="O45" i="12"/>
  <c r="N45" i="12"/>
  <c r="M44" i="12"/>
  <c r="P43" i="12"/>
  <c r="O43" i="12"/>
  <c r="N43" i="12"/>
  <c r="M42" i="12"/>
  <c r="M41" i="12"/>
  <c r="M40" i="12"/>
  <c r="M39" i="12"/>
  <c r="M38" i="12"/>
  <c r="M37" i="12"/>
  <c r="M36" i="12"/>
  <c r="M35" i="12"/>
  <c r="Q35" i="12" s="1"/>
  <c r="N158" i="12"/>
  <c r="N32" i="12"/>
  <c r="M33" i="12"/>
  <c r="P32" i="12"/>
  <c r="O32" i="12"/>
  <c r="M31" i="12"/>
  <c r="N30" i="12"/>
  <c r="M30" i="12" s="1"/>
  <c r="M29" i="12"/>
  <c r="M28" i="12"/>
  <c r="M27" i="12"/>
  <c r="P26" i="12"/>
  <c r="P19" i="12" s="1"/>
  <c r="O26" i="12"/>
  <c r="O158" i="12" s="1"/>
  <c r="M25" i="12"/>
  <c r="N156" i="12"/>
  <c r="M24" i="12"/>
  <c r="N155" i="12"/>
  <c r="M23" i="12"/>
  <c r="M22" i="12"/>
  <c r="M21" i="12"/>
  <c r="N152" i="12"/>
  <c r="M18" i="12"/>
  <c r="Q18" i="12" s="1"/>
  <c r="M17" i="12"/>
  <c r="P16" i="12"/>
  <c r="O16" i="12"/>
  <c r="M16" i="12" s="1"/>
  <c r="M15" i="12"/>
  <c r="P14" i="12"/>
  <c r="O14" i="12"/>
  <c r="N14" i="12"/>
  <c r="M13" i="12"/>
  <c r="N12" i="12"/>
  <c r="M12" i="12" s="1"/>
  <c r="L161" i="12"/>
  <c r="K161" i="12"/>
  <c r="L160" i="12"/>
  <c r="K160" i="12"/>
  <c r="L159" i="12"/>
  <c r="J159" i="12"/>
  <c r="L157" i="12"/>
  <c r="K157" i="12"/>
  <c r="L156" i="12"/>
  <c r="K156" i="12"/>
  <c r="L155" i="12"/>
  <c r="K155" i="12"/>
  <c r="L154" i="12"/>
  <c r="K154" i="12"/>
  <c r="L153" i="12"/>
  <c r="K153" i="12"/>
  <c r="L152" i="12"/>
  <c r="K152" i="12"/>
  <c r="I146" i="12"/>
  <c r="J145" i="12"/>
  <c r="I145" i="12" s="1"/>
  <c r="Q145" i="12" s="1"/>
  <c r="I144" i="12"/>
  <c r="L143" i="12"/>
  <c r="K143" i="12"/>
  <c r="J143" i="12"/>
  <c r="I142" i="12"/>
  <c r="I141" i="12"/>
  <c r="I140" i="12"/>
  <c r="I139" i="12"/>
  <c r="I138" i="12"/>
  <c r="I137" i="12"/>
  <c r="J136" i="12"/>
  <c r="I136" i="12" s="1"/>
  <c r="I135" i="12"/>
  <c r="J134" i="12"/>
  <c r="I134" i="12" s="1"/>
  <c r="J133" i="12"/>
  <c r="I133" i="12" s="1"/>
  <c r="L132" i="12"/>
  <c r="K132" i="12"/>
  <c r="I131" i="12"/>
  <c r="L130" i="12"/>
  <c r="K130" i="12"/>
  <c r="J130" i="12"/>
  <c r="J129" i="12"/>
  <c r="I129" i="12" s="1"/>
  <c r="I128" i="12"/>
  <c r="J127" i="12"/>
  <c r="I127" i="12" s="1"/>
  <c r="I126" i="12"/>
  <c r="R126" i="12" s="1"/>
  <c r="I125" i="12"/>
  <c r="I124" i="12"/>
  <c r="I123" i="12"/>
  <c r="J122" i="12"/>
  <c r="I122" i="12" s="1"/>
  <c r="J121" i="12"/>
  <c r="I121" i="12" s="1"/>
  <c r="I120" i="12"/>
  <c r="I119" i="12"/>
  <c r="I118" i="12"/>
  <c r="L117" i="12"/>
  <c r="K117" i="12"/>
  <c r="I116" i="12"/>
  <c r="L115" i="12"/>
  <c r="K115" i="12"/>
  <c r="J115" i="12"/>
  <c r="I114" i="12"/>
  <c r="I113" i="12"/>
  <c r="I112" i="12"/>
  <c r="L111" i="12"/>
  <c r="K111" i="12"/>
  <c r="J111" i="12"/>
  <c r="I111" i="12" s="1"/>
  <c r="J110" i="12"/>
  <c r="I110" i="12" s="1"/>
  <c r="I109" i="12"/>
  <c r="I108" i="12"/>
  <c r="J107" i="12"/>
  <c r="I107" i="12" s="1"/>
  <c r="J106" i="12"/>
  <c r="I106" i="12" s="1"/>
  <c r="I105" i="12"/>
  <c r="J104" i="12"/>
  <c r="I104" i="12" s="1"/>
  <c r="J103" i="12"/>
  <c r="I103" i="12" s="1"/>
  <c r="J102" i="12"/>
  <c r="I102" i="12" s="1"/>
  <c r="J101" i="12"/>
  <c r="L100" i="12"/>
  <c r="K100" i="12"/>
  <c r="I99" i="12"/>
  <c r="I98" i="12"/>
  <c r="J97" i="12"/>
  <c r="I97" i="12" s="1"/>
  <c r="I96" i="12"/>
  <c r="I95" i="12"/>
  <c r="J94" i="12"/>
  <c r="I94" i="12" s="1"/>
  <c r="L93" i="12"/>
  <c r="K93" i="12"/>
  <c r="I92" i="12"/>
  <c r="L91" i="12"/>
  <c r="K91" i="12"/>
  <c r="J91" i="12"/>
  <c r="I90" i="12"/>
  <c r="J89" i="12"/>
  <c r="I89" i="12" s="1"/>
  <c r="J88" i="12"/>
  <c r="J87" i="12"/>
  <c r="I87" i="12" s="1"/>
  <c r="K86" i="12"/>
  <c r="K85" i="12" s="1"/>
  <c r="L85" i="12"/>
  <c r="J84" i="12"/>
  <c r="L83" i="12"/>
  <c r="K83" i="12"/>
  <c r="I82" i="12"/>
  <c r="L81" i="12"/>
  <c r="K81" i="12"/>
  <c r="J81" i="12"/>
  <c r="I80" i="12"/>
  <c r="I79" i="12"/>
  <c r="I78" i="12"/>
  <c r="J77" i="12"/>
  <c r="I77" i="12" s="1"/>
  <c r="L76" i="12"/>
  <c r="K76" i="12"/>
  <c r="I75" i="12"/>
  <c r="I74" i="12"/>
  <c r="J73" i="12"/>
  <c r="I73" i="12" s="1"/>
  <c r="J72" i="12"/>
  <c r="I72" i="12" s="1"/>
  <c r="I71" i="12"/>
  <c r="J70" i="12"/>
  <c r="I70" i="12" s="1"/>
  <c r="L69" i="12"/>
  <c r="K69" i="12"/>
  <c r="J68" i="12"/>
  <c r="I68" i="12" s="1"/>
  <c r="I67" i="12"/>
  <c r="L66" i="12"/>
  <c r="K66" i="12"/>
  <c r="J66" i="12"/>
  <c r="I65" i="12"/>
  <c r="I64" i="12"/>
  <c r="I63" i="12"/>
  <c r="J62" i="12"/>
  <c r="I62" i="12" s="1"/>
  <c r="J61" i="12"/>
  <c r="J157" i="12" s="1"/>
  <c r="L60" i="12"/>
  <c r="K60" i="12"/>
  <c r="I59" i="12"/>
  <c r="I58" i="12"/>
  <c r="L57" i="12"/>
  <c r="K57" i="12"/>
  <c r="J57" i="12"/>
  <c r="I57" i="12" s="1"/>
  <c r="I56" i="12"/>
  <c r="L55" i="12"/>
  <c r="K55" i="12"/>
  <c r="J55" i="12"/>
  <c r="I55" i="12" s="1"/>
  <c r="K54" i="12"/>
  <c r="I54" i="12" s="1"/>
  <c r="I53" i="12"/>
  <c r="I52" i="12"/>
  <c r="L51" i="12"/>
  <c r="J51" i="12"/>
  <c r="I50" i="12"/>
  <c r="L49" i="12"/>
  <c r="K49" i="12"/>
  <c r="J49" i="12"/>
  <c r="I48" i="12"/>
  <c r="L47" i="12"/>
  <c r="K47" i="12"/>
  <c r="J47" i="12"/>
  <c r="I47" i="12" s="1"/>
  <c r="I46" i="12"/>
  <c r="L45" i="12"/>
  <c r="K45" i="12"/>
  <c r="J45" i="12"/>
  <c r="I45" i="12" s="1"/>
  <c r="I44" i="12"/>
  <c r="L43" i="12"/>
  <c r="K43" i="12"/>
  <c r="J43" i="12"/>
  <c r="I43" i="12" s="1"/>
  <c r="K42" i="12"/>
  <c r="K159" i="12" s="1"/>
  <c r="I42" i="12"/>
  <c r="K41" i="12"/>
  <c r="I41" i="12" s="1"/>
  <c r="I40" i="12"/>
  <c r="I39" i="12"/>
  <c r="I38" i="12"/>
  <c r="J37" i="12"/>
  <c r="I37" i="12"/>
  <c r="I36" i="12"/>
  <c r="I35" i="12"/>
  <c r="J34" i="12"/>
  <c r="I34" i="12"/>
  <c r="J33" i="12"/>
  <c r="I33" i="12" s="1"/>
  <c r="L32" i="12"/>
  <c r="I31" i="12"/>
  <c r="J30" i="12"/>
  <c r="I30" i="12" s="1"/>
  <c r="I29" i="12"/>
  <c r="I28" i="12"/>
  <c r="I27" i="12"/>
  <c r="L26" i="12"/>
  <c r="L158" i="12" s="1"/>
  <c r="K26" i="12"/>
  <c r="I26" i="12" s="1"/>
  <c r="I25" i="12"/>
  <c r="Q25" i="12" s="1"/>
  <c r="J24" i="12"/>
  <c r="J23" i="12"/>
  <c r="J155" i="12" s="1"/>
  <c r="I22" i="12"/>
  <c r="I21" i="12"/>
  <c r="J20" i="12"/>
  <c r="I20" i="12" s="1"/>
  <c r="K18" i="12"/>
  <c r="I18" i="12" s="1"/>
  <c r="I17" i="12"/>
  <c r="L16" i="12"/>
  <c r="I15" i="12"/>
  <c r="L14" i="12"/>
  <c r="K14" i="12"/>
  <c r="J14" i="12"/>
  <c r="I14" i="12" s="1"/>
  <c r="I13" i="12"/>
  <c r="J12" i="12"/>
  <c r="I12" i="12" s="1"/>
  <c r="J32" i="12" l="1"/>
  <c r="O19" i="12"/>
  <c r="R105" i="12"/>
  <c r="R124" i="12"/>
  <c r="Q137" i="12"/>
  <c r="P158" i="12"/>
  <c r="M26" i="12"/>
  <c r="Q38" i="12"/>
  <c r="R48" i="12"/>
  <c r="R52" i="12"/>
  <c r="Q63" i="12"/>
  <c r="R92" i="12"/>
  <c r="R99" i="12"/>
  <c r="R106" i="12"/>
  <c r="Q138" i="12"/>
  <c r="Q144" i="12"/>
  <c r="R39" i="12"/>
  <c r="Q53" i="12"/>
  <c r="R64" i="12"/>
  <c r="R87" i="12"/>
  <c r="Q139" i="12"/>
  <c r="R33" i="12"/>
  <c r="M45" i="12"/>
  <c r="R54" i="12"/>
  <c r="R58" i="12"/>
  <c r="R65" i="12"/>
  <c r="Q140" i="12"/>
  <c r="R146" i="12"/>
  <c r="I66" i="12"/>
  <c r="J132" i="12"/>
  <c r="I132" i="12" s="1"/>
  <c r="R27" i="12"/>
  <c r="Q55" i="12"/>
  <c r="R59" i="12"/>
  <c r="Q71" i="12"/>
  <c r="Q77" i="12"/>
  <c r="Q94" i="12"/>
  <c r="Q109" i="12"/>
  <c r="Q128" i="12"/>
  <c r="Q133" i="12"/>
  <c r="R140" i="12"/>
  <c r="I23" i="12"/>
  <c r="I91" i="12"/>
  <c r="Q42" i="12"/>
  <c r="Q46" i="12"/>
  <c r="Q50" i="12"/>
  <c r="Q78" i="12"/>
  <c r="R90" i="12"/>
  <c r="Q95" i="12"/>
  <c r="Q102" i="12"/>
  <c r="R129" i="12"/>
  <c r="Q134" i="12"/>
  <c r="R80" i="12"/>
  <c r="I143" i="12"/>
  <c r="Q143" i="12" s="1"/>
  <c r="R17" i="12"/>
  <c r="R29" i="12"/>
  <c r="Q79" i="12"/>
  <c r="R96" i="12"/>
  <c r="M143" i="12"/>
  <c r="R50" i="12"/>
  <c r="R102" i="12"/>
  <c r="Q129" i="12"/>
  <c r="R138" i="12"/>
  <c r="Q97" i="12"/>
  <c r="Q82" i="12"/>
  <c r="R13" i="12"/>
  <c r="Q52" i="12"/>
  <c r="R133" i="12"/>
  <c r="R21" i="12"/>
  <c r="Q125" i="12"/>
  <c r="I81" i="12"/>
  <c r="R22" i="12"/>
  <c r="R40" i="12"/>
  <c r="M47" i="12"/>
  <c r="R47" i="12" s="1"/>
  <c r="Q54" i="12"/>
  <c r="R107" i="12"/>
  <c r="R135" i="12"/>
  <c r="R145" i="12"/>
  <c r="M14" i="12"/>
  <c r="R31" i="12"/>
  <c r="R41" i="12"/>
  <c r="Q70" i="12"/>
  <c r="Q80" i="12"/>
  <c r="R97" i="12"/>
  <c r="Q108" i="12"/>
  <c r="Q116" i="12"/>
  <c r="Q127" i="12"/>
  <c r="Q136" i="12"/>
  <c r="R46" i="12"/>
  <c r="Q126" i="12"/>
  <c r="Q118" i="12"/>
  <c r="Q65" i="12"/>
  <c r="M130" i="12"/>
  <c r="R118" i="12"/>
  <c r="Q44" i="12"/>
  <c r="R75" i="12"/>
  <c r="R120" i="12"/>
  <c r="Q141" i="12"/>
  <c r="Q107" i="12"/>
  <c r="Q17" i="12"/>
  <c r="R116" i="12"/>
  <c r="R38" i="12"/>
  <c r="Q62" i="12"/>
  <c r="M32" i="12"/>
  <c r="R82" i="12"/>
  <c r="K19" i="12"/>
  <c r="I86" i="12"/>
  <c r="I158" i="12" s="1"/>
  <c r="R18" i="12"/>
  <c r="R35" i="12"/>
  <c r="M76" i="12"/>
  <c r="Q92" i="12"/>
  <c r="R112" i="12"/>
  <c r="Q121" i="12"/>
  <c r="Q131" i="12"/>
  <c r="R142" i="12"/>
  <c r="Q104" i="12"/>
  <c r="Q13" i="12"/>
  <c r="R109" i="12"/>
  <c r="Q73" i="12"/>
  <c r="Q124" i="12"/>
  <c r="Q56" i="12"/>
  <c r="M91" i="12"/>
  <c r="R91" i="12" s="1"/>
  <c r="R119" i="12"/>
  <c r="R36" i="12"/>
  <c r="Q45" i="12"/>
  <c r="R67" i="12"/>
  <c r="Q103" i="12"/>
  <c r="R113" i="12"/>
  <c r="R122" i="12"/>
  <c r="R143" i="12"/>
  <c r="R108" i="12"/>
  <c r="J156" i="12"/>
  <c r="R98" i="12"/>
  <c r="I49" i="12"/>
  <c r="M69" i="12"/>
  <c r="R125" i="12"/>
  <c r="J161" i="12"/>
  <c r="R25" i="12"/>
  <c r="R74" i="12"/>
  <c r="Q119" i="12"/>
  <c r="I115" i="12"/>
  <c r="Q115" i="12" s="1"/>
  <c r="Q27" i="12"/>
  <c r="R37" i="12"/>
  <c r="Q58" i="12"/>
  <c r="R68" i="12"/>
  <c r="R114" i="12"/>
  <c r="Q123" i="12"/>
  <c r="Q98" i="12"/>
  <c r="R141" i="12"/>
  <c r="R144" i="12"/>
  <c r="Q142" i="12"/>
  <c r="R139" i="12"/>
  <c r="R137" i="12"/>
  <c r="R136" i="12"/>
  <c r="R134" i="12"/>
  <c r="Q135" i="12"/>
  <c r="R131" i="12"/>
  <c r="R128" i="12"/>
  <c r="R127" i="12"/>
  <c r="R121" i="12"/>
  <c r="Q122" i="12"/>
  <c r="Q120" i="12"/>
  <c r="Q113" i="12"/>
  <c r="Q114" i="12"/>
  <c r="M111" i="12"/>
  <c r="Q112" i="12"/>
  <c r="M100" i="12"/>
  <c r="Q106" i="12"/>
  <c r="Q105" i="12"/>
  <c r="R103" i="12"/>
  <c r="Q99" i="12"/>
  <c r="Q96" i="12"/>
  <c r="R95" i="12"/>
  <c r="R94" i="12"/>
  <c r="R89" i="12"/>
  <c r="Q89" i="12"/>
  <c r="Q90" i="12"/>
  <c r="Q87" i="12"/>
  <c r="M81" i="12"/>
  <c r="R79" i="12"/>
  <c r="R78" i="12"/>
  <c r="R77" i="12"/>
  <c r="Q75" i="12"/>
  <c r="Q74" i="12"/>
  <c r="R73" i="12"/>
  <c r="R71" i="12"/>
  <c r="R70" i="12"/>
  <c r="Q68" i="12"/>
  <c r="Q67" i="12"/>
  <c r="M60" i="12"/>
  <c r="Q64" i="12"/>
  <c r="R63" i="12"/>
  <c r="R62" i="12"/>
  <c r="Q57" i="12"/>
  <c r="R57" i="12"/>
  <c r="Q59" i="12"/>
  <c r="R56" i="12"/>
  <c r="M160" i="12"/>
  <c r="R55" i="12"/>
  <c r="M51" i="12"/>
  <c r="R53" i="12"/>
  <c r="M49" i="12"/>
  <c r="Q48" i="12"/>
  <c r="R45" i="12"/>
  <c r="R44" i="12"/>
  <c r="M43" i="12"/>
  <c r="R42" i="12"/>
  <c r="Q41" i="12"/>
  <c r="Q40" i="12"/>
  <c r="Q39" i="12"/>
  <c r="P163" i="12"/>
  <c r="P148" i="12"/>
  <c r="Q37" i="12"/>
  <c r="Q36" i="12"/>
  <c r="Q33" i="12"/>
  <c r="R30" i="12"/>
  <c r="Q30" i="12"/>
  <c r="Q31" i="12"/>
  <c r="M155" i="12"/>
  <c r="Q23" i="12"/>
  <c r="Q22" i="12"/>
  <c r="R23" i="12"/>
  <c r="Q29" i="12"/>
  <c r="Q21" i="12"/>
  <c r="Q28" i="12"/>
  <c r="M159" i="12"/>
  <c r="R28" i="12"/>
  <c r="Q14" i="12"/>
  <c r="R14" i="12"/>
  <c r="O148" i="12"/>
  <c r="R15" i="12"/>
  <c r="Q15" i="12"/>
  <c r="R12" i="12"/>
  <c r="Q12" i="12"/>
  <c r="M154" i="12"/>
  <c r="M156" i="12"/>
  <c r="M161" i="12"/>
  <c r="N117" i="12"/>
  <c r="M117" i="12" s="1"/>
  <c r="M20" i="12"/>
  <c r="M34" i="12"/>
  <c r="M61" i="12"/>
  <c r="M157" i="12" s="1"/>
  <c r="N66" i="12"/>
  <c r="M66" i="12" s="1"/>
  <c r="N85" i="12"/>
  <c r="M85" i="12" s="1"/>
  <c r="M110" i="12"/>
  <c r="N132" i="12"/>
  <c r="M132" i="12" s="1"/>
  <c r="O159" i="12"/>
  <c r="O163" i="12" s="1"/>
  <c r="N153" i="12"/>
  <c r="N157" i="12"/>
  <c r="N161" i="12"/>
  <c r="N83" i="12"/>
  <c r="M83" i="12" s="1"/>
  <c r="N93" i="12"/>
  <c r="M93" i="12" s="1"/>
  <c r="N19" i="12"/>
  <c r="M19" i="12" s="1"/>
  <c r="M72" i="12"/>
  <c r="I152" i="12"/>
  <c r="K32" i="12"/>
  <c r="I32" i="12" s="1"/>
  <c r="I51" i="12"/>
  <c r="J83" i="12"/>
  <c r="I83" i="12" s="1"/>
  <c r="J85" i="12"/>
  <c r="I85" i="12" s="1"/>
  <c r="J93" i="12"/>
  <c r="I93" i="12" s="1"/>
  <c r="J152" i="12"/>
  <c r="I159" i="12"/>
  <c r="K51" i="12"/>
  <c r="I61" i="12"/>
  <c r="I157" i="12" s="1"/>
  <c r="I130" i="12"/>
  <c r="J153" i="12"/>
  <c r="I155" i="12"/>
  <c r="I24" i="12"/>
  <c r="I156" i="12" s="1"/>
  <c r="J158" i="12"/>
  <c r="J154" i="12"/>
  <c r="I154" i="12"/>
  <c r="L163" i="12"/>
  <c r="J19" i="12"/>
  <c r="J60" i="12"/>
  <c r="I60" i="12" s="1"/>
  <c r="I84" i="12"/>
  <c r="I161" i="12" s="1"/>
  <c r="J160" i="12"/>
  <c r="J76" i="12"/>
  <c r="I76" i="12" s="1"/>
  <c r="J100" i="12"/>
  <c r="I100" i="12" s="1"/>
  <c r="K158" i="12"/>
  <c r="K163" i="12" s="1"/>
  <c r="K16" i="12"/>
  <c r="I16" i="12" s="1"/>
  <c r="L19" i="12"/>
  <c r="L148" i="12" s="1"/>
  <c r="L164" i="12" s="1"/>
  <c r="J69" i="12"/>
  <c r="I69" i="12" s="1"/>
  <c r="I88" i="12"/>
  <c r="I160" i="12" s="1"/>
  <c r="J117" i="12"/>
  <c r="I117" i="12" s="1"/>
  <c r="I101" i="12"/>
  <c r="I153" i="12" s="1"/>
  <c r="R26" i="12" l="1"/>
  <c r="Q26" i="12"/>
  <c r="R76" i="12"/>
  <c r="Q159" i="12"/>
  <c r="R115" i="12"/>
  <c r="Q69" i="12"/>
  <c r="Q51" i="12"/>
  <c r="Q47" i="12"/>
  <c r="Q32" i="12"/>
  <c r="R101" i="12"/>
  <c r="Q76" i="12"/>
  <c r="Q88" i="12"/>
  <c r="R51" i="12"/>
  <c r="Q84" i="12"/>
  <c r="R32" i="12"/>
  <c r="Q130" i="12"/>
  <c r="Q24" i="12"/>
  <c r="R86" i="12"/>
  <c r="Q101" i="12"/>
  <c r="R84" i="12"/>
  <c r="Q155" i="12"/>
  <c r="Q160" i="12"/>
  <c r="R88" i="12"/>
  <c r="Q91" i="12"/>
  <c r="I19" i="12"/>
  <c r="I148" i="12" s="1"/>
  <c r="R16" i="12"/>
  <c r="R69" i="12"/>
  <c r="Q16" i="12"/>
  <c r="R130" i="12"/>
  <c r="R24" i="12"/>
  <c r="Q86" i="12"/>
  <c r="R132" i="12"/>
  <c r="Q132" i="12"/>
  <c r="R117" i="12"/>
  <c r="Q117" i="12"/>
  <c r="Q111" i="12"/>
  <c r="R111" i="12"/>
  <c r="M153" i="12"/>
  <c r="Q110" i="12"/>
  <c r="R110" i="12"/>
  <c r="R100" i="12"/>
  <c r="Q100" i="12"/>
  <c r="Q93" i="12"/>
  <c r="R93" i="12"/>
  <c r="Q85" i="12"/>
  <c r="R85" i="12"/>
  <c r="R83" i="12"/>
  <c r="Q83" i="12"/>
  <c r="R81" i="12"/>
  <c r="Q81" i="12"/>
  <c r="Q72" i="12"/>
  <c r="R72" i="12"/>
  <c r="R66" i="12"/>
  <c r="Q66" i="12"/>
  <c r="R60" i="12"/>
  <c r="Q60" i="12"/>
  <c r="R61" i="12"/>
  <c r="Q61" i="12"/>
  <c r="N163" i="12"/>
  <c r="R160" i="12"/>
  <c r="Q49" i="12"/>
  <c r="R49" i="12"/>
  <c r="Q43" i="12"/>
  <c r="R43" i="12"/>
  <c r="M158" i="12"/>
  <c r="Q158" i="12" s="1"/>
  <c r="Q34" i="12"/>
  <c r="R34" i="12"/>
  <c r="R155" i="12"/>
  <c r="Q161" i="12"/>
  <c r="R161" i="12"/>
  <c r="Q157" i="12"/>
  <c r="R157" i="12"/>
  <c r="R154" i="12"/>
  <c r="Q154" i="12"/>
  <c r="M148" i="12"/>
  <c r="Q19" i="12"/>
  <c r="R19" i="12"/>
  <c r="R159" i="12"/>
  <c r="Q156" i="12"/>
  <c r="R156" i="12"/>
  <c r="M152" i="12"/>
  <c r="Q152" i="12" s="1"/>
  <c r="R20" i="12"/>
  <c r="Q20" i="12"/>
  <c r="N148" i="12"/>
  <c r="J163" i="12"/>
  <c r="I163" i="12"/>
  <c r="K148" i="12"/>
  <c r="K164" i="12" s="1"/>
  <c r="J148" i="12"/>
  <c r="J164" i="12" s="1"/>
  <c r="R153" i="12" l="1"/>
  <c r="R148" i="12"/>
  <c r="I164" i="12"/>
  <c r="Q153" i="12"/>
  <c r="R158" i="12"/>
  <c r="M163" i="12"/>
  <c r="R163" i="12" s="1"/>
  <c r="Q148" i="12"/>
  <c r="R152" i="12"/>
  <c r="Q163" i="12" l="1"/>
</calcChain>
</file>

<file path=xl/sharedStrings.xml><?xml version="1.0" encoding="utf-8"?>
<sst xmlns="http://schemas.openxmlformats.org/spreadsheetml/2006/main" count="791" uniqueCount="343">
  <si>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</si>
  <si>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</si>
  <si>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</si>
  <si>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міської програми</t>
  </si>
  <si>
    <t>Дата і номер документа, яким затверджено міську програму</t>
  </si>
  <si>
    <t xml:space="preserve">%  виконання </t>
  </si>
  <si>
    <t>Загальний фонд</t>
  </si>
  <si>
    <t>Спеціальний фонд</t>
  </si>
  <si>
    <t>відхилення, грн</t>
  </si>
  <si>
    <t>усього</t>
  </si>
  <si>
    <t>у тому числі бюджет розвитку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</si>
  <si>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</si>
  <si>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</si>
  <si>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</si>
  <si>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</si>
  <si>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</si>
  <si>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</si>
  <si>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</si>
  <si>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</si>
  <si>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</si>
  <si>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</si>
  <si>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</si>
  <si>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</si>
  <si>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</si>
  <si>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</si>
  <si>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здоров’я</t>
  </si>
  <si>
    <t>0213242</t>
  </si>
  <si>
    <t>3242</t>
  </si>
  <si>
    <t>1090</t>
  </si>
  <si>
    <t>0217640</t>
  </si>
  <si>
    <t>7640</t>
  </si>
  <si>
    <t>0470</t>
  </si>
  <si>
    <t>Заходи з енергозбереження</t>
  </si>
  <si>
    <t>0218220</t>
  </si>
  <si>
    <t>0380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</si>
  <si>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</si>
  <si>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</si>
  <si>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</si>
  <si>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</si>
  <si>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</si>
  <si>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</si>
  <si>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</si>
  <si>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</si>
  <si>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</si>
  <si>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</si>
  <si>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</si>
  <si>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</si>
  <si>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</si>
  <si>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</si>
  <si>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0611022</t>
  </si>
  <si>
    <t>1022</t>
  </si>
  <si>
    <t>0922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</si>
  <si>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</si>
  <si>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</si>
  <si>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</si>
  <si>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</si>
  <si>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</si>
  <si>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 xml:space="preserve">Інші заходи у сфері соціального захисту і соціального забезпечення </t>
  </si>
  <si>
    <t>Міська програма соціального захисту ветеранів педагогічної праці</t>
  </si>
  <si>
    <t>09.01.2006р. 
№ 511-IV 
(зі змінами)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</si>
  <si>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</si>
  <si>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</si>
  <si>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</si>
  <si>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Управління соціальної політики Чорноморської міської ради Одеського району Одеської області</t>
  </si>
  <si>
    <t>1030</t>
  </si>
  <si>
    <t>0813032</t>
  </si>
  <si>
    <t>3032</t>
  </si>
  <si>
    <t>Надання пільг окремим категоріям громадян з оплати послуг зв'язку</t>
  </si>
  <si>
    <t>0813121</t>
  </si>
  <si>
    <t>3121</t>
  </si>
  <si>
    <t xml:space="preserve">Утримання та забезпечення діяльності центрів соціальних служб 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</si>
  <si>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</si>
  <si>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</si>
  <si>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</si>
  <si>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</si>
  <si>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</si>
  <si>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</si>
  <si>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</si>
  <si>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</si>
  <si>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</si>
  <si>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</si>
  <si>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</si>
  <si>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</si>
  <si>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</si>
  <si>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0813230</t>
  </si>
  <si>
    <t>3230</t>
  </si>
  <si>
    <t>1070</t>
  </si>
  <si>
    <t>0813242</t>
  </si>
  <si>
    <t>0913112</t>
  </si>
  <si>
    <t>3112</t>
  </si>
  <si>
    <t>Заходи державної політики з питань дітей та їх соціального захисту</t>
  </si>
  <si>
    <t>Відділ культури Чорноморської міської ради Одеського району Одеської області</t>
  </si>
  <si>
    <t>0180</t>
  </si>
  <si>
    <t>0960</t>
  </si>
  <si>
    <t>Надання спеціалізованої освіти мистецькими школами</t>
  </si>
  <si>
    <t>1013140</t>
  </si>
  <si>
    <t>1014030</t>
  </si>
  <si>
    <t>0824</t>
  </si>
  <si>
    <t>Забезпечення діяльності бібліотек</t>
  </si>
  <si>
    <t>1014040</t>
  </si>
  <si>
    <t>Забезпечення діяльності музеїв і виставок</t>
  </si>
  <si>
    <t>1014060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</si>
  <si>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</si>
  <si>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</si>
  <si>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1014082</t>
  </si>
  <si>
    <t>0829</t>
  </si>
  <si>
    <t>Інші заходи в галузі культури і мистецтва</t>
  </si>
  <si>
    <t>Відділ молоді та спорту Чорноморської міської ради Одеського району Одеської області</t>
  </si>
  <si>
    <t>1113133</t>
  </si>
  <si>
    <t>3133</t>
  </si>
  <si>
    <t>Інші заходи та заклади молодіжної політики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</si>
  <si>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</si>
  <si>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</si>
  <si>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</si>
  <si>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</si>
  <si>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</si>
  <si>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</si>
  <si>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</si>
  <si>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</si>
  <si>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</si>
  <si>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</si>
  <si>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0610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</si>
  <si>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</si>
  <si>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</si>
  <si>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</si>
  <si>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</si>
  <si>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</si>
  <si>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</si>
  <si>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</si>
  <si>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пов'язана з експлуатацією об'єктів житлово - комунального господарства</t>
  </si>
  <si>
    <t>1216030</t>
  </si>
  <si>
    <t>6030</t>
  </si>
  <si>
    <t>Організація благоустрою  населених пунктів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</si>
  <si>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</si>
  <si>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</si>
  <si>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</si>
  <si>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</si>
  <si>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</si>
  <si>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</si>
  <si>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</si>
  <si>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</si>
  <si>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1217693</t>
  </si>
  <si>
    <t>7693</t>
  </si>
  <si>
    <t>Інші заходи, пов'язані в економічною діяльністю</t>
  </si>
  <si>
    <t>3117693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</si>
  <si>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</si>
  <si>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</si>
  <si>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</si>
  <si>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</si>
  <si>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09.01.2006р. 
№ 511-IV
(зі змінами)</t>
  </si>
  <si>
    <t>УСЬОГО ЗА ПРОГРАМАМИ</t>
  </si>
  <si>
    <t>Начальник фінансового управління</t>
  </si>
  <si>
    <t>Ольга ЯКОВЕНКО</t>
  </si>
  <si>
    <t>Додаток 6</t>
  </si>
  <si>
    <t>0216030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</si>
  <si>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</si>
  <si>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23.12.2024р.
№ 741-VIII
(зі змінами)</t>
  </si>
  <si>
    <t>0217520</t>
  </si>
  <si>
    <t>7520</t>
  </si>
  <si>
    <t>0460</t>
  </si>
  <si>
    <t>Реалізація Національної програми інформатизації</t>
  </si>
  <si>
    <t xml:space="preserve">Міська цільова програма інформатизації Чорноморської міської ради Одеської області на 2024-2026 роки </t>
  </si>
  <si>
    <t>08.08.2024р.
 №649-VIII
(зі змінами)</t>
  </si>
  <si>
    <t>0218110</t>
  </si>
  <si>
    <t>0218340</t>
  </si>
  <si>
    <t>8340</t>
  </si>
  <si>
    <t>0540</t>
  </si>
  <si>
    <t>Природоохоронні заходи за рахунок цільових фондів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</si>
  <si>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</si>
  <si>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12.04.2024р.
 №562-VIII
(зі змінами)</t>
  </si>
  <si>
    <t>0611070</t>
  </si>
  <si>
    <t>Надання позашкільної освіти закладами позашкільної освіти, заходи із позашкільної роботи з дітьми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</si>
  <si>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</si>
  <si>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</si>
  <si>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</si>
  <si>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</si>
  <si>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</si>
  <si>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</si>
  <si>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</si>
  <si>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</si>
  <si>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</si>
  <si>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</si>
  <si>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</si>
  <si>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</si>
  <si>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</si>
  <si>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0813140</t>
  </si>
  <si>
    <t>0817520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</si>
  <si>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</si>
  <si>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 xml:space="preserve">23.12.2024р.  
№ 735-VIII </t>
  </si>
  <si>
    <t>0917520</t>
  </si>
  <si>
    <t>1017520</t>
  </si>
  <si>
    <t>1117520</t>
  </si>
  <si>
    <t>1216011</t>
  </si>
  <si>
    <t>0640</t>
  </si>
  <si>
    <t>1217520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</si>
  <si>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</si>
  <si>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</si>
  <si>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1518110</t>
  </si>
  <si>
    <t>3116090</t>
  </si>
  <si>
    <t>Інша діяльність у сфері житлово-комунального господарства</t>
  </si>
  <si>
    <t>08.08.2024р.
 №649-VIII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</si>
  <si>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</si>
  <si>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 xml:space="preserve">до рішення </t>
  </si>
  <si>
    <t>Чорноморської міської ради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</si>
  <si>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</si>
  <si>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головного розпорядника коштів міського бюджету / відповідального виконавця</t>
  </si>
  <si>
    <t>Усього</t>
  </si>
  <si>
    <t>4.1.</t>
  </si>
  <si>
    <t>4.2.</t>
  </si>
  <si>
    <t>Управління освіти Чорноморської міської ради Одеського району Одеської області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</si>
  <si>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</si>
  <si>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</si>
  <si>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</si>
  <si>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</si>
  <si>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Управління капітального будівництва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</si>
  <si>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</si>
  <si>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</si>
  <si>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</si>
  <si>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</si>
  <si>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</si>
  <si>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6011</t>
  </si>
  <si>
    <t>1216013</t>
  </si>
  <si>
    <t>6013</t>
  </si>
  <si>
    <t>Забезпечення діяльності водопровідно-каналізаційного господарства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</si>
  <si>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</si>
  <si>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</si>
  <si>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</si>
  <si>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 xml:space="preserve"> Заходи з енергозбереження</t>
  </si>
  <si>
    <t>1516091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</si>
  <si>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</si>
  <si>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</si>
  <si>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0217351</t>
  </si>
  <si>
    <t>7351</t>
  </si>
  <si>
    <t>0443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</si>
  <si>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</si>
  <si>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</si>
  <si>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11.04.2025р.
№ 818-VIII
(зі змінами)</t>
  </si>
  <si>
    <t>3117130</t>
  </si>
  <si>
    <t>7130</t>
  </si>
  <si>
    <t>0421</t>
  </si>
  <si>
    <t>Здійснення заходів із землеустрою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</si>
  <si>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</si>
  <si>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05.12.2025р. 
№ 980-VIII</t>
  </si>
  <si>
    <t>05.12.2025
№980-VIII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</si>
  <si>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</si>
  <si>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986-VIII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</si>
  <si>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</si>
  <si>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05.12.2025р. 
№ 987-VIII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</si>
  <si>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</si>
  <si>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</si>
  <si>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"Молодь Чорноморської міської територіальної громади" на 2026-2028 роки</t>
  </si>
  <si>
    <t>24.12.2025
№ 999-VIII</t>
  </si>
  <si>
    <t>24.12.2025         № 999-VIII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</si>
  <si>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</si>
  <si>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1000-VIII</t>
  </si>
  <si>
    <t>Розвиток спортивної інфраструктури</t>
  </si>
  <si>
    <t>1117691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</si>
  <si>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</si>
  <si>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24.12.2025         № 1001-VIII</t>
  </si>
  <si>
    <t>0813191</t>
  </si>
  <si>
    <t>3191</t>
  </si>
  <si>
    <t>Інші видатки на соціальний захист ветеранів війни та праці</t>
  </si>
  <si>
    <t>Міська цільова програма "Здоров’я населення Чорноморської  міської територіальної громади на 2026-2030 роки"</t>
  </si>
  <si>
    <t>24.12.2025         № 1003-VIII
(зі змінами)</t>
  </si>
  <si>
    <t>Міська цільова програма "Здоров’я населення Чорноморської  міської територіальної громади на 2026 - 2030 роки"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</si>
  <si>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</si>
  <si>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</si>
  <si>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</si>
  <si>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</si>
  <si>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24.12.2025
№ 1006-VIII
(зі змінами)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</si>
  <si>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</si>
  <si>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</si>
  <si>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</si>
  <si>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</si>
  <si>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24.12.2025         № 1007-VIII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</si>
  <si>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</si>
  <si>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24.12.2025         № 1008-VIII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</si>
  <si>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</si>
  <si>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24.12.2025         № 1009-VIII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</si>
  <si>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</si>
  <si>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</si>
  <si>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24.12.2025         № 1011-VIII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</si>
  <si>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</si>
  <si>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24.12.2025         № 1012-VIII</t>
  </si>
  <si>
    <t>Міська цільова програма розвитку культури та мистецтва Чорноморської міської територіальної громади на 2026-2030 роки</t>
  </si>
  <si>
    <t>06.02.2026
№ 1029-VIII</t>
  </si>
  <si>
    <t>Інші заходи та заклади у сфері соціального захисту і соціального забезпечення</t>
  </si>
  <si>
    <t>Міська цільова програма розвитку освіти Чорноморської міської територіальної громади на 2026-2030 роки</t>
  </si>
  <si>
    <t>06.02.2026
№ 1032-VIII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</si>
  <si>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</si>
  <si>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</si>
  <si>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</si>
  <si>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</si>
  <si>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</si>
  <si>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</si>
  <si>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</si>
  <si>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</si>
  <si>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Міська цільова програма відпочинку та оздоровлення дітей Чорноморської міської територіальної громади на 2026-2028 роки</t>
  </si>
  <si>
    <t>06.02.2026
№ 1034-VIII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</si>
  <si>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</si>
  <si>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06.02.2026
№ 1035-VIII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</si>
  <si>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</si>
  <si>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</si>
  <si>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06.02.2026
№ 1036-VIII</t>
  </si>
  <si>
    <t>95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</si>
  <si>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</si>
  <si>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</si>
  <si>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</si>
  <si>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</si>
  <si>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06.02.2026
№ 1037-VIII</t>
  </si>
  <si>
    <t>96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</si>
  <si>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</si>
  <si>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1042-VIII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</si>
  <si>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</si>
  <si>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0818110</t>
  </si>
  <si>
    <t>1018110</t>
  </si>
  <si>
    <t>1218110</t>
  </si>
  <si>
    <t>1511300</t>
  </si>
  <si>
    <t>1512171</t>
  </si>
  <si>
    <t>1517691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</si>
  <si>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</si>
  <si>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06.02.2026
№ 1043-VIII</t>
  </si>
  <si>
    <t>Інша діяльність, пов'язана з експлуатацією об'єктів житлово-комунального господарства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</si>
  <si>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</si>
  <si>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13.03.2026
№ 1061-VIII</t>
  </si>
  <si>
    <t>0217610</t>
  </si>
  <si>
    <t>0411</t>
  </si>
  <si>
    <t>Сприяння розвитку малого та середнього підприємництва</t>
  </si>
  <si>
    <t>ВИКОНКОМ</t>
  </si>
  <si>
    <t>УПРАВЛІННЯ ОСВІТИ</t>
  </si>
  <si>
    <t>УСП</t>
  </si>
  <si>
    <t>ССД</t>
  </si>
  <si>
    <t>ВІДДІЛ КУЛЬТУРИ</t>
  </si>
  <si>
    <t>ВМС</t>
  </si>
  <si>
    <t>ВКГБ</t>
  </si>
  <si>
    <t>УКБ</t>
  </si>
  <si>
    <t>УКВЗВ</t>
  </si>
  <si>
    <t>ФІНУПРАВЛІННЯ</t>
  </si>
  <si>
    <t>РАЗОМ</t>
  </si>
  <si>
    <t xml:space="preserve">Звіт про витрати бюджету Чорноморської міської територіальної громади  на реалізацію міських програм за 1 квартал  2026 року </t>
  </si>
  <si>
    <t>Затверджено розписом на звітний рік з урахуванням змін, грн</t>
  </si>
  <si>
    <t>Виконано за звітний період, грн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</si>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</sst>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4" fillId="0" borderId="0"/>
    <xf numFmtId="0" fontId="15" fillId="0" borderId="0"/>
    <xf numFmtId="0" fontId="1" fillId="0" borderId="0"/>
  </cellStyleXfs>
  <cellXfs count="85">
    <xf numFmtId="0" fontId="0" fillId="0" borderId="0" xfId="0"/>
    <xf numFmtId="0" fontId="1" fillId="2" borderId="0" xfId="7" applyFill="1" applyAlignment="1">
      <alignment horizontal="center"/>
    </xf>
    <xf numFmtId="0" fontId="1" fillId="2" borderId="0" xfId="7" applyFill="1" applyAlignment="1">
      <alignment horizontal="center" vertical="center"/>
    </xf>
    <xf numFmtId="0" fontId="1" fillId="2" borderId="0" xfId="7" applyFill="1" applyAlignment="1">
      <alignment horizontal="left"/>
    </xf>
    <xf numFmtId="0" fontId="1" fillId="2" borderId="0" xfId="7" applyFill="1"/>
    <xf numFmtId="0" fontId="9" fillId="2" borderId="4" xfId="1" applyFont="1" applyFill="1" applyBorder="1" applyAlignment="1">
      <alignment horizontal="center" wrapText="1"/>
    </xf>
    <xf numFmtId="16" fontId="9" fillId="2" borderId="4" xfId="1" applyNumberFormat="1" applyFont="1" applyFill="1" applyBorder="1" applyAlignment="1">
      <alignment horizontal="center" vertical="center" wrapText="1"/>
    </xf>
    <xf numFmtId="4" fontId="2" fillId="2" borderId="4" xfId="7" applyNumberFormat="1" applyFont="1" applyFill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49" fontId="3" fillId="2" borderId="4" xfId="7" applyNumberFormat="1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4" fontId="3" fillId="2" borderId="4" xfId="7" applyNumberFormat="1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49" fontId="6" fillId="2" borderId="4" xfId="7" applyNumberFormat="1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left" vertical="center" wrapText="1"/>
    </xf>
    <xf numFmtId="0" fontId="3" fillId="2" borderId="4" xfId="7" quotePrefix="1" applyFont="1" applyFill="1" applyBorder="1" applyAlignment="1">
      <alignment horizontal="left" vertical="center" wrapText="1"/>
    </xf>
    <xf numFmtId="14" fontId="2" fillId="2" borderId="4" xfId="7" applyNumberFormat="1" applyFont="1" applyFill="1" applyBorder="1" applyAlignment="1">
      <alignment horizontal="center" vertical="center" wrapText="1"/>
    </xf>
    <xf numFmtId="14" fontId="3" fillId="2" borderId="4" xfId="7" applyNumberFormat="1" applyFont="1" applyFill="1" applyBorder="1" applyAlignment="1">
      <alignment horizontal="center" vertical="center" wrapText="1"/>
    </xf>
    <xf numFmtId="0" fontId="3" fillId="2" borderId="4" xfId="7" quotePrefix="1" applyFont="1" applyFill="1" applyBorder="1" applyAlignment="1">
      <alignment vertical="center" wrapText="1"/>
    </xf>
    <xf numFmtId="0" fontId="6" fillId="2" borderId="4" xfId="7" applyFont="1" applyFill="1" applyBorder="1" applyAlignment="1">
      <alignment horizontal="center" vertical="center" wrapText="1"/>
    </xf>
    <xf numFmtId="4" fontId="5" fillId="2" borderId="4" xfId="7" applyNumberFormat="1" applyFont="1" applyFill="1" applyBorder="1" applyAlignment="1">
      <alignment horizontal="center" vertical="center"/>
    </xf>
    <xf numFmtId="0" fontId="5" fillId="2" borderId="0" xfId="7" applyFont="1" applyFill="1" applyAlignment="1">
      <alignment horizontal="center" vertical="center"/>
    </xf>
    <xf numFmtId="0" fontId="5" fillId="2" borderId="0" xfId="7" applyFont="1" applyFill="1" applyAlignment="1">
      <alignment horizontal="left" vertical="center"/>
    </xf>
    <xf numFmtId="4" fontId="5" fillId="2" borderId="0" xfId="7" applyNumberFormat="1" applyFont="1" applyFill="1" applyAlignment="1">
      <alignment horizontal="center" vertical="center"/>
    </xf>
    <xf numFmtId="0" fontId="4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center"/>
    </xf>
    <xf numFmtId="0" fontId="3" fillId="2" borderId="0" xfId="7" applyFont="1" applyFill="1" applyAlignment="1">
      <alignment horizontal="left"/>
    </xf>
    <xf numFmtId="0" fontId="3" fillId="2" borderId="0" xfId="7" applyFont="1" applyFill="1" applyAlignment="1">
      <alignment horizontal="left" vertical="center" wrapText="1"/>
    </xf>
    <xf numFmtId="0" fontId="3" fillId="2" borderId="0" xfId="7" applyFont="1" applyFill="1"/>
    <xf numFmtId="4" fontId="12" fillId="2" borderId="0" xfId="7" applyNumberFormat="1" applyFont="1" applyFill="1" applyAlignment="1">
      <alignment horizontal="center" vertical="center"/>
    </xf>
    <xf numFmtId="4" fontId="1" fillId="2" borderId="0" xfId="7" applyNumberFormat="1" applyFill="1" applyAlignment="1">
      <alignment horizontal="center" vertical="center"/>
    </xf>
    <xf numFmtId="0" fontId="1" fillId="2" borderId="4" xfId="7" applyFill="1" applyBorder="1" applyAlignment="1">
      <alignment horizontal="center" vertical="center"/>
    </xf>
    <xf numFmtId="164" fontId="2" fillId="2" borderId="4" xfId="7" applyNumberFormat="1" applyFont="1" applyFill="1" applyBorder="1" applyAlignment="1">
      <alignment horizontal="center" vertical="center"/>
    </xf>
    <xf numFmtId="0" fontId="4" fillId="2" borderId="4" xfId="7" applyFont="1" applyFill="1" applyBorder="1" applyAlignment="1">
      <alignment horizontal="right"/>
    </xf>
    <xf numFmtId="0" fontId="4" fillId="2" borderId="4" xfId="7" applyFont="1" applyFill="1" applyBorder="1" applyAlignment="1">
      <alignment horizontal="center" vertical="center"/>
    </xf>
    <xf numFmtId="4" fontId="4" fillId="2" borderId="4" xfId="7" applyNumberFormat="1" applyFont="1" applyFill="1" applyBorder="1" applyAlignment="1">
      <alignment horizontal="center" vertical="center"/>
    </xf>
    <xf numFmtId="164" fontId="5" fillId="2" borderId="4" xfId="7" applyNumberFormat="1" applyFont="1" applyFill="1" applyBorder="1" applyAlignment="1">
      <alignment horizontal="center" vertical="center"/>
    </xf>
    <xf numFmtId="0" fontId="4" fillId="2" borderId="4" xfId="7" applyFont="1" applyFill="1" applyBorder="1" applyAlignment="1">
      <alignment horizontal="left"/>
    </xf>
    <xf numFmtId="164" fontId="4" fillId="2" borderId="4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0" fontId="2" fillId="2" borderId="5" xfId="7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2" fillId="2" borderId="4" xfId="7" applyFont="1" applyFill="1" applyBorder="1" applyAlignment="1">
      <alignment horizontal="center" vertical="center" wrapText="1"/>
    </xf>
    <xf numFmtId="0" fontId="2" fillId="2" borderId="4" xfId="7" quotePrefix="1" applyFont="1" applyFill="1" applyBorder="1" applyAlignment="1">
      <alignment horizontal="center" vertical="center" wrapText="1"/>
    </xf>
    <xf numFmtId="0" fontId="7" fillId="2" borderId="4" xfId="1" applyFill="1" applyBorder="1" applyAlignment="1">
      <alignment horizontal="center" vertical="center"/>
    </xf>
    <xf numFmtId="0" fontId="2" fillId="2" borderId="4" xfId="7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left" vertical="center" wrapText="1"/>
    </xf>
    <xf numFmtId="49" fontId="3" fillId="2" borderId="4" xfId="4" applyNumberFormat="1" applyFont="1" applyFill="1" applyBorder="1" applyAlignment="1">
      <alignment horizontal="center" vertical="center" wrapText="1"/>
    </xf>
    <xf numFmtId="0" fontId="3" fillId="2" borderId="4" xfId="7" quotePrefix="1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/>
    </xf>
    <xf numFmtId="0" fontId="3" fillId="2" borderId="4" xfId="7" applyFont="1" applyFill="1" applyBorder="1" applyAlignment="1">
      <alignment horizontal="center" vertical="center"/>
    </xf>
    <xf numFmtId="3" fontId="2" fillId="2" borderId="4" xfId="7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3" fontId="3" fillId="2" borderId="4" xfId="7" applyNumberFormat="1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4" xfId="6" applyFont="1" applyFill="1" applyBorder="1" applyAlignment="1">
      <alignment vertical="center" wrapText="1"/>
    </xf>
    <xf numFmtId="0" fontId="11" fillId="2" borderId="4" xfId="7" applyFont="1" applyFill="1" applyBorder="1" applyAlignment="1">
      <alignment vertical="center" wrapText="1"/>
    </xf>
    <xf numFmtId="0" fontId="6" fillId="2" borderId="4" xfId="7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4" fontId="3" fillId="2" borderId="0" xfId="7" applyNumberFormat="1" applyFont="1" applyFill="1"/>
    <xf numFmtId="4" fontId="1" fillId="2" borderId="0" xfId="7" applyNumberFormat="1" applyFill="1"/>
    <xf numFmtId="0" fontId="16" fillId="2" borderId="0" xfId="7" applyFont="1" applyFill="1"/>
    <xf numFmtId="0" fontId="3" fillId="2" borderId="0" xfId="1" applyFont="1" applyFill="1" applyAlignment="1">
      <alignment horizontal="left" vertical="center"/>
    </xf>
    <xf numFmtId="0" fontId="9" fillId="2" borderId="4" xfId="1" applyFont="1" applyFill="1" applyBorder="1" applyAlignment="1">
      <alignment horizontal="center" vertical="center" wrapText="1"/>
    </xf>
    <xf numFmtId="0" fontId="3" fillId="2" borderId="0" xfId="7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2" fillId="2" borderId="2" xfId="7" applyFont="1" applyFill="1" applyBorder="1" applyAlignment="1">
      <alignment horizontal="center" vertical="center" wrapText="1"/>
    </xf>
    <xf numFmtId="0" fontId="2" fillId="2" borderId="5" xfId="7" applyFont="1" applyFill="1" applyBorder="1" applyAlignment="1">
      <alignment horizontal="center" vertical="center" wrapText="1"/>
    </xf>
    <xf numFmtId="0" fontId="2" fillId="2" borderId="6" xfId="7" applyFont="1" applyFill="1" applyBorder="1" applyAlignment="1">
      <alignment horizontal="center" vertical="center" wrapText="1"/>
    </xf>
    <xf numFmtId="0" fontId="2" fillId="2" borderId="4" xfId="7" applyFont="1" applyFill="1" applyBorder="1" applyAlignment="1">
      <alignment horizontal="center" vertical="center" wrapText="1"/>
    </xf>
    <xf numFmtId="0" fontId="2" fillId="2" borderId="4" xfId="7" quotePrefix="1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8">
    <cellStyle name="Звичайний" xfId="0" builtinId="0"/>
    <cellStyle name="Звичайний 2" xfId="7" xr:uid="{00000000-0005-0000-0000-000001000000}"/>
    <cellStyle name="Обычный 11 2" xfId="4" xr:uid="{00000000-0005-0000-0000-000002000000}"/>
    <cellStyle name="Обычный 17 5 6" xfId="5" xr:uid="{00000000-0005-0000-0000-000003000000}"/>
    <cellStyle name="Обычный 2" xfId="2" xr:uid="{00000000-0005-0000-0000-000004000000}"/>
    <cellStyle name="Обычный 3" xfId="3" xr:uid="{00000000-0005-0000-0000-000005000000}"/>
    <cellStyle name="Обычный 3 2" xfId="1" xr:uid="{00000000-0005-0000-0000-000006000000}"/>
    <cellStyle name="Обычный_дод 3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0"/>
  <sheetViews>
    <sheetView showZeros="0" tabSelected="1" view="pageBreakPreview" topLeftCell="H1" zoomScale="80" zoomScaleNormal="80" zoomScaleSheetLayoutView="80" workbookViewId="0">
      <pane ySplit="10" topLeftCell="A20" activePane="bottomLeft" state="frozen"/>
      <selection pane="bottomLeft" activeCell="P4" sqref="P4:R4"/>
    </sheetView>
  </sheetViews>
  <sheetFormatPr defaultColWidth="9.109375" defaultRowHeight="14.4" x14ac:dyDescent="0.3"/>
  <cols>
    <col min="1" max="1" width="10.5546875" style="1" customWidth="1"/>
    <col min="2" max="2" width="9.33203125" style="2" hidden="1" customWidth="1"/>
    <col min="3" max="3" width="12.33203125" style="2" customWidth="1"/>
    <col min="4" max="4" width="12" style="1" customWidth="1"/>
    <col min="5" max="5" width="40.33203125" style="3" customWidth="1"/>
    <col min="6" max="6" width="38" style="3" customWidth="1"/>
    <col min="7" max="7" width="52.33203125" style="3" customWidth="1"/>
    <col min="8" max="8" width="16.6640625" style="2" customWidth="1"/>
    <col min="9" max="9" width="19" style="2" customWidth="1"/>
    <col min="10" max="10" width="19.33203125" style="2" customWidth="1"/>
    <col min="11" max="11" width="19.6640625" style="2" customWidth="1"/>
    <col min="12" max="12" width="20.109375" style="2" customWidth="1"/>
    <col min="13" max="13" width="17.88671875" style="4" customWidth="1"/>
    <col min="14" max="16" width="18" style="4" bestFit="1" customWidth="1"/>
    <col min="17" max="17" width="9.88671875" style="4" bestFit="1" customWidth="1"/>
    <col min="18" max="18" width="20.33203125" style="4" customWidth="1"/>
    <col min="19" max="16384" width="9.109375" style="4"/>
  </cols>
  <sheetData>
    <row r="1" spans="1:18" ht="15.6" x14ac:dyDescent="0.3">
      <c r="J1" s="71"/>
      <c r="K1" s="71"/>
      <c r="L1" s="71"/>
      <c r="P1" s="71" t="s">
        <v>153</v>
      </c>
      <c r="Q1" s="71"/>
      <c r="R1" s="71"/>
    </row>
    <row r="2" spans="1:18" ht="15.6" x14ac:dyDescent="0.3">
      <c r="J2" s="71"/>
      <c r="K2" s="71"/>
      <c r="L2" s="71"/>
      <c r="P2" s="71" t="s">
        <v>202</v>
      </c>
      <c r="Q2" s="71"/>
      <c r="R2" s="71"/>
    </row>
    <row r="3" spans="1:18" ht="15.6" x14ac:dyDescent="0.3">
      <c r="J3" s="71"/>
      <c r="K3" s="71"/>
      <c r="L3" s="71"/>
      <c r="P3" s="71" t="s">
        <v>203</v>
      </c>
      <c r="Q3" s="71"/>
      <c r="R3" s="71"/>
    </row>
    <row r="4" spans="1:18" ht="15.6" x14ac:dyDescent="0.3">
      <c r="J4" s="72"/>
      <c r="K4" s="72"/>
      <c r="L4" s="72"/>
      <c r="P4" s="69" t="s">
        <v>342</v>
      </c>
      <c r="Q4" s="69"/>
      <c r="R4" s="69"/>
    </row>
    <row r="6" spans="1:18" ht="15.6" customHeight="1" x14ac:dyDescent="0.3">
      <c r="A6" s="84" t="s">
        <v>339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ht="15.6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8" x14ac:dyDescent="0.3">
      <c r="A8" s="70" t="s">
        <v>0</v>
      </c>
      <c r="B8" s="48"/>
      <c r="C8" s="70" t="s">
        <v>1</v>
      </c>
      <c r="D8" s="70" t="s">
        <v>2</v>
      </c>
      <c r="E8" s="70" t="s">
        <v>204</v>
      </c>
      <c r="F8" s="70" t="s">
        <v>205</v>
      </c>
      <c r="G8" s="70" t="s">
        <v>3</v>
      </c>
      <c r="H8" s="70" t="s">
        <v>4</v>
      </c>
      <c r="I8" s="80" t="s">
        <v>340</v>
      </c>
      <c r="J8" s="80"/>
      <c r="K8" s="80"/>
      <c r="L8" s="80"/>
      <c r="M8" s="80" t="s">
        <v>341</v>
      </c>
      <c r="N8" s="80"/>
      <c r="O8" s="80"/>
      <c r="P8" s="80"/>
      <c r="Q8" s="81" t="s">
        <v>5</v>
      </c>
      <c r="R8" s="81"/>
    </row>
    <row r="9" spans="1:18" x14ac:dyDescent="0.3">
      <c r="A9" s="70"/>
      <c r="B9" s="45"/>
      <c r="C9" s="70"/>
      <c r="D9" s="70"/>
      <c r="E9" s="70"/>
      <c r="F9" s="70"/>
      <c r="G9" s="70"/>
      <c r="H9" s="70"/>
      <c r="I9" s="79" t="s">
        <v>206</v>
      </c>
      <c r="J9" s="79" t="s">
        <v>6</v>
      </c>
      <c r="K9" s="79" t="s">
        <v>7</v>
      </c>
      <c r="L9" s="79"/>
      <c r="M9" s="79" t="s">
        <v>206</v>
      </c>
      <c r="N9" s="79" t="s">
        <v>6</v>
      </c>
      <c r="O9" s="79" t="s">
        <v>7</v>
      </c>
      <c r="P9" s="79"/>
      <c r="Q9" s="82" t="s">
        <v>5</v>
      </c>
      <c r="R9" s="82" t="s">
        <v>8</v>
      </c>
    </row>
    <row r="10" spans="1:18" ht="26.4" x14ac:dyDescent="0.3">
      <c r="A10" s="70"/>
      <c r="B10" s="45"/>
      <c r="C10" s="70"/>
      <c r="D10" s="70"/>
      <c r="E10" s="70"/>
      <c r="F10" s="70"/>
      <c r="G10" s="70"/>
      <c r="H10" s="70"/>
      <c r="I10" s="79"/>
      <c r="J10" s="79"/>
      <c r="K10" s="42" t="s">
        <v>9</v>
      </c>
      <c r="L10" s="42" t="s">
        <v>10</v>
      </c>
      <c r="M10" s="79"/>
      <c r="N10" s="79"/>
      <c r="O10" s="42" t="s">
        <v>9</v>
      </c>
      <c r="P10" s="42" t="s">
        <v>10</v>
      </c>
      <c r="Q10" s="83"/>
      <c r="R10" s="83"/>
    </row>
    <row r="11" spans="1:18" s="2" customFormat="1" x14ac:dyDescent="0.25">
      <c r="A11" s="5">
        <v>1</v>
      </c>
      <c r="B11" s="45"/>
      <c r="C11" s="45">
        <v>2</v>
      </c>
      <c r="D11" s="5">
        <v>3</v>
      </c>
      <c r="E11" s="6" t="s">
        <v>207</v>
      </c>
      <c r="F11" s="45" t="s">
        <v>208</v>
      </c>
      <c r="G11" s="45">
        <v>5</v>
      </c>
      <c r="H11" s="45">
        <v>6</v>
      </c>
      <c r="I11" s="42">
        <v>7</v>
      </c>
      <c r="J11" s="42">
        <v>8</v>
      </c>
      <c r="K11" s="42">
        <v>9</v>
      </c>
      <c r="L11" s="42">
        <v>10</v>
      </c>
      <c r="M11" s="42">
        <v>11</v>
      </c>
      <c r="N11" s="42">
        <v>12</v>
      </c>
      <c r="O11" s="42">
        <v>13</v>
      </c>
      <c r="P11" s="42">
        <v>14</v>
      </c>
      <c r="Q11" s="32">
        <v>15</v>
      </c>
      <c r="R11" s="32">
        <v>16</v>
      </c>
    </row>
    <row r="12" spans="1:18" s="8" customFormat="1" ht="46.8" x14ac:dyDescent="0.3">
      <c r="A12" s="46">
        <v>1</v>
      </c>
      <c r="B12" s="43">
        <v>1</v>
      </c>
      <c r="C12" s="73" t="s">
        <v>58</v>
      </c>
      <c r="D12" s="74"/>
      <c r="E12" s="74"/>
      <c r="F12" s="74"/>
      <c r="G12" s="75"/>
      <c r="H12" s="46" t="s">
        <v>149</v>
      </c>
      <c r="I12" s="7">
        <f>J12+K12</f>
        <v>366700</v>
      </c>
      <c r="J12" s="7">
        <f>J13</f>
        <v>366700</v>
      </c>
      <c r="K12" s="7"/>
      <c r="L12" s="7"/>
      <c r="M12" s="7">
        <f>N12+O12</f>
        <v>71883.850000000006</v>
      </c>
      <c r="N12" s="7">
        <f>N13</f>
        <v>71883.850000000006</v>
      </c>
      <c r="O12" s="7"/>
      <c r="P12" s="7"/>
      <c r="Q12" s="33">
        <f>M12/I12</f>
        <v>0.19602904281428962</v>
      </c>
      <c r="R12" s="7">
        <f>M12-I12</f>
        <v>-294816.15000000002</v>
      </c>
    </row>
    <row r="13" spans="1:18" s="13" customFormat="1" ht="46.8" x14ac:dyDescent="0.3">
      <c r="A13" s="9" t="s">
        <v>56</v>
      </c>
      <c r="B13" s="10">
        <v>1</v>
      </c>
      <c r="C13" s="10">
        <v>3242</v>
      </c>
      <c r="D13" s="10">
        <v>1090</v>
      </c>
      <c r="E13" s="11" t="s">
        <v>57</v>
      </c>
      <c r="F13" s="11" t="s">
        <v>209</v>
      </c>
      <c r="G13" s="11" t="s">
        <v>58</v>
      </c>
      <c r="H13" s="10" t="s">
        <v>59</v>
      </c>
      <c r="I13" s="12">
        <f>J13+K13</f>
        <v>366700</v>
      </c>
      <c r="J13" s="12">
        <v>366700</v>
      </c>
      <c r="K13" s="12"/>
      <c r="L13" s="12"/>
      <c r="M13" s="12">
        <f>N13+O13</f>
        <v>71883.850000000006</v>
      </c>
      <c r="N13" s="12">
        <v>71883.850000000006</v>
      </c>
      <c r="O13" s="12"/>
      <c r="P13" s="12"/>
      <c r="Q13" s="33">
        <f t="shared" ref="Q13:Q76" si="0">M13/I13</f>
        <v>0.19602904281428962</v>
      </c>
      <c r="R13" s="7">
        <f t="shared" ref="R13:R76" si="1">M13-I13</f>
        <v>-294816.15000000002</v>
      </c>
    </row>
    <row r="14" spans="1:18" s="8" customFormat="1" ht="46.8" x14ac:dyDescent="0.3">
      <c r="A14" s="46">
        <v>2</v>
      </c>
      <c r="B14" s="49">
        <v>20</v>
      </c>
      <c r="C14" s="76" t="s">
        <v>210</v>
      </c>
      <c r="D14" s="76"/>
      <c r="E14" s="76"/>
      <c r="F14" s="76"/>
      <c r="G14" s="76"/>
      <c r="H14" s="46" t="s">
        <v>211</v>
      </c>
      <c r="I14" s="7">
        <f>J14+K14</f>
        <v>8972445</v>
      </c>
      <c r="J14" s="7">
        <f>J15</f>
        <v>0</v>
      </c>
      <c r="K14" s="7">
        <f t="shared" ref="K14:L14" si="2">K15</f>
        <v>8972445</v>
      </c>
      <c r="L14" s="7">
        <f t="shared" si="2"/>
        <v>8972445</v>
      </c>
      <c r="M14" s="7">
        <f>N14+O14</f>
        <v>0</v>
      </c>
      <c r="N14" s="7">
        <f>N15</f>
        <v>0</v>
      </c>
      <c r="O14" s="7">
        <f t="shared" ref="O14:P14" si="3">O15</f>
        <v>0</v>
      </c>
      <c r="P14" s="7">
        <f t="shared" si="3"/>
        <v>0</v>
      </c>
      <c r="Q14" s="33">
        <f t="shared" si="0"/>
        <v>0</v>
      </c>
      <c r="R14" s="7">
        <f t="shared" si="1"/>
        <v>-8972445</v>
      </c>
    </row>
    <row r="15" spans="1:18" s="13" customFormat="1" ht="97.5" customHeight="1" x14ac:dyDescent="0.3">
      <c r="A15" s="9" t="s">
        <v>212</v>
      </c>
      <c r="B15" s="10">
        <v>20</v>
      </c>
      <c r="C15" s="10">
        <v>7330</v>
      </c>
      <c r="D15" s="9" t="s">
        <v>139</v>
      </c>
      <c r="E15" s="11" t="s">
        <v>213</v>
      </c>
      <c r="F15" s="11" t="s">
        <v>214</v>
      </c>
      <c r="G15" s="11" t="s">
        <v>210</v>
      </c>
      <c r="H15" s="10" t="s">
        <v>211</v>
      </c>
      <c r="I15" s="12">
        <f>SUM(J15:K15)</f>
        <v>8972445</v>
      </c>
      <c r="J15" s="12"/>
      <c r="K15" s="12">
        <v>8972445</v>
      </c>
      <c r="L15" s="12">
        <v>8972445</v>
      </c>
      <c r="M15" s="12">
        <f>SUM(N15:O15)</f>
        <v>0</v>
      </c>
      <c r="N15" s="12"/>
      <c r="O15" s="12"/>
      <c r="P15" s="12"/>
      <c r="Q15" s="33">
        <f t="shared" si="0"/>
        <v>0</v>
      </c>
      <c r="R15" s="7">
        <f t="shared" si="1"/>
        <v>-8972445</v>
      </c>
    </row>
    <row r="16" spans="1:18" s="8" customFormat="1" ht="46.8" x14ac:dyDescent="0.3">
      <c r="A16" s="46">
        <v>3</v>
      </c>
      <c r="B16" s="49">
        <v>56</v>
      </c>
      <c r="C16" s="76" t="s">
        <v>168</v>
      </c>
      <c r="D16" s="76"/>
      <c r="E16" s="76"/>
      <c r="F16" s="76"/>
      <c r="G16" s="76"/>
      <c r="H16" s="46" t="s">
        <v>169</v>
      </c>
      <c r="I16" s="7">
        <f>J16+K16</f>
        <v>1189184</v>
      </c>
      <c r="J16" s="7"/>
      <c r="K16" s="7">
        <f>K17+K18</f>
        <v>1189184</v>
      </c>
      <c r="L16" s="7">
        <f>L17+L18</f>
        <v>0</v>
      </c>
      <c r="M16" s="7">
        <f>N16+O16</f>
        <v>0</v>
      </c>
      <c r="N16" s="7"/>
      <c r="O16" s="7">
        <f>O17+O18</f>
        <v>0</v>
      </c>
      <c r="P16" s="7">
        <f>P17+P18</f>
        <v>0</v>
      </c>
      <c r="Q16" s="33">
        <f t="shared" si="0"/>
        <v>0</v>
      </c>
      <c r="R16" s="7">
        <f t="shared" si="1"/>
        <v>-1189184</v>
      </c>
    </row>
    <row r="17" spans="1:18" s="13" customFormat="1" ht="78" x14ac:dyDescent="0.3">
      <c r="A17" s="14" t="s">
        <v>164</v>
      </c>
      <c r="B17" s="50">
        <v>56</v>
      </c>
      <c r="C17" s="14" t="s">
        <v>165</v>
      </c>
      <c r="D17" s="14" t="s">
        <v>166</v>
      </c>
      <c r="E17" s="51" t="s">
        <v>167</v>
      </c>
      <c r="F17" s="51" t="s">
        <v>215</v>
      </c>
      <c r="G17" s="11" t="s">
        <v>168</v>
      </c>
      <c r="H17" s="10" t="s">
        <v>169</v>
      </c>
      <c r="I17" s="12">
        <f>J17+K17</f>
        <v>100000</v>
      </c>
      <c r="J17" s="12"/>
      <c r="K17" s="12">
        <v>100000</v>
      </c>
      <c r="L17" s="12"/>
      <c r="M17" s="12">
        <f>N17+O17</f>
        <v>0</v>
      </c>
      <c r="N17" s="12"/>
      <c r="O17" s="12"/>
      <c r="P17" s="12"/>
      <c r="Q17" s="33">
        <f t="shared" si="0"/>
        <v>0</v>
      </c>
      <c r="R17" s="7">
        <f t="shared" si="1"/>
        <v>-100000</v>
      </c>
    </row>
    <row r="18" spans="1:18" s="13" customFormat="1" ht="78" x14ac:dyDescent="0.3">
      <c r="A18" s="14" t="s">
        <v>216</v>
      </c>
      <c r="B18" s="50">
        <v>56</v>
      </c>
      <c r="C18" s="14" t="s">
        <v>165</v>
      </c>
      <c r="D18" s="14" t="s">
        <v>166</v>
      </c>
      <c r="E18" s="51" t="s">
        <v>167</v>
      </c>
      <c r="F18" s="51" t="s">
        <v>217</v>
      </c>
      <c r="G18" s="11" t="s">
        <v>168</v>
      </c>
      <c r="H18" s="10" t="s">
        <v>169</v>
      </c>
      <c r="I18" s="12">
        <f>J18+K18</f>
        <v>1089184</v>
      </c>
      <c r="J18" s="12"/>
      <c r="K18" s="12">
        <f>650000+439184</f>
        <v>1089184</v>
      </c>
      <c r="L18" s="12"/>
      <c r="M18" s="12">
        <f>N18+O18</f>
        <v>0</v>
      </c>
      <c r="N18" s="12"/>
      <c r="O18" s="12"/>
      <c r="P18" s="12"/>
      <c r="Q18" s="33">
        <f t="shared" si="0"/>
        <v>0</v>
      </c>
      <c r="R18" s="7">
        <f t="shared" si="1"/>
        <v>-1089184</v>
      </c>
    </row>
    <row r="19" spans="1:18" s="8" customFormat="1" ht="46.8" x14ac:dyDescent="0.3">
      <c r="A19" s="46">
        <v>4</v>
      </c>
      <c r="B19" s="49">
        <v>61</v>
      </c>
      <c r="C19" s="73" t="s">
        <v>161</v>
      </c>
      <c r="D19" s="74"/>
      <c r="E19" s="74"/>
      <c r="F19" s="74"/>
      <c r="G19" s="75"/>
      <c r="H19" s="46" t="s">
        <v>162</v>
      </c>
      <c r="I19" s="7">
        <f t="shared" ref="I19:I91" si="4">J19+K19</f>
        <v>5689700</v>
      </c>
      <c r="J19" s="7">
        <f>J20+J21+J22+J23+J24+J25+J26+J27+J28+J29</f>
        <v>5689700</v>
      </c>
      <c r="K19" s="7">
        <f>K20+K21+K22+K23+K24+K25+K26+K27+K28+K29</f>
        <v>0</v>
      </c>
      <c r="L19" s="7">
        <f>L20+L21+L22+L23+L24+L25+L26+L27+L28+L29</f>
        <v>0</v>
      </c>
      <c r="M19" s="7">
        <f t="shared" ref="M19:M27" si="5">N19+O19</f>
        <v>399313.36</v>
      </c>
      <c r="N19" s="7">
        <f>N20+N21+N22+N23+N24+N25+N26+N27+N28+N29</f>
        <v>399313.36</v>
      </c>
      <c r="O19" s="7">
        <f>O20+O21+O22+O23+O24+O25+O26+O27+O28+O29</f>
        <v>0</v>
      </c>
      <c r="P19" s="7">
        <f>P20+P21+P22+P23+P24+P25+P26+P27+P28+P29</f>
        <v>0</v>
      </c>
      <c r="Q19" s="33">
        <f t="shared" si="0"/>
        <v>7.018179517373499E-2</v>
      </c>
      <c r="R19" s="7">
        <f t="shared" si="1"/>
        <v>-5290386.6399999997</v>
      </c>
    </row>
    <row r="20" spans="1:18" s="13" customFormat="1" ht="46.8" x14ac:dyDescent="0.3">
      <c r="A20" s="52" t="s">
        <v>157</v>
      </c>
      <c r="B20" s="20">
        <v>61</v>
      </c>
      <c r="C20" s="14" t="s">
        <v>158</v>
      </c>
      <c r="D20" s="14" t="s">
        <v>159</v>
      </c>
      <c r="E20" s="15" t="s">
        <v>160</v>
      </c>
      <c r="F20" s="51" t="s">
        <v>215</v>
      </c>
      <c r="G20" s="11" t="s">
        <v>161</v>
      </c>
      <c r="H20" s="10" t="s">
        <v>162</v>
      </c>
      <c r="I20" s="12">
        <f t="shared" si="4"/>
        <v>1662400</v>
      </c>
      <c r="J20" s="12">
        <f>1479900+182500</f>
        <v>1662400</v>
      </c>
      <c r="K20" s="12"/>
      <c r="L20" s="12"/>
      <c r="M20" s="12">
        <f t="shared" si="5"/>
        <v>134489.56</v>
      </c>
      <c r="N20" s="12">
        <f>106339.56+225+225+2400+21700+3600</f>
        <v>134489.56</v>
      </c>
      <c r="O20" s="12"/>
      <c r="P20" s="12"/>
      <c r="Q20" s="33">
        <f t="shared" si="0"/>
        <v>8.0900842155919153E-2</v>
      </c>
      <c r="R20" s="7">
        <f t="shared" si="1"/>
        <v>-1527910.44</v>
      </c>
    </row>
    <row r="21" spans="1:18" s="13" customFormat="1" ht="46.8" x14ac:dyDescent="0.3">
      <c r="A21" s="52" t="s">
        <v>184</v>
      </c>
      <c r="B21" s="20">
        <v>61</v>
      </c>
      <c r="C21" s="14" t="s">
        <v>158</v>
      </c>
      <c r="D21" s="14" t="s">
        <v>159</v>
      </c>
      <c r="E21" s="15" t="s">
        <v>160</v>
      </c>
      <c r="F21" s="11" t="s">
        <v>209</v>
      </c>
      <c r="G21" s="11" t="s">
        <v>161</v>
      </c>
      <c r="H21" s="10" t="s">
        <v>162</v>
      </c>
      <c r="I21" s="12">
        <f t="shared" si="4"/>
        <v>1929900</v>
      </c>
      <c r="J21" s="12">
        <v>1929900</v>
      </c>
      <c r="K21" s="12"/>
      <c r="L21" s="12"/>
      <c r="M21" s="12">
        <f t="shared" si="5"/>
        <v>105960</v>
      </c>
      <c r="N21" s="12">
        <v>105960</v>
      </c>
      <c r="O21" s="12"/>
      <c r="P21" s="12"/>
      <c r="Q21" s="33">
        <f t="shared" si="0"/>
        <v>5.4904399191667959E-2</v>
      </c>
      <c r="R21" s="7">
        <f t="shared" si="1"/>
        <v>-1823940</v>
      </c>
    </row>
    <row r="22" spans="1:18" s="13" customFormat="1" ht="46.8" x14ac:dyDescent="0.3">
      <c r="A22" s="14" t="s">
        <v>186</v>
      </c>
      <c r="B22" s="20">
        <v>61</v>
      </c>
      <c r="C22" s="14" t="s">
        <v>158</v>
      </c>
      <c r="D22" s="14" t="s">
        <v>159</v>
      </c>
      <c r="E22" s="15" t="s">
        <v>160</v>
      </c>
      <c r="F22" s="15" t="s">
        <v>63</v>
      </c>
      <c r="G22" s="11" t="s">
        <v>161</v>
      </c>
      <c r="H22" s="10" t="s">
        <v>162</v>
      </c>
      <c r="I22" s="12">
        <f t="shared" si="4"/>
        <v>989300</v>
      </c>
      <c r="J22" s="12">
        <v>989300</v>
      </c>
      <c r="K22" s="12"/>
      <c r="L22" s="12"/>
      <c r="M22" s="12">
        <f t="shared" si="5"/>
        <v>24910</v>
      </c>
      <c r="N22" s="12">
        <f>16960+5700+2250</f>
        <v>24910</v>
      </c>
      <c r="O22" s="12"/>
      <c r="P22" s="12"/>
      <c r="Q22" s="33">
        <f t="shared" si="0"/>
        <v>2.5179419791771959E-2</v>
      </c>
      <c r="R22" s="7">
        <f t="shared" si="1"/>
        <v>-964390</v>
      </c>
    </row>
    <row r="23" spans="1:18" s="13" customFormat="1" ht="46.8" x14ac:dyDescent="0.3">
      <c r="A23" s="14" t="s">
        <v>189</v>
      </c>
      <c r="B23" s="20">
        <v>61</v>
      </c>
      <c r="C23" s="14" t="s">
        <v>158</v>
      </c>
      <c r="D23" s="14" t="s">
        <v>159</v>
      </c>
      <c r="E23" s="15" t="s">
        <v>160</v>
      </c>
      <c r="F23" s="15" t="s">
        <v>218</v>
      </c>
      <c r="G23" s="11" t="s">
        <v>161</v>
      </c>
      <c r="H23" s="10" t="s">
        <v>162</v>
      </c>
      <c r="I23" s="12">
        <f t="shared" si="4"/>
        <v>19000</v>
      </c>
      <c r="J23" s="12">
        <f>9000+10000</f>
        <v>19000</v>
      </c>
      <c r="K23" s="12"/>
      <c r="L23" s="12"/>
      <c r="M23" s="12">
        <f t="shared" si="5"/>
        <v>4334</v>
      </c>
      <c r="N23" s="12">
        <v>4334</v>
      </c>
      <c r="O23" s="12"/>
      <c r="P23" s="12"/>
      <c r="Q23" s="33">
        <f t="shared" si="0"/>
        <v>0.22810526315789473</v>
      </c>
      <c r="R23" s="7">
        <f t="shared" si="1"/>
        <v>-14666</v>
      </c>
    </row>
    <row r="24" spans="1:18" s="13" customFormat="1" ht="46.8" x14ac:dyDescent="0.3">
      <c r="A24" s="14" t="s">
        <v>190</v>
      </c>
      <c r="B24" s="20">
        <v>61</v>
      </c>
      <c r="C24" s="14" t="s">
        <v>158</v>
      </c>
      <c r="D24" s="14" t="s">
        <v>159</v>
      </c>
      <c r="E24" s="15" t="s">
        <v>160</v>
      </c>
      <c r="F24" s="15" t="s">
        <v>91</v>
      </c>
      <c r="G24" s="11" t="s">
        <v>161</v>
      </c>
      <c r="H24" s="10" t="s">
        <v>162</v>
      </c>
      <c r="I24" s="12">
        <f t="shared" si="4"/>
        <v>235000</v>
      </c>
      <c r="J24" s="12">
        <f>205000+30000</f>
        <v>235000</v>
      </c>
      <c r="K24" s="12"/>
      <c r="L24" s="12"/>
      <c r="M24" s="12">
        <f t="shared" si="5"/>
        <v>59715</v>
      </c>
      <c r="N24" s="12">
        <v>59715</v>
      </c>
      <c r="O24" s="12"/>
      <c r="P24" s="12"/>
      <c r="Q24" s="33">
        <f t="shared" si="0"/>
        <v>0.2541063829787234</v>
      </c>
      <c r="R24" s="7">
        <f t="shared" si="1"/>
        <v>-175285</v>
      </c>
    </row>
    <row r="25" spans="1:18" s="13" customFormat="1" ht="46.8" x14ac:dyDescent="0.3">
      <c r="A25" s="14" t="s">
        <v>191</v>
      </c>
      <c r="B25" s="20">
        <v>61</v>
      </c>
      <c r="C25" s="14" t="s">
        <v>158</v>
      </c>
      <c r="D25" s="14" t="s">
        <v>159</v>
      </c>
      <c r="E25" s="15" t="s">
        <v>160</v>
      </c>
      <c r="F25" s="15" t="s">
        <v>107</v>
      </c>
      <c r="G25" s="11" t="s">
        <v>161</v>
      </c>
      <c r="H25" s="10" t="s">
        <v>162</v>
      </c>
      <c r="I25" s="12">
        <f t="shared" si="4"/>
        <v>76600</v>
      </c>
      <c r="J25" s="12">
        <v>76600</v>
      </c>
      <c r="K25" s="12"/>
      <c r="L25" s="12"/>
      <c r="M25" s="12">
        <f t="shared" si="5"/>
        <v>12000</v>
      </c>
      <c r="N25" s="12">
        <f>10200+1800</f>
        <v>12000</v>
      </c>
      <c r="O25" s="12"/>
      <c r="P25" s="12"/>
      <c r="Q25" s="33">
        <f t="shared" si="0"/>
        <v>0.1566579634464752</v>
      </c>
      <c r="R25" s="7">
        <f t="shared" si="1"/>
        <v>-64600</v>
      </c>
    </row>
    <row r="26" spans="1:18" s="13" customFormat="1" ht="62.4" x14ac:dyDescent="0.3">
      <c r="A26" s="14" t="s">
        <v>194</v>
      </c>
      <c r="B26" s="20">
        <v>61</v>
      </c>
      <c r="C26" s="14" t="s">
        <v>158</v>
      </c>
      <c r="D26" s="14" t="s">
        <v>159</v>
      </c>
      <c r="E26" s="15" t="s">
        <v>160</v>
      </c>
      <c r="F26" s="51" t="s">
        <v>217</v>
      </c>
      <c r="G26" s="11" t="s">
        <v>161</v>
      </c>
      <c r="H26" s="10" t="s">
        <v>162</v>
      </c>
      <c r="I26" s="12">
        <f t="shared" si="4"/>
        <v>551800</v>
      </c>
      <c r="J26" s="12">
        <v>551800</v>
      </c>
      <c r="K26" s="12">
        <f>36000-36000</f>
        <v>0</v>
      </c>
      <c r="L26" s="12">
        <f>36000-36000</f>
        <v>0</v>
      </c>
      <c r="M26" s="12">
        <f t="shared" si="5"/>
        <v>0</v>
      </c>
      <c r="N26" s="12"/>
      <c r="O26" s="12">
        <f>36000-36000</f>
        <v>0</v>
      </c>
      <c r="P26" s="12">
        <f>36000-36000</f>
        <v>0</v>
      </c>
      <c r="Q26" s="33">
        <f t="shared" si="0"/>
        <v>0</v>
      </c>
      <c r="R26" s="7">
        <f t="shared" si="1"/>
        <v>-551800</v>
      </c>
    </row>
    <row r="27" spans="1:18" s="13" customFormat="1" ht="62.4" x14ac:dyDescent="0.3">
      <c r="A27" s="10">
        <v>1517520</v>
      </c>
      <c r="B27" s="20">
        <v>61</v>
      </c>
      <c r="C27" s="10">
        <v>7520</v>
      </c>
      <c r="D27" s="10">
        <v>460</v>
      </c>
      <c r="E27" s="15" t="s">
        <v>160</v>
      </c>
      <c r="F27" s="15" t="s">
        <v>214</v>
      </c>
      <c r="G27" s="11" t="s">
        <v>161</v>
      </c>
      <c r="H27" s="10" t="s">
        <v>162</v>
      </c>
      <c r="I27" s="12">
        <f t="shared" si="4"/>
        <v>84000</v>
      </c>
      <c r="J27" s="12">
        <v>84000</v>
      </c>
      <c r="K27" s="12"/>
      <c r="L27" s="12"/>
      <c r="M27" s="12">
        <f t="shared" si="5"/>
        <v>16020</v>
      </c>
      <c r="N27" s="12">
        <v>16020</v>
      </c>
      <c r="O27" s="12"/>
      <c r="P27" s="12"/>
      <c r="Q27" s="33">
        <f t="shared" si="0"/>
        <v>0.19071428571428573</v>
      </c>
      <c r="R27" s="7">
        <f t="shared" si="1"/>
        <v>-67980</v>
      </c>
    </row>
    <row r="28" spans="1:18" s="8" customFormat="1" ht="75.75" customHeight="1" x14ac:dyDescent="0.3">
      <c r="A28" s="10">
        <v>3117520</v>
      </c>
      <c r="B28" s="20">
        <v>61</v>
      </c>
      <c r="C28" s="10">
        <v>7520</v>
      </c>
      <c r="D28" s="10">
        <v>460</v>
      </c>
      <c r="E28" s="15" t="s">
        <v>160</v>
      </c>
      <c r="F28" s="15" t="s">
        <v>219</v>
      </c>
      <c r="G28" s="11" t="s">
        <v>161</v>
      </c>
      <c r="H28" s="10" t="s">
        <v>162</v>
      </c>
      <c r="I28" s="12">
        <f>J28+K28</f>
        <v>23100</v>
      </c>
      <c r="J28" s="12">
        <v>23100</v>
      </c>
      <c r="K28" s="7"/>
      <c r="L28" s="7"/>
      <c r="M28" s="12">
        <f>N28+O28</f>
        <v>0</v>
      </c>
      <c r="N28" s="12"/>
      <c r="O28" s="7"/>
      <c r="P28" s="7"/>
      <c r="Q28" s="33">
        <f t="shared" si="0"/>
        <v>0</v>
      </c>
      <c r="R28" s="7">
        <f t="shared" si="1"/>
        <v>-23100</v>
      </c>
    </row>
    <row r="29" spans="1:18" s="13" customFormat="1" ht="46.8" x14ac:dyDescent="0.3">
      <c r="A29" s="10">
        <v>3717520</v>
      </c>
      <c r="B29" s="20">
        <v>61</v>
      </c>
      <c r="C29" s="10">
        <v>7520</v>
      </c>
      <c r="D29" s="10">
        <v>460</v>
      </c>
      <c r="E29" s="15" t="s">
        <v>160</v>
      </c>
      <c r="F29" s="15" t="s">
        <v>146</v>
      </c>
      <c r="G29" s="11" t="s">
        <v>161</v>
      </c>
      <c r="H29" s="10" t="s">
        <v>200</v>
      </c>
      <c r="I29" s="12">
        <f>J29+K29</f>
        <v>118600</v>
      </c>
      <c r="J29" s="12">
        <v>118600</v>
      </c>
      <c r="K29" s="12"/>
      <c r="L29" s="12"/>
      <c r="M29" s="12">
        <f>N29+O29</f>
        <v>41884.800000000003</v>
      </c>
      <c r="N29" s="12">
        <v>41884.800000000003</v>
      </c>
      <c r="O29" s="12"/>
      <c r="P29" s="12"/>
      <c r="Q29" s="33">
        <f t="shared" si="0"/>
        <v>0.35316020236087692</v>
      </c>
      <c r="R29" s="7">
        <f t="shared" si="1"/>
        <v>-76715.199999999997</v>
      </c>
    </row>
    <row r="30" spans="1:18" s="8" customFormat="1" ht="31.2" x14ac:dyDescent="0.3">
      <c r="A30" s="46">
        <v>5</v>
      </c>
      <c r="B30" s="49">
        <v>65</v>
      </c>
      <c r="C30" s="73" t="s">
        <v>201</v>
      </c>
      <c r="D30" s="74"/>
      <c r="E30" s="74"/>
      <c r="F30" s="74"/>
      <c r="G30" s="75"/>
      <c r="H30" s="46" t="s">
        <v>188</v>
      </c>
      <c r="I30" s="7">
        <f t="shared" si="4"/>
        <v>14400</v>
      </c>
      <c r="J30" s="7">
        <f>J31</f>
        <v>14400</v>
      </c>
      <c r="K30" s="7"/>
      <c r="L30" s="7"/>
      <c r="M30" s="7">
        <f t="shared" ref="M30:M45" si="6">N30+O30</f>
        <v>0</v>
      </c>
      <c r="N30" s="7">
        <f>N31</f>
        <v>0</v>
      </c>
      <c r="O30" s="7"/>
      <c r="P30" s="7"/>
      <c r="Q30" s="33">
        <f t="shared" si="0"/>
        <v>0</v>
      </c>
      <c r="R30" s="7">
        <f t="shared" si="1"/>
        <v>-14400</v>
      </c>
    </row>
    <row r="31" spans="1:18" s="13" customFormat="1" ht="78" x14ac:dyDescent="0.3">
      <c r="A31" s="9" t="s">
        <v>88</v>
      </c>
      <c r="B31" s="53">
        <v>65</v>
      </c>
      <c r="C31" s="10" t="s">
        <v>89</v>
      </c>
      <c r="D31" s="10" t="s">
        <v>54</v>
      </c>
      <c r="E31" s="16" t="s">
        <v>90</v>
      </c>
      <c r="F31" s="15" t="s">
        <v>218</v>
      </c>
      <c r="G31" s="11" t="s">
        <v>187</v>
      </c>
      <c r="H31" s="10" t="s">
        <v>188</v>
      </c>
      <c r="I31" s="12">
        <f t="shared" si="4"/>
        <v>14400</v>
      </c>
      <c r="J31" s="12">
        <v>14400</v>
      </c>
      <c r="K31" s="12"/>
      <c r="L31" s="12"/>
      <c r="M31" s="12">
        <f t="shared" si="6"/>
        <v>0</v>
      </c>
      <c r="N31" s="12"/>
      <c r="O31" s="12"/>
      <c r="P31" s="12"/>
      <c r="Q31" s="33">
        <f t="shared" si="0"/>
        <v>0</v>
      </c>
      <c r="R31" s="7">
        <f t="shared" si="1"/>
        <v>-14400</v>
      </c>
    </row>
    <row r="32" spans="1:18" s="8" customFormat="1" ht="46.8" x14ac:dyDescent="0.3">
      <c r="A32" s="46">
        <v>6</v>
      </c>
      <c r="B32" s="49">
        <v>68</v>
      </c>
      <c r="C32" s="73" t="s">
        <v>155</v>
      </c>
      <c r="D32" s="74"/>
      <c r="E32" s="74"/>
      <c r="F32" s="74"/>
      <c r="G32" s="75"/>
      <c r="H32" s="46" t="s">
        <v>156</v>
      </c>
      <c r="I32" s="7">
        <f t="shared" si="4"/>
        <v>195296649.92000002</v>
      </c>
      <c r="J32" s="7">
        <f>SUM(J33:J42)</f>
        <v>155591036</v>
      </c>
      <c r="K32" s="7">
        <f t="shared" ref="K32:L32" si="7">SUM(K33:K42)</f>
        <v>39705613.920000002</v>
      </c>
      <c r="L32" s="7">
        <f t="shared" si="7"/>
        <v>37450810</v>
      </c>
      <c r="M32" s="7">
        <f t="shared" si="6"/>
        <v>29808990.719999999</v>
      </c>
      <c r="N32" s="7">
        <f>SUM(N33:N42)</f>
        <v>28385436</v>
      </c>
      <c r="O32" s="7">
        <f t="shared" ref="O32:P32" si="8">SUM(O33:O42)</f>
        <v>1423554.72</v>
      </c>
      <c r="P32" s="7">
        <f t="shared" si="8"/>
        <v>1423554.72</v>
      </c>
      <c r="Q32" s="33">
        <f t="shared" si="0"/>
        <v>0.15263441913730086</v>
      </c>
      <c r="R32" s="7">
        <f t="shared" si="1"/>
        <v>-165487659.20000002</v>
      </c>
    </row>
    <row r="33" spans="1:18" s="13" customFormat="1" ht="46.8" x14ac:dyDescent="0.3">
      <c r="A33" s="14" t="s">
        <v>154</v>
      </c>
      <c r="B33" s="50">
        <v>68</v>
      </c>
      <c r="C33" s="14" t="s">
        <v>131</v>
      </c>
      <c r="D33" s="14" t="s">
        <v>125</v>
      </c>
      <c r="E33" s="51" t="s">
        <v>132</v>
      </c>
      <c r="F33" s="51" t="s">
        <v>215</v>
      </c>
      <c r="G33" s="11" t="s">
        <v>155</v>
      </c>
      <c r="H33" s="10" t="s">
        <v>156</v>
      </c>
      <c r="I33" s="12">
        <f t="shared" si="4"/>
        <v>16608700</v>
      </c>
      <c r="J33" s="12">
        <f>16710200-101500</f>
        <v>16608700</v>
      </c>
      <c r="K33" s="12"/>
      <c r="L33" s="12"/>
      <c r="M33" s="12">
        <f t="shared" si="6"/>
        <v>2632249.79</v>
      </c>
      <c r="N33" s="12">
        <f>1639371.99+677688+315189.8</f>
        <v>2632249.79</v>
      </c>
      <c r="O33" s="12"/>
      <c r="P33" s="12"/>
      <c r="Q33" s="33">
        <f t="shared" si="0"/>
        <v>0.15848620241198891</v>
      </c>
      <c r="R33" s="7">
        <f t="shared" si="1"/>
        <v>-13976450.210000001</v>
      </c>
    </row>
    <row r="34" spans="1:18" s="13" customFormat="1" ht="62.4" x14ac:dyDescent="0.3">
      <c r="A34" s="14" t="s">
        <v>192</v>
      </c>
      <c r="B34" s="50">
        <v>68</v>
      </c>
      <c r="C34" s="14" t="s">
        <v>220</v>
      </c>
      <c r="D34" s="14" t="s">
        <v>121</v>
      </c>
      <c r="E34" s="51" t="s">
        <v>122</v>
      </c>
      <c r="F34" s="51" t="s">
        <v>217</v>
      </c>
      <c r="G34" s="11" t="s">
        <v>155</v>
      </c>
      <c r="H34" s="10" t="s">
        <v>156</v>
      </c>
      <c r="I34" s="12">
        <f t="shared" si="4"/>
        <v>924908</v>
      </c>
      <c r="J34" s="12">
        <f>227819+175089+522000</f>
        <v>924908</v>
      </c>
      <c r="K34" s="12"/>
      <c r="L34" s="12"/>
      <c r="M34" s="12">
        <f t="shared" si="6"/>
        <v>0</v>
      </c>
      <c r="N34" s="12"/>
      <c r="O34" s="12"/>
      <c r="P34" s="12"/>
      <c r="Q34" s="33">
        <f t="shared" si="0"/>
        <v>0</v>
      </c>
      <c r="R34" s="7">
        <f t="shared" si="1"/>
        <v>-924908</v>
      </c>
    </row>
    <row r="35" spans="1:18" s="13" customFormat="1" ht="62.4" x14ac:dyDescent="0.3">
      <c r="A35" s="14" t="s">
        <v>221</v>
      </c>
      <c r="B35" s="50">
        <v>68</v>
      </c>
      <c r="C35" s="14" t="s">
        <v>222</v>
      </c>
      <c r="D35" s="14" t="s">
        <v>125</v>
      </c>
      <c r="E35" s="51" t="s">
        <v>223</v>
      </c>
      <c r="F35" s="51" t="s">
        <v>217</v>
      </c>
      <c r="G35" s="11" t="s">
        <v>155</v>
      </c>
      <c r="H35" s="10" t="s">
        <v>156</v>
      </c>
      <c r="I35" s="12">
        <f t="shared" si="4"/>
        <v>4161800</v>
      </c>
      <c r="J35" s="12">
        <v>4161800</v>
      </c>
      <c r="K35" s="12"/>
      <c r="L35" s="12"/>
      <c r="M35" s="12">
        <f t="shared" si="6"/>
        <v>0</v>
      </c>
      <c r="N35" s="12"/>
      <c r="O35" s="12"/>
      <c r="P35" s="12"/>
      <c r="Q35" s="33">
        <f t="shared" si="0"/>
        <v>0</v>
      </c>
      <c r="R35" s="7">
        <f t="shared" si="1"/>
        <v>-4161800</v>
      </c>
    </row>
    <row r="36" spans="1:18" s="13" customFormat="1" ht="62.4" x14ac:dyDescent="0.3">
      <c r="A36" s="14" t="s">
        <v>127</v>
      </c>
      <c r="B36" s="20">
        <v>68</v>
      </c>
      <c r="C36" s="14" t="s">
        <v>128</v>
      </c>
      <c r="D36" s="14" t="s">
        <v>125</v>
      </c>
      <c r="E36" s="15" t="s">
        <v>129</v>
      </c>
      <c r="F36" s="51" t="s">
        <v>217</v>
      </c>
      <c r="G36" s="11" t="s">
        <v>155</v>
      </c>
      <c r="H36" s="10" t="s">
        <v>156</v>
      </c>
      <c r="I36" s="12">
        <f t="shared" si="4"/>
        <v>2440200</v>
      </c>
      <c r="J36" s="12">
        <v>2440200</v>
      </c>
      <c r="K36" s="12"/>
      <c r="L36" s="12"/>
      <c r="M36" s="12">
        <f t="shared" si="6"/>
        <v>235468.72</v>
      </c>
      <c r="N36" s="12">
        <v>235468.72</v>
      </c>
      <c r="O36" s="12"/>
      <c r="P36" s="12"/>
      <c r="Q36" s="33">
        <f t="shared" si="0"/>
        <v>9.6495664289812308E-2</v>
      </c>
      <c r="R36" s="7">
        <f t="shared" si="1"/>
        <v>-2204731.2799999998</v>
      </c>
    </row>
    <row r="37" spans="1:18" s="13" customFormat="1" ht="62.4" x14ac:dyDescent="0.3">
      <c r="A37" s="14" t="s">
        <v>130</v>
      </c>
      <c r="B37" s="50">
        <v>68</v>
      </c>
      <c r="C37" s="14" t="s">
        <v>131</v>
      </c>
      <c r="D37" s="14" t="s">
        <v>125</v>
      </c>
      <c r="E37" s="51" t="s">
        <v>132</v>
      </c>
      <c r="F37" s="51" t="s">
        <v>217</v>
      </c>
      <c r="G37" s="11" t="s">
        <v>155</v>
      </c>
      <c r="H37" s="10" t="s">
        <v>156</v>
      </c>
      <c r="I37" s="12">
        <f t="shared" si="4"/>
        <v>99418232</v>
      </c>
      <c r="J37" s="12">
        <f>95601000+600000+1500000+1000000+387732+329500</f>
        <v>99418232</v>
      </c>
      <c r="K37" s="12"/>
      <c r="L37" s="12"/>
      <c r="M37" s="12">
        <f t="shared" si="6"/>
        <v>16785371.489999998</v>
      </c>
      <c r="N37" s="12">
        <v>16785371.489999998</v>
      </c>
      <c r="O37" s="12"/>
      <c r="P37" s="12"/>
      <c r="Q37" s="33">
        <f t="shared" si="0"/>
        <v>0.16883594842040642</v>
      </c>
      <c r="R37" s="7">
        <f t="shared" si="1"/>
        <v>-82632860.510000005</v>
      </c>
    </row>
    <row r="38" spans="1:18" s="13" customFormat="1" ht="99.75" customHeight="1" x14ac:dyDescent="0.3">
      <c r="A38" s="14" t="s">
        <v>224</v>
      </c>
      <c r="B38" s="50">
        <v>68</v>
      </c>
      <c r="C38" s="14" t="s">
        <v>196</v>
      </c>
      <c r="D38" s="14" t="s">
        <v>193</v>
      </c>
      <c r="E38" s="51" t="s">
        <v>225</v>
      </c>
      <c r="F38" s="51" t="s">
        <v>217</v>
      </c>
      <c r="G38" s="11" t="s">
        <v>155</v>
      </c>
      <c r="H38" s="10" t="s">
        <v>156</v>
      </c>
      <c r="I38" s="12">
        <f t="shared" si="4"/>
        <v>5116500</v>
      </c>
      <c r="J38" s="12"/>
      <c r="K38" s="12">
        <v>5116500</v>
      </c>
      <c r="L38" s="12">
        <v>5116500</v>
      </c>
      <c r="M38" s="12">
        <f t="shared" si="6"/>
        <v>0</v>
      </c>
      <c r="N38" s="12"/>
      <c r="O38" s="12"/>
      <c r="P38" s="12"/>
      <c r="Q38" s="33">
        <f t="shared" si="0"/>
        <v>0</v>
      </c>
      <c r="R38" s="7">
        <f t="shared" si="1"/>
        <v>-5116500</v>
      </c>
    </row>
    <row r="39" spans="1:18" s="13" customFormat="1" ht="62.4" x14ac:dyDescent="0.3">
      <c r="A39" s="14" t="s">
        <v>133</v>
      </c>
      <c r="B39" s="20">
        <v>68</v>
      </c>
      <c r="C39" s="14" t="s">
        <v>134</v>
      </c>
      <c r="D39" s="14" t="s">
        <v>135</v>
      </c>
      <c r="E39" s="15" t="s">
        <v>136</v>
      </c>
      <c r="F39" s="51" t="s">
        <v>217</v>
      </c>
      <c r="G39" s="11" t="s">
        <v>155</v>
      </c>
      <c r="H39" s="10" t="s">
        <v>156</v>
      </c>
      <c r="I39" s="12">
        <f t="shared" si="4"/>
        <v>32000000</v>
      </c>
      <c r="J39" s="12">
        <v>32000000</v>
      </c>
      <c r="K39" s="12"/>
      <c r="L39" s="12"/>
      <c r="M39" s="12">
        <f t="shared" si="6"/>
        <v>8732346</v>
      </c>
      <c r="N39" s="12">
        <v>8732346</v>
      </c>
      <c r="O39" s="12"/>
      <c r="P39" s="12"/>
      <c r="Q39" s="33">
        <f t="shared" si="0"/>
        <v>0.27288581249999999</v>
      </c>
      <c r="R39" s="7">
        <f t="shared" si="1"/>
        <v>-23267654</v>
      </c>
    </row>
    <row r="40" spans="1:18" s="13" customFormat="1" ht="62.4" x14ac:dyDescent="0.3">
      <c r="A40" s="14" t="s">
        <v>226</v>
      </c>
      <c r="B40" s="20">
        <v>68</v>
      </c>
      <c r="C40" s="14" t="s">
        <v>30</v>
      </c>
      <c r="D40" s="14" t="s">
        <v>31</v>
      </c>
      <c r="E40" s="15" t="s">
        <v>227</v>
      </c>
      <c r="F40" s="51" t="s">
        <v>217</v>
      </c>
      <c r="G40" s="11" t="s">
        <v>155</v>
      </c>
      <c r="H40" s="10" t="s">
        <v>156</v>
      </c>
      <c r="I40" s="12">
        <f t="shared" si="4"/>
        <v>37196</v>
      </c>
      <c r="J40" s="12">
        <v>37196</v>
      </c>
      <c r="K40" s="12"/>
      <c r="L40" s="12"/>
      <c r="M40" s="12">
        <f t="shared" si="6"/>
        <v>0</v>
      </c>
      <c r="N40" s="12"/>
      <c r="O40" s="12"/>
      <c r="P40" s="12"/>
      <c r="Q40" s="33">
        <f t="shared" si="0"/>
        <v>0</v>
      </c>
      <c r="R40" s="7">
        <f t="shared" si="1"/>
        <v>-37196</v>
      </c>
    </row>
    <row r="41" spans="1:18" s="13" customFormat="1" ht="177" customHeight="1" x14ac:dyDescent="0.3">
      <c r="A41" s="14" t="s">
        <v>137</v>
      </c>
      <c r="B41" s="20">
        <v>68</v>
      </c>
      <c r="C41" s="14" t="s">
        <v>138</v>
      </c>
      <c r="D41" s="14" t="s">
        <v>139</v>
      </c>
      <c r="E41" s="15" t="s">
        <v>140</v>
      </c>
      <c r="F41" s="51" t="s">
        <v>217</v>
      </c>
      <c r="G41" s="11" t="s">
        <v>155</v>
      </c>
      <c r="H41" s="10" t="s">
        <v>156</v>
      </c>
      <c r="I41" s="12">
        <f t="shared" si="4"/>
        <v>2254803.92</v>
      </c>
      <c r="J41" s="12"/>
      <c r="K41" s="12">
        <f>2254803.92</f>
        <v>2254803.92</v>
      </c>
      <c r="L41" s="12"/>
      <c r="M41" s="12">
        <f t="shared" si="6"/>
        <v>0</v>
      </c>
      <c r="N41" s="12"/>
      <c r="O41" s="12"/>
      <c r="P41" s="12"/>
      <c r="Q41" s="33">
        <f t="shared" si="0"/>
        <v>0</v>
      </c>
      <c r="R41" s="7">
        <f t="shared" si="1"/>
        <v>-2254803.92</v>
      </c>
    </row>
    <row r="42" spans="1:18" s="13" customFormat="1" ht="108.75" customHeight="1" x14ac:dyDescent="0.3">
      <c r="A42" s="14" t="s">
        <v>228</v>
      </c>
      <c r="B42" s="20">
        <v>68</v>
      </c>
      <c r="C42" s="54" t="s">
        <v>196</v>
      </c>
      <c r="D42" s="14" t="s">
        <v>193</v>
      </c>
      <c r="E42" s="51" t="s">
        <v>225</v>
      </c>
      <c r="F42" s="51" t="s">
        <v>214</v>
      </c>
      <c r="G42" s="11" t="s">
        <v>155</v>
      </c>
      <c r="H42" s="10" t="s">
        <v>156</v>
      </c>
      <c r="I42" s="12">
        <f t="shared" si="4"/>
        <v>32334310</v>
      </c>
      <c r="J42" s="12"/>
      <c r="K42" s="12">
        <f>32334310</f>
        <v>32334310</v>
      </c>
      <c r="L42" s="12">
        <v>32334310</v>
      </c>
      <c r="M42" s="12">
        <f t="shared" si="6"/>
        <v>1423554.72</v>
      </c>
      <c r="N42" s="12"/>
      <c r="O42" s="12">
        <v>1423554.72</v>
      </c>
      <c r="P42" s="12">
        <f>O42</f>
        <v>1423554.72</v>
      </c>
      <c r="Q42" s="33">
        <f t="shared" si="0"/>
        <v>4.402613570538539E-2</v>
      </c>
      <c r="R42" s="7">
        <f t="shared" si="1"/>
        <v>-30910755.280000001</v>
      </c>
    </row>
    <row r="43" spans="1:18" s="8" customFormat="1" ht="31.2" x14ac:dyDescent="0.3">
      <c r="A43" s="46">
        <v>7</v>
      </c>
      <c r="B43" s="47">
        <v>73</v>
      </c>
      <c r="C43" s="73" t="s">
        <v>229</v>
      </c>
      <c r="D43" s="74"/>
      <c r="E43" s="74"/>
      <c r="F43" s="74"/>
      <c r="G43" s="75"/>
      <c r="H43" s="46" t="s">
        <v>230</v>
      </c>
      <c r="I43" s="7">
        <f t="shared" si="4"/>
        <v>5980000</v>
      </c>
      <c r="J43" s="7">
        <f>J44</f>
        <v>80000</v>
      </c>
      <c r="K43" s="7">
        <f>K44</f>
        <v>5900000</v>
      </c>
      <c r="L43" s="7">
        <f>L44</f>
        <v>5900000</v>
      </c>
      <c r="M43" s="7">
        <f t="shared" si="6"/>
        <v>0</v>
      </c>
      <c r="N43" s="7">
        <f>N44</f>
        <v>0</v>
      </c>
      <c r="O43" s="7">
        <f>O44</f>
        <v>0</v>
      </c>
      <c r="P43" s="7">
        <f>P44</f>
        <v>0</v>
      </c>
      <c r="Q43" s="33">
        <f t="shared" si="0"/>
        <v>0</v>
      </c>
      <c r="R43" s="7">
        <f t="shared" si="1"/>
        <v>-5980000</v>
      </c>
    </row>
    <row r="44" spans="1:18" s="13" customFormat="1" ht="62.4" x14ac:dyDescent="0.3">
      <c r="A44" s="9" t="s">
        <v>231</v>
      </c>
      <c r="B44" s="53">
        <v>73</v>
      </c>
      <c r="C44" s="9" t="s">
        <v>232</v>
      </c>
      <c r="D44" s="9" t="s">
        <v>233</v>
      </c>
      <c r="E44" s="16" t="s">
        <v>234</v>
      </c>
      <c r="F44" s="51" t="s">
        <v>215</v>
      </c>
      <c r="G44" s="11" t="s">
        <v>229</v>
      </c>
      <c r="H44" s="10" t="s">
        <v>230</v>
      </c>
      <c r="I44" s="12">
        <f t="shared" si="4"/>
        <v>5980000</v>
      </c>
      <c r="J44" s="12">
        <v>80000</v>
      </c>
      <c r="K44" s="12">
        <v>5900000</v>
      </c>
      <c r="L44" s="12">
        <v>5900000</v>
      </c>
      <c r="M44" s="12">
        <f t="shared" si="6"/>
        <v>0</v>
      </c>
      <c r="N44" s="12"/>
      <c r="O44" s="12"/>
      <c r="P44" s="12"/>
      <c r="Q44" s="33">
        <f t="shared" si="0"/>
        <v>0</v>
      </c>
      <c r="R44" s="7">
        <f t="shared" si="1"/>
        <v>-5980000</v>
      </c>
    </row>
    <row r="45" spans="1:18" s="8" customFormat="1" ht="46.8" x14ac:dyDescent="0.3">
      <c r="A45" s="46">
        <v>8</v>
      </c>
      <c r="B45" s="47">
        <v>76</v>
      </c>
      <c r="C45" s="73" t="s">
        <v>235</v>
      </c>
      <c r="D45" s="74"/>
      <c r="E45" s="74"/>
      <c r="F45" s="74"/>
      <c r="G45" s="75"/>
      <c r="H45" s="46" t="s">
        <v>236</v>
      </c>
      <c r="I45" s="7">
        <f t="shared" si="4"/>
        <v>1300000</v>
      </c>
      <c r="J45" s="7">
        <f>J46</f>
        <v>1300000</v>
      </c>
      <c r="K45" s="7">
        <f>K46</f>
        <v>0</v>
      </c>
      <c r="L45" s="7">
        <f>L46</f>
        <v>0</v>
      </c>
      <c r="M45" s="7">
        <f t="shared" si="6"/>
        <v>0</v>
      </c>
      <c r="N45" s="7">
        <f>N46</f>
        <v>0</v>
      </c>
      <c r="O45" s="7">
        <f>O46</f>
        <v>0</v>
      </c>
      <c r="P45" s="7">
        <f>P46</f>
        <v>0</v>
      </c>
      <c r="Q45" s="33">
        <f t="shared" si="0"/>
        <v>0</v>
      </c>
      <c r="R45" s="7">
        <f t="shared" si="1"/>
        <v>-1300000</v>
      </c>
    </row>
    <row r="46" spans="1:18" s="8" customFormat="1" ht="62.4" x14ac:dyDescent="0.3">
      <c r="A46" s="10" t="s">
        <v>237</v>
      </c>
      <c r="B46" s="53">
        <v>76</v>
      </c>
      <c r="C46" s="10" t="s">
        <v>238</v>
      </c>
      <c r="D46" s="10" t="s">
        <v>239</v>
      </c>
      <c r="E46" s="16" t="s">
        <v>240</v>
      </c>
      <c r="F46" s="15" t="s">
        <v>219</v>
      </c>
      <c r="G46" s="11" t="s">
        <v>235</v>
      </c>
      <c r="H46" s="10" t="s">
        <v>236</v>
      </c>
      <c r="I46" s="12">
        <f>J46+K46</f>
        <v>1300000</v>
      </c>
      <c r="J46" s="12">
        <v>1300000</v>
      </c>
      <c r="K46" s="7"/>
      <c r="L46" s="7"/>
      <c r="M46" s="12">
        <f>N46+O46</f>
        <v>0</v>
      </c>
      <c r="N46" s="12"/>
      <c r="O46" s="7"/>
      <c r="P46" s="7"/>
      <c r="Q46" s="33">
        <f t="shared" si="0"/>
        <v>0</v>
      </c>
      <c r="R46" s="7">
        <f t="shared" si="1"/>
        <v>-1300000</v>
      </c>
    </row>
    <row r="47" spans="1:18" s="8" customFormat="1" ht="36" customHeight="1" x14ac:dyDescent="0.3">
      <c r="A47" s="46">
        <v>9</v>
      </c>
      <c r="B47" s="49">
        <v>78</v>
      </c>
      <c r="C47" s="73" t="s">
        <v>241</v>
      </c>
      <c r="D47" s="74"/>
      <c r="E47" s="74"/>
      <c r="F47" s="74"/>
      <c r="G47" s="75"/>
      <c r="H47" s="46" t="s">
        <v>242</v>
      </c>
      <c r="I47" s="7">
        <f t="shared" si="4"/>
        <v>2902400</v>
      </c>
      <c r="J47" s="7">
        <f>J48</f>
        <v>2902400</v>
      </c>
      <c r="K47" s="7">
        <f>K48</f>
        <v>0</v>
      </c>
      <c r="L47" s="7">
        <f>L48</f>
        <v>0</v>
      </c>
      <c r="M47" s="7">
        <f t="shared" ref="M47" si="9">N47+O47</f>
        <v>177685</v>
      </c>
      <c r="N47" s="7">
        <f>N48</f>
        <v>177685</v>
      </c>
      <c r="O47" s="7">
        <f>O48</f>
        <v>0</v>
      </c>
      <c r="P47" s="7">
        <f>P48</f>
        <v>0</v>
      </c>
      <c r="Q47" s="33">
        <f t="shared" si="0"/>
        <v>6.1220024807056232E-2</v>
      </c>
      <c r="R47" s="7">
        <f t="shared" si="1"/>
        <v>-2724715</v>
      </c>
    </row>
    <row r="48" spans="1:18" s="13" customFormat="1" ht="79.5" customHeight="1" x14ac:dyDescent="0.3">
      <c r="A48" s="14" t="s">
        <v>36</v>
      </c>
      <c r="B48" s="50">
        <v>78</v>
      </c>
      <c r="C48" s="14" t="s">
        <v>37</v>
      </c>
      <c r="D48" s="14" t="s">
        <v>34</v>
      </c>
      <c r="E48" s="51" t="s">
        <v>38</v>
      </c>
      <c r="F48" s="51" t="s">
        <v>215</v>
      </c>
      <c r="G48" s="11" t="s">
        <v>241</v>
      </c>
      <c r="H48" s="10" t="s">
        <v>243</v>
      </c>
      <c r="I48" s="12">
        <f>J48+K48</f>
        <v>2902400</v>
      </c>
      <c r="J48" s="12">
        <v>2902400</v>
      </c>
      <c r="K48" s="12"/>
      <c r="L48" s="12"/>
      <c r="M48" s="12">
        <f>N48+O48</f>
        <v>177685</v>
      </c>
      <c r="N48" s="12">
        <v>177685</v>
      </c>
      <c r="O48" s="12"/>
      <c r="P48" s="12"/>
      <c r="Q48" s="33">
        <f t="shared" si="0"/>
        <v>6.1220024807056232E-2</v>
      </c>
      <c r="R48" s="7">
        <f t="shared" si="1"/>
        <v>-2724715</v>
      </c>
    </row>
    <row r="49" spans="1:18" s="8" customFormat="1" ht="36" customHeight="1" x14ac:dyDescent="0.3">
      <c r="A49" s="46">
        <v>10</v>
      </c>
      <c r="B49" s="49">
        <v>80</v>
      </c>
      <c r="C49" s="73" t="s">
        <v>244</v>
      </c>
      <c r="D49" s="74"/>
      <c r="E49" s="74"/>
      <c r="F49" s="74"/>
      <c r="G49" s="75"/>
      <c r="H49" s="46" t="s">
        <v>245</v>
      </c>
      <c r="I49" s="7">
        <f t="shared" si="4"/>
        <v>300000</v>
      </c>
      <c r="J49" s="7">
        <f>J50</f>
        <v>300000</v>
      </c>
      <c r="K49" s="7">
        <f>K50</f>
        <v>0</v>
      </c>
      <c r="L49" s="7">
        <f>L50</f>
        <v>0</v>
      </c>
      <c r="M49" s="7">
        <f t="shared" ref="M49" si="10">N49+O49</f>
        <v>0</v>
      </c>
      <c r="N49" s="7">
        <f>N50</f>
        <v>0</v>
      </c>
      <c r="O49" s="7">
        <f>O50</f>
        <v>0</v>
      </c>
      <c r="P49" s="7">
        <f>P50</f>
        <v>0</v>
      </c>
      <c r="Q49" s="33">
        <f t="shared" si="0"/>
        <v>0</v>
      </c>
      <c r="R49" s="7">
        <f t="shared" si="1"/>
        <v>-300000</v>
      </c>
    </row>
    <row r="50" spans="1:18" s="13" customFormat="1" ht="93.6" x14ac:dyDescent="0.3">
      <c r="A50" s="14" t="s">
        <v>123</v>
      </c>
      <c r="B50" s="55">
        <v>80</v>
      </c>
      <c r="C50" s="14" t="s">
        <v>124</v>
      </c>
      <c r="D50" s="14" t="s">
        <v>125</v>
      </c>
      <c r="E50" s="51" t="s">
        <v>126</v>
      </c>
      <c r="F50" s="51" t="s">
        <v>217</v>
      </c>
      <c r="G50" s="11" t="s">
        <v>244</v>
      </c>
      <c r="H50" s="10" t="s">
        <v>245</v>
      </c>
      <c r="I50" s="12">
        <f>J50+K50</f>
        <v>300000</v>
      </c>
      <c r="J50" s="12">
        <v>300000</v>
      </c>
      <c r="K50" s="12"/>
      <c r="L50" s="12"/>
      <c r="M50" s="12">
        <f>N50+O50</f>
        <v>0</v>
      </c>
      <c r="N50" s="12"/>
      <c r="O50" s="12"/>
      <c r="P50" s="12"/>
      <c r="Q50" s="33">
        <f t="shared" si="0"/>
        <v>0</v>
      </c>
      <c r="R50" s="7">
        <f t="shared" si="1"/>
        <v>-300000</v>
      </c>
    </row>
    <row r="51" spans="1:18" s="8" customFormat="1" ht="57.6" customHeight="1" x14ac:dyDescent="0.3">
      <c r="A51" s="46">
        <v>11</v>
      </c>
      <c r="B51" s="49">
        <v>81</v>
      </c>
      <c r="C51" s="77" t="s">
        <v>246</v>
      </c>
      <c r="D51" s="77"/>
      <c r="E51" s="77"/>
      <c r="F51" s="77"/>
      <c r="G51" s="77"/>
      <c r="H51" s="46" t="s">
        <v>247</v>
      </c>
      <c r="I51" s="7">
        <f t="shared" ref="I51" si="11">J51+K51</f>
        <v>1208155.3899999999</v>
      </c>
      <c r="J51" s="7">
        <f>SUM(J52:J54)</f>
        <v>1087340</v>
      </c>
      <c r="K51" s="7">
        <f>SUM(K52:K54)</f>
        <v>120815.39</v>
      </c>
      <c r="L51" s="7">
        <f>L52</f>
        <v>0</v>
      </c>
      <c r="M51" s="7">
        <f t="shared" ref="M51" si="12">N51+O51</f>
        <v>58910.649999999994</v>
      </c>
      <c r="N51" s="7">
        <f>SUM(N52:N54)</f>
        <v>53019.59</v>
      </c>
      <c r="O51" s="7">
        <f>SUM(O52:O54)</f>
        <v>5891.06</v>
      </c>
      <c r="P51" s="7">
        <f>P52</f>
        <v>0</v>
      </c>
      <c r="Q51" s="33">
        <f t="shared" si="0"/>
        <v>4.8760822066108565E-2</v>
      </c>
      <c r="R51" s="7">
        <f t="shared" si="1"/>
        <v>-1149244.74</v>
      </c>
    </row>
    <row r="52" spans="1:18" s="13" customFormat="1" ht="93.6" x14ac:dyDescent="0.3">
      <c r="A52" s="14" t="s">
        <v>192</v>
      </c>
      <c r="B52" s="55">
        <v>81</v>
      </c>
      <c r="C52" s="14" t="s">
        <v>220</v>
      </c>
      <c r="D52" s="14" t="s">
        <v>121</v>
      </c>
      <c r="E52" s="51" t="s">
        <v>122</v>
      </c>
      <c r="F52" s="51" t="s">
        <v>217</v>
      </c>
      <c r="G52" s="11" t="s">
        <v>246</v>
      </c>
      <c r="H52" s="10" t="s">
        <v>247</v>
      </c>
      <c r="I52" s="12">
        <f>SUM(J52:K52)</f>
        <v>1027031</v>
      </c>
      <c r="J52" s="12">
        <v>1027031</v>
      </c>
      <c r="K52" s="12"/>
      <c r="L52" s="12"/>
      <c r="M52" s="12">
        <f>SUM(N52:O52)</f>
        <v>0</v>
      </c>
      <c r="N52" s="12"/>
      <c r="O52" s="12"/>
      <c r="P52" s="12"/>
      <c r="Q52" s="33">
        <f t="shared" si="0"/>
        <v>0</v>
      </c>
      <c r="R52" s="7">
        <f t="shared" si="1"/>
        <v>-1027031</v>
      </c>
    </row>
    <row r="53" spans="1:18" s="13" customFormat="1" ht="93.6" x14ac:dyDescent="0.3">
      <c r="A53" s="14" t="s">
        <v>226</v>
      </c>
      <c r="B53" s="55">
        <v>81</v>
      </c>
      <c r="C53" s="14" t="s">
        <v>30</v>
      </c>
      <c r="D53" s="14" t="s">
        <v>31</v>
      </c>
      <c r="E53" s="51" t="s">
        <v>32</v>
      </c>
      <c r="F53" s="51" t="s">
        <v>217</v>
      </c>
      <c r="G53" s="11" t="s">
        <v>246</v>
      </c>
      <c r="H53" s="10" t="s">
        <v>247</v>
      </c>
      <c r="I53" s="12">
        <f t="shared" ref="I53:I54" si="13">SUM(J53:K53)</f>
        <v>60309</v>
      </c>
      <c r="J53" s="12">
        <v>60309</v>
      </c>
      <c r="K53" s="12"/>
      <c r="L53" s="12"/>
      <c r="M53" s="12">
        <f t="shared" ref="M53:M54" si="14">SUM(N53:O53)</f>
        <v>53019.59</v>
      </c>
      <c r="N53" s="12">
        <v>53019.59</v>
      </c>
      <c r="O53" s="12"/>
      <c r="P53" s="12"/>
      <c r="Q53" s="33">
        <f t="shared" si="0"/>
        <v>0.87913230197814585</v>
      </c>
      <c r="R53" s="7">
        <f t="shared" si="1"/>
        <v>-7289.4100000000035</v>
      </c>
    </row>
    <row r="54" spans="1:18" s="13" customFormat="1" ht="168.75" customHeight="1" x14ac:dyDescent="0.3">
      <c r="A54" s="14" t="s">
        <v>137</v>
      </c>
      <c r="B54" s="55">
        <v>81</v>
      </c>
      <c r="C54" s="14" t="s">
        <v>138</v>
      </c>
      <c r="D54" s="14" t="s">
        <v>139</v>
      </c>
      <c r="E54" s="51" t="s">
        <v>140</v>
      </c>
      <c r="F54" s="51" t="s">
        <v>217</v>
      </c>
      <c r="G54" s="11" t="s">
        <v>246</v>
      </c>
      <c r="H54" s="10" t="s">
        <v>247</v>
      </c>
      <c r="I54" s="12">
        <f t="shared" si="13"/>
        <v>120815.39</v>
      </c>
      <c r="J54" s="12"/>
      <c r="K54" s="12">
        <f>114114.47+6700.92</f>
        <v>120815.39</v>
      </c>
      <c r="L54" s="12"/>
      <c r="M54" s="12">
        <f t="shared" si="14"/>
        <v>5891.06</v>
      </c>
      <c r="N54" s="12"/>
      <c r="O54" s="12">
        <v>5891.06</v>
      </c>
      <c r="P54" s="12"/>
      <c r="Q54" s="33">
        <f t="shared" si="0"/>
        <v>4.8760840816720455E-2</v>
      </c>
      <c r="R54" s="7">
        <f t="shared" si="1"/>
        <v>-114924.33</v>
      </c>
    </row>
    <row r="55" spans="1:18" s="8" customFormat="1" ht="57.6" customHeight="1" x14ac:dyDescent="0.3">
      <c r="A55" s="46">
        <v>12</v>
      </c>
      <c r="B55" s="49">
        <v>82</v>
      </c>
      <c r="C55" s="77" t="s">
        <v>248</v>
      </c>
      <c r="D55" s="77"/>
      <c r="E55" s="77"/>
      <c r="F55" s="77"/>
      <c r="G55" s="77"/>
      <c r="H55" s="46" t="s">
        <v>249</v>
      </c>
      <c r="I55" s="7">
        <f t="shared" si="4"/>
        <v>1150000</v>
      </c>
      <c r="J55" s="7">
        <f>J56</f>
        <v>1150000</v>
      </c>
      <c r="K55" s="7">
        <f>K56</f>
        <v>0</v>
      </c>
      <c r="L55" s="7">
        <f>L56</f>
        <v>0</v>
      </c>
      <c r="M55" s="7">
        <f t="shared" ref="M55:M56" si="15">N55+O55</f>
        <v>191600</v>
      </c>
      <c r="N55" s="7">
        <f>N56</f>
        <v>191600</v>
      </c>
      <c r="O55" s="7">
        <f>O56</f>
        <v>0</v>
      </c>
      <c r="P55" s="7">
        <f>P56</f>
        <v>0</v>
      </c>
      <c r="Q55" s="33">
        <f t="shared" si="0"/>
        <v>0.1666086956521739</v>
      </c>
      <c r="R55" s="7">
        <f t="shared" si="1"/>
        <v>-958400</v>
      </c>
    </row>
    <row r="56" spans="1:18" s="8" customFormat="1" ht="135.75" customHeight="1" x14ac:dyDescent="0.3">
      <c r="A56" s="9" t="s">
        <v>198</v>
      </c>
      <c r="B56" s="55">
        <v>82</v>
      </c>
      <c r="C56" s="10">
        <v>6090</v>
      </c>
      <c r="D56" s="9" t="s">
        <v>193</v>
      </c>
      <c r="E56" s="16" t="s">
        <v>199</v>
      </c>
      <c r="F56" s="15" t="s">
        <v>219</v>
      </c>
      <c r="G56" s="16" t="s">
        <v>248</v>
      </c>
      <c r="H56" s="10" t="s">
        <v>249</v>
      </c>
      <c r="I56" s="12">
        <f t="shared" si="4"/>
        <v>1150000</v>
      </c>
      <c r="J56" s="12">
        <v>1150000</v>
      </c>
      <c r="K56" s="7"/>
      <c r="L56" s="7"/>
      <c r="M56" s="12">
        <f t="shared" si="15"/>
        <v>191600</v>
      </c>
      <c r="N56" s="12">
        <v>191600</v>
      </c>
      <c r="O56" s="7"/>
      <c r="P56" s="7"/>
      <c r="Q56" s="33">
        <f t="shared" si="0"/>
        <v>0.1666086956521739</v>
      </c>
      <c r="R56" s="7">
        <f t="shared" si="1"/>
        <v>-958400</v>
      </c>
    </row>
    <row r="57" spans="1:18" s="8" customFormat="1" ht="50.25" customHeight="1" x14ac:dyDescent="0.3">
      <c r="A57" s="46">
        <v>13</v>
      </c>
      <c r="B57" s="56">
        <v>98</v>
      </c>
      <c r="C57" s="73" t="s">
        <v>250</v>
      </c>
      <c r="D57" s="74"/>
      <c r="E57" s="74"/>
      <c r="F57" s="74"/>
      <c r="G57" s="75"/>
      <c r="H57" s="17" t="s">
        <v>251</v>
      </c>
      <c r="I57" s="7">
        <f>J57+K57</f>
        <v>1634400</v>
      </c>
      <c r="J57" s="7">
        <f>SUM(J58:J59)</f>
        <v>1634400</v>
      </c>
      <c r="K57" s="7">
        <f t="shared" ref="K57:L57" si="16">SUM(K58:K59)</f>
        <v>0</v>
      </c>
      <c r="L57" s="7">
        <f t="shared" si="16"/>
        <v>0</v>
      </c>
      <c r="M57" s="7">
        <f>N57+O57</f>
        <v>196395.6</v>
      </c>
      <c r="N57" s="7">
        <f>SUM(N58:N59)</f>
        <v>196395.6</v>
      </c>
      <c r="O57" s="7">
        <f t="shared" ref="O57:P57" si="17">SUM(O58:O59)</f>
        <v>0</v>
      </c>
      <c r="P57" s="7">
        <f t="shared" si="17"/>
        <v>0</v>
      </c>
      <c r="Q57" s="33">
        <f t="shared" si="0"/>
        <v>0.12016372980910427</v>
      </c>
      <c r="R57" s="7">
        <f t="shared" si="1"/>
        <v>-1438004.4</v>
      </c>
    </row>
    <row r="58" spans="1:18" s="13" customFormat="1" ht="46.8" x14ac:dyDescent="0.3">
      <c r="A58" s="14" t="s">
        <v>68</v>
      </c>
      <c r="B58" s="20">
        <v>98</v>
      </c>
      <c r="C58" s="14" t="s">
        <v>69</v>
      </c>
      <c r="D58" s="14" t="s">
        <v>54</v>
      </c>
      <c r="E58" s="15" t="s">
        <v>70</v>
      </c>
      <c r="F58" s="15" t="s">
        <v>63</v>
      </c>
      <c r="G58" s="11" t="s">
        <v>250</v>
      </c>
      <c r="H58" s="18" t="s">
        <v>252</v>
      </c>
      <c r="I58" s="12">
        <f t="shared" si="4"/>
        <v>316300</v>
      </c>
      <c r="J58" s="12">
        <v>316300</v>
      </c>
      <c r="K58" s="12"/>
      <c r="L58" s="12"/>
      <c r="M58" s="12">
        <f t="shared" ref="M58" si="18">N58+O58</f>
        <v>45434.6</v>
      </c>
      <c r="N58" s="12">
        <v>45434.6</v>
      </c>
      <c r="O58" s="12"/>
      <c r="P58" s="12"/>
      <c r="Q58" s="33">
        <f t="shared" si="0"/>
        <v>0.14364400885235534</v>
      </c>
      <c r="R58" s="7">
        <f t="shared" si="1"/>
        <v>-270865.40000000002</v>
      </c>
    </row>
    <row r="59" spans="1:18" s="8" customFormat="1" ht="46.8" x14ac:dyDescent="0.3">
      <c r="A59" s="14" t="s">
        <v>108</v>
      </c>
      <c r="B59" s="20">
        <v>98</v>
      </c>
      <c r="C59" s="14" t="s">
        <v>109</v>
      </c>
      <c r="D59" s="14" t="s">
        <v>54</v>
      </c>
      <c r="E59" s="15" t="s">
        <v>110</v>
      </c>
      <c r="F59" s="15" t="s">
        <v>107</v>
      </c>
      <c r="G59" s="11" t="s">
        <v>250</v>
      </c>
      <c r="H59" s="18" t="s">
        <v>252</v>
      </c>
      <c r="I59" s="12">
        <f>J59+K59</f>
        <v>1318100</v>
      </c>
      <c r="J59" s="12">
        <v>1318100</v>
      </c>
      <c r="K59" s="12"/>
      <c r="L59" s="12"/>
      <c r="M59" s="12">
        <f>N59+O59</f>
        <v>150961</v>
      </c>
      <c r="N59" s="12">
        <v>150961</v>
      </c>
      <c r="O59" s="12"/>
      <c r="P59" s="12"/>
      <c r="Q59" s="33">
        <f t="shared" si="0"/>
        <v>0.11452924664289507</v>
      </c>
      <c r="R59" s="7">
        <f t="shared" si="1"/>
        <v>-1167139</v>
      </c>
    </row>
    <row r="60" spans="1:18" s="8" customFormat="1" ht="40.5" customHeight="1" x14ac:dyDescent="0.3">
      <c r="A60" s="46">
        <v>14</v>
      </c>
      <c r="B60" s="56">
        <v>99</v>
      </c>
      <c r="C60" s="73" t="s">
        <v>253</v>
      </c>
      <c r="D60" s="74"/>
      <c r="E60" s="74"/>
      <c r="F60" s="74"/>
      <c r="G60" s="75"/>
      <c r="H60" s="17" t="s">
        <v>254</v>
      </c>
      <c r="I60" s="7">
        <f>J60+K60</f>
        <v>19757545.859999999</v>
      </c>
      <c r="J60" s="7">
        <f>SUM(J61:J65)</f>
        <v>15416550</v>
      </c>
      <c r="K60" s="7">
        <f>SUM(K61:K65)</f>
        <v>4340995.8600000003</v>
      </c>
      <c r="L60" s="7">
        <f>SUM(L61:L65)</f>
        <v>0</v>
      </c>
      <c r="M60" s="7">
        <f>N60+O60</f>
        <v>1222412.1000000001</v>
      </c>
      <c r="N60" s="7">
        <f>SUM(N61:N65)</f>
        <v>1222412.1000000001</v>
      </c>
      <c r="O60" s="7">
        <f>SUM(O61:O65)</f>
        <v>0</v>
      </c>
      <c r="P60" s="7">
        <f>SUM(P61:P65)</f>
        <v>0</v>
      </c>
      <c r="Q60" s="33">
        <f t="shared" si="0"/>
        <v>6.1870644697569747E-2</v>
      </c>
      <c r="R60" s="7">
        <f t="shared" si="1"/>
        <v>-18535133.759999998</v>
      </c>
    </row>
    <row r="61" spans="1:18" s="13" customFormat="1" ht="57" customHeight="1" x14ac:dyDescent="0.3">
      <c r="A61" s="14" t="s">
        <v>111</v>
      </c>
      <c r="B61" s="20">
        <v>99</v>
      </c>
      <c r="C61" s="14" t="s">
        <v>112</v>
      </c>
      <c r="D61" s="14" t="s">
        <v>113</v>
      </c>
      <c r="E61" s="15" t="s">
        <v>114</v>
      </c>
      <c r="F61" s="15" t="s">
        <v>107</v>
      </c>
      <c r="G61" s="11" t="s">
        <v>253</v>
      </c>
      <c r="H61" s="18" t="s">
        <v>254</v>
      </c>
      <c r="I61" s="12">
        <f t="shared" ref="I61:I65" si="19">J61+K61</f>
        <v>1579400</v>
      </c>
      <c r="J61" s="12">
        <f>1579400</f>
        <v>1579400</v>
      </c>
      <c r="K61" s="12"/>
      <c r="L61" s="12"/>
      <c r="M61" s="12">
        <f t="shared" ref="M61:M62" si="20">N61+O61</f>
        <v>111668</v>
      </c>
      <c r="N61" s="12">
        <v>111668</v>
      </c>
      <c r="O61" s="12"/>
      <c r="P61" s="12"/>
      <c r="Q61" s="33">
        <f t="shared" si="0"/>
        <v>7.0702798531087754E-2</v>
      </c>
      <c r="R61" s="7">
        <f t="shared" si="1"/>
        <v>-1467732</v>
      </c>
    </row>
    <row r="62" spans="1:18" s="13" customFormat="1" ht="62.25" customHeight="1" x14ac:dyDescent="0.3">
      <c r="A62" s="14" t="s">
        <v>115</v>
      </c>
      <c r="B62" s="20">
        <v>99</v>
      </c>
      <c r="C62" s="14" t="s">
        <v>116</v>
      </c>
      <c r="D62" s="14" t="s">
        <v>113</v>
      </c>
      <c r="E62" s="15" t="s">
        <v>117</v>
      </c>
      <c r="F62" s="15" t="s">
        <v>107</v>
      </c>
      <c r="G62" s="11" t="s">
        <v>253</v>
      </c>
      <c r="H62" s="18" t="s">
        <v>254</v>
      </c>
      <c r="I62" s="12">
        <f t="shared" si="19"/>
        <v>1104500</v>
      </c>
      <c r="J62" s="12">
        <f>1104500</f>
        <v>1104500</v>
      </c>
      <c r="K62" s="12"/>
      <c r="L62" s="12"/>
      <c r="M62" s="12">
        <f t="shared" si="20"/>
        <v>208478.04</v>
      </c>
      <c r="N62" s="12">
        <v>208478.04</v>
      </c>
      <c r="O62" s="12"/>
      <c r="P62" s="12"/>
      <c r="Q62" s="33">
        <f t="shared" si="0"/>
        <v>0.18875331824354913</v>
      </c>
      <c r="R62" s="7">
        <f t="shared" si="1"/>
        <v>-896021.96</v>
      </c>
    </row>
    <row r="63" spans="1:18" s="13" customFormat="1" ht="60.75" customHeight="1" x14ac:dyDescent="0.3">
      <c r="A63" s="10">
        <v>1115048</v>
      </c>
      <c r="B63" s="10">
        <v>99</v>
      </c>
      <c r="C63" s="13">
        <v>5048</v>
      </c>
      <c r="D63" s="9" t="s">
        <v>113</v>
      </c>
      <c r="E63" s="19" t="s">
        <v>255</v>
      </c>
      <c r="F63" s="15" t="s">
        <v>107</v>
      </c>
      <c r="G63" s="11" t="s">
        <v>253</v>
      </c>
      <c r="H63" s="18" t="s">
        <v>254</v>
      </c>
      <c r="I63" s="12">
        <f>J63+K63</f>
        <v>8435850</v>
      </c>
      <c r="J63" s="12">
        <v>8435850</v>
      </c>
      <c r="K63" s="12"/>
      <c r="L63" s="12"/>
      <c r="M63" s="12">
        <f>N63+O63</f>
        <v>0</v>
      </c>
      <c r="N63" s="12"/>
      <c r="O63" s="12"/>
      <c r="P63" s="12"/>
      <c r="Q63" s="33">
        <f t="shared" si="0"/>
        <v>0</v>
      </c>
      <c r="R63" s="7">
        <f t="shared" si="1"/>
        <v>-8435850</v>
      </c>
    </row>
    <row r="64" spans="1:18" s="13" customFormat="1" ht="92.25" customHeight="1" x14ac:dyDescent="0.3">
      <c r="A64" s="14" t="s">
        <v>118</v>
      </c>
      <c r="B64" s="20">
        <v>99</v>
      </c>
      <c r="C64" s="14" t="s">
        <v>119</v>
      </c>
      <c r="D64" s="14" t="s">
        <v>113</v>
      </c>
      <c r="E64" s="51" t="s">
        <v>120</v>
      </c>
      <c r="F64" s="15" t="s">
        <v>107</v>
      </c>
      <c r="G64" s="11" t="s">
        <v>253</v>
      </c>
      <c r="H64" s="18" t="s">
        <v>254</v>
      </c>
      <c r="I64" s="12">
        <f t="shared" si="19"/>
        <v>4296800</v>
      </c>
      <c r="J64" s="12">
        <v>4296800</v>
      </c>
      <c r="K64" s="12"/>
      <c r="L64" s="12"/>
      <c r="M64" s="12">
        <f t="shared" ref="M64:M65" si="21">N64+O64</f>
        <v>902266.06</v>
      </c>
      <c r="N64" s="12">
        <v>902266.06</v>
      </c>
      <c r="O64" s="12"/>
      <c r="P64" s="12"/>
      <c r="Q64" s="33">
        <f t="shared" si="0"/>
        <v>0.20998558462111339</v>
      </c>
      <c r="R64" s="7">
        <f t="shared" si="1"/>
        <v>-3394533.94</v>
      </c>
    </row>
    <row r="65" spans="1:18" s="13" customFormat="1" ht="164.25" customHeight="1" x14ac:dyDescent="0.3">
      <c r="A65" s="14" t="s">
        <v>256</v>
      </c>
      <c r="B65" s="20">
        <v>99</v>
      </c>
      <c r="C65" s="14" t="s">
        <v>138</v>
      </c>
      <c r="D65" s="14" t="s">
        <v>139</v>
      </c>
      <c r="E65" s="51" t="s">
        <v>140</v>
      </c>
      <c r="F65" s="15" t="s">
        <v>107</v>
      </c>
      <c r="G65" s="11" t="s">
        <v>253</v>
      </c>
      <c r="H65" s="18" t="s">
        <v>254</v>
      </c>
      <c r="I65" s="12">
        <f t="shared" si="19"/>
        <v>4340995.8600000003</v>
      </c>
      <c r="J65" s="12"/>
      <c r="K65" s="12">
        <v>4340995.8600000003</v>
      </c>
      <c r="L65" s="12"/>
      <c r="M65" s="12">
        <f t="shared" si="21"/>
        <v>0</v>
      </c>
      <c r="N65" s="12"/>
      <c r="O65" s="12"/>
      <c r="P65" s="12"/>
      <c r="Q65" s="33">
        <f t="shared" si="0"/>
        <v>0</v>
      </c>
      <c r="R65" s="7">
        <f t="shared" si="1"/>
        <v>-4340995.8600000003</v>
      </c>
    </row>
    <row r="66" spans="1:18" s="8" customFormat="1" ht="41.4" customHeight="1" x14ac:dyDescent="0.3">
      <c r="A66" s="46">
        <v>15</v>
      </c>
      <c r="B66" s="56">
        <v>93</v>
      </c>
      <c r="C66" s="76" t="s">
        <v>257</v>
      </c>
      <c r="D66" s="76"/>
      <c r="E66" s="76"/>
      <c r="F66" s="76"/>
      <c r="G66" s="76"/>
      <c r="H66" s="17" t="s">
        <v>258</v>
      </c>
      <c r="I66" s="7">
        <f>J66+K66</f>
        <v>23713400</v>
      </c>
      <c r="J66" s="7">
        <f>SUM(J67:J68)</f>
        <v>23713400</v>
      </c>
      <c r="K66" s="7">
        <f t="shared" ref="K66:L66" si="22">SUM(K67:K68)</f>
        <v>0</v>
      </c>
      <c r="L66" s="7">
        <f t="shared" si="22"/>
        <v>0</v>
      </c>
      <c r="M66" s="7">
        <f>N66+O66</f>
        <v>5449525</v>
      </c>
      <c r="N66" s="7">
        <f>SUM(N67:N68)</f>
        <v>5449525</v>
      </c>
      <c r="O66" s="7">
        <f t="shared" ref="O66:P66" si="23">SUM(O67:O68)</f>
        <v>0</v>
      </c>
      <c r="P66" s="7">
        <f t="shared" si="23"/>
        <v>0</v>
      </c>
      <c r="Q66" s="33">
        <f t="shared" si="0"/>
        <v>0.22980783017197029</v>
      </c>
      <c r="R66" s="7">
        <f t="shared" si="1"/>
        <v>-18263875</v>
      </c>
    </row>
    <row r="67" spans="1:18" s="13" customFormat="1" ht="93.6" x14ac:dyDescent="0.3">
      <c r="A67" s="14" t="s">
        <v>42</v>
      </c>
      <c r="B67" s="20">
        <v>93</v>
      </c>
      <c r="C67" s="14" t="s">
        <v>43</v>
      </c>
      <c r="D67" s="14" t="s">
        <v>44</v>
      </c>
      <c r="E67" s="15" t="s">
        <v>45</v>
      </c>
      <c r="F67" s="11" t="s">
        <v>209</v>
      </c>
      <c r="G67" s="11" t="s">
        <v>257</v>
      </c>
      <c r="H67" s="18" t="s">
        <v>258</v>
      </c>
      <c r="I67" s="12">
        <f>J67+K67</f>
        <v>1000000</v>
      </c>
      <c r="J67" s="12">
        <v>1000000</v>
      </c>
      <c r="K67" s="12"/>
      <c r="L67" s="12"/>
      <c r="M67" s="12">
        <f>N67+O67</f>
        <v>300198</v>
      </c>
      <c r="N67" s="12">
        <v>300198</v>
      </c>
      <c r="O67" s="12"/>
      <c r="P67" s="12"/>
      <c r="Q67" s="33">
        <f t="shared" si="0"/>
        <v>0.30019800000000002</v>
      </c>
      <c r="R67" s="7">
        <f t="shared" si="1"/>
        <v>-699802</v>
      </c>
    </row>
    <row r="68" spans="1:18" s="13" customFormat="1" ht="93.6" x14ac:dyDescent="0.3">
      <c r="A68" s="14" t="s">
        <v>259</v>
      </c>
      <c r="B68" s="20">
        <v>93</v>
      </c>
      <c r="C68" s="14" t="s">
        <v>260</v>
      </c>
      <c r="D68" s="14" t="s">
        <v>64</v>
      </c>
      <c r="E68" s="15" t="s">
        <v>261</v>
      </c>
      <c r="F68" s="15" t="s">
        <v>63</v>
      </c>
      <c r="G68" s="11" t="s">
        <v>257</v>
      </c>
      <c r="H68" s="18" t="s">
        <v>258</v>
      </c>
      <c r="I68" s="12">
        <f>J68+K68</f>
        <v>22713400</v>
      </c>
      <c r="J68" s="12">
        <f>3153000+19713400-153000</f>
        <v>22713400</v>
      </c>
      <c r="K68" s="12"/>
      <c r="L68" s="12"/>
      <c r="M68" s="12">
        <f>N68+O68</f>
        <v>5149327</v>
      </c>
      <c r="N68" s="12">
        <v>5149327</v>
      </c>
      <c r="O68" s="12"/>
      <c r="P68" s="12"/>
      <c r="Q68" s="33">
        <f t="shared" si="0"/>
        <v>0.22670877103383905</v>
      </c>
      <c r="R68" s="7">
        <f t="shared" si="1"/>
        <v>-17564073</v>
      </c>
    </row>
    <row r="69" spans="1:18" s="8" customFormat="1" ht="50.25" customHeight="1" x14ac:dyDescent="0.3">
      <c r="A69" s="46">
        <v>16</v>
      </c>
      <c r="B69" s="56">
        <v>83</v>
      </c>
      <c r="C69" s="73" t="s">
        <v>262</v>
      </c>
      <c r="D69" s="74"/>
      <c r="E69" s="74"/>
      <c r="F69" s="74"/>
      <c r="G69" s="75"/>
      <c r="H69" s="17" t="s">
        <v>263</v>
      </c>
      <c r="I69" s="7">
        <f t="shared" si="4"/>
        <v>71542765</v>
      </c>
      <c r="J69" s="7">
        <f>SUM(J70:J75)</f>
        <v>71345847</v>
      </c>
      <c r="K69" s="7">
        <f t="shared" ref="K69:L69" si="24">SUM(K70:K75)</f>
        <v>196918</v>
      </c>
      <c r="L69" s="7">
        <f t="shared" si="24"/>
        <v>196918</v>
      </c>
      <c r="M69" s="7">
        <f t="shared" ref="M69:M91" si="25">N69+O69</f>
        <v>13020658.32</v>
      </c>
      <c r="N69" s="7">
        <f>SUM(N70:N75)</f>
        <v>13020658.32</v>
      </c>
      <c r="O69" s="7">
        <f t="shared" ref="O69:P69" si="26">SUM(O70:O75)</f>
        <v>0</v>
      </c>
      <c r="P69" s="7">
        <f t="shared" si="26"/>
        <v>0</v>
      </c>
      <c r="Q69" s="33">
        <f t="shared" si="0"/>
        <v>0.18199825405126571</v>
      </c>
      <c r="R69" s="7">
        <f t="shared" si="1"/>
        <v>-58522106.68</v>
      </c>
    </row>
    <row r="70" spans="1:18" s="13" customFormat="1" ht="60" customHeight="1" x14ac:dyDescent="0.3">
      <c r="A70" s="14" t="s">
        <v>11</v>
      </c>
      <c r="B70" s="20">
        <v>83</v>
      </c>
      <c r="C70" s="14" t="s">
        <v>12</v>
      </c>
      <c r="D70" s="14" t="s">
        <v>13</v>
      </c>
      <c r="E70" s="15" t="s">
        <v>14</v>
      </c>
      <c r="F70" s="51" t="s">
        <v>215</v>
      </c>
      <c r="G70" s="11" t="s">
        <v>264</v>
      </c>
      <c r="H70" s="18" t="s">
        <v>263</v>
      </c>
      <c r="I70" s="12">
        <f t="shared" si="4"/>
        <v>46474146</v>
      </c>
      <c r="J70" s="12">
        <f>41453700+2000000+3020446</f>
        <v>46474146</v>
      </c>
      <c r="K70" s="12"/>
      <c r="L70" s="12"/>
      <c r="M70" s="12">
        <f t="shared" si="25"/>
        <v>7097990.4199999999</v>
      </c>
      <c r="N70" s="12">
        <v>7097990.4199999999</v>
      </c>
      <c r="O70" s="12"/>
      <c r="P70" s="12"/>
      <c r="Q70" s="33">
        <f t="shared" si="0"/>
        <v>0.1527298730782487</v>
      </c>
      <c r="R70" s="7">
        <f t="shared" si="1"/>
        <v>-39376155.579999998</v>
      </c>
    </row>
    <row r="71" spans="1:18" s="13" customFormat="1" ht="66" customHeight="1" x14ac:dyDescent="0.3">
      <c r="A71" s="14" t="s">
        <v>15</v>
      </c>
      <c r="B71" s="20">
        <v>83</v>
      </c>
      <c r="C71" s="14" t="s">
        <v>16</v>
      </c>
      <c r="D71" s="14" t="s">
        <v>17</v>
      </c>
      <c r="E71" s="15" t="s">
        <v>18</v>
      </c>
      <c r="F71" s="51" t="s">
        <v>215</v>
      </c>
      <c r="G71" s="11" t="s">
        <v>264</v>
      </c>
      <c r="H71" s="18" t="s">
        <v>263</v>
      </c>
      <c r="I71" s="12">
        <f t="shared" si="4"/>
        <v>9215600</v>
      </c>
      <c r="J71" s="12">
        <v>9215600</v>
      </c>
      <c r="K71" s="12"/>
      <c r="L71" s="12"/>
      <c r="M71" s="12">
        <f t="shared" si="25"/>
        <v>2251390.83</v>
      </c>
      <c r="N71" s="12">
        <v>2251390.83</v>
      </c>
      <c r="O71" s="12"/>
      <c r="P71" s="12"/>
      <c r="Q71" s="33">
        <f t="shared" si="0"/>
        <v>0.24430214310516951</v>
      </c>
      <c r="R71" s="7">
        <f t="shared" si="1"/>
        <v>-6964209.1699999999</v>
      </c>
    </row>
    <row r="72" spans="1:18" s="13" customFormat="1" ht="81.75" customHeight="1" x14ac:dyDescent="0.3">
      <c r="A72" s="10" t="s">
        <v>19</v>
      </c>
      <c r="B72" s="53">
        <v>83</v>
      </c>
      <c r="C72" s="10">
        <v>2111</v>
      </c>
      <c r="D72" s="10" t="s">
        <v>20</v>
      </c>
      <c r="E72" s="16" t="s">
        <v>21</v>
      </c>
      <c r="F72" s="51" t="s">
        <v>215</v>
      </c>
      <c r="G72" s="11" t="s">
        <v>264</v>
      </c>
      <c r="H72" s="18" t="s">
        <v>263</v>
      </c>
      <c r="I72" s="12">
        <f t="shared" si="4"/>
        <v>4832200</v>
      </c>
      <c r="J72" s="12">
        <f>3792200+1040000</f>
        <v>4832200</v>
      </c>
      <c r="K72" s="12"/>
      <c r="L72" s="12"/>
      <c r="M72" s="12">
        <f t="shared" si="25"/>
        <v>1442649.8</v>
      </c>
      <c r="N72" s="12">
        <v>1442649.8</v>
      </c>
      <c r="O72" s="12"/>
      <c r="P72" s="12"/>
      <c r="Q72" s="33">
        <f t="shared" si="0"/>
        <v>0.2985492736227805</v>
      </c>
      <c r="R72" s="7">
        <f t="shared" si="1"/>
        <v>-3389550.2</v>
      </c>
    </row>
    <row r="73" spans="1:18" s="13" customFormat="1" ht="46.8" x14ac:dyDescent="0.3">
      <c r="A73" s="14" t="s">
        <v>22</v>
      </c>
      <c r="B73" s="57">
        <v>83</v>
      </c>
      <c r="C73" s="14" t="s">
        <v>23</v>
      </c>
      <c r="D73" s="14" t="s">
        <v>24</v>
      </c>
      <c r="E73" s="58" t="s">
        <v>25</v>
      </c>
      <c r="F73" s="51" t="s">
        <v>215</v>
      </c>
      <c r="G73" s="11" t="s">
        <v>264</v>
      </c>
      <c r="H73" s="18" t="s">
        <v>263</v>
      </c>
      <c r="I73" s="12">
        <f t="shared" si="4"/>
        <v>10449704</v>
      </c>
      <c r="J73" s="12">
        <f>9719200+730504</f>
        <v>10449704</v>
      </c>
      <c r="K73" s="12"/>
      <c r="L73" s="12"/>
      <c r="M73" s="12">
        <f t="shared" si="25"/>
        <v>1854430.52</v>
      </c>
      <c r="N73" s="12">
        <f>59041.29+645625+1149764.23</f>
        <v>1854430.52</v>
      </c>
      <c r="O73" s="12"/>
      <c r="P73" s="12"/>
      <c r="Q73" s="33">
        <f t="shared" si="0"/>
        <v>0.17746249271749706</v>
      </c>
      <c r="R73" s="7">
        <f t="shared" si="1"/>
        <v>-8595273.4800000004</v>
      </c>
    </row>
    <row r="74" spans="1:18" s="13" customFormat="1" ht="78" x14ac:dyDescent="0.3">
      <c r="A74" s="14" t="s">
        <v>265</v>
      </c>
      <c r="B74" s="57">
        <v>83</v>
      </c>
      <c r="C74" s="14" t="s">
        <v>266</v>
      </c>
      <c r="D74" s="14" t="s">
        <v>24</v>
      </c>
      <c r="E74" s="58" t="s">
        <v>267</v>
      </c>
      <c r="F74" s="51" t="s">
        <v>215</v>
      </c>
      <c r="G74" s="11" t="s">
        <v>264</v>
      </c>
      <c r="H74" s="18" t="s">
        <v>263</v>
      </c>
      <c r="I74" s="12">
        <f t="shared" si="4"/>
        <v>196918</v>
      </c>
      <c r="J74" s="12"/>
      <c r="K74" s="12">
        <v>196918</v>
      </c>
      <c r="L74" s="12">
        <v>196918</v>
      </c>
      <c r="M74" s="12">
        <f t="shared" si="25"/>
        <v>0</v>
      </c>
      <c r="N74" s="12"/>
      <c r="O74" s="12"/>
      <c r="P74" s="12"/>
      <c r="Q74" s="33">
        <f t="shared" si="0"/>
        <v>0</v>
      </c>
      <c r="R74" s="7">
        <f t="shared" si="1"/>
        <v>-196918</v>
      </c>
    </row>
    <row r="75" spans="1:18" s="13" customFormat="1" ht="46.8" x14ac:dyDescent="0.3">
      <c r="A75" s="14" t="s">
        <v>29</v>
      </c>
      <c r="B75" s="57">
        <v>83</v>
      </c>
      <c r="C75" s="14" t="s">
        <v>30</v>
      </c>
      <c r="D75" s="14" t="s">
        <v>31</v>
      </c>
      <c r="E75" s="58" t="s">
        <v>227</v>
      </c>
      <c r="F75" s="51" t="s">
        <v>215</v>
      </c>
      <c r="G75" s="11" t="s">
        <v>264</v>
      </c>
      <c r="H75" s="18" t="s">
        <v>263</v>
      </c>
      <c r="I75" s="12">
        <f t="shared" si="4"/>
        <v>374197</v>
      </c>
      <c r="J75" s="12">
        <v>374197</v>
      </c>
      <c r="K75" s="12"/>
      <c r="L75" s="12"/>
      <c r="M75" s="12">
        <f t="shared" si="25"/>
        <v>374196.75</v>
      </c>
      <c r="N75" s="12">
        <v>374196.75</v>
      </c>
      <c r="O75" s="12"/>
      <c r="P75" s="12"/>
      <c r="Q75" s="33">
        <f t="shared" si="0"/>
        <v>0.99999933190271439</v>
      </c>
      <c r="R75" s="7">
        <f t="shared" si="1"/>
        <v>-0.25</v>
      </c>
    </row>
    <row r="76" spans="1:18" s="8" customFormat="1" ht="46.8" x14ac:dyDescent="0.3">
      <c r="A76" s="46">
        <v>17</v>
      </c>
      <c r="B76" s="49">
        <v>90</v>
      </c>
      <c r="C76" s="73" t="s">
        <v>268</v>
      </c>
      <c r="D76" s="74"/>
      <c r="E76" s="74"/>
      <c r="F76" s="74"/>
      <c r="G76" s="75"/>
      <c r="H76" s="17" t="s">
        <v>269</v>
      </c>
      <c r="I76" s="7">
        <f t="shared" si="4"/>
        <v>61290360</v>
      </c>
      <c r="J76" s="7">
        <f>SUM(J77:J80)</f>
        <v>61290360</v>
      </c>
      <c r="K76" s="7">
        <f t="shared" ref="K76:L76" si="27">K77+K79</f>
        <v>0</v>
      </c>
      <c r="L76" s="7">
        <f t="shared" si="27"/>
        <v>0</v>
      </c>
      <c r="M76" s="7">
        <f t="shared" si="25"/>
        <v>6470327.8399999999</v>
      </c>
      <c r="N76" s="7">
        <f>SUM(N77:N80)</f>
        <v>6470327.8399999999</v>
      </c>
      <c r="O76" s="7">
        <f t="shared" ref="O76:P76" si="28">O77+O79</f>
        <v>0</v>
      </c>
      <c r="P76" s="7">
        <f t="shared" si="28"/>
        <v>0</v>
      </c>
      <c r="Q76" s="33">
        <f t="shared" si="0"/>
        <v>0.10556844241084569</v>
      </c>
      <c r="R76" s="7">
        <f t="shared" si="1"/>
        <v>-54820032.159999996</v>
      </c>
    </row>
    <row r="77" spans="1:18" s="13" customFormat="1" ht="78" x14ac:dyDescent="0.3">
      <c r="A77" s="14" t="s">
        <v>36</v>
      </c>
      <c r="B77" s="50">
        <v>90</v>
      </c>
      <c r="C77" s="14" t="s">
        <v>37</v>
      </c>
      <c r="D77" s="14" t="s">
        <v>34</v>
      </c>
      <c r="E77" s="51" t="s">
        <v>38</v>
      </c>
      <c r="F77" s="51" t="s">
        <v>215</v>
      </c>
      <c r="G77" s="11" t="s">
        <v>268</v>
      </c>
      <c r="H77" s="18" t="s">
        <v>269</v>
      </c>
      <c r="I77" s="12">
        <f t="shared" si="4"/>
        <v>838880</v>
      </c>
      <c r="J77" s="12">
        <f>433600+405280</f>
        <v>838880</v>
      </c>
      <c r="K77" s="12"/>
      <c r="L77" s="12"/>
      <c r="M77" s="12">
        <f t="shared" si="25"/>
        <v>419884</v>
      </c>
      <c r="N77" s="12">
        <v>419884</v>
      </c>
      <c r="O77" s="12"/>
      <c r="P77" s="12"/>
      <c r="Q77" s="33">
        <f t="shared" ref="Q77:Q140" si="29">M77/I77</f>
        <v>0.50052927713141326</v>
      </c>
      <c r="R77" s="7">
        <f t="shared" ref="R77:R140" si="30">M77-I77</f>
        <v>-418996</v>
      </c>
    </row>
    <row r="78" spans="1:18" s="13" customFormat="1" ht="78" x14ac:dyDescent="0.3">
      <c r="A78" s="14" t="s">
        <v>39</v>
      </c>
      <c r="B78" s="50">
        <v>90</v>
      </c>
      <c r="C78" s="14" t="s">
        <v>40</v>
      </c>
      <c r="D78" s="14" t="s">
        <v>34</v>
      </c>
      <c r="E78" s="51" t="s">
        <v>41</v>
      </c>
      <c r="F78" s="51" t="s">
        <v>215</v>
      </c>
      <c r="G78" s="11" t="s">
        <v>268</v>
      </c>
      <c r="H78" s="18" t="s">
        <v>269</v>
      </c>
      <c r="I78" s="12">
        <f t="shared" si="4"/>
        <v>285480</v>
      </c>
      <c r="J78" s="12">
        <v>285480</v>
      </c>
      <c r="K78" s="12"/>
      <c r="L78" s="12"/>
      <c r="M78" s="12">
        <f t="shared" si="25"/>
        <v>0</v>
      </c>
      <c r="N78" s="12"/>
      <c r="O78" s="12"/>
      <c r="P78" s="12"/>
      <c r="Q78" s="33">
        <f t="shared" si="29"/>
        <v>0</v>
      </c>
      <c r="R78" s="7">
        <f t="shared" si="30"/>
        <v>-285480</v>
      </c>
    </row>
    <row r="79" spans="1:18" s="13" customFormat="1" ht="78" x14ac:dyDescent="0.3">
      <c r="A79" s="14" t="s">
        <v>145</v>
      </c>
      <c r="B79" s="50">
        <v>90</v>
      </c>
      <c r="C79" s="14" t="s">
        <v>40</v>
      </c>
      <c r="D79" s="14" t="s">
        <v>34</v>
      </c>
      <c r="E79" s="51" t="s">
        <v>41</v>
      </c>
      <c r="F79" s="15" t="s">
        <v>219</v>
      </c>
      <c r="G79" s="11" t="s">
        <v>268</v>
      </c>
      <c r="H79" s="18" t="s">
        <v>269</v>
      </c>
      <c r="I79" s="12">
        <f t="shared" si="4"/>
        <v>166000</v>
      </c>
      <c r="J79" s="12">
        <v>166000</v>
      </c>
      <c r="K79" s="12"/>
      <c r="L79" s="12"/>
      <c r="M79" s="12">
        <f t="shared" si="25"/>
        <v>50443.839999999997</v>
      </c>
      <c r="N79" s="12">
        <v>50443.839999999997</v>
      </c>
      <c r="O79" s="12"/>
      <c r="P79" s="12"/>
      <c r="Q79" s="33">
        <f t="shared" si="29"/>
        <v>0.30387855421686744</v>
      </c>
      <c r="R79" s="7">
        <f t="shared" si="30"/>
        <v>-115556.16</v>
      </c>
    </row>
    <row r="80" spans="1:18" s="13" customFormat="1" ht="93.6" x14ac:dyDescent="0.3">
      <c r="A80" s="14" t="s">
        <v>270</v>
      </c>
      <c r="B80" s="57">
        <v>90</v>
      </c>
      <c r="C80" s="14" t="s">
        <v>271</v>
      </c>
      <c r="D80" s="14" t="s">
        <v>92</v>
      </c>
      <c r="E80" s="58" t="s">
        <v>272</v>
      </c>
      <c r="F80" s="51" t="s">
        <v>146</v>
      </c>
      <c r="G80" s="11" t="s">
        <v>268</v>
      </c>
      <c r="H80" s="18" t="s">
        <v>269</v>
      </c>
      <c r="I80" s="12">
        <f t="shared" si="4"/>
        <v>60000000</v>
      </c>
      <c r="J80" s="12">
        <v>60000000</v>
      </c>
      <c r="K80" s="12"/>
      <c r="L80" s="12"/>
      <c r="M80" s="12">
        <f t="shared" si="25"/>
        <v>6000000</v>
      </c>
      <c r="N80" s="12">
        <v>6000000</v>
      </c>
      <c r="O80" s="12"/>
      <c r="P80" s="12"/>
      <c r="Q80" s="33">
        <f t="shared" si="29"/>
        <v>0.1</v>
      </c>
      <c r="R80" s="7">
        <f t="shared" si="30"/>
        <v>-54000000</v>
      </c>
    </row>
    <row r="81" spans="1:18" s="8" customFormat="1" ht="62.4" customHeight="1" x14ac:dyDescent="0.3">
      <c r="A81" s="46">
        <v>18</v>
      </c>
      <c r="B81" s="56">
        <v>91</v>
      </c>
      <c r="C81" s="73" t="s">
        <v>273</v>
      </c>
      <c r="D81" s="74"/>
      <c r="E81" s="74"/>
      <c r="F81" s="74"/>
      <c r="G81" s="75"/>
      <c r="H81" s="17" t="s">
        <v>274</v>
      </c>
      <c r="I81" s="7">
        <f t="shared" si="4"/>
        <v>873900</v>
      </c>
      <c r="J81" s="7">
        <f>J82</f>
        <v>873900</v>
      </c>
      <c r="K81" s="7">
        <f>K82</f>
        <v>0</v>
      </c>
      <c r="L81" s="7">
        <f>L82</f>
        <v>0</v>
      </c>
      <c r="M81" s="7">
        <f t="shared" si="25"/>
        <v>81153</v>
      </c>
      <c r="N81" s="7">
        <f>N82</f>
        <v>81153</v>
      </c>
      <c r="O81" s="7">
        <f>O82</f>
        <v>0</v>
      </c>
      <c r="P81" s="7">
        <f>P82</f>
        <v>0</v>
      </c>
      <c r="Q81" s="33">
        <f t="shared" si="29"/>
        <v>9.2863027806385168E-2</v>
      </c>
      <c r="R81" s="7">
        <f t="shared" si="30"/>
        <v>-792747</v>
      </c>
    </row>
    <row r="82" spans="1:18" s="13" customFormat="1" ht="62.4" x14ac:dyDescent="0.3">
      <c r="A82" s="9" t="s">
        <v>33</v>
      </c>
      <c r="B82" s="53">
        <v>91</v>
      </c>
      <c r="C82" s="10">
        <v>8220</v>
      </c>
      <c r="D82" s="9" t="s">
        <v>34</v>
      </c>
      <c r="E82" s="16" t="s">
        <v>35</v>
      </c>
      <c r="F82" s="51" t="s">
        <v>215</v>
      </c>
      <c r="G82" s="11" t="s">
        <v>273</v>
      </c>
      <c r="H82" s="18" t="s">
        <v>274</v>
      </c>
      <c r="I82" s="12">
        <f t="shared" si="4"/>
        <v>873900</v>
      </c>
      <c r="J82" s="12">
        <v>873900</v>
      </c>
      <c r="K82" s="12"/>
      <c r="L82" s="12"/>
      <c r="M82" s="12">
        <f t="shared" si="25"/>
        <v>81153</v>
      </c>
      <c r="N82" s="12">
        <v>81153</v>
      </c>
      <c r="O82" s="12"/>
      <c r="P82" s="12"/>
      <c r="Q82" s="33">
        <f t="shared" si="29"/>
        <v>9.2863027806385168E-2</v>
      </c>
      <c r="R82" s="7">
        <f t="shared" si="30"/>
        <v>-792747</v>
      </c>
    </row>
    <row r="83" spans="1:18" s="8" customFormat="1" ht="35.4" customHeight="1" x14ac:dyDescent="0.3">
      <c r="A83" s="46">
        <v>19</v>
      </c>
      <c r="B83" s="56">
        <v>89</v>
      </c>
      <c r="C83" s="73" t="s">
        <v>275</v>
      </c>
      <c r="D83" s="74"/>
      <c r="E83" s="74"/>
      <c r="F83" s="74"/>
      <c r="G83" s="75"/>
      <c r="H83" s="17" t="s">
        <v>276</v>
      </c>
      <c r="I83" s="7">
        <f t="shared" si="4"/>
        <v>6000000</v>
      </c>
      <c r="J83" s="7">
        <f>J84</f>
        <v>6000000</v>
      </c>
      <c r="K83" s="7">
        <f>K84</f>
        <v>0</v>
      </c>
      <c r="L83" s="7">
        <f>L84</f>
        <v>0</v>
      </c>
      <c r="M83" s="7">
        <f t="shared" si="25"/>
        <v>6000000</v>
      </c>
      <c r="N83" s="7">
        <f>N84</f>
        <v>6000000</v>
      </c>
      <c r="O83" s="7">
        <f>O84</f>
        <v>0</v>
      </c>
      <c r="P83" s="7">
        <f>P84</f>
        <v>0</v>
      </c>
      <c r="Q83" s="33">
        <f t="shared" si="29"/>
        <v>1</v>
      </c>
      <c r="R83" s="7">
        <f t="shared" si="30"/>
        <v>0</v>
      </c>
    </row>
    <row r="84" spans="1:18" s="13" customFormat="1" ht="74.25" customHeight="1" x14ac:dyDescent="0.3">
      <c r="A84" s="10">
        <v>3719800</v>
      </c>
      <c r="B84" s="53">
        <v>89</v>
      </c>
      <c r="C84" s="20">
        <v>9800</v>
      </c>
      <c r="D84" s="9" t="s">
        <v>92</v>
      </c>
      <c r="E84" s="16" t="s">
        <v>148</v>
      </c>
      <c r="F84" s="15" t="s">
        <v>146</v>
      </c>
      <c r="G84" s="11" t="s">
        <v>275</v>
      </c>
      <c r="H84" s="18" t="s">
        <v>276</v>
      </c>
      <c r="I84" s="12">
        <f t="shared" si="4"/>
        <v>6000000</v>
      </c>
      <c r="J84" s="12">
        <f>5000000+1000000</f>
        <v>6000000</v>
      </c>
      <c r="K84" s="12"/>
      <c r="L84" s="12"/>
      <c r="M84" s="12">
        <f t="shared" si="25"/>
        <v>6000000</v>
      </c>
      <c r="N84" s="12">
        <v>6000000</v>
      </c>
      <c r="O84" s="12"/>
      <c r="P84" s="12"/>
      <c r="Q84" s="33">
        <f t="shared" si="29"/>
        <v>1</v>
      </c>
      <c r="R84" s="7">
        <f t="shared" si="30"/>
        <v>0</v>
      </c>
    </row>
    <row r="85" spans="1:18" s="8" customFormat="1" ht="53.25" customHeight="1" x14ac:dyDescent="0.3">
      <c r="A85" s="46">
        <v>20</v>
      </c>
      <c r="B85" s="56">
        <v>85</v>
      </c>
      <c r="C85" s="76" t="s">
        <v>277</v>
      </c>
      <c r="D85" s="76"/>
      <c r="E85" s="76"/>
      <c r="F85" s="76"/>
      <c r="G85" s="76"/>
      <c r="H85" s="17" t="s">
        <v>278</v>
      </c>
      <c r="I85" s="7">
        <f t="shared" si="4"/>
        <v>111326724.36</v>
      </c>
      <c r="J85" s="7">
        <f>SUM(J86:J88)</f>
        <v>108339052</v>
      </c>
      <c r="K85" s="7">
        <f>SUM(K86:K88)</f>
        <v>2987672.36</v>
      </c>
      <c r="L85" s="7">
        <f>SUM(L86:L88)</f>
        <v>0</v>
      </c>
      <c r="M85" s="7">
        <f t="shared" si="25"/>
        <v>55520921.899999999</v>
      </c>
      <c r="N85" s="7">
        <f>SUM(N86:N88)</f>
        <v>55520921.899999999</v>
      </c>
      <c r="O85" s="7">
        <f>SUM(O86:O88)</f>
        <v>0</v>
      </c>
      <c r="P85" s="7">
        <f>SUM(P86:P88)</f>
        <v>0</v>
      </c>
      <c r="Q85" s="33">
        <f t="shared" si="29"/>
        <v>0.49872052033490727</v>
      </c>
      <c r="R85" s="7">
        <f t="shared" si="30"/>
        <v>-55805802.460000001</v>
      </c>
    </row>
    <row r="86" spans="1:18" s="13" customFormat="1" ht="166.5" customHeight="1" x14ac:dyDescent="0.3">
      <c r="A86" s="10">
        <v>1217691</v>
      </c>
      <c r="B86" s="59">
        <v>85</v>
      </c>
      <c r="C86" s="10">
        <v>7691</v>
      </c>
      <c r="D86" s="14" t="s">
        <v>139</v>
      </c>
      <c r="E86" s="11" t="s">
        <v>140</v>
      </c>
      <c r="F86" s="51" t="s">
        <v>217</v>
      </c>
      <c r="G86" s="11" t="s">
        <v>279</v>
      </c>
      <c r="H86" s="18" t="s">
        <v>278</v>
      </c>
      <c r="I86" s="12">
        <f t="shared" si="4"/>
        <v>2987672.36</v>
      </c>
      <c r="J86" s="12"/>
      <c r="K86" s="12">
        <f>2807672.36+180000</f>
        <v>2987672.36</v>
      </c>
      <c r="L86" s="12"/>
      <c r="M86" s="12">
        <f t="shared" si="25"/>
        <v>0</v>
      </c>
      <c r="N86" s="12"/>
      <c r="O86" s="12"/>
      <c r="P86" s="12"/>
      <c r="Q86" s="33">
        <f t="shared" si="29"/>
        <v>0</v>
      </c>
      <c r="R86" s="7">
        <f t="shared" si="30"/>
        <v>-2987672.36</v>
      </c>
    </row>
    <row r="87" spans="1:18" s="13" customFormat="1" ht="62.4" x14ac:dyDescent="0.3">
      <c r="A87" s="14" t="s">
        <v>141</v>
      </c>
      <c r="B87" s="50">
        <v>85</v>
      </c>
      <c r="C87" s="14" t="s">
        <v>142</v>
      </c>
      <c r="D87" s="14" t="s">
        <v>139</v>
      </c>
      <c r="E87" s="51" t="s">
        <v>143</v>
      </c>
      <c r="F87" s="51" t="s">
        <v>217</v>
      </c>
      <c r="G87" s="11" t="s">
        <v>279</v>
      </c>
      <c r="H87" s="18" t="s">
        <v>278</v>
      </c>
      <c r="I87" s="12">
        <f t="shared" si="4"/>
        <v>85466781</v>
      </c>
      <c r="J87" s="12">
        <f>53600000+12000000+19266781+600000</f>
        <v>85466781</v>
      </c>
      <c r="K87" s="12"/>
      <c r="L87" s="12"/>
      <c r="M87" s="12">
        <f t="shared" si="25"/>
        <v>50947263.899999999</v>
      </c>
      <c r="N87" s="12">
        <f>5947263.9+31000000+14000000</f>
        <v>50947263.899999999</v>
      </c>
      <c r="O87" s="12"/>
      <c r="P87" s="12"/>
      <c r="Q87" s="33">
        <f t="shared" si="29"/>
        <v>0.59610603446033605</v>
      </c>
      <c r="R87" s="7">
        <f t="shared" si="30"/>
        <v>-34519517.100000001</v>
      </c>
    </row>
    <row r="88" spans="1:18" s="8" customFormat="1" ht="62.4" x14ac:dyDescent="0.3">
      <c r="A88" s="14" t="s">
        <v>144</v>
      </c>
      <c r="B88" s="50">
        <v>85</v>
      </c>
      <c r="C88" s="14" t="s">
        <v>142</v>
      </c>
      <c r="D88" s="14" t="s">
        <v>139</v>
      </c>
      <c r="E88" s="51" t="s">
        <v>143</v>
      </c>
      <c r="F88" s="15" t="s">
        <v>219</v>
      </c>
      <c r="G88" s="11" t="s">
        <v>279</v>
      </c>
      <c r="H88" s="18" t="s">
        <v>278</v>
      </c>
      <c r="I88" s="12">
        <f t="shared" si="4"/>
        <v>22872271</v>
      </c>
      <c r="J88" s="12">
        <f>22049300+791571+31400</f>
        <v>22872271</v>
      </c>
      <c r="K88" s="12"/>
      <c r="L88" s="12"/>
      <c r="M88" s="12">
        <f t="shared" si="25"/>
        <v>4573658</v>
      </c>
      <c r="N88" s="12">
        <f>800072.38+3773585.62</f>
        <v>4573658</v>
      </c>
      <c r="O88" s="12"/>
      <c r="P88" s="12"/>
      <c r="Q88" s="33">
        <f t="shared" si="29"/>
        <v>0.19996518928968618</v>
      </c>
      <c r="R88" s="7">
        <f t="shared" si="30"/>
        <v>-18298613</v>
      </c>
    </row>
    <row r="89" spans="1:18" s="8" customFormat="1" ht="44.25" customHeight="1" x14ac:dyDescent="0.3">
      <c r="A89" s="46">
        <v>21</v>
      </c>
      <c r="B89" s="56">
        <v>92</v>
      </c>
      <c r="C89" s="73" t="s">
        <v>280</v>
      </c>
      <c r="D89" s="74"/>
      <c r="E89" s="74"/>
      <c r="F89" s="74"/>
      <c r="G89" s="75"/>
      <c r="H89" s="17" t="s">
        <v>281</v>
      </c>
      <c r="I89" s="7">
        <f t="shared" si="4"/>
        <v>1625212</v>
      </c>
      <c r="J89" s="7">
        <f>J90</f>
        <v>1625212</v>
      </c>
      <c r="K89" s="7"/>
      <c r="L89" s="7"/>
      <c r="M89" s="7">
        <f t="shared" si="25"/>
        <v>1625212</v>
      </c>
      <c r="N89" s="7">
        <f>N90</f>
        <v>1625212</v>
      </c>
      <c r="O89" s="7"/>
      <c r="P89" s="7"/>
      <c r="Q89" s="33">
        <f t="shared" si="29"/>
        <v>1</v>
      </c>
      <c r="R89" s="7">
        <f t="shared" si="30"/>
        <v>0</v>
      </c>
    </row>
    <row r="90" spans="1:18" s="13" customFormat="1" ht="62.4" x14ac:dyDescent="0.3">
      <c r="A90" s="10">
        <v>3719800</v>
      </c>
      <c r="B90" s="59">
        <v>92</v>
      </c>
      <c r="C90" s="20">
        <v>9800</v>
      </c>
      <c r="D90" s="9" t="s">
        <v>92</v>
      </c>
      <c r="E90" s="16" t="s">
        <v>148</v>
      </c>
      <c r="F90" s="15" t="s">
        <v>146</v>
      </c>
      <c r="G90" s="11" t="s">
        <v>280</v>
      </c>
      <c r="H90" s="18" t="s">
        <v>281</v>
      </c>
      <c r="I90" s="12">
        <f t="shared" si="4"/>
        <v>1625212</v>
      </c>
      <c r="J90" s="12">
        <v>1625212</v>
      </c>
      <c r="K90" s="12"/>
      <c r="L90" s="12"/>
      <c r="M90" s="12">
        <f t="shared" si="25"/>
        <v>1625212</v>
      </c>
      <c r="N90" s="12">
        <v>1625212</v>
      </c>
      <c r="O90" s="12"/>
      <c r="P90" s="12"/>
      <c r="Q90" s="33">
        <f t="shared" si="29"/>
        <v>1</v>
      </c>
      <c r="R90" s="7">
        <f t="shared" si="30"/>
        <v>0</v>
      </c>
    </row>
    <row r="91" spans="1:18" s="8" customFormat="1" ht="59.25" customHeight="1" x14ac:dyDescent="0.3">
      <c r="A91" s="46">
        <v>22</v>
      </c>
      <c r="B91" s="49">
        <v>86</v>
      </c>
      <c r="C91" s="73" t="s">
        <v>282</v>
      </c>
      <c r="D91" s="74"/>
      <c r="E91" s="74"/>
      <c r="F91" s="74"/>
      <c r="G91" s="75"/>
      <c r="H91" s="17" t="s">
        <v>283</v>
      </c>
      <c r="I91" s="7">
        <f t="shared" si="4"/>
        <v>2103000</v>
      </c>
      <c r="J91" s="7">
        <f>J92</f>
        <v>2103000</v>
      </c>
      <c r="K91" s="7">
        <f>K92</f>
        <v>0</v>
      </c>
      <c r="L91" s="7">
        <f>L92</f>
        <v>0</v>
      </c>
      <c r="M91" s="7">
        <f t="shared" si="25"/>
        <v>2103000</v>
      </c>
      <c r="N91" s="7">
        <f>N92</f>
        <v>2103000</v>
      </c>
      <c r="O91" s="7">
        <f>O92</f>
        <v>0</v>
      </c>
      <c r="P91" s="7">
        <f>P92</f>
        <v>0</v>
      </c>
      <c r="Q91" s="33">
        <f t="shared" si="29"/>
        <v>1</v>
      </c>
      <c r="R91" s="7">
        <f t="shared" si="30"/>
        <v>0</v>
      </c>
    </row>
    <row r="92" spans="1:18" s="13" customFormat="1" ht="109.5" customHeight="1" x14ac:dyDescent="0.3">
      <c r="A92" s="10">
        <v>3719770</v>
      </c>
      <c r="B92" s="60">
        <v>86</v>
      </c>
      <c r="C92" s="20">
        <v>9770</v>
      </c>
      <c r="D92" s="9" t="s">
        <v>92</v>
      </c>
      <c r="E92" s="61" t="s">
        <v>147</v>
      </c>
      <c r="F92" s="15" t="s">
        <v>146</v>
      </c>
      <c r="G92" s="11" t="s">
        <v>282</v>
      </c>
      <c r="H92" s="18" t="s">
        <v>283</v>
      </c>
      <c r="I92" s="12">
        <f>J92+K92</f>
        <v>2103000</v>
      </c>
      <c r="J92" s="12">
        <v>2103000</v>
      </c>
      <c r="K92" s="12"/>
      <c r="L92" s="12"/>
      <c r="M92" s="12">
        <f>N92+O92</f>
        <v>2103000</v>
      </c>
      <c r="N92" s="12">
        <v>2103000</v>
      </c>
      <c r="O92" s="12"/>
      <c r="P92" s="12"/>
      <c r="Q92" s="33">
        <f t="shared" si="29"/>
        <v>1</v>
      </c>
      <c r="R92" s="7">
        <f t="shared" si="30"/>
        <v>0</v>
      </c>
    </row>
    <row r="93" spans="1:18" s="8" customFormat="1" ht="37.950000000000003" customHeight="1" x14ac:dyDescent="0.3">
      <c r="A93" s="46">
        <v>23</v>
      </c>
      <c r="B93" s="49">
        <v>84</v>
      </c>
      <c r="C93" s="73" t="s">
        <v>284</v>
      </c>
      <c r="D93" s="74"/>
      <c r="E93" s="74"/>
      <c r="F93" s="74"/>
      <c r="G93" s="75"/>
      <c r="H93" s="17" t="s">
        <v>285</v>
      </c>
      <c r="I93" s="7">
        <f>SUM(J93:K93)</f>
        <v>5862974</v>
      </c>
      <c r="J93" s="7">
        <f>SUM(J94:J99)</f>
        <v>5387974</v>
      </c>
      <c r="K93" s="7">
        <f t="shared" ref="K93:L93" si="31">SUM(K94:K99)</f>
        <v>475000</v>
      </c>
      <c r="L93" s="7">
        <f t="shared" si="31"/>
        <v>0</v>
      </c>
      <c r="M93" s="7">
        <f>SUM(N93:O93)</f>
        <v>1237045</v>
      </c>
      <c r="N93" s="7">
        <f>SUM(N94:N99)</f>
        <v>1017387</v>
      </c>
      <c r="O93" s="7">
        <f t="shared" ref="O93:P93" si="32">SUM(O94:O99)</f>
        <v>219658</v>
      </c>
      <c r="P93" s="7">
        <f t="shared" si="32"/>
        <v>0</v>
      </c>
      <c r="Q93" s="33">
        <f t="shared" si="29"/>
        <v>0.2109927487312753</v>
      </c>
      <c r="R93" s="7">
        <f t="shared" si="30"/>
        <v>-4625929</v>
      </c>
    </row>
    <row r="94" spans="1:18" s="13" customFormat="1" ht="46.8" x14ac:dyDescent="0.3">
      <c r="A94" s="10">
        <v>1011080</v>
      </c>
      <c r="B94" s="59">
        <v>84</v>
      </c>
      <c r="C94" s="20">
        <v>1080</v>
      </c>
      <c r="D94" s="9" t="s">
        <v>93</v>
      </c>
      <c r="E94" s="16" t="s">
        <v>94</v>
      </c>
      <c r="F94" s="15" t="s">
        <v>91</v>
      </c>
      <c r="G94" s="11" t="s">
        <v>284</v>
      </c>
      <c r="H94" s="18" t="s">
        <v>285</v>
      </c>
      <c r="I94" s="12">
        <f>SUM(J94:K94)</f>
        <v>1475000</v>
      </c>
      <c r="J94" s="12">
        <f>260000+740000</f>
        <v>1000000</v>
      </c>
      <c r="K94" s="12">
        <v>475000</v>
      </c>
      <c r="L94" s="12"/>
      <c r="M94" s="12">
        <f>SUM(N94:O94)</f>
        <v>521458</v>
      </c>
      <c r="N94" s="12">
        <v>301800</v>
      </c>
      <c r="O94" s="12">
        <v>219658</v>
      </c>
      <c r="P94" s="12"/>
      <c r="Q94" s="33">
        <f t="shared" si="29"/>
        <v>0.35353084745762714</v>
      </c>
      <c r="R94" s="7">
        <f t="shared" si="30"/>
        <v>-953542</v>
      </c>
    </row>
    <row r="95" spans="1:18" s="13" customFormat="1" ht="46.8" x14ac:dyDescent="0.3">
      <c r="A95" s="10">
        <v>1013242</v>
      </c>
      <c r="B95" s="59">
        <v>84</v>
      </c>
      <c r="C95" s="20">
        <v>3242</v>
      </c>
      <c r="D95" s="9" t="s">
        <v>28</v>
      </c>
      <c r="E95" s="16" t="s">
        <v>286</v>
      </c>
      <c r="F95" s="15" t="s">
        <v>91</v>
      </c>
      <c r="G95" s="11" t="s">
        <v>284</v>
      </c>
      <c r="H95" s="18" t="s">
        <v>285</v>
      </c>
      <c r="I95" s="12">
        <f>SUM(J95:K95)</f>
        <v>48000</v>
      </c>
      <c r="J95" s="12">
        <v>48000</v>
      </c>
      <c r="K95" s="12"/>
      <c r="L95" s="12"/>
      <c r="M95" s="12">
        <f>SUM(N95:O95)</f>
        <v>0</v>
      </c>
      <c r="N95" s="12"/>
      <c r="O95" s="12"/>
      <c r="P95" s="12"/>
      <c r="Q95" s="33">
        <f t="shared" si="29"/>
        <v>0</v>
      </c>
      <c r="R95" s="7">
        <f t="shared" si="30"/>
        <v>-48000</v>
      </c>
    </row>
    <row r="96" spans="1:18" s="13" customFormat="1" ht="46.8" x14ac:dyDescent="0.3">
      <c r="A96" s="14" t="s">
        <v>96</v>
      </c>
      <c r="B96" s="59">
        <v>84</v>
      </c>
      <c r="C96" s="20">
        <v>4030</v>
      </c>
      <c r="D96" s="9" t="s">
        <v>97</v>
      </c>
      <c r="E96" s="16" t="s">
        <v>98</v>
      </c>
      <c r="F96" s="15" t="s">
        <v>91</v>
      </c>
      <c r="G96" s="11" t="s">
        <v>284</v>
      </c>
      <c r="H96" s="18" t="s">
        <v>285</v>
      </c>
      <c r="I96" s="12">
        <f t="shared" ref="I96:I99" si="33">SUM(J96:K96)</f>
        <v>1243675</v>
      </c>
      <c r="J96" s="12">
        <v>1243675</v>
      </c>
      <c r="K96" s="12"/>
      <c r="L96" s="12"/>
      <c r="M96" s="12">
        <f t="shared" ref="M96:M99" si="34">SUM(N96:O96)</f>
        <v>156800</v>
      </c>
      <c r="N96" s="12">
        <v>156800</v>
      </c>
      <c r="O96" s="12"/>
      <c r="P96" s="12"/>
      <c r="Q96" s="33">
        <f t="shared" si="29"/>
        <v>0.12607795444951456</v>
      </c>
      <c r="R96" s="7">
        <f t="shared" si="30"/>
        <v>-1086875</v>
      </c>
    </row>
    <row r="97" spans="1:18" s="13" customFormat="1" ht="46.8" x14ac:dyDescent="0.3">
      <c r="A97" s="14" t="s">
        <v>99</v>
      </c>
      <c r="B97" s="59">
        <v>84</v>
      </c>
      <c r="C97" s="20">
        <v>4040</v>
      </c>
      <c r="D97" s="9" t="s">
        <v>97</v>
      </c>
      <c r="E97" s="16" t="s">
        <v>100</v>
      </c>
      <c r="F97" s="15" t="s">
        <v>91</v>
      </c>
      <c r="G97" s="11" t="s">
        <v>284</v>
      </c>
      <c r="H97" s="18" t="s">
        <v>285</v>
      </c>
      <c r="I97" s="12">
        <f t="shared" si="33"/>
        <v>455000</v>
      </c>
      <c r="J97" s="12">
        <f>455000</f>
        <v>455000</v>
      </c>
      <c r="K97" s="12"/>
      <c r="L97" s="12"/>
      <c r="M97" s="12">
        <f t="shared" si="34"/>
        <v>50400</v>
      </c>
      <c r="N97" s="12">
        <v>50400</v>
      </c>
      <c r="O97" s="12"/>
      <c r="P97" s="12"/>
      <c r="Q97" s="33">
        <f t="shared" si="29"/>
        <v>0.11076923076923077</v>
      </c>
      <c r="R97" s="7">
        <f t="shared" si="30"/>
        <v>-404600</v>
      </c>
    </row>
    <row r="98" spans="1:18" s="13" customFormat="1" ht="68.25" customHeight="1" x14ac:dyDescent="0.3">
      <c r="A98" s="14" t="s">
        <v>101</v>
      </c>
      <c r="B98" s="59">
        <v>84</v>
      </c>
      <c r="C98" s="20">
        <v>4060</v>
      </c>
      <c r="D98" s="9" t="s">
        <v>102</v>
      </c>
      <c r="E98" s="16" t="s">
        <v>103</v>
      </c>
      <c r="F98" s="15" t="s">
        <v>91</v>
      </c>
      <c r="G98" s="11" t="s">
        <v>284</v>
      </c>
      <c r="H98" s="18" t="s">
        <v>285</v>
      </c>
      <c r="I98" s="12">
        <f t="shared" si="33"/>
        <v>1762299</v>
      </c>
      <c r="J98" s="12">
        <v>1762299</v>
      </c>
      <c r="K98" s="12"/>
      <c r="L98" s="12"/>
      <c r="M98" s="12">
        <f t="shared" si="34"/>
        <v>438740</v>
      </c>
      <c r="N98" s="12">
        <v>438740</v>
      </c>
      <c r="O98" s="12"/>
      <c r="P98" s="12"/>
      <c r="Q98" s="33">
        <f t="shared" si="29"/>
        <v>0.24895888836116914</v>
      </c>
      <c r="R98" s="7">
        <f t="shared" si="30"/>
        <v>-1323559</v>
      </c>
    </row>
    <row r="99" spans="1:18" s="13" customFormat="1" ht="46.8" x14ac:dyDescent="0.3">
      <c r="A99" s="14" t="s">
        <v>104</v>
      </c>
      <c r="B99" s="59">
        <v>84</v>
      </c>
      <c r="C99" s="20">
        <v>4082</v>
      </c>
      <c r="D99" s="9" t="s">
        <v>105</v>
      </c>
      <c r="E99" s="16" t="s">
        <v>106</v>
      </c>
      <c r="F99" s="15" t="s">
        <v>91</v>
      </c>
      <c r="G99" s="11" t="s">
        <v>284</v>
      </c>
      <c r="H99" s="18" t="s">
        <v>285</v>
      </c>
      <c r="I99" s="12">
        <f t="shared" si="33"/>
        <v>879000</v>
      </c>
      <c r="J99" s="12">
        <v>879000</v>
      </c>
      <c r="K99" s="12"/>
      <c r="L99" s="12"/>
      <c r="M99" s="12">
        <f t="shared" si="34"/>
        <v>69647</v>
      </c>
      <c r="N99" s="12">
        <v>69647</v>
      </c>
      <c r="O99" s="12"/>
      <c r="P99" s="12"/>
      <c r="Q99" s="33">
        <f t="shared" si="29"/>
        <v>7.9234357224118313E-2</v>
      </c>
      <c r="R99" s="7">
        <f t="shared" si="30"/>
        <v>-809353</v>
      </c>
    </row>
    <row r="100" spans="1:18" s="8" customFormat="1" ht="39.6" customHeight="1" x14ac:dyDescent="0.3">
      <c r="A100" s="46">
        <v>24</v>
      </c>
      <c r="B100" s="49">
        <v>87</v>
      </c>
      <c r="C100" s="73" t="s">
        <v>287</v>
      </c>
      <c r="D100" s="74"/>
      <c r="E100" s="74"/>
      <c r="F100" s="74"/>
      <c r="G100" s="75"/>
      <c r="H100" s="17" t="s">
        <v>288</v>
      </c>
      <c r="I100" s="7">
        <f>SUM(J100:K100)</f>
        <v>82614080</v>
      </c>
      <c r="J100" s="7">
        <f>SUM(J101:J110)</f>
        <v>70163952</v>
      </c>
      <c r="K100" s="7">
        <f>SUM(K101:K110)</f>
        <v>12450128</v>
      </c>
      <c r="L100" s="7">
        <f>SUM(L101:L110)</f>
        <v>12450128</v>
      </c>
      <c r="M100" s="7">
        <f>SUM(N100:O100)</f>
        <v>14856768.25</v>
      </c>
      <c r="N100" s="7">
        <f>SUM(N101:N110)</f>
        <v>14856768.25</v>
      </c>
      <c r="O100" s="7">
        <f>SUM(O101:O110)</f>
        <v>0</v>
      </c>
      <c r="P100" s="7">
        <f>SUM(P101:P110)</f>
        <v>0</v>
      </c>
      <c r="Q100" s="33">
        <f t="shared" si="29"/>
        <v>0.17983336799247779</v>
      </c>
      <c r="R100" s="7">
        <f t="shared" si="30"/>
        <v>-67757311.75</v>
      </c>
    </row>
    <row r="101" spans="1:18" s="13" customFormat="1" ht="53.25" customHeight="1" x14ac:dyDescent="0.3">
      <c r="A101" s="10" t="s">
        <v>42</v>
      </c>
      <c r="B101" s="10">
        <v>87</v>
      </c>
      <c r="C101" s="10" t="s">
        <v>43</v>
      </c>
      <c r="D101" s="10" t="s">
        <v>44</v>
      </c>
      <c r="E101" s="19" t="s">
        <v>45</v>
      </c>
      <c r="F101" s="15" t="s">
        <v>209</v>
      </c>
      <c r="G101" s="11" t="s">
        <v>287</v>
      </c>
      <c r="H101" s="18" t="s">
        <v>288</v>
      </c>
      <c r="I101" s="12">
        <f t="shared" ref="I101:I110" si="35">SUM(J101:K101)</f>
        <v>9081736</v>
      </c>
      <c r="J101" s="12">
        <f>4599000+4000000+202128+385008+1000000+195600-1300000</f>
        <v>9081736</v>
      </c>
      <c r="K101" s="12"/>
      <c r="L101" s="12"/>
      <c r="M101" s="12">
        <f t="shared" ref="M101:M110" si="36">SUM(N101:O101)</f>
        <v>1978558.31</v>
      </c>
      <c r="N101" s="12">
        <v>1978558.31</v>
      </c>
      <c r="O101" s="12"/>
      <c r="P101" s="12"/>
      <c r="Q101" s="33">
        <f t="shared" si="29"/>
        <v>0.21786124481046357</v>
      </c>
      <c r="R101" s="7">
        <f t="shared" si="30"/>
        <v>-7103177.6899999995</v>
      </c>
    </row>
    <row r="102" spans="1:18" s="13" customFormat="1" ht="68.25" customHeight="1" x14ac:dyDescent="0.3">
      <c r="A102" s="10" t="s">
        <v>46</v>
      </c>
      <c r="B102" s="10">
        <v>87</v>
      </c>
      <c r="C102" s="10" t="s">
        <v>47</v>
      </c>
      <c r="D102" s="10" t="s">
        <v>48</v>
      </c>
      <c r="E102" s="19" t="s">
        <v>289</v>
      </c>
      <c r="F102" s="15" t="s">
        <v>209</v>
      </c>
      <c r="G102" s="11" t="s">
        <v>287</v>
      </c>
      <c r="H102" s="18" t="s">
        <v>288</v>
      </c>
      <c r="I102" s="12">
        <f t="shared" si="35"/>
        <v>54339980</v>
      </c>
      <c r="J102" s="12">
        <f>39189700+936000+8691000+571200+1000000+ 3998640+322440+ 2500000+73000+257400+110400-5747800+2438000</f>
        <v>54339980</v>
      </c>
      <c r="K102" s="12"/>
      <c r="L102" s="12"/>
      <c r="M102" s="12">
        <f t="shared" si="36"/>
        <v>11709196.51</v>
      </c>
      <c r="N102" s="12">
        <v>11709196.51</v>
      </c>
      <c r="O102" s="12"/>
      <c r="P102" s="12"/>
      <c r="Q102" s="33">
        <f t="shared" si="29"/>
        <v>0.21548032424745095</v>
      </c>
      <c r="R102" s="7">
        <f t="shared" si="30"/>
        <v>-42630783.490000002</v>
      </c>
    </row>
    <row r="103" spans="1:18" s="13" customFormat="1" ht="93.6" x14ac:dyDescent="0.3">
      <c r="A103" s="10" t="s">
        <v>49</v>
      </c>
      <c r="B103" s="10">
        <v>87</v>
      </c>
      <c r="C103" s="10" t="s">
        <v>50</v>
      </c>
      <c r="D103" s="10" t="s">
        <v>51</v>
      </c>
      <c r="E103" s="19" t="s">
        <v>290</v>
      </c>
      <c r="F103" s="15" t="s">
        <v>209</v>
      </c>
      <c r="G103" s="11" t="s">
        <v>287</v>
      </c>
      <c r="H103" s="18" t="s">
        <v>288</v>
      </c>
      <c r="I103" s="12">
        <f t="shared" si="35"/>
        <v>3699816</v>
      </c>
      <c r="J103" s="12">
        <f>2200000+1218000+548500+10900+395292+39924-712800</f>
        <v>3699816</v>
      </c>
      <c r="K103" s="12"/>
      <c r="L103" s="12"/>
      <c r="M103" s="12">
        <f t="shared" si="36"/>
        <v>498278.35</v>
      </c>
      <c r="N103" s="12">
        <v>498278.35</v>
      </c>
      <c r="O103" s="12"/>
      <c r="P103" s="12"/>
      <c r="Q103" s="33">
        <f t="shared" si="29"/>
        <v>0.13467652175135195</v>
      </c>
      <c r="R103" s="7">
        <f t="shared" si="30"/>
        <v>-3201537.65</v>
      </c>
    </row>
    <row r="104" spans="1:18" s="13" customFormat="1" ht="73.5" customHeight="1" x14ac:dyDescent="0.3">
      <c r="A104" s="9" t="s">
        <v>170</v>
      </c>
      <c r="B104" s="59">
        <v>87</v>
      </c>
      <c r="C104" s="20">
        <v>1070</v>
      </c>
      <c r="D104" s="10" t="s">
        <v>93</v>
      </c>
      <c r="E104" s="16" t="s">
        <v>171</v>
      </c>
      <c r="F104" s="15" t="s">
        <v>209</v>
      </c>
      <c r="G104" s="11" t="s">
        <v>287</v>
      </c>
      <c r="H104" s="18" t="s">
        <v>288</v>
      </c>
      <c r="I104" s="12">
        <f t="shared" si="35"/>
        <v>2225920</v>
      </c>
      <c r="J104" s="12">
        <f>989000+64168+40752+500000+10200+621800</f>
        <v>2225920</v>
      </c>
      <c r="K104" s="12"/>
      <c r="L104" s="12"/>
      <c r="M104" s="12">
        <f t="shared" si="36"/>
        <v>463735.08</v>
      </c>
      <c r="N104" s="12">
        <v>463735.08</v>
      </c>
      <c r="O104" s="12"/>
      <c r="P104" s="12"/>
      <c r="Q104" s="33">
        <f t="shared" si="29"/>
        <v>0.20833411802760207</v>
      </c>
      <c r="R104" s="7">
        <f t="shared" si="30"/>
        <v>-1762184.92</v>
      </c>
    </row>
    <row r="105" spans="1:18" s="13" customFormat="1" ht="62.25" customHeight="1" x14ac:dyDescent="0.3">
      <c r="A105" s="10" t="s">
        <v>291</v>
      </c>
      <c r="B105" s="10">
        <v>87</v>
      </c>
      <c r="C105" s="10" t="s">
        <v>292</v>
      </c>
      <c r="D105" s="10" t="s">
        <v>293</v>
      </c>
      <c r="E105" s="19" t="s">
        <v>294</v>
      </c>
      <c r="F105" s="15" t="s">
        <v>209</v>
      </c>
      <c r="G105" s="11" t="s">
        <v>287</v>
      </c>
      <c r="H105" s="18" t="s">
        <v>288</v>
      </c>
      <c r="I105" s="12">
        <f t="shared" si="35"/>
        <v>16500</v>
      </c>
      <c r="J105" s="12">
        <v>16500</v>
      </c>
      <c r="K105" s="12"/>
      <c r="L105" s="12"/>
      <c r="M105" s="12">
        <f t="shared" si="36"/>
        <v>0</v>
      </c>
      <c r="N105" s="12"/>
      <c r="O105" s="12"/>
      <c r="P105" s="12"/>
      <c r="Q105" s="33">
        <f t="shared" si="29"/>
        <v>0</v>
      </c>
      <c r="R105" s="7">
        <f t="shared" si="30"/>
        <v>-16500</v>
      </c>
    </row>
    <row r="106" spans="1:18" s="13" customFormat="1" ht="46.8" x14ac:dyDescent="0.3">
      <c r="A106" s="10" t="s">
        <v>172</v>
      </c>
      <c r="B106" s="10">
        <v>87</v>
      </c>
      <c r="C106" s="10" t="s">
        <v>173</v>
      </c>
      <c r="D106" s="10" t="s">
        <v>174</v>
      </c>
      <c r="E106" s="19" t="s">
        <v>175</v>
      </c>
      <c r="F106" s="15" t="s">
        <v>209</v>
      </c>
      <c r="G106" s="11" t="s">
        <v>287</v>
      </c>
      <c r="H106" s="18" t="s">
        <v>288</v>
      </c>
      <c r="I106" s="12">
        <f t="shared" si="35"/>
        <v>168500</v>
      </c>
      <c r="J106" s="12">
        <f>114000+51700+2800</f>
        <v>168500</v>
      </c>
      <c r="K106" s="12"/>
      <c r="L106" s="12"/>
      <c r="M106" s="12">
        <f t="shared" si="36"/>
        <v>25100</v>
      </c>
      <c r="N106" s="12">
        <v>25100</v>
      </c>
      <c r="O106" s="12"/>
      <c r="P106" s="12"/>
      <c r="Q106" s="33">
        <f t="shared" si="29"/>
        <v>0.14896142433234422</v>
      </c>
      <c r="R106" s="7">
        <f t="shared" si="30"/>
        <v>-143400</v>
      </c>
    </row>
    <row r="107" spans="1:18" s="13" customFormat="1" ht="60.6" customHeight="1" x14ac:dyDescent="0.3">
      <c r="A107" s="10" t="s">
        <v>176</v>
      </c>
      <c r="B107" s="10">
        <v>87</v>
      </c>
      <c r="C107" s="10" t="s">
        <v>177</v>
      </c>
      <c r="D107" s="10" t="s">
        <v>174</v>
      </c>
      <c r="E107" s="19" t="s">
        <v>178</v>
      </c>
      <c r="F107" s="15" t="s">
        <v>209</v>
      </c>
      <c r="G107" s="11" t="s">
        <v>287</v>
      </c>
      <c r="H107" s="18" t="s">
        <v>288</v>
      </c>
      <c r="I107" s="12">
        <f t="shared" si="35"/>
        <v>217500</v>
      </c>
      <c r="J107" s="12">
        <f>212000+5500</f>
        <v>217500</v>
      </c>
      <c r="K107" s="12"/>
      <c r="L107" s="12"/>
      <c r="M107" s="12">
        <f t="shared" si="36"/>
        <v>63600</v>
      </c>
      <c r="N107" s="12">
        <v>63600</v>
      </c>
      <c r="O107" s="12"/>
      <c r="P107" s="12"/>
      <c r="Q107" s="33">
        <f t="shared" si="29"/>
        <v>0.29241379310344828</v>
      </c>
      <c r="R107" s="7">
        <f t="shared" si="30"/>
        <v>-153900</v>
      </c>
    </row>
    <row r="108" spans="1:18" s="13" customFormat="1" ht="124.8" x14ac:dyDescent="0.3">
      <c r="A108" s="9" t="s">
        <v>179</v>
      </c>
      <c r="B108" s="10">
        <v>87</v>
      </c>
      <c r="C108" s="10">
        <v>1183</v>
      </c>
      <c r="D108" s="9" t="s">
        <v>174</v>
      </c>
      <c r="E108" s="19" t="s">
        <v>180</v>
      </c>
      <c r="F108" s="15" t="s">
        <v>209</v>
      </c>
      <c r="G108" s="11" t="s">
        <v>287</v>
      </c>
      <c r="H108" s="18" t="s">
        <v>288</v>
      </c>
      <c r="I108" s="12">
        <f t="shared" si="35"/>
        <v>606500</v>
      </c>
      <c r="J108" s="12"/>
      <c r="K108" s="12">
        <v>606500</v>
      </c>
      <c r="L108" s="12">
        <v>606500</v>
      </c>
      <c r="M108" s="12">
        <f t="shared" si="36"/>
        <v>0</v>
      </c>
      <c r="N108" s="12"/>
      <c r="O108" s="12"/>
      <c r="P108" s="12"/>
      <c r="Q108" s="33">
        <f t="shared" si="29"/>
        <v>0</v>
      </c>
      <c r="R108" s="7">
        <f t="shared" si="30"/>
        <v>-606500</v>
      </c>
    </row>
    <row r="109" spans="1:18" s="13" customFormat="1" ht="94.5" customHeight="1" x14ac:dyDescent="0.3">
      <c r="A109" s="9" t="s">
        <v>295</v>
      </c>
      <c r="B109" s="10">
        <v>87</v>
      </c>
      <c r="C109" s="10">
        <v>1300</v>
      </c>
      <c r="D109" s="9" t="s">
        <v>174</v>
      </c>
      <c r="E109" s="19" t="s">
        <v>296</v>
      </c>
      <c r="F109" s="15" t="s">
        <v>209</v>
      </c>
      <c r="G109" s="11" t="s">
        <v>287</v>
      </c>
      <c r="H109" s="18" t="s">
        <v>288</v>
      </c>
      <c r="I109" s="12">
        <f t="shared" si="35"/>
        <v>11843628</v>
      </c>
      <c r="J109" s="12"/>
      <c r="K109" s="12">
        <v>11843628</v>
      </c>
      <c r="L109" s="12">
        <v>11843628</v>
      </c>
      <c r="M109" s="12">
        <f t="shared" si="36"/>
        <v>0</v>
      </c>
      <c r="N109" s="12"/>
      <c r="O109" s="12"/>
      <c r="P109" s="12"/>
      <c r="Q109" s="33">
        <f t="shared" si="29"/>
        <v>0</v>
      </c>
      <c r="R109" s="7">
        <f t="shared" si="30"/>
        <v>-11843628</v>
      </c>
    </row>
    <row r="110" spans="1:18" s="13" customFormat="1" ht="72.599999999999994" customHeight="1" x14ac:dyDescent="0.3">
      <c r="A110" s="10" t="s">
        <v>181</v>
      </c>
      <c r="B110" s="10">
        <v>87</v>
      </c>
      <c r="C110" s="10" t="s">
        <v>182</v>
      </c>
      <c r="D110" s="10" t="s">
        <v>113</v>
      </c>
      <c r="E110" s="19" t="s">
        <v>183</v>
      </c>
      <c r="F110" s="15" t="s">
        <v>209</v>
      </c>
      <c r="G110" s="11" t="s">
        <v>287</v>
      </c>
      <c r="H110" s="18" t="s">
        <v>288</v>
      </c>
      <c r="I110" s="12">
        <f t="shared" si="35"/>
        <v>414000</v>
      </c>
      <c r="J110" s="12">
        <f>414000</f>
        <v>414000</v>
      </c>
      <c r="K110" s="12"/>
      <c r="L110" s="12"/>
      <c r="M110" s="12">
        <f t="shared" si="36"/>
        <v>118300</v>
      </c>
      <c r="N110" s="12">
        <v>118300</v>
      </c>
      <c r="O110" s="12"/>
      <c r="P110" s="12"/>
      <c r="Q110" s="33">
        <f t="shared" si="29"/>
        <v>0.2857487922705314</v>
      </c>
      <c r="R110" s="7">
        <f t="shared" si="30"/>
        <v>-295700</v>
      </c>
    </row>
    <row r="111" spans="1:18" s="8" customFormat="1" ht="35.4" customHeight="1" x14ac:dyDescent="0.3">
      <c r="A111" s="46">
        <v>25</v>
      </c>
      <c r="B111" s="49">
        <v>88</v>
      </c>
      <c r="C111" s="73" t="s">
        <v>297</v>
      </c>
      <c r="D111" s="74"/>
      <c r="E111" s="74"/>
      <c r="F111" s="74"/>
      <c r="G111" s="75"/>
      <c r="H111" s="17" t="s">
        <v>298</v>
      </c>
      <c r="I111" s="7">
        <f>SUM(J111:K111)</f>
        <v>4690000</v>
      </c>
      <c r="J111" s="7">
        <f>SUM(J112:J114)</f>
        <v>4690000</v>
      </c>
      <c r="K111" s="7">
        <f t="shared" ref="K111:L111" si="37">SUM(K112:K114)</f>
        <v>0</v>
      </c>
      <c r="L111" s="7">
        <f t="shared" si="37"/>
        <v>0</v>
      </c>
      <c r="M111" s="7">
        <f>SUM(N111:O111)</f>
        <v>0</v>
      </c>
      <c r="N111" s="7">
        <f>SUM(N112:N114)</f>
        <v>0</v>
      </c>
      <c r="O111" s="7">
        <f t="shared" ref="O111:P111" si="38">SUM(O112:O114)</f>
        <v>0</v>
      </c>
      <c r="P111" s="7">
        <f t="shared" si="38"/>
        <v>0</v>
      </c>
      <c r="Q111" s="33">
        <f t="shared" si="29"/>
        <v>0</v>
      </c>
      <c r="R111" s="7">
        <f t="shared" si="30"/>
        <v>-4690000</v>
      </c>
    </row>
    <row r="112" spans="1:18" s="13" customFormat="1" ht="115.5" customHeight="1" x14ac:dyDescent="0.3">
      <c r="A112" s="10" t="s">
        <v>52</v>
      </c>
      <c r="B112" s="10">
        <v>88</v>
      </c>
      <c r="C112" s="10" t="s">
        <v>53</v>
      </c>
      <c r="D112" s="10" t="s">
        <v>54</v>
      </c>
      <c r="E112" s="19" t="s">
        <v>55</v>
      </c>
      <c r="F112" s="15" t="s">
        <v>209</v>
      </c>
      <c r="G112" s="11" t="s">
        <v>297</v>
      </c>
      <c r="H112" s="18" t="s">
        <v>298</v>
      </c>
      <c r="I112" s="12">
        <f>SUM(J112:K112)</f>
        <v>3220000</v>
      </c>
      <c r="J112" s="12">
        <v>3220000</v>
      </c>
      <c r="K112" s="12"/>
      <c r="L112" s="12"/>
      <c r="M112" s="12">
        <f>SUM(N112:O112)</f>
        <v>0</v>
      </c>
      <c r="N112" s="12"/>
      <c r="O112" s="12"/>
      <c r="P112" s="12"/>
      <c r="Q112" s="33">
        <f t="shared" si="29"/>
        <v>0</v>
      </c>
      <c r="R112" s="7">
        <f t="shared" si="30"/>
        <v>-3220000</v>
      </c>
    </row>
    <row r="113" spans="1:18" s="13" customFormat="1" ht="113.25" customHeight="1" x14ac:dyDescent="0.3">
      <c r="A113" s="9" t="s">
        <v>185</v>
      </c>
      <c r="B113" s="10">
        <v>88</v>
      </c>
      <c r="C113" s="10" t="s">
        <v>53</v>
      </c>
      <c r="D113" s="10" t="s">
        <v>54</v>
      </c>
      <c r="E113" s="19" t="s">
        <v>55</v>
      </c>
      <c r="F113" s="15" t="s">
        <v>63</v>
      </c>
      <c r="G113" s="11" t="s">
        <v>297</v>
      </c>
      <c r="H113" s="18" t="s">
        <v>298</v>
      </c>
      <c r="I113" s="12">
        <f t="shared" ref="I113:I129" si="39">SUM(J113:K113)</f>
        <v>1300000</v>
      </c>
      <c r="J113" s="12">
        <v>1300000</v>
      </c>
      <c r="K113" s="12"/>
      <c r="L113" s="12"/>
      <c r="M113" s="12">
        <f t="shared" ref="M113:M129" si="40">SUM(N113:O113)</f>
        <v>0</v>
      </c>
      <c r="N113" s="12"/>
      <c r="O113" s="12"/>
      <c r="P113" s="12"/>
      <c r="Q113" s="33">
        <f t="shared" si="29"/>
        <v>0</v>
      </c>
      <c r="R113" s="7">
        <f t="shared" si="30"/>
        <v>-1300000</v>
      </c>
    </row>
    <row r="114" spans="1:18" s="13" customFormat="1" ht="93.6" x14ac:dyDescent="0.3">
      <c r="A114" s="10" t="s">
        <v>95</v>
      </c>
      <c r="B114" s="10">
        <v>88</v>
      </c>
      <c r="C114" s="10" t="s">
        <v>53</v>
      </c>
      <c r="D114" s="10" t="s">
        <v>54</v>
      </c>
      <c r="E114" s="19" t="s">
        <v>55</v>
      </c>
      <c r="F114" s="15" t="s">
        <v>91</v>
      </c>
      <c r="G114" s="11" t="s">
        <v>297</v>
      </c>
      <c r="H114" s="18" t="s">
        <v>298</v>
      </c>
      <c r="I114" s="12">
        <f t="shared" si="39"/>
        <v>170000</v>
      </c>
      <c r="J114" s="12">
        <v>170000</v>
      </c>
      <c r="K114" s="12"/>
      <c r="L114" s="12"/>
      <c r="M114" s="12">
        <f t="shared" si="40"/>
        <v>0</v>
      </c>
      <c r="N114" s="12"/>
      <c r="O114" s="12"/>
      <c r="P114" s="12"/>
      <c r="Q114" s="33">
        <f t="shared" si="29"/>
        <v>0</v>
      </c>
      <c r="R114" s="7">
        <f t="shared" si="30"/>
        <v>-170000</v>
      </c>
    </row>
    <row r="115" spans="1:18" s="8" customFormat="1" ht="34.950000000000003" customHeight="1" x14ac:dyDescent="0.3">
      <c r="A115" s="46">
        <v>26</v>
      </c>
      <c r="B115" s="49">
        <v>94</v>
      </c>
      <c r="C115" s="73" t="s">
        <v>299</v>
      </c>
      <c r="D115" s="74"/>
      <c r="E115" s="74"/>
      <c r="F115" s="74"/>
      <c r="G115" s="75"/>
      <c r="H115" s="17" t="s">
        <v>300</v>
      </c>
      <c r="I115" s="7">
        <f t="shared" si="39"/>
        <v>1097600</v>
      </c>
      <c r="J115" s="7">
        <f>SUM(J116)</f>
        <v>1097600</v>
      </c>
      <c r="K115" s="7">
        <f t="shared" ref="K115:L115" si="41">SUM(K116)</f>
        <v>0</v>
      </c>
      <c r="L115" s="7">
        <f t="shared" si="41"/>
        <v>0</v>
      </c>
      <c r="M115" s="7">
        <f t="shared" si="40"/>
        <v>0</v>
      </c>
      <c r="N115" s="7">
        <f>SUM(N116)</f>
        <v>0</v>
      </c>
      <c r="O115" s="7">
        <f t="shared" ref="O115:P115" si="42">SUM(O116)</f>
        <v>0</v>
      </c>
      <c r="P115" s="7">
        <f t="shared" si="42"/>
        <v>0</v>
      </c>
      <c r="Q115" s="33">
        <f t="shared" si="29"/>
        <v>0</v>
      </c>
      <c r="R115" s="7">
        <f t="shared" si="30"/>
        <v>-1097600</v>
      </c>
    </row>
    <row r="116" spans="1:18" s="13" customFormat="1" ht="78" customHeight="1" x14ac:dyDescent="0.3">
      <c r="A116" s="10" t="s">
        <v>84</v>
      </c>
      <c r="B116" s="10">
        <v>94</v>
      </c>
      <c r="C116" s="10" t="s">
        <v>85</v>
      </c>
      <c r="D116" s="10" t="s">
        <v>86</v>
      </c>
      <c r="E116" s="19" t="s">
        <v>301</v>
      </c>
      <c r="F116" s="15" t="s">
        <v>63</v>
      </c>
      <c r="G116" s="11" t="s">
        <v>299</v>
      </c>
      <c r="H116" s="18" t="s">
        <v>300</v>
      </c>
      <c r="I116" s="12">
        <f t="shared" si="39"/>
        <v>1097600</v>
      </c>
      <c r="J116" s="12">
        <v>1097600</v>
      </c>
      <c r="K116" s="12"/>
      <c r="L116" s="12"/>
      <c r="M116" s="12">
        <f t="shared" si="40"/>
        <v>0</v>
      </c>
      <c r="N116" s="12"/>
      <c r="O116" s="12"/>
      <c r="P116" s="12"/>
      <c r="Q116" s="33">
        <f t="shared" si="29"/>
        <v>0</v>
      </c>
      <c r="R116" s="7">
        <f t="shared" si="30"/>
        <v>-1097600</v>
      </c>
    </row>
    <row r="117" spans="1:18" s="8" customFormat="1" ht="54" customHeight="1" x14ac:dyDescent="0.3">
      <c r="A117" s="46">
        <v>27</v>
      </c>
      <c r="B117" s="49">
        <v>95</v>
      </c>
      <c r="C117" s="73" t="s">
        <v>302</v>
      </c>
      <c r="D117" s="74"/>
      <c r="E117" s="74"/>
      <c r="F117" s="74"/>
      <c r="G117" s="75"/>
      <c r="H117" s="17" t="s">
        <v>303</v>
      </c>
      <c r="I117" s="7">
        <f t="shared" si="39"/>
        <v>51538100</v>
      </c>
      <c r="J117" s="7">
        <f>SUM(J118:J129)</f>
        <v>51538100</v>
      </c>
      <c r="K117" s="7">
        <f>SUM(K118:K129)</f>
        <v>0</v>
      </c>
      <c r="L117" s="7">
        <f>SUM(L118:L129)</f>
        <v>0</v>
      </c>
      <c r="M117" s="7">
        <f t="shared" si="40"/>
        <v>7376468.6699999999</v>
      </c>
      <c r="N117" s="7">
        <f>SUM(N118:N129)</f>
        <v>7376468.6699999999</v>
      </c>
      <c r="O117" s="7">
        <f>SUM(O118:O129)</f>
        <v>0</v>
      </c>
      <c r="P117" s="7">
        <f>SUM(P118:P129)</f>
        <v>0</v>
      </c>
      <c r="Q117" s="33">
        <f t="shared" si="29"/>
        <v>0.14312651552928804</v>
      </c>
      <c r="R117" s="7">
        <f t="shared" si="30"/>
        <v>-44161631.329999998</v>
      </c>
    </row>
    <row r="118" spans="1:18" s="13" customFormat="1" ht="62.4" x14ac:dyDescent="0.3">
      <c r="A118" s="52" t="s">
        <v>26</v>
      </c>
      <c r="B118" s="13">
        <v>95</v>
      </c>
      <c r="C118" s="14" t="s">
        <v>27</v>
      </c>
      <c r="D118" s="14" t="s">
        <v>28</v>
      </c>
      <c r="E118" s="62" t="s">
        <v>286</v>
      </c>
      <c r="F118" s="51" t="s">
        <v>215</v>
      </c>
      <c r="G118" s="11" t="s">
        <v>302</v>
      </c>
      <c r="H118" s="18" t="s">
        <v>303</v>
      </c>
      <c r="I118" s="12">
        <f t="shared" si="39"/>
        <v>3500000</v>
      </c>
      <c r="J118" s="12">
        <v>3500000</v>
      </c>
      <c r="K118" s="12"/>
      <c r="L118" s="12"/>
      <c r="M118" s="12">
        <f t="shared" si="40"/>
        <v>615500</v>
      </c>
      <c r="N118" s="12">
        <v>615500</v>
      </c>
      <c r="O118" s="12"/>
      <c r="P118" s="12"/>
      <c r="Q118" s="33">
        <f t="shared" si="29"/>
        <v>0.17585714285714285</v>
      </c>
      <c r="R118" s="7">
        <f t="shared" si="30"/>
        <v>-2884500</v>
      </c>
    </row>
    <row r="119" spans="1:18" s="13" customFormat="1" ht="62.4" x14ac:dyDescent="0.3">
      <c r="A119" s="52" t="s">
        <v>56</v>
      </c>
      <c r="B119" s="13">
        <v>95</v>
      </c>
      <c r="C119" s="14" t="s">
        <v>27</v>
      </c>
      <c r="D119" s="14" t="s">
        <v>28</v>
      </c>
      <c r="E119" s="62" t="s">
        <v>286</v>
      </c>
      <c r="F119" s="15" t="s">
        <v>209</v>
      </c>
      <c r="G119" s="11" t="s">
        <v>302</v>
      </c>
      <c r="H119" s="18" t="s">
        <v>303</v>
      </c>
      <c r="I119" s="12">
        <f t="shared" si="39"/>
        <v>356400</v>
      </c>
      <c r="J119" s="12">
        <v>356400</v>
      </c>
      <c r="K119" s="12"/>
      <c r="L119" s="12"/>
      <c r="M119" s="12">
        <f t="shared" si="40"/>
        <v>0</v>
      </c>
      <c r="N119" s="12"/>
      <c r="O119" s="12"/>
      <c r="P119" s="12"/>
      <c r="Q119" s="33">
        <f t="shared" si="29"/>
        <v>0</v>
      </c>
      <c r="R119" s="7">
        <f t="shared" si="30"/>
        <v>-356400</v>
      </c>
    </row>
    <row r="120" spans="1:18" s="13" customFormat="1" ht="62.4" x14ac:dyDescent="0.3">
      <c r="A120" s="14" t="s">
        <v>65</v>
      </c>
      <c r="B120" s="14" t="s">
        <v>304</v>
      </c>
      <c r="C120" s="14" t="s">
        <v>66</v>
      </c>
      <c r="D120" s="14" t="s">
        <v>64</v>
      </c>
      <c r="E120" s="63" t="s">
        <v>67</v>
      </c>
      <c r="F120" s="15" t="s">
        <v>63</v>
      </c>
      <c r="G120" s="11" t="s">
        <v>302</v>
      </c>
      <c r="H120" s="18" t="s">
        <v>303</v>
      </c>
      <c r="I120" s="12">
        <f t="shared" si="39"/>
        <v>3400</v>
      </c>
      <c r="J120" s="12">
        <v>3400</v>
      </c>
      <c r="K120" s="12"/>
      <c r="L120" s="12"/>
      <c r="M120" s="12">
        <f t="shared" si="40"/>
        <v>964.96</v>
      </c>
      <c r="N120" s="12">
        <v>964.96</v>
      </c>
      <c r="O120" s="12"/>
      <c r="P120" s="12"/>
      <c r="Q120" s="33">
        <f t="shared" si="29"/>
        <v>0.28381176470588237</v>
      </c>
      <c r="R120" s="7">
        <f t="shared" si="30"/>
        <v>-2435.04</v>
      </c>
    </row>
    <row r="121" spans="1:18" s="13" customFormat="1" ht="62.4" x14ac:dyDescent="0.3">
      <c r="A121" s="14" t="s">
        <v>305</v>
      </c>
      <c r="B121" s="14" t="s">
        <v>304</v>
      </c>
      <c r="C121" s="14" t="s">
        <v>306</v>
      </c>
      <c r="D121" s="14" t="s">
        <v>86</v>
      </c>
      <c r="E121" s="63" t="s">
        <v>307</v>
      </c>
      <c r="F121" s="15" t="s">
        <v>63</v>
      </c>
      <c r="G121" s="11" t="s">
        <v>302</v>
      </c>
      <c r="H121" s="18" t="s">
        <v>303</v>
      </c>
      <c r="I121" s="12">
        <f t="shared" si="39"/>
        <v>161000</v>
      </c>
      <c r="J121" s="12">
        <f>8000+153000</f>
        <v>161000</v>
      </c>
      <c r="K121" s="12"/>
      <c r="L121" s="12"/>
      <c r="M121" s="12">
        <f t="shared" si="40"/>
        <v>0</v>
      </c>
      <c r="N121" s="12"/>
      <c r="O121" s="12"/>
      <c r="P121" s="12"/>
      <c r="Q121" s="33">
        <f t="shared" si="29"/>
        <v>0</v>
      </c>
      <c r="R121" s="7">
        <f t="shared" si="30"/>
        <v>-161000</v>
      </c>
    </row>
    <row r="122" spans="1:18" s="13" customFormat="1" ht="62.4" x14ac:dyDescent="0.3">
      <c r="A122" s="14" t="s">
        <v>68</v>
      </c>
      <c r="B122" s="14" t="s">
        <v>304</v>
      </c>
      <c r="C122" s="14" t="s">
        <v>69</v>
      </c>
      <c r="D122" s="14" t="s">
        <v>54</v>
      </c>
      <c r="E122" s="64" t="s">
        <v>70</v>
      </c>
      <c r="F122" s="15" t="s">
        <v>63</v>
      </c>
      <c r="G122" s="11" t="s">
        <v>302</v>
      </c>
      <c r="H122" s="18" t="s">
        <v>303</v>
      </c>
      <c r="I122" s="12">
        <f t="shared" si="39"/>
        <v>493800</v>
      </c>
      <c r="J122" s="12">
        <f>945800-452000</f>
        <v>493800</v>
      </c>
      <c r="K122" s="12"/>
      <c r="L122" s="12"/>
      <c r="M122" s="12">
        <f t="shared" si="40"/>
        <v>14750</v>
      </c>
      <c r="N122" s="12">
        <v>14750</v>
      </c>
      <c r="O122" s="12"/>
      <c r="P122" s="12"/>
      <c r="Q122" s="33">
        <f t="shared" si="29"/>
        <v>2.9870392871607938E-2</v>
      </c>
      <c r="R122" s="7">
        <f t="shared" si="30"/>
        <v>-479050</v>
      </c>
    </row>
    <row r="123" spans="1:18" s="13" customFormat="1" ht="62.4" x14ac:dyDescent="0.3">
      <c r="A123" s="14" t="s">
        <v>71</v>
      </c>
      <c r="B123" s="14" t="s">
        <v>304</v>
      </c>
      <c r="C123" s="14" t="s">
        <v>72</v>
      </c>
      <c r="D123" s="14" t="s">
        <v>54</v>
      </c>
      <c r="E123" s="51" t="s">
        <v>73</v>
      </c>
      <c r="F123" s="15" t="s">
        <v>63</v>
      </c>
      <c r="G123" s="11" t="s">
        <v>302</v>
      </c>
      <c r="H123" s="18" t="s">
        <v>303</v>
      </c>
      <c r="I123" s="12">
        <f t="shared" si="39"/>
        <v>507500</v>
      </c>
      <c r="J123" s="12">
        <v>507500</v>
      </c>
      <c r="K123" s="12"/>
      <c r="L123" s="12"/>
      <c r="M123" s="12">
        <f t="shared" si="40"/>
        <v>0</v>
      </c>
      <c r="N123" s="12"/>
      <c r="O123" s="12"/>
      <c r="P123" s="12"/>
      <c r="Q123" s="33">
        <f t="shared" si="29"/>
        <v>0</v>
      </c>
      <c r="R123" s="7">
        <f t="shared" si="30"/>
        <v>-507500</v>
      </c>
    </row>
    <row r="124" spans="1:18" s="13" customFormat="1" ht="127.5" customHeight="1" x14ac:dyDescent="0.3">
      <c r="A124" s="14" t="s">
        <v>74</v>
      </c>
      <c r="B124" s="14" t="s">
        <v>304</v>
      </c>
      <c r="C124" s="14" t="s">
        <v>75</v>
      </c>
      <c r="D124" s="14" t="s">
        <v>43</v>
      </c>
      <c r="E124" s="64" t="s">
        <v>76</v>
      </c>
      <c r="F124" s="15" t="s">
        <v>63</v>
      </c>
      <c r="G124" s="11" t="s">
        <v>302</v>
      </c>
      <c r="H124" s="18" t="s">
        <v>303</v>
      </c>
      <c r="I124" s="12">
        <f t="shared" si="39"/>
        <v>2900000</v>
      </c>
      <c r="J124" s="12">
        <v>2900000</v>
      </c>
      <c r="K124" s="12"/>
      <c r="L124" s="12"/>
      <c r="M124" s="12">
        <f t="shared" si="40"/>
        <v>546965.72</v>
      </c>
      <c r="N124" s="12">
        <v>546965.72</v>
      </c>
      <c r="O124" s="12"/>
      <c r="P124" s="12"/>
      <c r="Q124" s="33">
        <f t="shared" si="29"/>
        <v>0.18860886896551723</v>
      </c>
      <c r="R124" s="7">
        <f t="shared" si="30"/>
        <v>-2353034.2800000003</v>
      </c>
    </row>
    <row r="125" spans="1:18" s="13" customFormat="1" ht="93.6" x14ac:dyDescent="0.3">
      <c r="A125" s="14" t="s">
        <v>77</v>
      </c>
      <c r="B125" s="14" t="s">
        <v>304</v>
      </c>
      <c r="C125" s="14" t="s">
        <v>78</v>
      </c>
      <c r="D125" s="14" t="s">
        <v>79</v>
      </c>
      <c r="E125" s="64" t="s">
        <v>80</v>
      </c>
      <c r="F125" s="15" t="s">
        <v>63</v>
      </c>
      <c r="G125" s="11" t="s">
        <v>302</v>
      </c>
      <c r="H125" s="18" t="s">
        <v>303</v>
      </c>
      <c r="I125" s="12">
        <f t="shared" si="39"/>
        <v>1120000</v>
      </c>
      <c r="J125" s="12">
        <v>1120000</v>
      </c>
      <c r="K125" s="12"/>
      <c r="L125" s="12"/>
      <c r="M125" s="12">
        <f t="shared" si="40"/>
        <v>217433.09</v>
      </c>
      <c r="N125" s="12">
        <v>217433.09</v>
      </c>
      <c r="O125" s="12"/>
      <c r="P125" s="12"/>
      <c r="Q125" s="33">
        <f t="shared" si="29"/>
        <v>0.19413668749999999</v>
      </c>
      <c r="R125" s="7">
        <f t="shared" si="30"/>
        <v>-902566.91</v>
      </c>
    </row>
    <row r="126" spans="1:18" s="13" customFormat="1" ht="87.75" customHeight="1" x14ac:dyDescent="0.3">
      <c r="A126" s="14" t="s">
        <v>81</v>
      </c>
      <c r="B126" s="14" t="s">
        <v>304</v>
      </c>
      <c r="C126" s="14" t="s">
        <v>82</v>
      </c>
      <c r="D126" s="14" t="s">
        <v>64</v>
      </c>
      <c r="E126" s="64" t="s">
        <v>83</v>
      </c>
      <c r="F126" s="15" t="s">
        <v>63</v>
      </c>
      <c r="G126" s="11" t="s">
        <v>302</v>
      </c>
      <c r="H126" s="18" t="s">
        <v>303</v>
      </c>
      <c r="I126" s="12">
        <f t="shared" si="39"/>
        <v>71000</v>
      </c>
      <c r="J126" s="12">
        <v>71000</v>
      </c>
      <c r="K126" s="12"/>
      <c r="L126" s="12"/>
      <c r="M126" s="12">
        <f t="shared" si="40"/>
        <v>12109.2</v>
      </c>
      <c r="N126" s="12">
        <v>12109.2</v>
      </c>
      <c r="O126" s="12"/>
      <c r="P126" s="12"/>
      <c r="Q126" s="33">
        <f t="shared" si="29"/>
        <v>0.17055211267605636</v>
      </c>
      <c r="R126" s="7">
        <f t="shared" si="30"/>
        <v>-58890.8</v>
      </c>
    </row>
    <row r="127" spans="1:18" s="13" customFormat="1" ht="62.4" x14ac:dyDescent="0.3">
      <c r="A127" s="14" t="s">
        <v>87</v>
      </c>
      <c r="B127" s="14" t="s">
        <v>304</v>
      </c>
      <c r="C127" s="14" t="s">
        <v>27</v>
      </c>
      <c r="D127" s="14" t="s">
        <v>28</v>
      </c>
      <c r="E127" s="62" t="s">
        <v>286</v>
      </c>
      <c r="F127" s="15" t="s">
        <v>63</v>
      </c>
      <c r="G127" s="11" t="s">
        <v>302</v>
      </c>
      <c r="H127" s="18" t="s">
        <v>303</v>
      </c>
      <c r="I127" s="12">
        <f t="shared" si="39"/>
        <v>39789600</v>
      </c>
      <c r="J127" s="12">
        <f>59503000-19713400</f>
        <v>39789600</v>
      </c>
      <c r="K127" s="12"/>
      <c r="L127" s="12"/>
      <c r="M127" s="12">
        <f t="shared" si="40"/>
        <v>5367845.7</v>
      </c>
      <c r="N127" s="12">
        <v>5367845.7</v>
      </c>
      <c r="O127" s="12"/>
      <c r="P127" s="12"/>
      <c r="Q127" s="33">
        <f t="shared" si="29"/>
        <v>0.13490574672778818</v>
      </c>
      <c r="R127" s="7">
        <f t="shared" si="30"/>
        <v>-34421754.299999997</v>
      </c>
    </row>
    <row r="128" spans="1:18" s="13" customFormat="1" ht="62.4" x14ac:dyDescent="0.3">
      <c r="A128" s="9" t="s">
        <v>88</v>
      </c>
      <c r="B128" s="10">
        <v>95</v>
      </c>
      <c r="C128" s="10" t="s">
        <v>89</v>
      </c>
      <c r="D128" s="10" t="s">
        <v>54</v>
      </c>
      <c r="E128" s="19" t="s">
        <v>90</v>
      </c>
      <c r="F128" s="15" t="s">
        <v>218</v>
      </c>
      <c r="G128" s="11" t="s">
        <v>302</v>
      </c>
      <c r="H128" s="18" t="s">
        <v>303</v>
      </c>
      <c r="I128" s="12">
        <f t="shared" si="39"/>
        <v>313600</v>
      </c>
      <c r="J128" s="12">
        <v>313600</v>
      </c>
      <c r="K128" s="12"/>
      <c r="L128" s="12"/>
      <c r="M128" s="12">
        <f t="shared" si="40"/>
        <v>4000</v>
      </c>
      <c r="N128" s="12">
        <v>4000</v>
      </c>
      <c r="O128" s="12"/>
      <c r="P128" s="12"/>
      <c r="Q128" s="33">
        <f t="shared" si="29"/>
        <v>1.2755102040816327E-2</v>
      </c>
      <c r="R128" s="7">
        <f t="shared" si="30"/>
        <v>-309600</v>
      </c>
    </row>
    <row r="129" spans="1:18" s="13" customFormat="1" ht="62.4" x14ac:dyDescent="0.3">
      <c r="A129" s="10">
        <v>3719770</v>
      </c>
      <c r="B129" s="20">
        <v>95</v>
      </c>
      <c r="C129" s="20">
        <v>9770</v>
      </c>
      <c r="D129" s="9" t="s">
        <v>92</v>
      </c>
      <c r="E129" s="61" t="s">
        <v>147</v>
      </c>
      <c r="F129" s="15" t="s">
        <v>146</v>
      </c>
      <c r="G129" s="11" t="s">
        <v>302</v>
      </c>
      <c r="H129" s="18" t="s">
        <v>303</v>
      </c>
      <c r="I129" s="12">
        <f t="shared" si="39"/>
        <v>2321800</v>
      </c>
      <c r="J129" s="12">
        <f>2300000+21800</f>
        <v>2321800</v>
      </c>
      <c r="K129" s="12"/>
      <c r="L129" s="12"/>
      <c r="M129" s="12">
        <f t="shared" si="40"/>
        <v>596900</v>
      </c>
      <c r="N129" s="12">
        <v>596900</v>
      </c>
      <c r="O129" s="12"/>
      <c r="P129" s="12"/>
      <c r="Q129" s="33">
        <f t="shared" si="29"/>
        <v>0.25708502024291496</v>
      </c>
      <c r="R129" s="7">
        <f t="shared" si="30"/>
        <v>-1724900</v>
      </c>
    </row>
    <row r="130" spans="1:18" s="8" customFormat="1" ht="44.4" customHeight="1" x14ac:dyDescent="0.3">
      <c r="A130" s="46">
        <v>28</v>
      </c>
      <c r="B130" s="49">
        <v>96</v>
      </c>
      <c r="C130" s="73" t="s">
        <v>308</v>
      </c>
      <c r="D130" s="74"/>
      <c r="E130" s="74"/>
      <c r="F130" s="74"/>
      <c r="G130" s="75"/>
      <c r="H130" s="17" t="s">
        <v>309</v>
      </c>
      <c r="I130" s="7">
        <f>SUM(J130:K130)</f>
        <v>600000</v>
      </c>
      <c r="J130" s="7">
        <f>SUM(J131)</f>
        <v>600000</v>
      </c>
      <c r="K130" s="7">
        <f t="shared" ref="K130:L130" si="43">SUM(K131)</f>
        <v>0</v>
      </c>
      <c r="L130" s="7">
        <f t="shared" si="43"/>
        <v>0</v>
      </c>
      <c r="M130" s="7">
        <f>SUM(N130:O130)</f>
        <v>0</v>
      </c>
      <c r="N130" s="7">
        <f>SUM(N131)</f>
        <v>0</v>
      </c>
      <c r="O130" s="7">
        <f t="shared" ref="O130:P130" si="44">SUM(O131)</f>
        <v>0</v>
      </c>
      <c r="P130" s="7">
        <f t="shared" si="44"/>
        <v>0</v>
      </c>
      <c r="Q130" s="33">
        <f t="shared" si="29"/>
        <v>0</v>
      </c>
      <c r="R130" s="7">
        <f t="shared" si="30"/>
        <v>-600000</v>
      </c>
    </row>
    <row r="131" spans="1:18" s="13" customFormat="1" ht="62.4" x14ac:dyDescent="0.3">
      <c r="A131" s="14" t="s">
        <v>22</v>
      </c>
      <c r="B131" s="14" t="s">
        <v>310</v>
      </c>
      <c r="C131" s="14" t="s">
        <v>23</v>
      </c>
      <c r="D131" s="14" t="s">
        <v>24</v>
      </c>
      <c r="E131" s="65" t="s">
        <v>25</v>
      </c>
      <c r="F131" s="15" t="s">
        <v>215</v>
      </c>
      <c r="G131" s="11" t="s">
        <v>308</v>
      </c>
      <c r="H131" s="18" t="s">
        <v>309</v>
      </c>
      <c r="I131" s="12">
        <f>SUM(J131:K131)</f>
        <v>600000</v>
      </c>
      <c r="J131" s="12">
        <v>600000</v>
      </c>
      <c r="K131" s="12"/>
      <c r="L131" s="12"/>
      <c r="M131" s="12">
        <f>SUM(N131:O131)</f>
        <v>0</v>
      </c>
      <c r="N131" s="12"/>
      <c r="O131" s="12"/>
      <c r="P131" s="12"/>
      <c r="Q131" s="33">
        <f t="shared" si="29"/>
        <v>0</v>
      </c>
      <c r="R131" s="7">
        <f t="shared" si="30"/>
        <v>-600000</v>
      </c>
    </row>
    <row r="132" spans="1:18" s="8" customFormat="1" ht="59.25" customHeight="1" x14ac:dyDescent="0.3">
      <c r="A132" s="46">
        <v>29</v>
      </c>
      <c r="B132" s="49">
        <v>97</v>
      </c>
      <c r="C132" s="73" t="s">
        <v>311</v>
      </c>
      <c r="D132" s="74"/>
      <c r="E132" s="74"/>
      <c r="F132" s="74"/>
      <c r="G132" s="75"/>
      <c r="H132" s="17" t="s">
        <v>312</v>
      </c>
      <c r="I132" s="7">
        <f>SUM(J132:K132)</f>
        <v>90607503.209999993</v>
      </c>
      <c r="J132" s="7">
        <f>SUM(J133:J142)</f>
        <v>14551250</v>
      </c>
      <c r="K132" s="7">
        <f t="shared" ref="K132:L132" si="45">SUM(K133:K142)</f>
        <v>76056253.209999993</v>
      </c>
      <c r="L132" s="7">
        <f t="shared" si="45"/>
        <v>74421962.5</v>
      </c>
      <c r="M132" s="7">
        <f>SUM(N132:O132)</f>
        <v>11175219.600000001</v>
      </c>
      <c r="N132" s="7">
        <f>SUM(N133:N142)</f>
        <v>2678182.5300000003</v>
      </c>
      <c r="O132" s="7">
        <f t="shared" ref="O132:P132" si="46">SUM(O133:O142)</f>
        <v>8497037.0700000003</v>
      </c>
      <c r="P132" s="7">
        <f t="shared" si="46"/>
        <v>6862746.3600000003</v>
      </c>
      <c r="Q132" s="33">
        <f t="shared" si="29"/>
        <v>0.12333658035029749</v>
      </c>
      <c r="R132" s="7">
        <f t="shared" si="30"/>
        <v>-79432283.609999985</v>
      </c>
    </row>
    <row r="133" spans="1:18" s="13" customFormat="1" ht="93.6" x14ac:dyDescent="0.3">
      <c r="A133" s="9" t="s">
        <v>163</v>
      </c>
      <c r="B133" s="59">
        <v>97</v>
      </c>
      <c r="C133" s="20">
        <v>8110</v>
      </c>
      <c r="D133" s="9" t="s">
        <v>61</v>
      </c>
      <c r="E133" s="16" t="s">
        <v>62</v>
      </c>
      <c r="F133" s="15" t="s">
        <v>215</v>
      </c>
      <c r="G133" s="11" t="s">
        <v>313</v>
      </c>
      <c r="H133" s="18" t="s">
        <v>312</v>
      </c>
      <c r="I133" s="12">
        <f t="shared" ref="I133:I142" si="47">SUM(J133:K133)</f>
        <v>1800450</v>
      </c>
      <c r="J133" s="12">
        <f>1658000+206500-64050</f>
        <v>1800450</v>
      </c>
      <c r="K133" s="12"/>
      <c r="L133" s="12"/>
      <c r="M133" s="12">
        <f t="shared" ref="M133:M142" si="48">SUM(N133:O133)</f>
        <v>205900</v>
      </c>
      <c r="N133" s="12">
        <f>177900+15000+13000</f>
        <v>205900</v>
      </c>
      <c r="O133" s="12"/>
      <c r="P133" s="12"/>
      <c r="Q133" s="33">
        <f t="shared" si="29"/>
        <v>0.11436029881418534</v>
      </c>
      <c r="R133" s="7">
        <f t="shared" si="30"/>
        <v>-1594550</v>
      </c>
    </row>
    <row r="134" spans="1:18" s="13" customFormat="1" ht="93.6" x14ac:dyDescent="0.3">
      <c r="A134" s="9" t="s">
        <v>60</v>
      </c>
      <c r="B134" s="59">
        <v>97</v>
      </c>
      <c r="C134" s="20">
        <v>8110</v>
      </c>
      <c r="D134" s="9" t="s">
        <v>61</v>
      </c>
      <c r="E134" s="16" t="s">
        <v>62</v>
      </c>
      <c r="F134" s="15" t="s">
        <v>209</v>
      </c>
      <c r="G134" s="11" t="s">
        <v>313</v>
      </c>
      <c r="H134" s="18" t="s">
        <v>312</v>
      </c>
      <c r="I134" s="12">
        <f t="shared" si="47"/>
        <v>8055800</v>
      </c>
      <c r="J134" s="12">
        <f>667550+6694750+1300000-606500</f>
        <v>8055800</v>
      </c>
      <c r="K134" s="12"/>
      <c r="L134" s="12"/>
      <c r="M134" s="12">
        <f t="shared" si="48"/>
        <v>1315483.75</v>
      </c>
      <c r="N134" s="12">
        <v>1315483.75</v>
      </c>
      <c r="O134" s="12"/>
      <c r="P134" s="12"/>
      <c r="Q134" s="33">
        <f t="shared" si="29"/>
        <v>0.16329647583107823</v>
      </c>
      <c r="R134" s="7">
        <f t="shared" si="30"/>
        <v>-6740316.25</v>
      </c>
    </row>
    <row r="135" spans="1:18" s="13" customFormat="1" ht="93.6" x14ac:dyDescent="0.3">
      <c r="A135" s="9" t="s">
        <v>314</v>
      </c>
      <c r="B135" s="59">
        <v>97</v>
      </c>
      <c r="C135" s="20">
        <v>8110</v>
      </c>
      <c r="D135" s="9" t="s">
        <v>61</v>
      </c>
      <c r="E135" s="16" t="s">
        <v>62</v>
      </c>
      <c r="F135" s="15" t="s">
        <v>63</v>
      </c>
      <c r="G135" s="11" t="s">
        <v>313</v>
      </c>
      <c r="H135" s="18" t="s">
        <v>312</v>
      </c>
      <c r="I135" s="12">
        <f t="shared" si="47"/>
        <v>60000</v>
      </c>
      <c r="J135" s="12">
        <v>60000</v>
      </c>
      <c r="K135" s="12"/>
      <c r="L135" s="12"/>
      <c r="M135" s="12">
        <f t="shared" si="48"/>
        <v>0</v>
      </c>
      <c r="N135" s="12"/>
      <c r="O135" s="12"/>
      <c r="P135" s="12"/>
      <c r="Q135" s="33">
        <f t="shared" si="29"/>
        <v>0</v>
      </c>
      <c r="R135" s="7">
        <f t="shared" si="30"/>
        <v>-60000</v>
      </c>
    </row>
    <row r="136" spans="1:18" s="13" customFormat="1" ht="93.6" x14ac:dyDescent="0.3">
      <c r="A136" s="9" t="s">
        <v>315</v>
      </c>
      <c r="B136" s="59">
        <v>97</v>
      </c>
      <c r="C136" s="20">
        <v>8110</v>
      </c>
      <c r="D136" s="9" t="s">
        <v>61</v>
      </c>
      <c r="E136" s="16" t="s">
        <v>62</v>
      </c>
      <c r="F136" s="15" t="s">
        <v>91</v>
      </c>
      <c r="G136" s="11" t="s">
        <v>313</v>
      </c>
      <c r="H136" s="18" t="s">
        <v>312</v>
      </c>
      <c r="I136" s="12">
        <f t="shared" si="47"/>
        <v>65000</v>
      </c>
      <c r="J136" s="12">
        <f>65000+550000-550000</f>
        <v>65000</v>
      </c>
      <c r="K136" s="12"/>
      <c r="L136" s="12"/>
      <c r="M136" s="12">
        <f t="shared" si="48"/>
        <v>53100</v>
      </c>
      <c r="N136" s="12">
        <v>53100</v>
      </c>
      <c r="O136" s="12"/>
      <c r="P136" s="12"/>
      <c r="Q136" s="33">
        <f t="shared" si="29"/>
        <v>0.81692307692307697</v>
      </c>
      <c r="R136" s="7">
        <f t="shared" si="30"/>
        <v>-11900</v>
      </c>
    </row>
    <row r="137" spans="1:18" s="13" customFormat="1" ht="93.6" x14ac:dyDescent="0.3">
      <c r="A137" s="9" t="s">
        <v>316</v>
      </c>
      <c r="B137" s="59">
        <v>97</v>
      </c>
      <c r="C137" s="20">
        <v>8110</v>
      </c>
      <c r="D137" s="9" t="s">
        <v>61</v>
      </c>
      <c r="E137" s="16" t="s">
        <v>62</v>
      </c>
      <c r="F137" s="15" t="s">
        <v>217</v>
      </c>
      <c r="G137" s="11" t="s">
        <v>313</v>
      </c>
      <c r="H137" s="18" t="s">
        <v>312</v>
      </c>
      <c r="I137" s="12">
        <f t="shared" si="47"/>
        <v>2300000</v>
      </c>
      <c r="J137" s="12">
        <v>2300000</v>
      </c>
      <c r="K137" s="12"/>
      <c r="L137" s="12"/>
      <c r="M137" s="12">
        <f t="shared" si="48"/>
        <v>1038989.49</v>
      </c>
      <c r="N137" s="12">
        <v>1038989.49</v>
      </c>
      <c r="O137" s="12"/>
      <c r="P137" s="12"/>
      <c r="Q137" s="33">
        <f t="shared" si="29"/>
        <v>0.4517345608695652</v>
      </c>
      <c r="R137" s="7">
        <f t="shared" si="30"/>
        <v>-1261010.51</v>
      </c>
    </row>
    <row r="138" spans="1:18" s="13" customFormat="1" ht="93.6" x14ac:dyDescent="0.3">
      <c r="A138" s="9" t="s">
        <v>317</v>
      </c>
      <c r="B138" s="59">
        <v>97</v>
      </c>
      <c r="C138" s="20">
        <v>1300</v>
      </c>
      <c r="D138" s="9" t="s">
        <v>174</v>
      </c>
      <c r="E138" s="16" t="s">
        <v>296</v>
      </c>
      <c r="F138" s="15" t="s">
        <v>214</v>
      </c>
      <c r="G138" s="11" t="s">
        <v>313</v>
      </c>
      <c r="H138" s="18" t="s">
        <v>312</v>
      </c>
      <c r="I138" s="12">
        <f t="shared" si="47"/>
        <v>67371232.5</v>
      </c>
      <c r="J138" s="12"/>
      <c r="K138" s="12">
        <v>67371232.5</v>
      </c>
      <c r="L138" s="12">
        <v>67371232.5</v>
      </c>
      <c r="M138" s="12">
        <f t="shared" si="48"/>
        <v>6862746.3600000003</v>
      </c>
      <c r="N138" s="12"/>
      <c r="O138" s="12">
        <v>6862746.3600000003</v>
      </c>
      <c r="P138" s="12">
        <v>6862746.3600000003</v>
      </c>
      <c r="Q138" s="33">
        <f t="shared" si="29"/>
        <v>0.10186464022311006</v>
      </c>
      <c r="R138" s="7">
        <f t="shared" si="30"/>
        <v>-60508486.140000001</v>
      </c>
    </row>
    <row r="139" spans="1:18" s="13" customFormat="1" ht="93.6" x14ac:dyDescent="0.3">
      <c r="A139" s="9" t="s">
        <v>318</v>
      </c>
      <c r="B139" s="59">
        <v>97</v>
      </c>
      <c r="C139" s="20">
        <v>2171</v>
      </c>
      <c r="D139" s="9" t="s">
        <v>24</v>
      </c>
      <c r="E139" s="16" t="s">
        <v>195</v>
      </c>
      <c r="F139" s="15" t="s">
        <v>214</v>
      </c>
      <c r="G139" s="11" t="s">
        <v>313</v>
      </c>
      <c r="H139" s="18" t="s">
        <v>312</v>
      </c>
      <c r="I139" s="12">
        <f t="shared" si="47"/>
        <v>7050730</v>
      </c>
      <c r="J139" s="12"/>
      <c r="K139" s="12">
        <v>7050730</v>
      </c>
      <c r="L139" s="12">
        <v>7050730</v>
      </c>
      <c r="M139" s="12">
        <f t="shared" si="48"/>
        <v>0</v>
      </c>
      <c r="N139" s="12"/>
      <c r="O139" s="12"/>
      <c r="P139" s="12"/>
      <c r="Q139" s="33">
        <f t="shared" si="29"/>
        <v>0</v>
      </c>
      <c r="R139" s="7">
        <f t="shared" si="30"/>
        <v>-7050730</v>
      </c>
    </row>
    <row r="140" spans="1:18" s="13" customFormat="1" ht="140.4" x14ac:dyDescent="0.3">
      <c r="A140" s="9" t="s">
        <v>319</v>
      </c>
      <c r="B140" s="59">
        <v>97</v>
      </c>
      <c r="C140" s="20">
        <v>7691</v>
      </c>
      <c r="D140" s="9" t="s">
        <v>139</v>
      </c>
      <c r="E140" s="16" t="s">
        <v>140</v>
      </c>
      <c r="F140" s="15" t="s">
        <v>214</v>
      </c>
      <c r="G140" s="11" t="s">
        <v>313</v>
      </c>
      <c r="H140" s="18" t="s">
        <v>312</v>
      </c>
      <c r="I140" s="12">
        <f t="shared" si="47"/>
        <v>1634290.71</v>
      </c>
      <c r="J140" s="12"/>
      <c r="K140" s="12">
        <v>1634290.71</v>
      </c>
      <c r="L140" s="12"/>
      <c r="M140" s="12">
        <f t="shared" si="48"/>
        <v>1634290.71</v>
      </c>
      <c r="N140" s="12"/>
      <c r="O140" s="12">
        <v>1634290.71</v>
      </c>
      <c r="P140" s="12"/>
      <c r="Q140" s="33">
        <f t="shared" si="29"/>
        <v>1</v>
      </c>
      <c r="R140" s="7">
        <f t="shared" si="30"/>
        <v>0</v>
      </c>
    </row>
    <row r="141" spans="1:18" s="13" customFormat="1" ht="93.6" x14ac:dyDescent="0.3">
      <c r="A141" s="9" t="s">
        <v>197</v>
      </c>
      <c r="B141" s="59">
        <v>97</v>
      </c>
      <c r="C141" s="20">
        <v>8110</v>
      </c>
      <c r="D141" s="9" t="s">
        <v>61</v>
      </c>
      <c r="E141" s="16" t="s">
        <v>62</v>
      </c>
      <c r="F141" s="15" t="s">
        <v>214</v>
      </c>
      <c r="G141" s="11" t="s">
        <v>313</v>
      </c>
      <c r="H141" s="18" t="s">
        <v>312</v>
      </c>
      <c r="I141" s="12">
        <f t="shared" si="47"/>
        <v>270000</v>
      </c>
      <c r="J141" s="12">
        <v>270000</v>
      </c>
      <c r="K141" s="12"/>
      <c r="L141" s="12"/>
      <c r="M141" s="12">
        <f t="shared" si="48"/>
        <v>64709.29</v>
      </c>
      <c r="N141" s="12">
        <v>64709.29</v>
      </c>
      <c r="O141" s="12"/>
      <c r="P141" s="12"/>
      <c r="Q141" s="33">
        <f t="shared" ref="Q141:Q148" si="49">M141/I141</f>
        <v>0.23966403703703704</v>
      </c>
      <c r="R141" s="7">
        <f t="shared" ref="R141:R148" si="50">M141-I141</f>
        <v>-205290.71</v>
      </c>
    </row>
    <row r="142" spans="1:18" s="13" customFormat="1" ht="93.6" x14ac:dyDescent="0.3">
      <c r="A142" s="9" t="s">
        <v>270</v>
      </c>
      <c r="B142" s="59">
        <v>97</v>
      </c>
      <c r="C142" s="20">
        <v>9800</v>
      </c>
      <c r="D142" s="9" t="s">
        <v>92</v>
      </c>
      <c r="E142" s="16" t="s">
        <v>148</v>
      </c>
      <c r="F142" s="15" t="s">
        <v>146</v>
      </c>
      <c r="G142" s="11" t="s">
        <v>313</v>
      </c>
      <c r="H142" s="18" t="s">
        <v>312</v>
      </c>
      <c r="I142" s="12">
        <f t="shared" si="47"/>
        <v>2000000</v>
      </c>
      <c r="J142" s="12">
        <v>2000000</v>
      </c>
      <c r="K142" s="12"/>
      <c r="L142" s="12"/>
      <c r="M142" s="12">
        <f t="shared" si="48"/>
        <v>0</v>
      </c>
      <c r="N142" s="12"/>
      <c r="O142" s="12"/>
      <c r="P142" s="12"/>
      <c r="Q142" s="33">
        <f t="shared" si="49"/>
        <v>0</v>
      </c>
      <c r="R142" s="7">
        <f t="shared" si="50"/>
        <v>-2000000</v>
      </c>
    </row>
    <row r="143" spans="1:18" s="8" customFormat="1" ht="59.25" customHeight="1" x14ac:dyDescent="0.3">
      <c r="A143" s="46">
        <v>30</v>
      </c>
      <c r="B143" s="49">
        <v>100</v>
      </c>
      <c r="C143" s="73" t="s">
        <v>320</v>
      </c>
      <c r="D143" s="74"/>
      <c r="E143" s="74"/>
      <c r="F143" s="74"/>
      <c r="G143" s="75"/>
      <c r="H143" s="17" t="s">
        <v>321</v>
      </c>
      <c r="I143" s="7">
        <f>SUM(J143:K143)</f>
        <v>500000</v>
      </c>
      <c r="J143" s="7">
        <f>SUM(J144)</f>
        <v>500000</v>
      </c>
      <c r="K143" s="7">
        <f t="shared" ref="K143:L143" si="51">SUM(K144)</f>
        <v>0</v>
      </c>
      <c r="L143" s="7">
        <f t="shared" si="51"/>
        <v>0</v>
      </c>
      <c r="M143" s="7">
        <f>SUM(N143:O143)</f>
        <v>0</v>
      </c>
      <c r="N143" s="7">
        <f>SUM(N144)</f>
        <v>0</v>
      </c>
      <c r="O143" s="7">
        <f t="shared" ref="O143:P143" si="52">SUM(O144)</f>
        <v>0</v>
      </c>
      <c r="P143" s="7">
        <f t="shared" si="52"/>
        <v>0</v>
      </c>
      <c r="Q143" s="33">
        <f t="shared" si="49"/>
        <v>0</v>
      </c>
      <c r="R143" s="7">
        <f t="shared" si="50"/>
        <v>-500000</v>
      </c>
    </row>
    <row r="144" spans="1:18" s="13" customFormat="1" ht="93.6" x14ac:dyDescent="0.3">
      <c r="A144" s="10">
        <v>1216017</v>
      </c>
      <c r="B144" s="59">
        <v>100</v>
      </c>
      <c r="C144" s="20">
        <v>6017</v>
      </c>
      <c r="D144" s="9" t="s">
        <v>125</v>
      </c>
      <c r="E144" s="16" t="s">
        <v>322</v>
      </c>
      <c r="F144" s="15" t="s">
        <v>217</v>
      </c>
      <c r="G144" s="11" t="s">
        <v>320</v>
      </c>
      <c r="H144" s="18" t="s">
        <v>321</v>
      </c>
      <c r="I144" s="12">
        <f>SUM(J144:K144)</f>
        <v>500000</v>
      </c>
      <c r="J144" s="12">
        <v>500000</v>
      </c>
      <c r="K144" s="12"/>
      <c r="L144" s="12"/>
      <c r="M144" s="12">
        <f>SUM(N144:O144)</f>
        <v>0</v>
      </c>
      <c r="N144" s="12"/>
      <c r="O144" s="12"/>
      <c r="P144" s="12"/>
      <c r="Q144" s="33">
        <f t="shared" si="49"/>
        <v>0</v>
      </c>
      <c r="R144" s="7">
        <f t="shared" si="50"/>
        <v>-500000</v>
      </c>
    </row>
    <row r="145" spans="1:18" s="8" customFormat="1" ht="59.25" customHeight="1" x14ac:dyDescent="0.3">
      <c r="A145" s="46">
        <v>31</v>
      </c>
      <c r="B145" s="49"/>
      <c r="C145" s="73" t="s">
        <v>323</v>
      </c>
      <c r="D145" s="74"/>
      <c r="E145" s="74"/>
      <c r="F145" s="74"/>
      <c r="G145" s="75"/>
      <c r="H145" s="17" t="s">
        <v>324</v>
      </c>
      <c r="I145" s="7">
        <f>J145+K145</f>
        <v>500000</v>
      </c>
      <c r="J145" s="7">
        <f>J146</f>
        <v>500000</v>
      </c>
      <c r="K145" s="7"/>
      <c r="L145" s="7"/>
      <c r="M145" s="7">
        <f>N145+O145</f>
        <v>0</v>
      </c>
      <c r="N145" s="7">
        <f>N146</f>
        <v>0</v>
      </c>
      <c r="O145" s="7"/>
      <c r="P145" s="7"/>
      <c r="Q145" s="33">
        <f t="shared" si="49"/>
        <v>0</v>
      </c>
      <c r="R145" s="7">
        <f t="shared" si="50"/>
        <v>-500000</v>
      </c>
    </row>
    <row r="146" spans="1:18" s="13" customFormat="1" ht="62.4" x14ac:dyDescent="0.3">
      <c r="A146" s="9" t="s">
        <v>325</v>
      </c>
      <c r="B146" s="59"/>
      <c r="C146" s="20">
        <v>7610</v>
      </c>
      <c r="D146" s="9" t="s">
        <v>326</v>
      </c>
      <c r="E146" s="16" t="s">
        <v>327</v>
      </c>
      <c r="F146" s="15" t="s">
        <v>215</v>
      </c>
      <c r="G146" s="11" t="s">
        <v>323</v>
      </c>
      <c r="H146" s="18" t="s">
        <v>324</v>
      </c>
      <c r="I146" s="12">
        <f>J146+K146</f>
        <v>500000</v>
      </c>
      <c r="J146" s="12">
        <v>500000</v>
      </c>
      <c r="K146" s="12"/>
      <c r="L146" s="12"/>
      <c r="M146" s="12">
        <f>N146+O146</f>
        <v>0</v>
      </c>
      <c r="N146" s="12"/>
      <c r="O146" s="12"/>
      <c r="P146" s="12"/>
      <c r="Q146" s="33">
        <f t="shared" si="49"/>
        <v>0</v>
      </c>
      <c r="R146" s="7">
        <f t="shared" si="50"/>
        <v>-500000</v>
      </c>
    </row>
    <row r="147" spans="1:18" s="13" customFormat="1" ht="15.6" x14ac:dyDescent="0.3">
      <c r="A147" s="10"/>
      <c r="B147" s="59"/>
      <c r="C147" s="20"/>
      <c r="D147" s="9"/>
      <c r="E147" s="16"/>
      <c r="F147" s="15"/>
      <c r="G147" s="11"/>
      <c r="H147" s="18"/>
      <c r="I147" s="12"/>
      <c r="J147" s="12"/>
      <c r="K147" s="12"/>
      <c r="L147" s="12"/>
      <c r="M147" s="12"/>
      <c r="N147" s="12"/>
      <c r="O147" s="12"/>
      <c r="P147" s="12"/>
      <c r="Q147" s="33"/>
      <c r="R147" s="7"/>
    </row>
    <row r="148" spans="1:18" s="22" customFormat="1" ht="17.399999999999999" x14ac:dyDescent="0.3">
      <c r="A148" s="78" t="s">
        <v>150</v>
      </c>
      <c r="B148" s="78"/>
      <c r="C148" s="78"/>
      <c r="D148" s="78"/>
      <c r="E148" s="78"/>
      <c r="F148" s="78"/>
      <c r="G148" s="78"/>
      <c r="H148" s="78"/>
      <c r="I148" s="21">
        <f>I12+I14+I16+I19+I30+I32+I43+I45+I47+I49+I51+I55+I57+I60+I66+I69+I76+I81+I83+I85+I89+I91+I93+I100+I111+I115+I117+I130+I132+I143+I145</f>
        <v>762247198.74000001</v>
      </c>
      <c r="J148" s="21">
        <f t="shared" ref="J148:L148" si="53">J12+J14+J16+J19+J30+J32+J43+J45+J47+J49+J51+J55+J57+J60+J66+J69+J76+J81+J83+J85+J89+J91+J93+J100+J111+J115+J117+J130+J132+J143+J145</f>
        <v>609852173</v>
      </c>
      <c r="K148" s="21">
        <f t="shared" si="53"/>
        <v>152395025.74000001</v>
      </c>
      <c r="L148" s="21">
        <f t="shared" si="53"/>
        <v>139392263.5</v>
      </c>
      <c r="M148" s="21">
        <f>M12+M14+M16+M19+M30+M32+M43+M45+M47+M49+M51+M55+M57+M60+M66+M69+M76+M81+M83+M85+M89+M91+M93+M100+M111+M115+M117+M130+M132+M143+M145</f>
        <v>157043490.85999998</v>
      </c>
      <c r="N148" s="21">
        <f t="shared" ref="N148:P148" si="54">N12+N14+N16+N19+N30+N32+N43+N45+N47+N49+N51+N55+N57+N60+N66+N69+N76+N81+N83+N85+N89+N91+N93+N100+N111+N115+N117+N130+N132+N143+N145</f>
        <v>146897350.00999999</v>
      </c>
      <c r="O148" s="21">
        <f t="shared" si="54"/>
        <v>10146140.85</v>
      </c>
      <c r="P148" s="21">
        <f t="shared" si="54"/>
        <v>8286301.0800000001</v>
      </c>
      <c r="Q148" s="33">
        <f t="shared" si="49"/>
        <v>0.20602698326683783</v>
      </c>
      <c r="R148" s="7">
        <f t="shared" si="50"/>
        <v>-605203707.88</v>
      </c>
    </row>
    <row r="149" spans="1:18" s="25" customFormat="1" ht="18" x14ac:dyDescent="0.3">
      <c r="A149" s="22"/>
      <c r="B149" s="22"/>
      <c r="C149" s="22"/>
      <c r="D149" s="22"/>
      <c r="E149" s="23"/>
      <c r="F149" s="23"/>
      <c r="G149" s="23"/>
      <c r="H149" s="22"/>
      <c r="I149" s="24"/>
      <c r="J149" s="24"/>
      <c r="K149" s="24"/>
      <c r="L149" s="24"/>
      <c r="M149" s="24"/>
      <c r="N149" s="24"/>
      <c r="O149" s="24"/>
      <c r="P149" s="24"/>
    </row>
    <row r="150" spans="1:18" s="29" customFormat="1" ht="15.6" x14ac:dyDescent="0.3">
      <c r="A150" s="26"/>
      <c r="B150" s="13"/>
      <c r="C150" s="13"/>
      <c r="D150" s="26"/>
      <c r="E150" s="27" t="s">
        <v>151</v>
      </c>
      <c r="F150" s="27"/>
      <c r="G150" s="28"/>
      <c r="H150" s="13" t="s">
        <v>152</v>
      </c>
      <c r="I150" s="13"/>
      <c r="J150" s="13"/>
      <c r="K150" s="13"/>
      <c r="L150" s="13"/>
      <c r="M150" s="13"/>
      <c r="N150" s="13"/>
      <c r="O150" s="13"/>
      <c r="P150" s="13"/>
      <c r="R150" s="66"/>
    </row>
    <row r="151" spans="1:18" x14ac:dyDescent="0.3">
      <c r="I151" s="30"/>
      <c r="J151" s="30"/>
      <c r="K151" s="30"/>
      <c r="L151" s="30"/>
      <c r="M151" s="30"/>
      <c r="N151" s="30"/>
      <c r="O151" s="30"/>
      <c r="P151" s="30"/>
    </row>
    <row r="152" spans="1:18" ht="18" x14ac:dyDescent="0.35">
      <c r="G152" s="34" t="s">
        <v>328</v>
      </c>
      <c r="H152" s="35"/>
      <c r="I152" s="36">
        <f>I17+I20+I33+I44+I48+I70+I71+I72+I73+I74+I75+I77+I78+I82+I118+I131+I133+I146</f>
        <v>107194975</v>
      </c>
      <c r="J152" s="36">
        <f t="shared" ref="J152:L152" si="55">J17+J20+J33+J44+J48+J70+J71+J72+J73+J74+J75+J77+J78+J82+J118+J131+J133+J146</f>
        <v>100998057</v>
      </c>
      <c r="K152" s="36">
        <f t="shared" si="55"/>
        <v>6196918</v>
      </c>
      <c r="L152" s="36">
        <f t="shared" si="55"/>
        <v>6096918</v>
      </c>
      <c r="M152" s="36">
        <f>M17+M20+M33+M44+M48+M70+M71+M72+M73+M74+M75+M77+M78+M82+M118+M131+M133+M146</f>
        <v>17287519.670000002</v>
      </c>
      <c r="N152" s="36">
        <f t="shared" ref="N152:P152" si="56">N17+N20+N33+N44+N48+N70+N71+N72+N73+N74+N75+N77+N78+N82+N118+N131+N133+N146</f>
        <v>17287519.670000002</v>
      </c>
      <c r="O152" s="36">
        <f t="shared" si="56"/>
        <v>0</v>
      </c>
      <c r="P152" s="36">
        <f t="shared" si="56"/>
        <v>0</v>
      </c>
      <c r="Q152" s="39">
        <f t="shared" ref="Q152:Q163" si="57">M152/I152</f>
        <v>0.16127173563872749</v>
      </c>
      <c r="R152" s="36">
        <f t="shared" ref="R152:R163" si="58">M152-I152</f>
        <v>-89907455.329999998</v>
      </c>
    </row>
    <row r="153" spans="1:18" ht="18" x14ac:dyDescent="0.35">
      <c r="G153" s="34" t="s">
        <v>329</v>
      </c>
      <c r="H153" s="35"/>
      <c r="I153" s="36">
        <f t="shared" ref="I153:P153" si="59">I13+I21+I67+I101+I102+I103+I104+I105+I106+I107+I108+I109+I110+I112+I119+I134</f>
        <v>97542880</v>
      </c>
      <c r="J153" s="36">
        <f t="shared" si="59"/>
        <v>85092752</v>
      </c>
      <c r="K153" s="36">
        <f t="shared" si="59"/>
        <v>12450128</v>
      </c>
      <c r="L153" s="36">
        <f t="shared" si="59"/>
        <v>12450128</v>
      </c>
      <c r="M153" s="36">
        <f t="shared" si="59"/>
        <v>16650293.85</v>
      </c>
      <c r="N153" s="36">
        <f t="shared" si="59"/>
        <v>16650293.85</v>
      </c>
      <c r="O153" s="36">
        <f t="shared" si="59"/>
        <v>0</v>
      </c>
      <c r="P153" s="36">
        <f t="shared" si="59"/>
        <v>0</v>
      </c>
      <c r="Q153" s="39">
        <f t="shared" si="57"/>
        <v>0.1706971728741247</v>
      </c>
      <c r="R153" s="36">
        <f t="shared" si="58"/>
        <v>-80892586.150000006</v>
      </c>
    </row>
    <row r="154" spans="1:18" ht="18" x14ac:dyDescent="0.35">
      <c r="G154" s="34" t="s">
        <v>330</v>
      </c>
      <c r="H154" s="35"/>
      <c r="I154" s="36">
        <f t="shared" ref="I154:P154" si="60">I22+I58+I68+I113+I116+I120+I121+I122+I123+I124+I125+I126+I127+I135</f>
        <v>71522900</v>
      </c>
      <c r="J154" s="36">
        <f t="shared" si="60"/>
        <v>71522900</v>
      </c>
      <c r="K154" s="36">
        <f t="shared" si="60"/>
        <v>0</v>
      </c>
      <c r="L154" s="36">
        <f t="shared" si="60"/>
        <v>0</v>
      </c>
      <c r="M154" s="36">
        <f t="shared" si="60"/>
        <v>11379740.27</v>
      </c>
      <c r="N154" s="36">
        <f t="shared" si="60"/>
        <v>11379740.27</v>
      </c>
      <c r="O154" s="36">
        <f t="shared" si="60"/>
        <v>0</v>
      </c>
      <c r="P154" s="36">
        <f t="shared" si="60"/>
        <v>0</v>
      </c>
      <c r="Q154" s="39">
        <f t="shared" si="57"/>
        <v>0.15910624806880033</v>
      </c>
      <c r="R154" s="36">
        <f t="shared" si="58"/>
        <v>-60143159.730000004</v>
      </c>
    </row>
    <row r="155" spans="1:18" ht="18" x14ac:dyDescent="0.35">
      <c r="G155" s="34" t="s">
        <v>331</v>
      </c>
      <c r="H155" s="35"/>
      <c r="I155" s="36">
        <f t="shared" ref="I155:P155" si="61">I23+I31+I128</f>
        <v>347000</v>
      </c>
      <c r="J155" s="36">
        <f t="shared" si="61"/>
        <v>347000</v>
      </c>
      <c r="K155" s="36">
        <f t="shared" si="61"/>
        <v>0</v>
      </c>
      <c r="L155" s="36">
        <f t="shared" si="61"/>
        <v>0</v>
      </c>
      <c r="M155" s="36">
        <f t="shared" si="61"/>
        <v>8334</v>
      </c>
      <c r="N155" s="36">
        <f t="shared" si="61"/>
        <v>8334</v>
      </c>
      <c r="O155" s="36">
        <f t="shared" si="61"/>
        <v>0</v>
      </c>
      <c r="P155" s="36">
        <f t="shared" si="61"/>
        <v>0</v>
      </c>
      <c r="Q155" s="39">
        <f t="shared" si="57"/>
        <v>2.401729106628242E-2</v>
      </c>
      <c r="R155" s="36">
        <f t="shared" si="58"/>
        <v>-338666</v>
      </c>
    </row>
    <row r="156" spans="1:18" ht="18" x14ac:dyDescent="0.35">
      <c r="G156" s="34" t="s">
        <v>332</v>
      </c>
      <c r="H156" s="35"/>
      <c r="I156" s="36">
        <f t="shared" ref="I156:P156" si="62">I24+I94+I95+I96+I97+I98+I99+I114+I136</f>
        <v>6332974</v>
      </c>
      <c r="J156" s="36">
        <f t="shared" si="62"/>
        <v>5857974</v>
      </c>
      <c r="K156" s="36">
        <f t="shared" si="62"/>
        <v>475000</v>
      </c>
      <c r="L156" s="36">
        <f t="shared" si="62"/>
        <v>0</v>
      </c>
      <c r="M156" s="36">
        <f t="shared" si="62"/>
        <v>1349860</v>
      </c>
      <c r="N156" s="36">
        <f t="shared" si="62"/>
        <v>1130202</v>
      </c>
      <c r="O156" s="36">
        <f t="shared" si="62"/>
        <v>219658</v>
      </c>
      <c r="P156" s="36">
        <f t="shared" si="62"/>
        <v>0</v>
      </c>
      <c r="Q156" s="39">
        <f t="shared" si="57"/>
        <v>0.21314788281145636</v>
      </c>
      <c r="R156" s="36">
        <f t="shared" si="58"/>
        <v>-4983114</v>
      </c>
    </row>
    <row r="157" spans="1:18" ht="18" x14ac:dyDescent="0.35">
      <c r="G157" s="34" t="s">
        <v>333</v>
      </c>
      <c r="H157" s="35"/>
      <c r="I157" s="36">
        <f t="shared" ref="I157:P157" si="63">I25+I59+I61+I62+I64+I63+I65</f>
        <v>21152245.859999999</v>
      </c>
      <c r="J157" s="36">
        <f t="shared" si="63"/>
        <v>16811250</v>
      </c>
      <c r="K157" s="36">
        <f t="shared" si="63"/>
        <v>4340995.8600000003</v>
      </c>
      <c r="L157" s="36">
        <f t="shared" si="63"/>
        <v>0</v>
      </c>
      <c r="M157" s="36">
        <f t="shared" si="63"/>
        <v>1385373.1</v>
      </c>
      <c r="N157" s="36">
        <f t="shared" si="63"/>
        <v>1385373.1</v>
      </c>
      <c r="O157" s="36">
        <f t="shared" si="63"/>
        <v>0</v>
      </c>
      <c r="P157" s="36">
        <f t="shared" si="63"/>
        <v>0</v>
      </c>
      <c r="Q157" s="39">
        <f t="shared" si="57"/>
        <v>6.5495319464861784E-2</v>
      </c>
      <c r="R157" s="36">
        <f t="shared" si="58"/>
        <v>-19766872.759999998</v>
      </c>
    </row>
    <row r="158" spans="1:18" ht="18" x14ac:dyDescent="0.35">
      <c r="G158" s="34" t="s">
        <v>334</v>
      </c>
      <c r="H158" s="35"/>
      <c r="I158" s="36">
        <f t="shared" ref="I158:P158" si="64">I18+I26+I34+I35+I36+I37+I38+I39+I40+I41+I50+I52+I53+I54+I86+I87+I137+I144</f>
        <v>240757232.66999999</v>
      </c>
      <c r="J158" s="36">
        <f t="shared" si="64"/>
        <v>229188257</v>
      </c>
      <c r="K158" s="36">
        <f t="shared" si="64"/>
        <v>11568975.67</v>
      </c>
      <c r="L158" s="36">
        <f t="shared" si="64"/>
        <v>5116500</v>
      </c>
      <c r="M158" s="36">
        <f t="shared" si="64"/>
        <v>77798350.249999985</v>
      </c>
      <c r="N158" s="36">
        <f t="shared" si="64"/>
        <v>77792459.189999983</v>
      </c>
      <c r="O158" s="36">
        <f t="shared" si="64"/>
        <v>5891.06</v>
      </c>
      <c r="P158" s="36">
        <f t="shared" si="64"/>
        <v>0</v>
      </c>
      <c r="Q158" s="39">
        <f t="shared" si="57"/>
        <v>0.32314024125969359</v>
      </c>
      <c r="R158" s="36">
        <f t="shared" si="58"/>
        <v>-162958882.42000002</v>
      </c>
    </row>
    <row r="159" spans="1:18" ht="18" x14ac:dyDescent="0.35">
      <c r="G159" s="34" t="s">
        <v>335</v>
      </c>
      <c r="H159" s="35"/>
      <c r="I159" s="36">
        <f t="shared" ref="I159:P159" si="65">I15+I27+I42+I138+I139+I140+I141</f>
        <v>117717008.20999999</v>
      </c>
      <c r="J159" s="36">
        <f t="shared" si="65"/>
        <v>354000</v>
      </c>
      <c r="K159" s="36">
        <f t="shared" si="65"/>
        <v>117363008.20999999</v>
      </c>
      <c r="L159" s="36">
        <f t="shared" si="65"/>
        <v>115728717.5</v>
      </c>
      <c r="M159" s="36">
        <f t="shared" si="65"/>
        <v>10001321.079999998</v>
      </c>
      <c r="N159" s="36">
        <f t="shared" si="65"/>
        <v>80729.290000000008</v>
      </c>
      <c r="O159" s="36">
        <f t="shared" si="65"/>
        <v>9920591.7899999991</v>
      </c>
      <c r="P159" s="36">
        <f t="shared" si="65"/>
        <v>8286301.0800000001</v>
      </c>
      <c r="Q159" s="39">
        <f t="shared" si="57"/>
        <v>8.4960714106480248E-2</v>
      </c>
      <c r="R159" s="36">
        <f t="shared" si="58"/>
        <v>-107715687.13</v>
      </c>
    </row>
    <row r="160" spans="1:18" ht="18" x14ac:dyDescent="0.35">
      <c r="G160" s="34" t="s">
        <v>336</v>
      </c>
      <c r="H160" s="35"/>
      <c r="I160" s="36">
        <f t="shared" ref="I160:P160" si="66">I28+I46+I56+I79+I88</f>
        <v>25511371</v>
      </c>
      <c r="J160" s="36">
        <f t="shared" si="66"/>
        <v>25511371</v>
      </c>
      <c r="K160" s="36">
        <f t="shared" si="66"/>
        <v>0</v>
      </c>
      <c r="L160" s="36">
        <f t="shared" si="66"/>
        <v>0</v>
      </c>
      <c r="M160" s="36">
        <f t="shared" si="66"/>
        <v>4815701.84</v>
      </c>
      <c r="N160" s="36">
        <f t="shared" si="66"/>
        <v>4815701.84</v>
      </c>
      <c r="O160" s="36">
        <f t="shared" si="66"/>
        <v>0</v>
      </c>
      <c r="P160" s="36">
        <f t="shared" si="66"/>
        <v>0</v>
      </c>
      <c r="Q160" s="39">
        <f t="shared" si="57"/>
        <v>0.18876687732697706</v>
      </c>
      <c r="R160" s="36">
        <f t="shared" si="58"/>
        <v>-20695669.16</v>
      </c>
    </row>
    <row r="161" spans="7:18" ht="18" x14ac:dyDescent="0.35">
      <c r="G161" s="34" t="s">
        <v>337</v>
      </c>
      <c r="H161" s="35"/>
      <c r="I161" s="36">
        <f t="shared" ref="I161:P161" si="67">I29+I80+I84+I90+I92+I129+I142</f>
        <v>74168612</v>
      </c>
      <c r="J161" s="36">
        <f t="shared" si="67"/>
        <v>74168612</v>
      </c>
      <c r="K161" s="36">
        <f t="shared" si="67"/>
        <v>0</v>
      </c>
      <c r="L161" s="36">
        <f t="shared" si="67"/>
        <v>0</v>
      </c>
      <c r="M161" s="36">
        <f t="shared" si="67"/>
        <v>16366996.800000001</v>
      </c>
      <c r="N161" s="36">
        <f t="shared" si="67"/>
        <v>16366996.800000001</v>
      </c>
      <c r="O161" s="36">
        <f t="shared" si="67"/>
        <v>0</v>
      </c>
      <c r="P161" s="36">
        <f t="shared" si="67"/>
        <v>0</v>
      </c>
      <c r="Q161" s="39">
        <f t="shared" si="57"/>
        <v>0.22067282046480796</v>
      </c>
      <c r="R161" s="36">
        <f t="shared" si="58"/>
        <v>-57801615.200000003</v>
      </c>
    </row>
    <row r="162" spans="7:18" ht="18" x14ac:dyDescent="0.35">
      <c r="G162" s="38"/>
      <c r="H162" s="35"/>
      <c r="I162" s="35"/>
      <c r="J162" s="35"/>
      <c r="K162" s="35"/>
      <c r="L162" s="35"/>
      <c r="M162" s="35"/>
      <c r="N162" s="35"/>
      <c r="O162" s="35"/>
      <c r="P162" s="35"/>
      <c r="Q162" s="39"/>
      <c r="R162" s="36"/>
    </row>
    <row r="163" spans="7:18" ht="17.399999999999999" x14ac:dyDescent="0.3">
      <c r="G163" s="40" t="s">
        <v>338</v>
      </c>
      <c r="H163" s="44"/>
      <c r="I163" s="21">
        <f>SUM(I152:I162)</f>
        <v>762247198.74000001</v>
      </c>
      <c r="J163" s="21">
        <f t="shared" ref="J163:L163" si="68">SUM(J152:J162)</f>
        <v>609852173</v>
      </c>
      <c r="K163" s="21">
        <f t="shared" si="68"/>
        <v>152395025.74000001</v>
      </c>
      <c r="L163" s="21">
        <f t="shared" si="68"/>
        <v>139392263.5</v>
      </c>
      <c r="M163" s="21">
        <f>SUM(M152:M162)</f>
        <v>157043490.85999998</v>
      </c>
      <c r="N163" s="21">
        <f t="shared" ref="N163:P163" si="69">SUM(N152:N162)</f>
        <v>146897350.00999999</v>
      </c>
      <c r="O163" s="21">
        <f t="shared" si="69"/>
        <v>10146140.85</v>
      </c>
      <c r="P163" s="21">
        <f t="shared" si="69"/>
        <v>8286301.0800000001</v>
      </c>
      <c r="Q163" s="37">
        <f t="shared" si="57"/>
        <v>0.20602698326683783</v>
      </c>
      <c r="R163" s="21">
        <f t="shared" si="58"/>
        <v>-605203707.88</v>
      </c>
    </row>
    <row r="164" spans="7:18" x14ac:dyDescent="0.3">
      <c r="I164" s="31">
        <f>I148-I163</f>
        <v>0</v>
      </c>
      <c r="J164" s="31">
        <f t="shared" ref="J164:L164" si="70">J148-J163</f>
        <v>0</v>
      </c>
      <c r="K164" s="31">
        <f t="shared" si="70"/>
        <v>0</v>
      </c>
      <c r="L164" s="31">
        <f t="shared" si="70"/>
        <v>0</v>
      </c>
    </row>
    <row r="167" spans="7:18" ht="15.6" x14ac:dyDescent="0.3">
      <c r="M167" s="68"/>
      <c r="N167" s="67"/>
    </row>
    <row r="168" spans="7:18" x14ac:dyDescent="0.3">
      <c r="N168" s="67"/>
    </row>
    <row r="169" spans="7:18" x14ac:dyDescent="0.3">
      <c r="N169" s="67"/>
    </row>
    <row r="170" spans="7:18" x14ac:dyDescent="0.3">
      <c r="N170" s="67"/>
    </row>
  </sheetData>
  <mergeCells count="58">
    <mergeCell ref="P1:R1"/>
    <mergeCell ref="P2:R2"/>
    <mergeCell ref="P3:R3"/>
    <mergeCell ref="A6:R6"/>
    <mergeCell ref="N9:N10"/>
    <mergeCell ref="O9:P9"/>
    <mergeCell ref="I8:L8"/>
    <mergeCell ref="M8:P8"/>
    <mergeCell ref="Q8:R8"/>
    <mergeCell ref="Q9:Q10"/>
    <mergeCell ref="R9:R10"/>
    <mergeCell ref="M9:M10"/>
    <mergeCell ref="I9:I10"/>
    <mergeCell ref="J9:J10"/>
    <mergeCell ref="K9:L9"/>
    <mergeCell ref="C130:G130"/>
    <mergeCell ref="C132:G132"/>
    <mergeCell ref="C143:G143"/>
    <mergeCell ref="C145:G145"/>
    <mergeCell ref="A148:H148"/>
    <mergeCell ref="A8:A10"/>
    <mergeCell ref="C8:C10"/>
    <mergeCell ref="D8:D10"/>
    <mergeCell ref="E8:E10"/>
    <mergeCell ref="C91:G91"/>
    <mergeCell ref="C69:G69"/>
    <mergeCell ref="C76:G76"/>
    <mergeCell ref="C81:G81"/>
    <mergeCell ref="C83:G83"/>
    <mergeCell ref="C85:G85"/>
    <mergeCell ref="C89:G89"/>
    <mergeCell ref="C49:G49"/>
    <mergeCell ref="C51:G51"/>
    <mergeCell ref="C55:G55"/>
    <mergeCell ref="C57:G57"/>
    <mergeCell ref="C60:G60"/>
    <mergeCell ref="C93:G93"/>
    <mergeCell ref="C100:G100"/>
    <mergeCell ref="C111:G111"/>
    <mergeCell ref="C115:G115"/>
    <mergeCell ref="C117:G117"/>
    <mergeCell ref="C66:G66"/>
    <mergeCell ref="C19:G19"/>
    <mergeCell ref="C30:G30"/>
    <mergeCell ref="C32:G32"/>
    <mergeCell ref="C43:G43"/>
    <mergeCell ref="C45:G45"/>
    <mergeCell ref="C47:G47"/>
    <mergeCell ref="C12:G12"/>
    <mergeCell ref="C14:G14"/>
    <mergeCell ref="C16:G16"/>
    <mergeCell ref="F8:F10"/>
    <mergeCell ref="G8:G10"/>
    <mergeCell ref="H8:H10"/>
    <mergeCell ref="J1:L1"/>
    <mergeCell ref="J2:L2"/>
    <mergeCell ref="J3:L3"/>
    <mergeCell ref="J4:L4"/>
  </mergeCells>
  <pageMargins left="0.19685039370078741" right="0.19685039370078741" top="0.19685039370078741" bottom="0.19685039370078741" header="0.51181102362204722" footer="0.51181102362204722"/>
  <pageSetup paperSize="9" scale="10" fitToHeight="16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Tofan</cp:lastModifiedBy>
  <cp:lastPrinted>2026-03-18T08:40:59Z</cp:lastPrinted>
  <dcterms:created xsi:type="dcterms:W3CDTF">2006-09-28T05:33:00Z</dcterms:created>
  <dcterms:modified xsi:type="dcterms:W3CDTF">2026-05-18T06:13:33Z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54136967F0674003BECD1FA72E5405E7</vt:lpwstr>
  </property>
  <property fmtid="{D5CDD505-2E9C-101B-9397-08002B2CF9AE}" pid="3" name="KSOProductBuildVer">
    <vt:lpwstr>1033-12.2.0.16731</vt:lpwstr>
  </property>
</Properties>
</file>