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Z:\Оксана документы\1 ДОКУМЕНТИ\8 созыв\73  сесія 15.05.2026 !!!ШОЛАР ВО МЕРА\№1097 Зміни бюджет\"/>
    </mc:Choice>
  </mc:AlternateContent>
  <xr:revisionPtr revIDLastSave="0" documentId="13_ncr:1_{8F754A13-C3E1-4655-801B-67D142FA81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" sheetId="2" r:id="rId1"/>
  </sheets>
  <definedNames>
    <definedName name="_xlnm.Print_Titles" localSheetId="0">'2026'!$13:$17</definedName>
    <definedName name="_xlnm.Print_Area" localSheetId="0">'2026'!$A$1:$P$221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6" i="2" l="1"/>
  <c r="F206" i="2"/>
  <c r="H225" i="2" l="1"/>
  <c r="K225" i="2"/>
  <c r="J225" i="2"/>
  <c r="F225" i="2"/>
  <c r="S208" i="2"/>
  <c r="S73" i="2"/>
  <c r="I225" i="2" l="1"/>
  <c r="F70" i="2"/>
  <c r="F62" i="2"/>
  <c r="G225" i="2"/>
  <c r="E225" i="2"/>
  <c r="H217" i="2" l="1"/>
  <c r="K217" i="2"/>
  <c r="M217" i="2"/>
  <c r="N217" i="2"/>
  <c r="O217" i="2"/>
  <c r="F205" i="2"/>
  <c r="E202" i="2"/>
  <c r="F201" i="2"/>
  <c r="I200" i="2"/>
  <c r="F200" i="2"/>
  <c r="F187" i="2"/>
  <c r="J196" i="2"/>
  <c r="E196" i="2"/>
  <c r="P196" i="2" s="1"/>
  <c r="S196" i="2" s="1"/>
  <c r="O34" i="2"/>
  <c r="K34" i="2"/>
  <c r="I27" i="2"/>
  <c r="I185" i="2" l="1"/>
  <c r="F178" i="2"/>
  <c r="F176" i="2"/>
  <c r="I164" i="2"/>
  <c r="H140" i="2" l="1"/>
  <c r="F138" i="2"/>
  <c r="H106" i="2" l="1"/>
  <c r="H105" i="2" l="1"/>
  <c r="F27" i="2"/>
  <c r="G75" i="2" l="1"/>
  <c r="F75" i="2"/>
  <c r="G70" i="2"/>
  <c r="I70" i="2"/>
  <c r="G69" i="2"/>
  <c r="F69" i="2"/>
  <c r="G60" i="2"/>
  <c r="G217" i="2" s="1"/>
  <c r="F60" i="2"/>
  <c r="F51" i="2"/>
  <c r="F39" i="2"/>
  <c r="F24" i="2"/>
  <c r="H21" i="2" l="1"/>
  <c r="F164" i="2" l="1"/>
  <c r="O225" i="2" l="1"/>
  <c r="G218" i="2"/>
  <c r="H218" i="2"/>
  <c r="K218" i="2"/>
  <c r="L218" i="2"/>
  <c r="M218" i="2"/>
  <c r="N218" i="2"/>
  <c r="O218" i="2"/>
  <c r="L199" i="2"/>
  <c r="M199" i="2"/>
  <c r="N199" i="2"/>
  <c r="O199" i="2"/>
  <c r="K199" i="2"/>
  <c r="G199" i="2"/>
  <c r="H199" i="2"/>
  <c r="I205" i="2"/>
  <c r="I218" i="2" s="1"/>
  <c r="J204" i="2"/>
  <c r="E204" i="2"/>
  <c r="I195" i="2"/>
  <c r="P204" i="2" l="1"/>
  <c r="S204" i="2" s="1"/>
  <c r="I199" i="2"/>
  <c r="F218" i="2"/>
  <c r="F199" i="2"/>
  <c r="O180" i="2" l="1"/>
  <c r="K180" i="2"/>
  <c r="F171" i="2"/>
  <c r="F167" i="2"/>
  <c r="I95" i="2" l="1"/>
  <c r="F94" i="2"/>
  <c r="O87" i="2"/>
  <c r="K87" i="2"/>
  <c r="H77" i="2"/>
  <c r="F77" i="2"/>
  <c r="H71" i="2"/>
  <c r="F71" i="2"/>
  <c r="H70" i="2"/>
  <c r="H69" i="2"/>
  <c r="F53" i="2"/>
  <c r="F21" i="2"/>
  <c r="G105" i="2" l="1"/>
  <c r="F105" i="2"/>
  <c r="I160" i="2" l="1"/>
  <c r="F160" i="2"/>
  <c r="P225" i="2" l="1"/>
  <c r="K210" i="2" l="1"/>
  <c r="L210" i="2"/>
  <c r="M210" i="2"/>
  <c r="N210" i="2"/>
  <c r="O210" i="2"/>
  <c r="H212" i="2"/>
  <c r="I212" i="2"/>
  <c r="K212" i="2"/>
  <c r="L212" i="2"/>
  <c r="M212" i="2"/>
  <c r="N212" i="2"/>
  <c r="O212" i="2"/>
  <c r="G214" i="2"/>
  <c r="H214" i="2"/>
  <c r="I214" i="2"/>
  <c r="K214" i="2"/>
  <c r="L214" i="2"/>
  <c r="M214" i="2"/>
  <c r="N214" i="2"/>
  <c r="O214" i="2"/>
  <c r="I143" i="2"/>
  <c r="I217" i="2" s="1"/>
  <c r="H139" i="2"/>
  <c r="F139" i="2"/>
  <c r="E136" i="2"/>
  <c r="P136" i="2" s="1"/>
  <c r="S136" i="2" s="1"/>
  <c r="G134" i="2"/>
  <c r="F134" i="2"/>
  <c r="F114" i="2"/>
  <c r="G114" i="2"/>
  <c r="F112" i="2"/>
  <c r="G106" i="2"/>
  <c r="F106" i="2"/>
  <c r="F102" i="2"/>
  <c r="J83" i="2"/>
  <c r="J84" i="2"/>
  <c r="J85" i="2"/>
  <c r="E83" i="2"/>
  <c r="E84" i="2"/>
  <c r="E85" i="2"/>
  <c r="E86" i="2"/>
  <c r="E87" i="2"/>
  <c r="F42" i="2"/>
  <c r="F37" i="2"/>
  <c r="I37" i="2"/>
  <c r="P85" i="2" l="1"/>
  <c r="S85" i="2" s="1"/>
  <c r="P84" i="2"/>
  <c r="S84" i="2" s="1"/>
  <c r="P83" i="2"/>
  <c r="S83" i="2" s="1"/>
  <c r="G117" i="2"/>
  <c r="G212" i="2" s="1"/>
  <c r="F117" i="2"/>
  <c r="F82" i="2"/>
  <c r="F80" i="2"/>
  <c r="L145" i="2" l="1"/>
  <c r="M145" i="2"/>
  <c r="N145" i="2"/>
  <c r="O145" i="2"/>
  <c r="K145" i="2"/>
  <c r="G145" i="2"/>
  <c r="H145" i="2"/>
  <c r="I145" i="2"/>
  <c r="I170" i="2" l="1"/>
  <c r="G211" i="2" l="1"/>
  <c r="H211" i="2"/>
  <c r="K211" i="2"/>
  <c r="L211" i="2"/>
  <c r="M211" i="2"/>
  <c r="N211" i="2"/>
  <c r="O211" i="2"/>
  <c r="L187" i="2" l="1"/>
  <c r="M187" i="2"/>
  <c r="N187" i="2"/>
  <c r="O187" i="2"/>
  <c r="K187" i="2"/>
  <c r="G187" i="2"/>
  <c r="H187" i="2"/>
  <c r="I187" i="2"/>
  <c r="J181" i="2"/>
  <c r="L174" i="2"/>
  <c r="M174" i="2"/>
  <c r="N174" i="2"/>
  <c r="O174" i="2"/>
  <c r="K174" i="2"/>
  <c r="G174" i="2"/>
  <c r="H174" i="2"/>
  <c r="I174" i="2"/>
  <c r="F174" i="2"/>
  <c r="J185" i="2"/>
  <c r="E185" i="2"/>
  <c r="J184" i="2"/>
  <c r="E184" i="2"/>
  <c r="J182" i="2"/>
  <c r="E182" i="2"/>
  <c r="E181" i="2"/>
  <c r="J180" i="2"/>
  <c r="E180" i="2"/>
  <c r="J179" i="2"/>
  <c r="E179" i="2"/>
  <c r="E175" i="2"/>
  <c r="P175" i="2" s="1"/>
  <c r="S175" i="2" s="1"/>
  <c r="P185" i="2" l="1"/>
  <c r="S185" i="2" s="1"/>
  <c r="P182" i="2"/>
  <c r="S182" i="2" s="1"/>
  <c r="P179" i="2"/>
  <c r="S179" i="2" s="1"/>
  <c r="P180" i="2"/>
  <c r="S180" i="2" s="1"/>
  <c r="P181" i="2"/>
  <c r="S181" i="2" s="1"/>
  <c r="P184" i="2"/>
  <c r="S184" i="2" s="1"/>
  <c r="M156" i="2" l="1"/>
  <c r="N156" i="2"/>
  <c r="G156" i="2"/>
  <c r="H156" i="2"/>
  <c r="L172" i="2"/>
  <c r="L217" i="2" s="1"/>
  <c r="J169" i="2"/>
  <c r="E169" i="2"/>
  <c r="J168" i="2"/>
  <c r="E168" i="2"/>
  <c r="J165" i="2"/>
  <c r="E165" i="2"/>
  <c r="I163" i="2"/>
  <c r="J161" i="2"/>
  <c r="E161" i="2"/>
  <c r="J160" i="2"/>
  <c r="E160" i="2"/>
  <c r="L156" i="2" l="1"/>
  <c r="P161" i="2"/>
  <c r="S161" i="2" s="1"/>
  <c r="P165" i="2"/>
  <c r="S165" i="2" s="1"/>
  <c r="P169" i="2"/>
  <c r="S169" i="2" s="1"/>
  <c r="P168" i="2"/>
  <c r="S168" i="2" s="1"/>
  <c r="P160" i="2"/>
  <c r="S160" i="2" s="1"/>
  <c r="J151" i="2" l="1"/>
  <c r="J154" i="2"/>
  <c r="E154" i="2"/>
  <c r="E151" i="2"/>
  <c r="F129" i="2"/>
  <c r="F126" i="2"/>
  <c r="L97" i="2"/>
  <c r="M97" i="2"/>
  <c r="N97" i="2"/>
  <c r="O97" i="2"/>
  <c r="K97" i="2"/>
  <c r="H97" i="2"/>
  <c r="I97" i="2"/>
  <c r="J117" i="2"/>
  <c r="E117" i="2"/>
  <c r="F116" i="2"/>
  <c r="E114" i="2"/>
  <c r="P114" i="2" s="1"/>
  <c r="S114" i="2" s="1"/>
  <c r="E115" i="2"/>
  <c r="J112" i="2"/>
  <c r="E112" i="2"/>
  <c r="J102" i="2"/>
  <c r="E102" i="2"/>
  <c r="L66" i="2"/>
  <c r="M66" i="2"/>
  <c r="N66" i="2"/>
  <c r="O66" i="2"/>
  <c r="K66" i="2"/>
  <c r="F95" i="2"/>
  <c r="J88" i="2"/>
  <c r="J89" i="2"/>
  <c r="J90" i="2"/>
  <c r="J91" i="2"/>
  <c r="E88" i="2"/>
  <c r="E89" i="2"/>
  <c r="E90" i="2"/>
  <c r="P154" i="2" l="1"/>
  <c r="S154" i="2" s="1"/>
  <c r="P90" i="2"/>
  <c r="S90" i="2" s="1"/>
  <c r="P112" i="2"/>
  <c r="S112" i="2" s="1"/>
  <c r="P88" i="2"/>
  <c r="S88" i="2" s="1"/>
  <c r="P151" i="2"/>
  <c r="S151" i="2" s="1"/>
  <c r="P117" i="2"/>
  <c r="S117" i="2" s="1"/>
  <c r="G97" i="2"/>
  <c r="P102" i="2"/>
  <c r="S102" i="2" s="1"/>
  <c r="P89" i="2"/>
  <c r="S89" i="2" s="1"/>
  <c r="J87" i="2"/>
  <c r="J86" i="2"/>
  <c r="J81" i="2"/>
  <c r="E81" i="2"/>
  <c r="G72" i="2"/>
  <c r="H72" i="2"/>
  <c r="H210" i="2" s="1"/>
  <c r="I72" i="2"/>
  <c r="I210" i="2" s="1"/>
  <c r="F72" i="2"/>
  <c r="F210" i="2" s="1"/>
  <c r="E75" i="2"/>
  <c r="P75" i="2" s="1"/>
  <c r="S75" i="2" s="1"/>
  <c r="G71" i="2"/>
  <c r="F66" i="2" l="1"/>
  <c r="G210" i="2"/>
  <c r="I66" i="2"/>
  <c r="H66" i="2"/>
  <c r="G66" i="2"/>
  <c r="P86" i="2"/>
  <c r="S86" i="2" s="1"/>
  <c r="P87" i="2"/>
  <c r="S87" i="2" s="1"/>
  <c r="P81" i="2"/>
  <c r="S81" i="2" s="1"/>
  <c r="E66" i="2" l="1"/>
  <c r="J63" i="2"/>
  <c r="E63" i="2"/>
  <c r="F54" i="2"/>
  <c r="O51" i="2"/>
  <c r="K51" i="2"/>
  <c r="J48" i="2"/>
  <c r="J49" i="2"/>
  <c r="E49" i="2"/>
  <c r="E34" i="2"/>
  <c r="J34" i="2"/>
  <c r="F33" i="2"/>
  <c r="F31" i="2"/>
  <c r="I211" i="2"/>
  <c r="P63" i="2" l="1"/>
  <c r="S63" i="2" s="1"/>
  <c r="P49" i="2"/>
  <c r="S49" i="2" s="1"/>
  <c r="P34" i="2"/>
  <c r="S34" i="2" s="1"/>
  <c r="F141" i="2" l="1"/>
  <c r="F131" i="2" s="1"/>
  <c r="F128" i="2"/>
  <c r="F150" i="2"/>
  <c r="F149" i="2"/>
  <c r="F26" i="2"/>
  <c r="F145" i="2" l="1"/>
  <c r="F214" i="2"/>
  <c r="J189" i="2"/>
  <c r="E189" i="2"/>
  <c r="J178" i="2"/>
  <c r="E178" i="2"/>
  <c r="J177" i="2"/>
  <c r="E177" i="2"/>
  <c r="J147" i="2"/>
  <c r="E147" i="2"/>
  <c r="N131" i="2"/>
  <c r="O131" i="2"/>
  <c r="K131" i="2"/>
  <c r="G131" i="2"/>
  <c r="H131" i="2"/>
  <c r="I131" i="2"/>
  <c r="J143" i="2"/>
  <c r="E143" i="2"/>
  <c r="J133" i="2"/>
  <c r="E133" i="2"/>
  <c r="J127" i="2"/>
  <c r="E127" i="2"/>
  <c r="F120" i="2"/>
  <c r="F122" i="2"/>
  <c r="E122" i="2" s="1"/>
  <c r="E123" i="2"/>
  <c r="P123" i="2" s="1"/>
  <c r="S123" i="2" s="1"/>
  <c r="J122" i="2"/>
  <c r="J99" i="2"/>
  <c r="E99" i="2"/>
  <c r="P189" i="2" l="1"/>
  <c r="S189" i="2" s="1"/>
  <c r="P99" i="2"/>
  <c r="S99" i="2" s="1"/>
  <c r="P178" i="2"/>
  <c r="S178" i="2" s="1"/>
  <c r="P177" i="2"/>
  <c r="S177" i="2" s="1"/>
  <c r="P133" i="2"/>
  <c r="S133" i="2" s="1"/>
  <c r="P147" i="2"/>
  <c r="S147" i="2" s="1"/>
  <c r="P143" i="2"/>
  <c r="S143" i="2" s="1"/>
  <c r="P127" i="2"/>
  <c r="S127" i="2" s="1"/>
  <c r="P122" i="2"/>
  <c r="S122" i="2" s="1"/>
  <c r="J68" i="2"/>
  <c r="E68" i="2"/>
  <c r="J51" i="2"/>
  <c r="E51" i="2"/>
  <c r="F52" i="2"/>
  <c r="F217" i="2" s="1"/>
  <c r="E59" i="2"/>
  <c r="P59" i="2" s="1"/>
  <c r="S59" i="2" s="1"/>
  <c r="E57" i="2"/>
  <c r="P57" i="2" s="1"/>
  <c r="S57" i="2" s="1"/>
  <c r="E56" i="2"/>
  <c r="P56" i="2" s="1"/>
  <c r="S56" i="2" s="1"/>
  <c r="E55" i="2"/>
  <c r="P55" i="2" s="1"/>
  <c r="S55" i="2" s="1"/>
  <c r="E48" i="2"/>
  <c r="P48" i="2" s="1"/>
  <c r="S48" i="2" s="1"/>
  <c r="E22" i="2"/>
  <c r="G21" i="2"/>
  <c r="P51" i="2" l="1"/>
  <c r="S51" i="2" s="1"/>
  <c r="P68" i="2"/>
  <c r="S68" i="2" s="1"/>
  <c r="E170" i="2" l="1"/>
  <c r="O167" i="2"/>
  <c r="O156" i="2" s="1"/>
  <c r="K167" i="2"/>
  <c r="K156" i="2" s="1"/>
  <c r="E167" i="2"/>
  <c r="J164" i="2"/>
  <c r="I156" i="2"/>
  <c r="E139" i="2"/>
  <c r="E129" i="2"/>
  <c r="E126" i="2"/>
  <c r="E116" i="2"/>
  <c r="E111" i="2"/>
  <c r="E107" i="2"/>
  <c r="J95" i="2"/>
  <c r="E95" i="2"/>
  <c r="E94" i="2"/>
  <c r="E92" i="2"/>
  <c r="E80" i="2"/>
  <c r="E78" i="2"/>
  <c r="E77" i="2"/>
  <c r="J71" i="2"/>
  <c r="E71" i="2"/>
  <c r="J70" i="2"/>
  <c r="E70" i="2"/>
  <c r="E67" i="2"/>
  <c r="E61" i="2"/>
  <c r="E60" i="2"/>
  <c r="E58" i="2"/>
  <c r="P58" i="2" s="1"/>
  <c r="S58" i="2" s="1"/>
  <c r="E42" i="2"/>
  <c r="E32" i="2"/>
  <c r="P32" i="2" s="1"/>
  <c r="S32" i="2" s="1"/>
  <c r="E29" i="2"/>
  <c r="E21" i="2"/>
  <c r="N213" i="2"/>
  <c r="I213" i="2"/>
  <c r="J203" i="2"/>
  <c r="J218" i="2" s="1"/>
  <c r="E203" i="2"/>
  <c r="J202" i="2"/>
  <c r="J201" i="2"/>
  <c r="E201" i="2"/>
  <c r="J200" i="2"/>
  <c r="E200" i="2"/>
  <c r="J197" i="2"/>
  <c r="E197" i="2"/>
  <c r="J195" i="2"/>
  <c r="E195" i="2"/>
  <c r="J194" i="2"/>
  <c r="E194" i="2"/>
  <c r="J193" i="2"/>
  <c r="E193" i="2"/>
  <c r="J192" i="2"/>
  <c r="E192" i="2"/>
  <c r="J191" i="2"/>
  <c r="E191" i="2"/>
  <c r="J190" i="2"/>
  <c r="E190" i="2"/>
  <c r="J188" i="2"/>
  <c r="G186" i="2"/>
  <c r="O186" i="2"/>
  <c r="N186" i="2"/>
  <c r="M186" i="2"/>
  <c r="L186" i="2"/>
  <c r="K186" i="2"/>
  <c r="H186" i="2"/>
  <c r="J183" i="2"/>
  <c r="E183" i="2"/>
  <c r="J176" i="2"/>
  <c r="G173" i="2"/>
  <c r="E176" i="2"/>
  <c r="N173" i="2"/>
  <c r="M173" i="2"/>
  <c r="L173" i="2"/>
  <c r="I173" i="2"/>
  <c r="H173" i="2"/>
  <c r="J172" i="2"/>
  <c r="E172" i="2"/>
  <c r="J171" i="2"/>
  <c r="E171" i="2"/>
  <c r="J170" i="2"/>
  <c r="J167" i="2"/>
  <c r="J166" i="2"/>
  <c r="E166" i="2"/>
  <c r="E164" i="2"/>
  <c r="J163" i="2"/>
  <c r="E163" i="2"/>
  <c r="J162" i="2"/>
  <c r="J159" i="2"/>
  <c r="F159" i="2"/>
  <c r="F156" i="2" s="1"/>
  <c r="J158" i="2"/>
  <c r="E158" i="2"/>
  <c r="J157" i="2"/>
  <c r="E157" i="2"/>
  <c r="N155" i="2"/>
  <c r="M155" i="2"/>
  <c r="L155" i="2"/>
  <c r="J153" i="2"/>
  <c r="E153" i="2"/>
  <c r="J152" i="2"/>
  <c r="E152" i="2"/>
  <c r="J150" i="2"/>
  <c r="E150" i="2"/>
  <c r="J149" i="2"/>
  <c r="E149" i="2"/>
  <c r="J148" i="2"/>
  <c r="H144" i="2"/>
  <c r="J146" i="2"/>
  <c r="E146" i="2"/>
  <c r="O144" i="2"/>
  <c r="N144" i="2"/>
  <c r="M144" i="2"/>
  <c r="L144" i="2"/>
  <c r="K144" i="2"/>
  <c r="I144" i="2"/>
  <c r="J142" i="2"/>
  <c r="E142" i="2"/>
  <c r="J141" i="2"/>
  <c r="E141" i="2"/>
  <c r="J140" i="2"/>
  <c r="E140" i="2"/>
  <c r="O213" i="2"/>
  <c r="M139" i="2"/>
  <c r="K213" i="2"/>
  <c r="J138" i="2"/>
  <c r="E138" i="2"/>
  <c r="L137" i="2"/>
  <c r="E137" i="2"/>
  <c r="J135" i="2"/>
  <c r="E135" i="2"/>
  <c r="J134" i="2"/>
  <c r="J132" i="2"/>
  <c r="E132" i="2"/>
  <c r="N130" i="2"/>
  <c r="I130" i="2"/>
  <c r="J129" i="2"/>
  <c r="J128" i="2"/>
  <c r="E128" i="2"/>
  <c r="J126" i="2"/>
  <c r="G125" i="2"/>
  <c r="G124" i="2" s="1"/>
  <c r="O125" i="2"/>
  <c r="O124" i="2" s="1"/>
  <c r="N125" i="2"/>
  <c r="N124" i="2" s="1"/>
  <c r="M125" i="2"/>
  <c r="M124" i="2" s="1"/>
  <c r="L125" i="2"/>
  <c r="K125" i="2"/>
  <c r="K124" i="2" s="1"/>
  <c r="I125" i="2"/>
  <c r="I124" i="2" s="1"/>
  <c r="H125" i="2"/>
  <c r="H124" i="2" s="1"/>
  <c r="E121" i="2"/>
  <c r="P121" i="2" s="1"/>
  <c r="S121" i="2" s="1"/>
  <c r="F118" i="2"/>
  <c r="F97" i="2" s="1"/>
  <c r="E119" i="2"/>
  <c r="P119" i="2" s="1"/>
  <c r="S119" i="2" s="1"/>
  <c r="J118" i="2"/>
  <c r="J116" i="2"/>
  <c r="J115" i="2"/>
  <c r="J113" i="2"/>
  <c r="E113" i="2"/>
  <c r="J111" i="2"/>
  <c r="J110" i="2"/>
  <c r="E110" i="2"/>
  <c r="J109" i="2"/>
  <c r="E109" i="2"/>
  <c r="J108" i="2"/>
  <c r="E108" i="2"/>
  <c r="J107" i="2"/>
  <c r="J106" i="2"/>
  <c r="E106" i="2"/>
  <c r="J105" i="2"/>
  <c r="E105" i="2"/>
  <c r="J104" i="2"/>
  <c r="E104" i="2"/>
  <c r="J103" i="2"/>
  <c r="E103" i="2"/>
  <c r="J101" i="2"/>
  <c r="E101" i="2"/>
  <c r="J100" i="2"/>
  <c r="J98" i="2"/>
  <c r="E98" i="2"/>
  <c r="O96" i="2"/>
  <c r="N96" i="2"/>
  <c r="M96" i="2"/>
  <c r="K96" i="2"/>
  <c r="I96" i="2"/>
  <c r="J94" i="2"/>
  <c r="J93" i="2"/>
  <c r="J92" i="2"/>
  <c r="E91" i="2"/>
  <c r="J82" i="2"/>
  <c r="E82" i="2"/>
  <c r="J80" i="2"/>
  <c r="J79" i="2"/>
  <c r="E79" i="2"/>
  <c r="J78" i="2"/>
  <c r="J77" i="2"/>
  <c r="J76" i="2"/>
  <c r="E76" i="2"/>
  <c r="E74" i="2"/>
  <c r="P74" i="2" s="1"/>
  <c r="S74" i="2" s="1"/>
  <c r="J72" i="2"/>
  <c r="J67" i="2"/>
  <c r="N65" i="2"/>
  <c r="M65" i="2"/>
  <c r="I65" i="2"/>
  <c r="E64" i="2"/>
  <c r="J62" i="2"/>
  <c r="E62" i="2"/>
  <c r="J61" i="2"/>
  <c r="J60" i="2"/>
  <c r="E54" i="2"/>
  <c r="P54" i="2" s="1"/>
  <c r="S54" i="2" s="1"/>
  <c r="J50" i="2"/>
  <c r="E50" i="2"/>
  <c r="J47" i="2"/>
  <c r="E47" i="2"/>
  <c r="J46" i="2"/>
  <c r="E46" i="2"/>
  <c r="J45" i="2"/>
  <c r="E45" i="2"/>
  <c r="E44" i="2"/>
  <c r="P44" i="2" s="1"/>
  <c r="S44" i="2" s="1"/>
  <c r="J43" i="2"/>
  <c r="E43" i="2"/>
  <c r="O41" i="2"/>
  <c r="O216" i="2" s="1"/>
  <c r="K41" i="2"/>
  <c r="N41" i="2"/>
  <c r="N216" i="2" s="1"/>
  <c r="M41" i="2"/>
  <c r="M216" i="2" s="1"/>
  <c r="L41" i="2"/>
  <c r="L216" i="2" s="1"/>
  <c r="H41" i="2"/>
  <c r="H216" i="2" s="1"/>
  <c r="G41" i="2"/>
  <c r="G216" i="2" s="1"/>
  <c r="E40" i="2"/>
  <c r="J39" i="2"/>
  <c r="E39" i="2"/>
  <c r="J38" i="2"/>
  <c r="E38" i="2"/>
  <c r="J37" i="2"/>
  <c r="E37" i="2"/>
  <c r="O36" i="2"/>
  <c r="O215" i="2" s="1"/>
  <c r="N36" i="2"/>
  <c r="N215" i="2" s="1"/>
  <c r="M36" i="2"/>
  <c r="M215" i="2" s="1"/>
  <c r="L36" i="2"/>
  <c r="L215" i="2" s="1"/>
  <c r="K36" i="2"/>
  <c r="K215" i="2" s="1"/>
  <c r="I36" i="2"/>
  <c r="H36" i="2"/>
  <c r="H215" i="2" s="1"/>
  <c r="G36" i="2"/>
  <c r="G215" i="2" s="1"/>
  <c r="J35" i="2"/>
  <c r="F35" i="2"/>
  <c r="F212" i="2" s="1"/>
  <c r="E33" i="2"/>
  <c r="P33" i="2" s="1"/>
  <c r="S33" i="2" s="1"/>
  <c r="E31" i="2"/>
  <c r="P31" i="2" s="1"/>
  <c r="S31" i="2" s="1"/>
  <c r="J30" i="2"/>
  <c r="J29" i="2"/>
  <c r="J28" i="2"/>
  <c r="J27" i="2"/>
  <c r="E27" i="2"/>
  <c r="J26" i="2"/>
  <c r="E26" i="2"/>
  <c r="J25" i="2"/>
  <c r="E25" i="2"/>
  <c r="J24" i="2"/>
  <c r="E24" i="2"/>
  <c r="J23" i="2"/>
  <c r="E23" i="2"/>
  <c r="J22" i="2"/>
  <c r="O20" i="2"/>
  <c r="O209" i="2" s="1"/>
  <c r="K20" i="2"/>
  <c r="K209" i="2" s="1"/>
  <c r="N20" i="2"/>
  <c r="N209" i="2" s="1"/>
  <c r="M20" i="2"/>
  <c r="M209" i="2" s="1"/>
  <c r="L20" i="2"/>
  <c r="L209" i="2" s="1"/>
  <c r="I20" i="2"/>
  <c r="I209" i="2" s="1"/>
  <c r="J212" i="2" l="1"/>
  <c r="J214" i="2"/>
  <c r="K216" i="2"/>
  <c r="I215" i="2"/>
  <c r="J211" i="2"/>
  <c r="P166" i="2"/>
  <c r="S166" i="2" s="1"/>
  <c r="K19" i="2"/>
  <c r="K18" i="2" s="1"/>
  <c r="L19" i="2"/>
  <c r="L18" i="2" s="1"/>
  <c r="M19" i="2"/>
  <c r="M18" i="2" s="1"/>
  <c r="O19" i="2"/>
  <c r="O18" i="2" s="1"/>
  <c r="N19" i="2"/>
  <c r="N18" i="2" s="1"/>
  <c r="E35" i="2"/>
  <c r="J40" i="2"/>
  <c r="E162" i="2"/>
  <c r="P162" i="2" s="1"/>
  <c r="S162" i="2" s="1"/>
  <c r="L213" i="2"/>
  <c r="L131" i="2"/>
  <c r="M213" i="2"/>
  <c r="M131" i="2"/>
  <c r="M130" i="2" s="1"/>
  <c r="E118" i="2"/>
  <c r="P118" i="2" s="1"/>
  <c r="S118" i="2" s="1"/>
  <c r="P60" i="2"/>
  <c r="S60" i="2" s="1"/>
  <c r="L198" i="2"/>
  <c r="P103" i="2"/>
  <c r="S103" i="2" s="1"/>
  <c r="P203" i="2"/>
  <c r="S203" i="2" s="1"/>
  <c r="J125" i="2"/>
  <c r="P183" i="2"/>
  <c r="S183" i="2" s="1"/>
  <c r="I186" i="2"/>
  <c r="J21" i="2"/>
  <c r="P21" i="2" s="1"/>
  <c r="S21" i="2" s="1"/>
  <c r="E145" i="2"/>
  <c r="L124" i="2"/>
  <c r="J124" i="2" s="1"/>
  <c r="H65" i="2"/>
  <c r="F125" i="2"/>
  <c r="E125" i="2" s="1"/>
  <c r="P172" i="2"/>
  <c r="S172" i="2" s="1"/>
  <c r="J187" i="2"/>
  <c r="G20" i="2"/>
  <c r="G209" i="2" s="1"/>
  <c r="K155" i="2"/>
  <c r="P108" i="2"/>
  <c r="S108" i="2" s="1"/>
  <c r="G155" i="2"/>
  <c r="P176" i="2"/>
  <c r="S176" i="2" s="1"/>
  <c r="P190" i="2"/>
  <c r="S190" i="2" s="1"/>
  <c r="P194" i="2"/>
  <c r="S194" i="2" s="1"/>
  <c r="P98" i="2"/>
  <c r="S98" i="2" s="1"/>
  <c r="G130" i="2"/>
  <c r="H155" i="2"/>
  <c r="E159" i="2"/>
  <c r="P159" i="2" s="1"/>
  <c r="S159" i="2" s="1"/>
  <c r="F155" i="2"/>
  <c r="P201" i="2"/>
  <c r="S201" i="2" s="1"/>
  <c r="E206" i="2"/>
  <c r="P141" i="2"/>
  <c r="S141" i="2" s="1"/>
  <c r="P192" i="2"/>
  <c r="S192" i="2" s="1"/>
  <c r="P26" i="2"/>
  <c r="S26" i="2" s="1"/>
  <c r="P80" i="2"/>
  <c r="S80" i="2" s="1"/>
  <c r="P43" i="2"/>
  <c r="S43" i="2" s="1"/>
  <c r="P158" i="2"/>
  <c r="S158" i="2" s="1"/>
  <c r="P195" i="2"/>
  <c r="S195" i="2" s="1"/>
  <c r="P106" i="2"/>
  <c r="S106" i="2" s="1"/>
  <c r="P113" i="2"/>
  <c r="S113" i="2" s="1"/>
  <c r="G144" i="2"/>
  <c r="P171" i="2"/>
  <c r="S171" i="2" s="1"/>
  <c r="P67" i="2"/>
  <c r="S67" i="2" s="1"/>
  <c r="P116" i="2"/>
  <c r="S116" i="2" s="1"/>
  <c r="P24" i="2"/>
  <c r="S24" i="2" s="1"/>
  <c r="P22" i="2"/>
  <c r="S22" i="2" s="1"/>
  <c r="P37" i="2"/>
  <c r="S37" i="2" s="1"/>
  <c r="P47" i="2"/>
  <c r="S47" i="2" s="1"/>
  <c r="P126" i="2"/>
  <c r="S126" i="2" s="1"/>
  <c r="P78" i="2"/>
  <c r="S78" i="2" s="1"/>
  <c r="P91" i="2"/>
  <c r="S91" i="2" s="1"/>
  <c r="P104" i="2"/>
  <c r="S104" i="2" s="1"/>
  <c r="P138" i="2"/>
  <c r="S138" i="2" s="1"/>
  <c r="P149" i="2"/>
  <c r="S149" i="2" s="1"/>
  <c r="P153" i="2"/>
  <c r="S153" i="2" s="1"/>
  <c r="P140" i="2"/>
  <c r="S140" i="2" s="1"/>
  <c r="P62" i="2"/>
  <c r="S62" i="2" s="1"/>
  <c r="P38" i="2"/>
  <c r="S38" i="2" s="1"/>
  <c r="P23" i="2"/>
  <c r="S23" i="2" s="1"/>
  <c r="P45" i="2"/>
  <c r="S45" i="2" s="1"/>
  <c r="P105" i="2"/>
  <c r="S105" i="2" s="1"/>
  <c r="P135" i="2"/>
  <c r="S135" i="2" s="1"/>
  <c r="P146" i="2"/>
  <c r="S146" i="2" s="1"/>
  <c r="H20" i="2"/>
  <c r="H209" i="2" s="1"/>
  <c r="P132" i="2"/>
  <c r="S132" i="2" s="1"/>
  <c r="P193" i="2"/>
  <c r="S193" i="2" s="1"/>
  <c r="J20" i="2"/>
  <c r="J209" i="2" s="1"/>
  <c r="P77" i="2"/>
  <c r="S77" i="2" s="1"/>
  <c r="P109" i="2"/>
  <c r="S109" i="2" s="1"/>
  <c r="E148" i="2"/>
  <c r="J144" i="2"/>
  <c r="P39" i="2"/>
  <c r="S39" i="2" s="1"/>
  <c r="P76" i="2"/>
  <c r="S76" i="2" s="1"/>
  <c r="P82" i="2"/>
  <c r="S82" i="2" s="1"/>
  <c r="P94" i="2"/>
  <c r="S94" i="2" s="1"/>
  <c r="G96" i="2"/>
  <c r="P101" i="2"/>
  <c r="S101" i="2" s="1"/>
  <c r="P110" i="2"/>
  <c r="S110" i="2" s="1"/>
  <c r="H213" i="2"/>
  <c r="P167" i="2"/>
  <c r="S167" i="2" s="1"/>
  <c r="J186" i="2"/>
  <c r="P197" i="2"/>
  <c r="S197" i="2" s="1"/>
  <c r="F30" i="2"/>
  <c r="F211" i="2" s="1"/>
  <c r="P46" i="2"/>
  <c r="S46" i="2" s="1"/>
  <c r="P61" i="2"/>
  <c r="S61" i="2" s="1"/>
  <c r="P79" i="2"/>
  <c r="S79" i="2" s="1"/>
  <c r="E93" i="2"/>
  <c r="E214" i="2" s="1"/>
  <c r="P107" i="2"/>
  <c r="S107" i="2" s="1"/>
  <c r="P128" i="2"/>
  <c r="S128" i="2" s="1"/>
  <c r="K130" i="2"/>
  <c r="H130" i="2"/>
  <c r="P191" i="2"/>
  <c r="S191" i="2" s="1"/>
  <c r="P25" i="2"/>
  <c r="S25" i="2" s="1"/>
  <c r="P111" i="2"/>
  <c r="S111" i="2" s="1"/>
  <c r="E120" i="2"/>
  <c r="P120" i="2" s="1"/>
  <c r="S120" i="2" s="1"/>
  <c r="J139" i="2"/>
  <c r="P139" i="2" s="1"/>
  <c r="S139" i="2" s="1"/>
  <c r="F36" i="2"/>
  <c r="F215" i="2" s="1"/>
  <c r="P50" i="2"/>
  <c r="S50" i="2" s="1"/>
  <c r="P152" i="2"/>
  <c r="S152" i="2" s="1"/>
  <c r="P157" i="2"/>
  <c r="S157" i="2" s="1"/>
  <c r="K173" i="2"/>
  <c r="P202" i="2"/>
  <c r="S202" i="2" s="1"/>
  <c r="P170" i="2"/>
  <c r="S170" i="2" s="1"/>
  <c r="P115" i="2"/>
  <c r="S115" i="2" s="1"/>
  <c r="O130" i="2"/>
  <c r="P142" i="2"/>
  <c r="S142" i="2" s="1"/>
  <c r="P164" i="2"/>
  <c r="S164" i="2" s="1"/>
  <c r="P129" i="2"/>
  <c r="S129" i="2" s="1"/>
  <c r="P95" i="2"/>
  <c r="S95" i="2" s="1"/>
  <c r="P71" i="2"/>
  <c r="S71" i="2" s="1"/>
  <c r="P70" i="2"/>
  <c r="S70" i="2" s="1"/>
  <c r="E213" i="2"/>
  <c r="I41" i="2"/>
  <c r="I216" i="2" s="1"/>
  <c r="N198" i="2"/>
  <c r="E28" i="2"/>
  <c r="P28" i="2" s="1"/>
  <c r="S28" i="2" s="1"/>
  <c r="J36" i="2"/>
  <c r="J215" i="2" s="1"/>
  <c r="J41" i="2"/>
  <c r="J64" i="2"/>
  <c r="J217" i="2" s="1"/>
  <c r="H96" i="2"/>
  <c r="P163" i="2"/>
  <c r="S163" i="2" s="1"/>
  <c r="I198" i="2"/>
  <c r="P29" i="2"/>
  <c r="S29" i="2" s="1"/>
  <c r="E69" i="2"/>
  <c r="E134" i="2"/>
  <c r="P134" i="2" s="1"/>
  <c r="S134" i="2" s="1"/>
  <c r="G198" i="2"/>
  <c r="F213" i="2"/>
  <c r="F20" i="2"/>
  <c r="F209" i="2" s="1"/>
  <c r="J97" i="2"/>
  <c r="L96" i="2"/>
  <c r="J96" i="2" s="1"/>
  <c r="E100" i="2"/>
  <c r="P100" i="2" s="1"/>
  <c r="S100" i="2" s="1"/>
  <c r="P200" i="2"/>
  <c r="S200" i="2" s="1"/>
  <c r="P27" i="2"/>
  <c r="S27" i="2" s="1"/>
  <c r="G213" i="2"/>
  <c r="J145" i="2"/>
  <c r="H198" i="2"/>
  <c r="F41" i="2"/>
  <c r="F216" i="2" s="1"/>
  <c r="K65" i="2"/>
  <c r="P92" i="2"/>
  <c r="S92" i="2" s="1"/>
  <c r="E188" i="2"/>
  <c r="P188" i="2" s="1"/>
  <c r="S188" i="2" s="1"/>
  <c r="E53" i="2"/>
  <c r="P53" i="2" s="1"/>
  <c r="S53" i="2" s="1"/>
  <c r="J69" i="2"/>
  <c r="J210" i="2" s="1"/>
  <c r="O65" i="2"/>
  <c r="J137" i="2"/>
  <c r="P150" i="2"/>
  <c r="S150" i="2" s="1"/>
  <c r="J42" i="2"/>
  <c r="P42" i="2" s="1"/>
  <c r="S42" i="2" s="1"/>
  <c r="M198" i="2"/>
  <c r="E212" i="2" l="1"/>
  <c r="J216" i="2"/>
  <c r="P40" i="2"/>
  <c r="S40" i="2" s="1"/>
  <c r="P35" i="2"/>
  <c r="S35" i="2" s="1"/>
  <c r="P212" i="2"/>
  <c r="S212" i="2" s="1"/>
  <c r="I19" i="2"/>
  <c r="I18" i="2" s="1"/>
  <c r="N219" i="2"/>
  <c r="F19" i="2"/>
  <c r="G19" i="2"/>
  <c r="G18" i="2" s="1"/>
  <c r="H19" i="2"/>
  <c r="H18" i="2" s="1"/>
  <c r="H207" i="2" s="1"/>
  <c r="H224" i="2" s="1"/>
  <c r="H226" i="2" s="1"/>
  <c r="E30" i="2"/>
  <c r="P30" i="2" s="1"/>
  <c r="S30" i="2" s="1"/>
  <c r="E36" i="2"/>
  <c r="E215" i="2" s="1"/>
  <c r="G65" i="2"/>
  <c r="E72" i="2"/>
  <c r="P72" i="2" s="1"/>
  <c r="S72" i="2" s="1"/>
  <c r="F65" i="2"/>
  <c r="E65" i="2" s="1"/>
  <c r="H219" i="2"/>
  <c r="M219" i="2"/>
  <c r="F124" i="2"/>
  <c r="E124" i="2" s="1"/>
  <c r="P124" i="2" s="1"/>
  <c r="S124" i="2" s="1"/>
  <c r="M207" i="2"/>
  <c r="M224" i="2" s="1"/>
  <c r="M226" i="2" s="1"/>
  <c r="P148" i="2"/>
  <c r="S148" i="2" s="1"/>
  <c r="P214" i="2"/>
  <c r="S214" i="2" s="1"/>
  <c r="P125" i="2"/>
  <c r="S125" i="2" s="1"/>
  <c r="K198" i="2"/>
  <c r="K207" i="2" s="1"/>
  <c r="K224" i="2" s="1"/>
  <c r="K226" i="2" s="1"/>
  <c r="E156" i="2"/>
  <c r="F144" i="2"/>
  <c r="E144" i="2" s="1"/>
  <c r="P144" i="2" s="1"/>
  <c r="S144" i="2" s="1"/>
  <c r="P206" i="2"/>
  <c r="S206" i="2" s="1"/>
  <c r="O219" i="2"/>
  <c r="L219" i="2"/>
  <c r="I155" i="2"/>
  <c r="E155" i="2" s="1"/>
  <c r="N207" i="2"/>
  <c r="E52" i="2"/>
  <c r="E217" i="2" s="1"/>
  <c r="P64" i="2"/>
  <c r="S64" i="2" s="1"/>
  <c r="P145" i="2"/>
  <c r="S145" i="2" s="1"/>
  <c r="P93" i="2"/>
  <c r="S93" i="2" s="1"/>
  <c r="J213" i="2"/>
  <c r="P213" i="2" s="1"/>
  <c r="S213" i="2" s="1"/>
  <c r="O198" i="2"/>
  <c r="J198" i="2" s="1"/>
  <c r="E187" i="2"/>
  <c r="P187" i="2" s="1"/>
  <c r="S187" i="2" s="1"/>
  <c r="F186" i="2"/>
  <c r="E186" i="2" s="1"/>
  <c r="P186" i="2" s="1"/>
  <c r="S186" i="2" s="1"/>
  <c r="O173" i="2"/>
  <c r="J173" i="2" s="1"/>
  <c r="J174" i="2"/>
  <c r="E20" i="2"/>
  <c r="E209" i="2" s="1"/>
  <c r="E205" i="2"/>
  <c r="E218" i="2" s="1"/>
  <c r="J19" i="2"/>
  <c r="E41" i="2"/>
  <c r="E216" i="2" s="1"/>
  <c r="P69" i="2"/>
  <c r="S69" i="2" s="1"/>
  <c r="F173" i="2"/>
  <c r="E173" i="2" s="1"/>
  <c r="E174" i="2"/>
  <c r="F96" i="2"/>
  <c r="E96" i="2" s="1"/>
  <c r="P96" i="2" s="1"/>
  <c r="S96" i="2" s="1"/>
  <c r="E97" i="2"/>
  <c r="P97" i="2" s="1"/>
  <c r="S97" i="2" s="1"/>
  <c r="I219" i="2"/>
  <c r="J18" i="2"/>
  <c r="L65" i="2"/>
  <c r="J65" i="2" s="1"/>
  <c r="J66" i="2"/>
  <c r="J156" i="2"/>
  <c r="O155" i="2"/>
  <c r="J155" i="2" s="1"/>
  <c r="P137" i="2"/>
  <c r="S137" i="2" s="1"/>
  <c r="J131" i="2"/>
  <c r="L130" i="2"/>
  <c r="J130" i="2" s="1"/>
  <c r="K219" i="2"/>
  <c r="F130" i="2"/>
  <c r="E130" i="2" s="1"/>
  <c r="E131" i="2"/>
  <c r="E210" i="2" l="1"/>
  <c r="P210" i="2" s="1"/>
  <c r="S210" i="2" s="1"/>
  <c r="E211" i="2"/>
  <c r="P211" i="2" s="1"/>
  <c r="S211" i="2" s="1"/>
  <c r="N220" i="2"/>
  <c r="N224" i="2"/>
  <c r="N226" i="2" s="1"/>
  <c r="K220" i="2"/>
  <c r="M220" i="2"/>
  <c r="H220" i="2"/>
  <c r="G207" i="2"/>
  <c r="P36" i="2"/>
  <c r="S36" i="2" s="1"/>
  <c r="G219" i="2"/>
  <c r="P215" i="2"/>
  <c r="S215" i="2" s="1"/>
  <c r="I207" i="2"/>
  <c r="J219" i="2"/>
  <c r="P66" i="2"/>
  <c r="S66" i="2" s="1"/>
  <c r="P217" i="2"/>
  <c r="S217" i="2" s="1"/>
  <c r="P52" i="2"/>
  <c r="S52" i="2" s="1"/>
  <c r="P130" i="2"/>
  <c r="S130" i="2" s="1"/>
  <c r="J199" i="2"/>
  <c r="L207" i="2"/>
  <c r="P155" i="2"/>
  <c r="S155" i="2" s="1"/>
  <c r="P156" i="2"/>
  <c r="S156" i="2" s="1"/>
  <c r="E199" i="2"/>
  <c r="F198" i="2"/>
  <c r="P131" i="2"/>
  <c r="S131" i="2" s="1"/>
  <c r="O207" i="2"/>
  <c r="F219" i="2"/>
  <c r="P173" i="2"/>
  <c r="S173" i="2" s="1"/>
  <c r="P41" i="2"/>
  <c r="S41" i="2" s="1"/>
  <c r="P216" i="2"/>
  <c r="S216" i="2" s="1"/>
  <c r="E19" i="2"/>
  <c r="P19" i="2" s="1"/>
  <c r="S19" i="2" s="1"/>
  <c r="F18" i="2"/>
  <c r="P174" i="2"/>
  <c r="S174" i="2" s="1"/>
  <c r="P205" i="2"/>
  <c r="S205" i="2" s="1"/>
  <c r="P218" i="2"/>
  <c r="S218" i="2" s="1"/>
  <c r="P65" i="2"/>
  <c r="S65" i="2" s="1"/>
  <c r="P20" i="2"/>
  <c r="S20" i="2" s="1"/>
  <c r="G224" i="2" l="1"/>
  <c r="G226" i="2" s="1"/>
  <c r="O220" i="2"/>
  <c r="O224" i="2"/>
  <c r="O226" i="2" s="1"/>
  <c r="L220" i="2"/>
  <c r="L224" i="2"/>
  <c r="L226" i="2" s="1"/>
  <c r="I220" i="2"/>
  <c r="I224" i="2"/>
  <c r="I226" i="2" s="1"/>
  <c r="G220" i="2"/>
  <c r="J207" i="2"/>
  <c r="F207" i="2"/>
  <c r="F224" i="2" s="1"/>
  <c r="E18" i="2"/>
  <c r="P209" i="2"/>
  <c r="S209" i="2" s="1"/>
  <c r="E219" i="2"/>
  <c r="P199" i="2"/>
  <c r="S199" i="2" s="1"/>
  <c r="E198" i="2"/>
  <c r="P198" i="2" s="1"/>
  <c r="S198" i="2" s="1"/>
  <c r="J220" i="2" l="1"/>
  <c r="J224" i="2"/>
  <c r="J226" i="2" s="1"/>
  <c r="F220" i="2"/>
  <c r="F226" i="2"/>
  <c r="P219" i="2"/>
  <c r="S219" i="2" s="1"/>
  <c r="E207" i="2"/>
  <c r="P18" i="2"/>
  <c r="S18" i="2" s="1"/>
  <c r="E220" i="2" l="1"/>
  <c r="E224" i="2"/>
  <c r="E226" i="2" s="1"/>
  <c r="P207" i="2"/>
  <c r="S207" i="2" s="1"/>
  <c r="P220" i="2" l="1"/>
  <c r="P224" i="2"/>
  <c r="P226" i="2" s="1"/>
</calcChain>
</file>

<file path=xl/sharedStrings.xml><?xml version="1.0" encoding="utf-8"?>
<sst xmlns="http://schemas.openxmlformats.org/spreadsheetml/2006/main" count="685" uniqueCount="417">
  <si>
    <t>РОЗПОДІЛ</t>
  </si>
  <si>
    <t>1558900000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</si>
  <si>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</si>
  <si>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</si>
  <si>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</si>
  <si>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</si>
  <si>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</si>
  <si>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</si>
  <si>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</si>
  <si>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</si>
  <si>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</si>
  <si>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</si>
  <si>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</si>
  <si>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</si>
  <si>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</si>
  <si>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</si>
  <si>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</si>
  <si>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</si>
  <si>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/>
  </si>
  <si>
    <t>Виконавчий комiтет Чорноморської мiської ради Одеського району Одеської областi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</si>
  <si>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</si>
  <si>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</si>
  <si>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</si>
  <si>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</si>
  <si>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</si>
  <si>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0210170</t>
  </si>
  <si>
    <t>0170</t>
  </si>
  <si>
    <t>0131</t>
  </si>
  <si>
    <t>Підвищення кваліфікації депутатів місцевих рад та посадових осіб місцевого самоврядування</t>
  </si>
  <si>
    <t>0210180</t>
  </si>
  <si>
    <t>0180</t>
  </si>
  <si>
    <t>0133</t>
  </si>
  <si>
    <t>Інша діяльність у сфері державного управління</t>
  </si>
  <si>
    <t>0212010</t>
  </si>
  <si>
    <t>2010</t>
  </si>
  <si>
    <t>0731</t>
  </si>
  <si>
    <t>Багатопрофільна стаціонарна медична допомога населенню</t>
  </si>
  <si>
    <t>0212100</t>
  </si>
  <si>
    <t>2100</t>
  </si>
  <si>
    <t>0722</t>
  </si>
  <si>
    <t>Стоматологічна допомога населенню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</si>
  <si>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</si>
  <si>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</si>
  <si>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</si>
  <si>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</si>
  <si>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0212152</t>
  </si>
  <si>
    <t>2152</t>
  </si>
  <si>
    <t>0763</t>
  </si>
  <si>
    <t>Інші програми та заходи у сфері охорони здоров`я</t>
  </si>
  <si>
    <t>0213242</t>
  </si>
  <si>
    <t>3242</t>
  </si>
  <si>
    <t>1090</t>
  </si>
  <si>
    <t>0216030</t>
  </si>
  <si>
    <t>6030</t>
  </si>
  <si>
    <t>0620</t>
  </si>
  <si>
    <t>Організація благоустрою населених пунктів</t>
  </si>
  <si>
    <t>0217680</t>
  </si>
  <si>
    <t>7680</t>
  </si>
  <si>
    <t>0490</t>
  </si>
  <si>
    <t>Членські внески до асоціацій органів місцевого самоврядування</t>
  </si>
  <si>
    <t>0218210</t>
  </si>
  <si>
    <t>8210</t>
  </si>
  <si>
    <t>0380</t>
  </si>
  <si>
    <t>Муніципальні формування з охорони громадського порядку</t>
  </si>
  <si>
    <t>0218220</t>
  </si>
  <si>
    <t>8220</t>
  </si>
  <si>
    <t>Заходи та роботи з мобілізаційної підготовки місцевого значення</t>
  </si>
  <si>
    <t>0218230</t>
  </si>
  <si>
    <t>8230</t>
  </si>
  <si>
    <t>Інші заходи громадського порядку та безпеки</t>
  </si>
  <si>
    <t>0600000</t>
  </si>
  <si>
    <t>Управління освіти Чорноморської мiської ради Одеського району Одеської областi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</si>
  <si>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</si>
  <si>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</si>
  <si>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</si>
  <si>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</si>
  <si>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</si>
  <si>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</si>
  <si>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</si>
  <si>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</si>
  <si>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</si>
  <si>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</si>
  <si>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</si>
  <si>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</si>
  <si>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0611022</t>
  </si>
  <si>
    <t>1022</t>
  </si>
  <si>
    <t>0922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</si>
  <si>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</si>
  <si>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</si>
  <si>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</si>
  <si>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</si>
  <si>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0611032</t>
  </si>
  <si>
    <t>1032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</si>
  <si>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освітньої субвенції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</si>
  <si>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</si>
  <si>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</si>
  <si>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</si>
  <si>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</si>
  <si>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0611120</t>
  </si>
  <si>
    <t>1120</t>
  </si>
  <si>
    <t>0950</t>
  </si>
  <si>
    <t>Підвищення кваліфікації, перепідготовка кадрів закладами післядипломної освіти</t>
  </si>
  <si>
    <t>0611141</t>
  </si>
  <si>
    <t>1141</t>
  </si>
  <si>
    <t>0990</t>
  </si>
  <si>
    <t>Забезпечення діяльності інших закладів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</si>
  <si>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</si>
  <si>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</si>
  <si>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</si>
  <si>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0611160</t>
  </si>
  <si>
    <t>1160</t>
  </si>
  <si>
    <t>Забезпечення діяльності центрів професійного розвитку педагогічних працівників</t>
  </si>
  <si>
    <t>0613140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</si>
  <si>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</si>
  <si>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</si>
  <si>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</si>
  <si>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0613242</t>
  </si>
  <si>
    <t>0615031</t>
  </si>
  <si>
    <t>5031</t>
  </si>
  <si>
    <t>0810</t>
  </si>
  <si>
    <t>0800000</t>
  </si>
  <si>
    <t>Управлiння соцiальної полiтики Чорноморської мiської ради Одеського району Одеської областi</t>
  </si>
  <si>
    <t>0810000</t>
  </si>
  <si>
    <t>0810160</t>
  </si>
  <si>
    <t>0810180</t>
  </si>
  <si>
    <t>1030</t>
  </si>
  <si>
    <t>0813032</t>
  </si>
  <si>
    <t>3032</t>
  </si>
  <si>
    <t>Надання пільг окремим категоріям громадян з оплати послуг зв`язку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</si>
  <si>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</si>
  <si>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</si>
  <si>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</si>
  <si>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</si>
  <si>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</si>
  <si>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</si>
  <si>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</si>
  <si>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</si>
  <si>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</si>
  <si>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</si>
  <si>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0813121</t>
  </si>
  <si>
    <t>3121</t>
  </si>
  <si>
    <t>0813123</t>
  </si>
  <si>
    <t>3123</t>
  </si>
  <si>
    <t>Заходи державної політики з питань сім`ї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</si>
  <si>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</si>
  <si>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</si>
  <si>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</si>
  <si>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</si>
  <si>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</si>
  <si>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</si>
  <si>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0813180</t>
  </si>
  <si>
    <t>3180</t>
  </si>
  <si>
    <t>1060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</si>
  <si>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</si>
  <si>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</si>
  <si>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</si>
  <si>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</si>
  <si>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</si>
  <si>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</si>
  <si>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</si>
  <si>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0813242</t>
  </si>
  <si>
    <t>0900000</t>
  </si>
  <si>
    <t>Служба у справах дітей Чорноморської міської ради Одеського району Одеської області</t>
  </si>
  <si>
    <t>0910000</t>
  </si>
  <si>
    <t>0910160</t>
  </si>
  <si>
    <t>0913112</t>
  </si>
  <si>
    <t>3112</t>
  </si>
  <si>
    <t>Заходи державної політики з питань дітей та їх соціального захисту</t>
  </si>
  <si>
    <t>1000000</t>
  </si>
  <si>
    <t>Вiддiл культури Чорноморської мiської ради Одеського району Одеської областi</t>
  </si>
  <si>
    <t>1010000</t>
  </si>
  <si>
    <t>1010160</t>
  </si>
  <si>
    <t>1011080</t>
  </si>
  <si>
    <t>1080</t>
  </si>
  <si>
    <t>Надання спеціалізованої освіти мистецькими школами</t>
  </si>
  <si>
    <t>1013140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</si>
  <si>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</si>
  <si>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</si>
  <si>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</si>
  <si>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</si>
  <si>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</si>
  <si>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</si>
  <si>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</si>
  <si>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</si>
  <si>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</si>
  <si>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</si>
  <si>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</si>
  <si>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</si>
  <si>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</si>
  <si>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>0829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</si>
  <si>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</si>
  <si>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</si>
  <si>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</si>
  <si>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</si>
  <si>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1100000</t>
  </si>
  <si>
    <t>Вiддiл  молодi та спорту Чорноморської мiської ради Одеського району Одеської областi</t>
  </si>
  <si>
    <t>1110000</t>
  </si>
  <si>
    <t>1110160</t>
  </si>
  <si>
    <t>1113133</t>
  </si>
  <si>
    <t>3133</t>
  </si>
  <si>
    <t>1115011</t>
  </si>
  <si>
    <t>5011</t>
  </si>
  <si>
    <t>Проведення навчально-тренувальних зборів і змагань з олімпійських видів спорту</t>
  </si>
  <si>
    <t>1115012</t>
  </si>
  <si>
    <t>5012</t>
  </si>
  <si>
    <t>Проведення навчально-тренувальних зборів і змагань з неолімпійських видів спорту</t>
  </si>
  <si>
    <t>1115061</t>
  </si>
  <si>
    <t>5061</t>
  </si>
  <si>
    <t>1200000</t>
  </si>
  <si>
    <t>Вiддiл комунального господарства та благоустрою Чорноморської мiської ради Одеського району Одеської областi</t>
  </si>
  <si>
    <t>1210000</t>
  </si>
  <si>
    <t>1210160</t>
  </si>
  <si>
    <t>1210170</t>
  </si>
  <si>
    <t>1213210</t>
  </si>
  <si>
    <t>3210</t>
  </si>
  <si>
    <t>1050</t>
  </si>
  <si>
    <t>Організація та проведення громадських робіт</t>
  </si>
  <si>
    <t>1216015</t>
  </si>
  <si>
    <t>6015</t>
  </si>
  <si>
    <t>Забезпечення надійної та безперебійної експлуатації ліфтів</t>
  </si>
  <si>
    <t>1216017</t>
  </si>
  <si>
    <t>6017</t>
  </si>
  <si>
    <t>Інша діяльність, пов`язана з експлуатацією об`єктів житлово-комунального господарства</t>
  </si>
  <si>
    <t>1216030</t>
  </si>
  <si>
    <t>1217461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</si>
  <si>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</si>
  <si>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</si>
  <si>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</si>
  <si>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1217693</t>
  </si>
  <si>
    <t>7693</t>
  </si>
  <si>
    <t>Інші заходи, пов`язані з економічною діяльністю</t>
  </si>
  <si>
    <t>1218110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</si>
  <si>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</si>
  <si>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</si>
  <si>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</si>
  <si>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1500000</t>
  </si>
  <si>
    <t>Управлiння капiтального будiвництва Чорноморської мiської ради Одеського району Одеської областi</t>
  </si>
  <si>
    <t>1510000</t>
  </si>
  <si>
    <t>1510160</t>
  </si>
  <si>
    <t>3100000</t>
  </si>
  <si>
    <t>Управлiння комунальної власностi та земельних вiдносин Чорноморської мiської ради Одеського району Одеської областi</t>
  </si>
  <si>
    <t>3110000</t>
  </si>
  <si>
    <t>3110160</t>
  </si>
  <si>
    <t>3110180</t>
  </si>
  <si>
    <t>3116017</t>
  </si>
  <si>
    <t>3117130</t>
  </si>
  <si>
    <t>7130</t>
  </si>
  <si>
    <t>0421</t>
  </si>
  <si>
    <t>Здійснення заходів із землеустрою</t>
  </si>
  <si>
    <t>0443</t>
  </si>
  <si>
    <t>3117693</t>
  </si>
  <si>
    <t>3118240</t>
  </si>
  <si>
    <t>8240</t>
  </si>
  <si>
    <t>Заходи та роботи з територіальної оборони</t>
  </si>
  <si>
    <t>3700000</t>
  </si>
  <si>
    <t>Фiнансове управлiння Чорноморської мiської ради Одеського району Одеської областi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</si>
  <si>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</si>
  <si>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</si>
  <si>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</si>
  <si>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</si>
  <si>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</si>
  <si>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</si>
  <si>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</si>
  <si>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</si>
  <si>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УСЬОГО</t>
  </si>
  <si>
    <t>X</t>
  </si>
  <si>
    <t>0540</t>
  </si>
  <si>
    <t>Природоохоронні заходи за рахунок цільових фондів</t>
  </si>
  <si>
    <t>0218340</t>
  </si>
  <si>
    <t>Олександрівська селищна адміністрація Чорноморської міської ради Одеського району Одеської області</t>
  </si>
  <si>
    <t>Бурлачобалківська сільська адміністрація Чорноморської міської ради Одеського району Одеської області</t>
  </si>
  <si>
    <t>Малодолинська сільська адміністрація Чорноморської міської ради Одеського району Одеської області</t>
  </si>
  <si>
    <t>0217520</t>
  </si>
  <si>
    <t>7520</t>
  </si>
  <si>
    <t>Реалізація Національної програми інформатизації</t>
  </si>
  <si>
    <t>0460</t>
  </si>
  <si>
    <t>0218110</t>
  </si>
  <si>
    <t>0617520</t>
  </si>
  <si>
    <t>0618110</t>
  </si>
  <si>
    <t>0813140</t>
  </si>
  <si>
    <t>0817520</t>
  </si>
  <si>
    <t>0917520</t>
  </si>
  <si>
    <t>1017520</t>
  </si>
  <si>
    <t>1117520</t>
  </si>
  <si>
    <t>1217520</t>
  </si>
  <si>
    <t>1517520</t>
  </si>
  <si>
    <t>3117520</t>
  </si>
  <si>
    <t>3717520</t>
  </si>
  <si>
    <t>Реверсна дотація</t>
  </si>
  <si>
    <t>КНП "Чорноморський міський центр первинної медико-санітарної допомоги" Чорноморської міської ради Одеського району Одеської області</t>
  </si>
  <si>
    <t>КУ "Муніципальна варта" Чорноморської міської ради Одеського району Одеської області</t>
  </si>
  <si>
    <t>КНП "Чорноморська лікарня" Чорноморської міської ради Одеського району Одеської області</t>
  </si>
  <si>
    <t>КНП "Стоматологічна поліклініка міста Чорноморська" Чорноморської міської ради Одеського району Одеської області</t>
  </si>
  <si>
    <t>Управління соціальної політики Чорноморської мiської ради Одеського району Одеської областi</t>
  </si>
  <si>
    <t>Інша діяльність у сфері житлово-комунального господарства</t>
  </si>
  <si>
    <t>0640</t>
  </si>
  <si>
    <t>3116090</t>
  </si>
  <si>
    <t>Комунальна установа "Територіальний центр соціального обслуговування (надання соціальних послуг) Чорноморської міської ради Одеського району  Одеської області"</t>
  </si>
  <si>
    <t>Комунальна установа "Центр соціальних служб Чорноморської міської ради Одеського району Одеської області"</t>
  </si>
  <si>
    <t>0100</t>
  </si>
  <si>
    <t>Державне управління</t>
  </si>
  <si>
    <t>1000</t>
  </si>
  <si>
    <t>Освіта</t>
  </si>
  <si>
    <t>2000</t>
  </si>
  <si>
    <t>Охорона здоров'я</t>
  </si>
  <si>
    <t>3000</t>
  </si>
  <si>
    <t>Соціальний захист та соціальне забезпечення</t>
  </si>
  <si>
    <t>4000</t>
  </si>
  <si>
    <t>Культура і мистецтво</t>
  </si>
  <si>
    <t>5000</t>
  </si>
  <si>
    <t>Фізична культура і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</si>
  <si>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</si>
  <si>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</si>
  <si>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</si>
  <si>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</si>
  <si>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</si>
  <si>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</si>
  <si>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9000</t>
  </si>
  <si>
    <t>Міжбюджетні трансферти</t>
  </si>
  <si>
    <t>до рішення Чорноморської міської ради</t>
  </si>
  <si>
    <t>Здійснення соціальної роботи та надання соціальних послуг центрами соціальних служб та центрами надання соціальних послуг особам/сім'ям, які належать до вразливих груп населення та/або перебувають у складних життєвих обставинах</t>
  </si>
  <si>
    <t>Забезпечення молодіжними центрами соціального становлення та розвитку молоді та інші заходи у сфері  молодіжної політики</t>
  </si>
  <si>
    <t>Розвиток здібностей у дітей та молоді з фізичної культури та спорту комунальними дитячо-юнацькими спортивними школами</t>
  </si>
  <si>
    <t>в тому числі:</t>
  </si>
  <si>
    <t>комунальні заклади загальної середньої освіти</t>
  </si>
  <si>
    <t>Субвенція з місцевого бюджету державному бюджету на виконання програм соціально-економічного розвитку регіонів</t>
  </si>
  <si>
    <t>0217351</t>
  </si>
  <si>
    <t>7351</t>
  </si>
  <si>
    <t>Розроблення комплексних планів просторового розвитку територій територіальних громад</t>
  </si>
  <si>
    <t>1218340</t>
  </si>
  <si>
    <t>видатків бюджету Чорноморської міської територіальної громади  на 2026 рік</t>
  </si>
  <si>
    <t>0217610</t>
  </si>
  <si>
    <t>7610</t>
  </si>
  <si>
    <t>Сприяння розвитку малого та середнього підприємництва</t>
  </si>
  <si>
    <t>0411</t>
  </si>
  <si>
    <t>0217693</t>
  </si>
  <si>
    <t>Інші заходи, пов'язані з економічною діяльністю</t>
  </si>
  <si>
    <t>0610170</t>
  </si>
  <si>
    <t>0810170</t>
  </si>
  <si>
    <t>0818110</t>
  </si>
  <si>
    <t>0910170</t>
  </si>
  <si>
    <t>1010170</t>
  </si>
  <si>
    <t>1018110</t>
  </si>
  <si>
    <t>1110170</t>
  </si>
  <si>
    <t xml:space="preserve"> </t>
  </si>
  <si>
    <t>(грн)</t>
  </si>
  <si>
    <t>"Додаток 3</t>
  </si>
  <si>
    <t>від 24.12.2025  № 1014 - VIII"</t>
  </si>
  <si>
    <t>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</si>
  <si>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</si>
  <si>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Інші заходи та заклади у сфері соціального захисту і соціального забезпечення</t>
  </si>
  <si>
    <t>Забезпечення діяльності місцевих центрів фізичного здоров’я населення та проведення фізкультурно-масових заходів серед населення регіону</t>
  </si>
  <si>
    <t>0217640</t>
  </si>
  <si>
    <t>7640</t>
  </si>
  <si>
    <t>Заходи з енергозбереження</t>
  </si>
  <si>
    <t>0470</t>
  </si>
  <si>
    <t>0218240</t>
  </si>
  <si>
    <t>Заходи та роботи з територіальної оборони,</t>
  </si>
  <si>
    <t>0212170</t>
  </si>
  <si>
    <t>приватні заклади загальної середньої освіти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</si>
  <si>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</si>
  <si>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</si>
  <si>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</si>
  <si>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</si>
  <si>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</si>
  <si>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</si>
  <si>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</si>
  <si>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</si>
  <si>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</si>
  <si>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</si>
  <si>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</si>
  <si>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</si>
  <si>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</si>
  <si>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</si>
  <si>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</si>
  <si>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</si>
  <si>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</si>
  <si>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</si>
  <si>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</si>
  <si>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</si>
  <si>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</si>
  <si>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0813191</t>
  </si>
  <si>
    <t>Інші видатки на соціальний захист ветеранів війни та праці</t>
  </si>
  <si>
    <t>0813193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</si>
  <si>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</si>
  <si>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</si>
  <si>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0823244</t>
  </si>
  <si>
    <t>3244</t>
  </si>
  <si>
    <t>Надання комплексної соціальної послуги життєстійкості надавачами соціальних послуг</t>
  </si>
  <si>
    <t>1117691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</si>
  <si>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</si>
  <si>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</si>
  <si>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Експлуатація та технічне обслуговування житлового фонду</t>
  </si>
  <si>
    <t>0610</t>
  </si>
  <si>
    <t>Забезпечення діяльності водопровідно-каналізаційного господарства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</si>
  <si>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</si>
  <si>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1217640</t>
  </si>
  <si>
    <t>1217691</t>
  </si>
  <si>
    <t>Реалізація проектів (заходів) з відновлення закладів охорони здоров'я, пошкоджених/знищених внаслідок збройної агресії, за рахунок коштів місцевих бюджетів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</si>
  <si>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</si>
  <si>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1517691</t>
  </si>
  <si>
    <t>попередні показники</t>
  </si>
  <si>
    <t>відхилення</t>
  </si>
  <si>
    <t>Розвиток спортивної інфраструктури</t>
  </si>
  <si>
    <t>0611200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</si>
  <si>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</si>
  <si>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0611183</t>
  </si>
  <si>
    <t>0611184</t>
  </si>
  <si>
    <t>1183</t>
  </si>
  <si>
    <t>1184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</si>
  <si>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</si>
  <si>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</si>
  <si>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Додаток 3</t>
  </si>
  <si>
    <t>Субвенція з місцевого бюджету на підготовку та реалізацію публічних інвестиційних проектів/програм публічних інвестицій</t>
  </si>
  <si>
    <t>Начальник фінансового управління</t>
  </si>
  <si>
    <t>Ольга ЯКОВЕНКО</t>
  </si>
  <si>
    <t>від 15.05.2026  № 1097 -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</si>
</sst>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₴_-;\-* #,##0.00\ _₴_-;_-* &quot;-&quot;??\ _₴_-;_-@_-"/>
    <numFmt numFmtId="165" formatCode="#,##0.00_ ;\-#,##0.00\ "/>
    <numFmt numFmtId="166" formatCode="#,##0.000"/>
  </numFmts>
  <fonts count="17">
    <font>
      <sz val="10"/>
      <color theme="1"/>
      <name val="Шрифт текста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0"/>
      <color theme="1"/>
      <name val="Шрифт текста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8" fillId="0" borderId="0"/>
    <xf numFmtId="0" fontId="12" fillId="0" borderId="0"/>
    <xf numFmtId="0" fontId="13" fillId="0" borderId="0"/>
    <xf numFmtId="0" fontId="1" fillId="0" borderId="0"/>
    <xf numFmtId="0" fontId="12" fillId="0" borderId="0"/>
    <xf numFmtId="0" fontId="14" fillId="0" borderId="0"/>
    <xf numFmtId="0" fontId="1" fillId="0" borderId="0"/>
    <xf numFmtId="0" fontId="1" fillId="0" borderId="0"/>
    <xf numFmtId="0" fontId="15" fillId="0" borderId="0"/>
    <xf numFmtId="164" fontId="16" fillId="0" borderId="0" applyFont="0" applyFill="0" applyBorder="0" applyAlignment="0" applyProtection="0"/>
  </cellStyleXfs>
  <cellXfs count="43">
    <xf numFmtId="0" fontId="0" fillId="0" borderId="0" xfId="0"/>
    <xf numFmtId="0" fontId="3" fillId="2" borderId="1" xfId="0" quotePrefix="1" applyFont="1" applyFill="1" applyBorder="1" applyAlignment="1">
      <alignment vertical="center" wrapText="1"/>
    </xf>
    <xf numFmtId="0" fontId="2" fillId="0" borderId="0" xfId="0" applyFont="1"/>
    <xf numFmtId="0" fontId="5" fillId="0" borderId="0" xfId="0" quotePrefix="1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vertical="center" wrapText="1"/>
    </xf>
    <xf numFmtId="0" fontId="2" fillId="2" borderId="1" xfId="0" quotePrefix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49" fontId="7" fillId="2" borderId="1" xfId="0" applyNumberFormat="1" applyFont="1" applyFill="1" applyBorder="1"/>
    <xf numFmtId="49" fontId="7" fillId="2" borderId="1" xfId="0" applyNumberFormat="1" applyFont="1" applyFill="1" applyBorder="1" applyAlignment="1">
      <alignment horizontal="center"/>
    </xf>
    <xf numFmtId="166" fontId="9" fillId="2" borderId="1" xfId="1" applyNumberFormat="1" applyFont="1" applyFill="1" applyBorder="1" applyAlignment="1">
      <alignment wrapText="1"/>
    </xf>
    <xf numFmtId="0" fontId="9" fillId="2" borderId="0" xfId="0" applyFont="1" applyFill="1"/>
    <xf numFmtId="0" fontId="10" fillId="2" borderId="0" xfId="0" applyFont="1" applyFill="1"/>
    <xf numFmtId="0" fontId="4" fillId="2" borderId="1" xfId="0" applyFont="1" applyFill="1" applyBorder="1" applyAlignment="1">
      <alignment wrapText="1"/>
    </xf>
    <xf numFmtId="0" fontId="11" fillId="2" borderId="0" xfId="0" applyFont="1" applyFill="1"/>
    <xf numFmtId="165" fontId="2" fillId="0" borderId="0" xfId="0" applyNumberFormat="1" applyFont="1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4" fontId="4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2" fillId="2" borderId="1" xfId="1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2" fillId="2" borderId="1" xfId="0" applyNumberFormat="1" applyFont="1" applyFill="1" applyBorder="1"/>
    <xf numFmtId="4" fontId="4" fillId="2" borderId="1" xfId="0" applyNumberFormat="1" applyFont="1" applyFill="1" applyBorder="1"/>
    <xf numFmtId="4" fontId="9" fillId="2" borderId="0" xfId="0" applyNumberFormat="1" applyFont="1" applyFill="1"/>
    <xf numFmtId="4" fontId="2" fillId="0" borderId="0" xfId="0" applyNumberFormat="1" applyFont="1"/>
    <xf numFmtId="4" fontId="4" fillId="0" borderId="0" xfId="0" applyNumberFormat="1" applyFont="1"/>
    <xf numFmtId="4" fontId="2" fillId="2" borderId="0" xfId="0" applyNumberFormat="1" applyFont="1" applyFill="1"/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1">
    <cellStyle name="Звичайний" xfId="0" builtinId="0"/>
    <cellStyle name="Звичайний 2" xfId="7" xr:uid="{00000000-0005-0000-0000-000001000000}"/>
    <cellStyle name="Звичайний 2 2" xfId="8" xr:uid="{00000000-0005-0000-0000-000002000000}"/>
    <cellStyle name="Обычный 2" xfId="5" xr:uid="{00000000-0005-0000-0000-000003000000}"/>
    <cellStyle name="Обычный 3" xfId="3" xr:uid="{00000000-0005-0000-0000-000004000000}"/>
    <cellStyle name="Обычный 4" xfId="6" xr:uid="{00000000-0005-0000-0000-000005000000}"/>
    <cellStyle name="Обычный 5" xfId="2" xr:uid="{00000000-0005-0000-0000-000006000000}"/>
    <cellStyle name="Обычный 6" xfId="4" xr:uid="{00000000-0005-0000-0000-000007000000}"/>
    <cellStyle name="Обычный 9" xfId="9" xr:uid="{00000000-0005-0000-0000-000008000000}"/>
    <cellStyle name="Обычный_дод 3" xfId="1" xr:uid="{00000000-0005-0000-0000-000009000000}"/>
    <cellStyle name="Фінансовий" xfId="10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34"/>
  <sheetViews>
    <sheetView showZeros="0" tabSelected="1" view="pageBreakPreview" zoomScale="70" zoomScaleNormal="70" zoomScaleSheetLayoutView="70" workbookViewId="0">
      <pane xSplit="4" ySplit="17" topLeftCell="H202" activePane="bottomRight" state="frozen"/>
      <selection pane="topRight" activeCell="E1" sqref="E1"/>
      <selection pane="bottomLeft" activeCell="A14" sqref="A14"/>
      <selection pane="bottomRight" activeCell="M3" sqref="M3:N3"/>
    </sheetView>
  </sheetViews>
  <sheetFormatPr defaultColWidth="8.88671875" defaultRowHeight="15.6"/>
  <cols>
    <col min="1" max="3" width="12.109375" style="2" customWidth="1"/>
    <col min="4" max="4" width="40.6640625" style="2" customWidth="1"/>
    <col min="5" max="5" width="20.109375" style="2" customWidth="1"/>
    <col min="6" max="6" width="19.5546875" style="2" customWidth="1"/>
    <col min="7" max="7" width="17.33203125" style="2" customWidth="1"/>
    <col min="8" max="8" width="18.5546875" style="2" customWidth="1"/>
    <col min="9" max="9" width="18.6640625" style="2" customWidth="1"/>
    <col min="10" max="11" width="17.6640625" style="2" customWidth="1"/>
    <col min="12" max="12" width="17.5546875" style="2" customWidth="1"/>
    <col min="13" max="14" width="15.6640625" style="2" customWidth="1"/>
    <col min="15" max="15" width="17.33203125" style="2" customWidth="1"/>
    <col min="16" max="16" width="20.5546875" style="2" customWidth="1"/>
    <col min="17" max="17" width="17.6640625" style="2" customWidth="1"/>
    <col min="18" max="18" width="8.88671875" style="2"/>
    <col min="19" max="19" width="14.88671875" style="2" customWidth="1"/>
    <col min="20" max="16384" width="8.88671875" style="2"/>
  </cols>
  <sheetData>
    <row r="1" spans="1:16">
      <c r="M1" s="2" t="s">
        <v>412</v>
      </c>
    </row>
    <row r="2" spans="1:16">
      <c r="M2" s="2" t="s">
        <v>319</v>
      </c>
    </row>
    <row r="3" spans="1:16">
      <c r="M3" s="2" t="s">
        <v>416</v>
      </c>
    </row>
    <row r="5" spans="1:16" ht="20.399999999999999" customHeight="1">
      <c r="M5" s="2" t="s">
        <v>346</v>
      </c>
    </row>
    <row r="6" spans="1:16" ht="20.399999999999999" customHeight="1">
      <c r="M6" s="2" t="s">
        <v>319</v>
      </c>
    </row>
    <row r="7" spans="1:16" ht="20.399999999999999" customHeight="1">
      <c r="M7" s="2" t="s">
        <v>347</v>
      </c>
    </row>
    <row r="9" spans="1:16">
      <c r="A9" s="39" t="s">
        <v>0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</row>
    <row r="10" spans="1:16">
      <c r="A10" s="39" t="s">
        <v>330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</row>
    <row r="11" spans="1:16">
      <c r="A11" s="3" t="s">
        <v>1</v>
      </c>
    </row>
    <row r="12" spans="1:16">
      <c r="A12" s="2" t="s">
        <v>2</v>
      </c>
      <c r="P12" s="4" t="s">
        <v>345</v>
      </c>
    </row>
    <row r="13" spans="1:16" ht="26.4" customHeight="1">
      <c r="A13" s="41" t="s">
        <v>3</v>
      </c>
      <c r="B13" s="41" t="s">
        <v>4</v>
      </c>
      <c r="C13" s="41" t="s">
        <v>5</v>
      </c>
      <c r="D13" s="42" t="s">
        <v>6</v>
      </c>
      <c r="E13" s="42" t="s">
        <v>7</v>
      </c>
      <c r="F13" s="42"/>
      <c r="G13" s="42"/>
      <c r="H13" s="42"/>
      <c r="I13" s="42"/>
      <c r="J13" s="42" t="s">
        <v>14</v>
      </c>
      <c r="K13" s="42"/>
      <c r="L13" s="42"/>
      <c r="M13" s="42"/>
      <c r="N13" s="42"/>
      <c r="O13" s="42"/>
      <c r="P13" s="42" t="s">
        <v>16</v>
      </c>
    </row>
    <row r="14" spans="1:16" ht="26.4" customHeight="1">
      <c r="A14" s="41"/>
      <c r="B14" s="41"/>
      <c r="C14" s="41"/>
      <c r="D14" s="42"/>
      <c r="E14" s="42" t="s">
        <v>8</v>
      </c>
      <c r="F14" s="42" t="s">
        <v>9</v>
      </c>
      <c r="G14" s="42" t="s">
        <v>10</v>
      </c>
      <c r="H14" s="42"/>
      <c r="I14" s="42" t="s">
        <v>13</v>
      </c>
      <c r="J14" s="42" t="s">
        <v>8</v>
      </c>
      <c r="K14" s="42" t="s">
        <v>15</v>
      </c>
      <c r="L14" s="42" t="s">
        <v>9</v>
      </c>
      <c r="M14" s="42" t="s">
        <v>10</v>
      </c>
      <c r="N14" s="42"/>
      <c r="O14" s="42" t="s">
        <v>13</v>
      </c>
      <c r="P14" s="42"/>
    </row>
    <row r="15" spans="1:16" ht="30.6" customHeight="1">
      <c r="A15" s="41"/>
      <c r="B15" s="41"/>
      <c r="C15" s="41"/>
      <c r="D15" s="42"/>
      <c r="E15" s="42"/>
      <c r="F15" s="42"/>
      <c r="G15" s="42" t="s">
        <v>11</v>
      </c>
      <c r="H15" s="42" t="s">
        <v>12</v>
      </c>
      <c r="I15" s="42"/>
      <c r="J15" s="42"/>
      <c r="K15" s="42"/>
      <c r="L15" s="42"/>
      <c r="M15" s="42" t="s">
        <v>11</v>
      </c>
      <c r="N15" s="42" t="s">
        <v>12</v>
      </c>
      <c r="O15" s="42"/>
      <c r="P15" s="42"/>
    </row>
    <row r="16" spans="1:16" ht="26.4" customHeight="1">
      <c r="A16" s="41"/>
      <c r="B16" s="41"/>
      <c r="C16" s="41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</row>
    <row r="17" spans="1:19">
      <c r="A17" s="24">
        <v>1</v>
      </c>
      <c r="B17" s="24">
        <v>2</v>
      </c>
      <c r="C17" s="24">
        <v>3</v>
      </c>
      <c r="D17" s="24">
        <v>4</v>
      </c>
      <c r="E17" s="24">
        <v>5</v>
      </c>
      <c r="F17" s="24">
        <v>6</v>
      </c>
      <c r="G17" s="24">
        <v>7</v>
      </c>
      <c r="H17" s="24">
        <v>8</v>
      </c>
      <c r="I17" s="24">
        <v>9</v>
      </c>
      <c r="J17" s="24">
        <v>10</v>
      </c>
      <c r="K17" s="24">
        <v>11</v>
      </c>
      <c r="L17" s="24">
        <v>12</v>
      </c>
      <c r="M17" s="24">
        <v>13</v>
      </c>
      <c r="N17" s="24">
        <v>14</v>
      </c>
      <c r="O17" s="24">
        <v>15</v>
      </c>
      <c r="P17" s="24">
        <v>16</v>
      </c>
    </row>
    <row r="18" spans="1:19" ht="46.8">
      <c r="A18" s="6" t="s">
        <v>17</v>
      </c>
      <c r="B18" s="6" t="s">
        <v>18</v>
      </c>
      <c r="C18" s="6" t="s">
        <v>18</v>
      </c>
      <c r="D18" s="7" t="s">
        <v>19</v>
      </c>
      <c r="E18" s="26">
        <f>F18+I18</f>
        <v>254409845</v>
      </c>
      <c r="F18" s="26">
        <f>F19</f>
        <v>249577145</v>
      </c>
      <c r="G18" s="26">
        <f>G19</f>
        <v>127014900</v>
      </c>
      <c r="H18" s="26">
        <f>H19</f>
        <v>5649600</v>
      </c>
      <c r="I18" s="26">
        <f>I19</f>
        <v>4832700</v>
      </c>
      <c r="J18" s="26">
        <f>L18+O18</f>
        <v>8649972</v>
      </c>
      <c r="K18" s="26">
        <f>K19</f>
        <v>8429972</v>
      </c>
      <c r="L18" s="26">
        <f>L19</f>
        <v>220000</v>
      </c>
      <c r="M18" s="26">
        <f>M19</f>
        <v>0</v>
      </c>
      <c r="N18" s="26">
        <f>N19</f>
        <v>0</v>
      </c>
      <c r="O18" s="26">
        <f>O19</f>
        <v>8429972</v>
      </c>
      <c r="P18" s="26">
        <f t="shared" ref="P18:P92" si="0">E18 + J18</f>
        <v>263059817</v>
      </c>
      <c r="Q18" s="34">
        <v>261203940</v>
      </c>
      <c r="S18" s="34">
        <f>P18-Q18</f>
        <v>1855877</v>
      </c>
    </row>
    <row r="19" spans="1:19" ht="46.8">
      <c r="A19" s="6" t="s">
        <v>20</v>
      </c>
      <c r="B19" s="6" t="s">
        <v>18</v>
      </c>
      <c r="C19" s="6" t="s">
        <v>18</v>
      </c>
      <c r="D19" s="7" t="s">
        <v>19</v>
      </c>
      <c r="E19" s="26">
        <f>F19+I19</f>
        <v>254409845</v>
      </c>
      <c r="F19" s="26">
        <f>F20+F25+F26+F27+F28+F29+F30+F34+F35+F36+F40+F41+F48+F49+F50+F51+F52+F60+F61+F62+F63+F64</f>
        <v>249577145</v>
      </c>
      <c r="G19" s="26">
        <f t="shared" ref="G19:K19" si="1">G20+G25+G26+G27+G28+G29+G30+G34+G35+G36+G40+G41+G48+G49+G50+G51+G52+G60+G61+G62+G63+G64</f>
        <v>127014900</v>
      </c>
      <c r="H19" s="26">
        <f t="shared" si="1"/>
        <v>5649600</v>
      </c>
      <c r="I19" s="26">
        <f t="shared" si="1"/>
        <v>4832700</v>
      </c>
      <c r="J19" s="26">
        <f>L19+O19</f>
        <v>8649972</v>
      </c>
      <c r="K19" s="26">
        <f t="shared" si="1"/>
        <v>8429972</v>
      </c>
      <c r="L19" s="26">
        <f t="shared" ref="L19" si="2">L20+L25+L26+L27+L28+L29+L30+L34+L35+L36+L40+L41+L48+L49+L50+L51+L52+L60+L61+L62+L63+L64</f>
        <v>220000</v>
      </c>
      <c r="M19" s="26">
        <f t="shared" ref="M19" si="3">M20+M25+M26+M27+M28+M29+M30+M34+M35+M36+M40+M41+M48+M49+M50+M51+M52+M60+M61+M62+M63+M64</f>
        <v>0</v>
      </c>
      <c r="N19" s="26">
        <f t="shared" ref="N19" si="4">N20+N25+N26+N27+N28+N29+N30+N34+N35+N36+N40+N41+N48+N49+N50+N51+N52+N60+N61+N62+N63+N64</f>
        <v>0</v>
      </c>
      <c r="O19" s="26">
        <f t="shared" ref="O19" si="5">O20+O25+O26+O27+O28+O29+O30+O34+O35+O36+O40+O41+O48+O49+O50+O51+O52+O60+O61+O62+O63+O64</f>
        <v>8429972</v>
      </c>
      <c r="P19" s="26">
        <f>E19 + J19</f>
        <v>263059817</v>
      </c>
      <c r="Q19" s="2">
        <v>261203940</v>
      </c>
      <c r="S19" s="34">
        <f t="shared" ref="S19:S82" si="6">P19-Q19</f>
        <v>1855877</v>
      </c>
    </row>
    <row r="20" spans="1:19" ht="102" customHeight="1">
      <c r="A20" s="24" t="s">
        <v>21</v>
      </c>
      <c r="B20" s="24" t="s">
        <v>22</v>
      </c>
      <c r="C20" s="24" t="s">
        <v>23</v>
      </c>
      <c r="D20" s="8" t="s">
        <v>24</v>
      </c>
      <c r="E20" s="27">
        <f>F20+I20</f>
        <v>114284600</v>
      </c>
      <c r="F20" s="27">
        <f>F21+F22+F23+F24</f>
        <v>114284600</v>
      </c>
      <c r="G20" s="27">
        <f>G21+G22+G23+G24</f>
        <v>101628100</v>
      </c>
      <c r="H20" s="27">
        <f t="shared" ref="H20:I20" si="7">H21+H22+H23+H24</f>
        <v>5591100</v>
      </c>
      <c r="I20" s="28">
        <f t="shared" si="7"/>
        <v>0</v>
      </c>
      <c r="J20" s="27">
        <f>L20+O20</f>
        <v>120000</v>
      </c>
      <c r="K20" s="28">
        <f>K21+K22+K23+K24</f>
        <v>0</v>
      </c>
      <c r="L20" s="27">
        <f t="shared" ref="L20:O20" si="8">L21+L22+L23+L24</f>
        <v>120000</v>
      </c>
      <c r="M20" s="27">
        <f t="shared" si="8"/>
        <v>0</v>
      </c>
      <c r="N20" s="27">
        <f t="shared" si="8"/>
        <v>0</v>
      </c>
      <c r="O20" s="27">
        <f t="shared" si="8"/>
        <v>0</v>
      </c>
      <c r="P20" s="27">
        <f t="shared" si="0"/>
        <v>114404600</v>
      </c>
      <c r="Q20" s="2">
        <v>114034600</v>
      </c>
      <c r="S20" s="34">
        <f t="shared" si="6"/>
        <v>370000</v>
      </c>
    </row>
    <row r="21" spans="1:19" s="5" customFormat="1" ht="58.5" customHeight="1">
      <c r="A21" s="9"/>
      <c r="B21" s="9"/>
      <c r="C21" s="9"/>
      <c r="D21" s="1" t="s">
        <v>19</v>
      </c>
      <c r="E21" s="29">
        <f>F21+I21</f>
        <v>101468500</v>
      </c>
      <c r="F21" s="29">
        <f>101662000-182500-11000</f>
        <v>101468500</v>
      </c>
      <c r="G21" s="29">
        <f>91354400</f>
        <v>91354400</v>
      </c>
      <c r="H21" s="29">
        <f>5178900-11000</f>
        <v>5167900</v>
      </c>
      <c r="I21" s="29"/>
      <c r="J21" s="29">
        <f>L21+O21</f>
        <v>119998</v>
      </c>
      <c r="K21" s="29"/>
      <c r="L21" s="29">
        <v>119998</v>
      </c>
      <c r="M21" s="29"/>
      <c r="N21" s="29"/>
      <c r="O21" s="29"/>
      <c r="P21" s="29">
        <f t="shared" si="0"/>
        <v>101588498</v>
      </c>
      <c r="Q21" s="5">
        <v>101588498</v>
      </c>
      <c r="S21" s="34">
        <f t="shared" si="6"/>
        <v>0</v>
      </c>
    </row>
    <row r="22" spans="1:19" s="5" customFormat="1" ht="74.25" customHeight="1">
      <c r="A22" s="9"/>
      <c r="B22" s="9"/>
      <c r="C22" s="9"/>
      <c r="D22" s="1" t="s">
        <v>269</v>
      </c>
      <c r="E22" s="29">
        <f t="shared" ref="E22:E64" si="9">F22+I22</f>
        <v>5534600</v>
      </c>
      <c r="F22" s="29">
        <v>5534600</v>
      </c>
      <c r="G22" s="29">
        <v>4117400</v>
      </c>
      <c r="H22" s="29">
        <v>208400</v>
      </c>
      <c r="I22" s="29"/>
      <c r="J22" s="29">
        <f t="shared" ref="J22:J64" si="10">L22+O22</f>
        <v>1</v>
      </c>
      <c r="K22" s="29"/>
      <c r="L22" s="29">
        <v>1</v>
      </c>
      <c r="M22" s="29"/>
      <c r="N22" s="29"/>
      <c r="O22" s="29"/>
      <c r="P22" s="29">
        <f t="shared" si="0"/>
        <v>5534601</v>
      </c>
      <c r="Q22" s="5">
        <v>5534601</v>
      </c>
      <c r="S22" s="34">
        <f t="shared" si="6"/>
        <v>0</v>
      </c>
    </row>
    <row r="23" spans="1:19" s="5" customFormat="1" ht="70.5" customHeight="1">
      <c r="A23" s="9"/>
      <c r="B23" s="9"/>
      <c r="C23" s="9"/>
      <c r="D23" s="1" t="s">
        <v>270</v>
      </c>
      <c r="E23" s="29">
        <f t="shared" si="9"/>
        <v>3000100</v>
      </c>
      <c r="F23" s="29">
        <v>3000100</v>
      </c>
      <c r="G23" s="29">
        <v>2776600</v>
      </c>
      <c r="H23" s="29">
        <v>73800</v>
      </c>
      <c r="I23" s="29"/>
      <c r="J23" s="29">
        <f t="shared" si="10"/>
        <v>0</v>
      </c>
      <c r="K23" s="29"/>
      <c r="L23" s="29"/>
      <c r="M23" s="29"/>
      <c r="N23" s="29"/>
      <c r="O23" s="29"/>
      <c r="P23" s="29">
        <f t="shared" si="0"/>
        <v>3000100</v>
      </c>
      <c r="Q23" s="5">
        <v>3000100</v>
      </c>
      <c r="S23" s="34">
        <f t="shared" si="6"/>
        <v>0</v>
      </c>
    </row>
    <row r="24" spans="1:19" s="5" customFormat="1" ht="71.25" customHeight="1">
      <c r="A24" s="9"/>
      <c r="B24" s="9"/>
      <c r="C24" s="9"/>
      <c r="D24" s="1" t="s">
        <v>271</v>
      </c>
      <c r="E24" s="29">
        <f t="shared" si="9"/>
        <v>4281400</v>
      </c>
      <c r="F24" s="29">
        <f>3911400+370000</f>
        <v>4281400</v>
      </c>
      <c r="G24" s="29">
        <v>3379700</v>
      </c>
      <c r="H24" s="29">
        <v>141000</v>
      </c>
      <c r="I24" s="29"/>
      <c r="J24" s="29">
        <f t="shared" si="10"/>
        <v>1</v>
      </c>
      <c r="K24" s="29"/>
      <c r="L24" s="29">
        <v>1</v>
      </c>
      <c r="M24" s="29"/>
      <c r="N24" s="29"/>
      <c r="O24" s="29"/>
      <c r="P24" s="29">
        <f t="shared" si="0"/>
        <v>4281401</v>
      </c>
      <c r="Q24" s="5">
        <v>3911401</v>
      </c>
      <c r="S24" s="34">
        <f t="shared" si="6"/>
        <v>370000</v>
      </c>
    </row>
    <row r="25" spans="1:19" ht="46.8">
      <c r="A25" s="24" t="s">
        <v>25</v>
      </c>
      <c r="B25" s="24" t="s">
        <v>26</v>
      </c>
      <c r="C25" s="24" t="s">
        <v>27</v>
      </c>
      <c r="D25" s="8" t="s">
        <v>28</v>
      </c>
      <c r="E25" s="27">
        <f t="shared" si="9"/>
        <v>50000</v>
      </c>
      <c r="F25" s="27">
        <v>50000</v>
      </c>
      <c r="G25" s="27">
        <v>0</v>
      </c>
      <c r="H25" s="27">
        <v>0</v>
      </c>
      <c r="I25" s="27">
        <v>0</v>
      </c>
      <c r="J25" s="27">
        <f t="shared" si="10"/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f t="shared" si="0"/>
        <v>50000</v>
      </c>
      <c r="Q25" s="2">
        <v>50000</v>
      </c>
      <c r="S25" s="34">
        <f t="shared" si="6"/>
        <v>0</v>
      </c>
    </row>
    <row r="26" spans="1:19" ht="31.2">
      <c r="A26" s="24" t="s">
        <v>29</v>
      </c>
      <c r="B26" s="24" t="s">
        <v>30</v>
      </c>
      <c r="C26" s="24" t="s">
        <v>31</v>
      </c>
      <c r="D26" s="8" t="s">
        <v>32</v>
      </c>
      <c r="E26" s="27">
        <f t="shared" si="9"/>
        <v>2470400</v>
      </c>
      <c r="F26" s="27">
        <f>2570400-100000</f>
        <v>2470400</v>
      </c>
      <c r="G26" s="27">
        <v>0</v>
      </c>
      <c r="H26" s="27">
        <v>0</v>
      </c>
      <c r="I26" s="27">
        <v>0</v>
      </c>
      <c r="J26" s="27">
        <f t="shared" si="10"/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f t="shared" si="0"/>
        <v>2470400</v>
      </c>
      <c r="Q26" s="2">
        <v>2470400</v>
      </c>
      <c r="S26" s="34">
        <f t="shared" si="6"/>
        <v>0</v>
      </c>
    </row>
    <row r="27" spans="1:19" ht="31.2">
      <c r="A27" s="24" t="s">
        <v>33</v>
      </c>
      <c r="B27" s="24" t="s">
        <v>34</v>
      </c>
      <c r="C27" s="24" t="s">
        <v>35</v>
      </c>
      <c r="D27" s="8" t="s">
        <v>36</v>
      </c>
      <c r="E27" s="27">
        <f t="shared" si="9"/>
        <v>47390864</v>
      </c>
      <c r="F27" s="27">
        <f>41453700+2000000+496561+825000</f>
        <v>44775261</v>
      </c>
      <c r="G27" s="27">
        <v>0</v>
      </c>
      <c r="H27" s="27">
        <v>0</v>
      </c>
      <c r="I27" s="27">
        <f>1961974+561911+91718</f>
        <v>2615603</v>
      </c>
      <c r="J27" s="27">
        <f t="shared" si="10"/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f t="shared" si="0"/>
        <v>47390864</v>
      </c>
      <c r="Q27" s="2">
        <v>46474146</v>
      </c>
      <c r="S27" s="34">
        <f t="shared" si="6"/>
        <v>916718</v>
      </c>
    </row>
    <row r="28" spans="1:19" ht="22.2" customHeight="1">
      <c r="A28" s="24" t="s">
        <v>37</v>
      </c>
      <c r="B28" s="24" t="s">
        <v>38</v>
      </c>
      <c r="C28" s="24" t="s">
        <v>39</v>
      </c>
      <c r="D28" s="8" t="s">
        <v>40</v>
      </c>
      <c r="E28" s="27">
        <f t="shared" si="9"/>
        <v>9215600</v>
      </c>
      <c r="F28" s="27">
        <v>9215600</v>
      </c>
      <c r="G28" s="27">
        <v>0</v>
      </c>
      <c r="H28" s="27">
        <v>0</v>
      </c>
      <c r="I28" s="27">
        <v>0</v>
      </c>
      <c r="J28" s="27">
        <f t="shared" si="10"/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f t="shared" si="0"/>
        <v>9215600</v>
      </c>
      <c r="Q28" s="2">
        <v>9215600</v>
      </c>
      <c r="S28" s="34">
        <f t="shared" si="6"/>
        <v>0</v>
      </c>
    </row>
    <row r="29" spans="1:19" ht="72" customHeight="1">
      <c r="A29" s="24" t="s">
        <v>41</v>
      </c>
      <c r="B29" s="24" t="s">
        <v>42</v>
      </c>
      <c r="C29" s="24" t="s">
        <v>43</v>
      </c>
      <c r="D29" s="8" t="s">
        <v>44</v>
      </c>
      <c r="E29" s="27">
        <f t="shared" si="9"/>
        <v>4832200</v>
      </c>
      <c r="F29" s="27">
        <v>3792200</v>
      </c>
      <c r="G29" s="27">
        <v>0</v>
      </c>
      <c r="H29" s="27">
        <v>0</v>
      </c>
      <c r="I29" s="27">
        <v>1040000</v>
      </c>
      <c r="J29" s="27">
        <f t="shared" si="10"/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f t="shared" si="0"/>
        <v>4832200</v>
      </c>
      <c r="Q29" s="2">
        <v>4832200</v>
      </c>
      <c r="S29" s="34">
        <f t="shared" si="6"/>
        <v>0</v>
      </c>
    </row>
    <row r="30" spans="1:19" ht="31.2">
      <c r="A30" s="24" t="s">
        <v>45</v>
      </c>
      <c r="B30" s="24" t="s">
        <v>46</v>
      </c>
      <c r="C30" s="24" t="s">
        <v>47</v>
      </c>
      <c r="D30" s="8" t="s">
        <v>48</v>
      </c>
      <c r="E30" s="27">
        <f t="shared" si="9"/>
        <v>11049704</v>
      </c>
      <c r="F30" s="27">
        <f>SUM(F31:F33)</f>
        <v>11049704</v>
      </c>
      <c r="G30" s="27">
        <v>0</v>
      </c>
      <c r="H30" s="27">
        <v>0</v>
      </c>
      <c r="I30" s="27">
        <v>0</v>
      </c>
      <c r="J30" s="27">
        <f t="shared" si="10"/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f t="shared" si="0"/>
        <v>11049704</v>
      </c>
      <c r="Q30" s="2">
        <v>11049704</v>
      </c>
      <c r="S30" s="34">
        <f t="shared" si="6"/>
        <v>0</v>
      </c>
    </row>
    <row r="31" spans="1:19" s="5" customFormat="1" ht="60" customHeight="1">
      <c r="A31" s="9"/>
      <c r="B31" s="9"/>
      <c r="C31" s="9"/>
      <c r="D31" s="1" t="s">
        <v>291</v>
      </c>
      <c r="E31" s="29">
        <f t="shared" si="9"/>
        <v>1049704</v>
      </c>
      <c r="F31" s="29">
        <f>819200+230504</f>
        <v>1049704</v>
      </c>
      <c r="G31" s="29"/>
      <c r="H31" s="29"/>
      <c r="I31" s="29"/>
      <c r="J31" s="29"/>
      <c r="K31" s="29"/>
      <c r="L31" s="29"/>
      <c r="M31" s="29"/>
      <c r="N31" s="29"/>
      <c r="O31" s="29"/>
      <c r="P31" s="29">
        <f t="shared" si="0"/>
        <v>1049704</v>
      </c>
      <c r="Q31" s="5">
        <v>1049704</v>
      </c>
      <c r="S31" s="34">
        <f t="shared" si="6"/>
        <v>0</v>
      </c>
    </row>
    <row r="32" spans="1:19" s="5" customFormat="1" ht="87" customHeight="1">
      <c r="A32" s="9"/>
      <c r="B32" s="9"/>
      <c r="C32" s="9"/>
      <c r="D32" s="1" t="s">
        <v>289</v>
      </c>
      <c r="E32" s="29">
        <f t="shared" si="9"/>
        <v>7000000</v>
      </c>
      <c r="F32" s="29">
        <v>7000000</v>
      </c>
      <c r="G32" s="29"/>
      <c r="H32" s="29"/>
      <c r="I32" s="29"/>
      <c r="J32" s="29"/>
      <c r="K32" s="29"/>
      <c r="L32" s="29"/>
      <c r="M32" s="29"/>
      <c r="N32" s="29"/>
      <c r="O32" s="29"/>
      <c r="P32" s="29">
        <f t="shared" si="0"/>
        <v>7000000</v>
      </c>
      <c r="Q32" s="5">
        <v>7000000</v>
      </c>
      <c r="S32" s="34">
        <f t="shared" si="6"/>
        <v>0</v>
      </c>
    </row>
    <row r="33" spans="1:19" s="5" customFormat="1" ht="74.25" customHeight="1">
      <c r="A33" s="9"/>
      <c r="B33" s="9"/>
      <c r="C33" s="9"/>
      <c r="D33" s="1" t="s">
        <v>292</v>
      </c>
      <c r="E33" s="29">
        <f t="shared" si="9"/>
        <v>3000000</v>
      </c>
      <c r="F33" s="29">
        <f>2500000+500000</f>
        <v>3000000</v>
      </c>
      <c r="G33" s="29"/>
      <c r="H33" s="29"/>
      <c r="I33" s="29"/>
      <c r="J33" s="29"/>
      <c r="K33" s="29"/>
      <c r="L33" s="29"/>
      <c r="M33" s="29"/>
      <c r="N33" s="29"/>
      <c r="O33" s="29"/>
      <c r="P33" s="29">
        <f t="shared" si="0"/>
        <v>3000000</v>
      </c>
      <c r="Q33" s="5">
        <v>3000000</v>
      </c>
      <c r="S33" s="34">
        <f t="shared" si="6"/>
        <v>0</v>
      </c>
    </row>
    <row r="34" spans="1:19" ht="74.25" customHeight="1">
      <c r="A34" s="23" t="s">
        <v>358</v>
      </c>
      <c r="B34" s="23" t="s">
        <v>348</v>
      </c>
      <c r="C34" s="23" t="s">
        <v>47</v>
      </c>
      <c r="D34" s="8" t="s">
        <v>349</v>
      </c>
      <c r="E34" s="27">
        <f t="shared" si="9"/>
        <v>0</v>
      </c>
      <c r="F34" s="27"/>
      <c r="G34" s="27"/>
      <c r="H34" s="27"/>
      <c r="I34" s="27"/>
      <c r="J34" s="27">
        <f t="shared" si="10"/>
        <v>2529972</v>
      </c>
      <c r="K34" s="27">
        <f>196918+1068895+1264159</f>
        <v>2529972</v>
      </c>
      <c r="L34" s="27"/>
      <c r="M34" s="27"/>
      <c r="N34" s="27"/>
      <c r="O34" s="27">
        <f>196918+1068895+1264159</f>
        <v>2529972</v>
      </c>
      <c r="P34" s="27">
        <f t="shared" si="0"/>
        <v>2529972</v>
      </c>
      <c r="Q34" s="2">
        <v>1265813</v>
      </c>
      <c r="S34" s="34">
        <f t="shared" si="6"/>
        <v>1264159</v>
      </c>
    </row>
    <row r="35" spans="1:19" ht="46.8">
      <c r="A35" s="24" t="s">
        <v>49</v>
      </c>
      <c r="B35" s="24" t="s">
        <v>50</v>
      </c>
      <c r="C35" s="24" t="s">
        <v>51</v>
      </c>
      <c r="D35" s="8" t="s">
        <v>350</v>
      </c>
      <c r="E35" s="27">
        <f t="shared" si="9"/>
        <v>3500000</v>
      </c>
      <c r="F35" s="27">
        <f>5000000-500000-1000000</f>
        <v>3500000</v>
      </c>
      <c r="G35" s="27">
        <v>0</v>
      </c>
      <c r="H35" s="27">
        <v>0</v>
      </c>
      <c r="I35" s="27">
        <v>0</v>
      </c>
      <c r="J35" s="27">
        <f t="shared" si="10"/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f t="shared" si="0"/>
        <v>3500000</v>
      </c>
      <c r="Q35" s="2">
        <v>3500000</v>
      </c>
      <c r="S35" s="34">
        <f t="shared" si="6"/>
        <v>0</v>
      </c>
    </row>
    <row r="36" spans="1:19" ht="31.2">
      <c r="A36" s="24" t="s">
        <v>52</v>
      </c>
      <c r="B36" s="24" t="s">
        <v>53</v>
      </c>
      <c r="C36" s="24" t="s">
        <v>54</v>
      </c>
      <c r="D36" s="8" t="s">
        <v>55</v>
      </c>
      <c r="E36" s="27">
        <f t="shared" si="9"/>
        <v>18238700</v>
      </c>
      <c r="F36" s="27">
        <f>SUM(F37:F39)</f>
        <v>18238700</v>
      </c>
      <c r="G36" s="27">
        <f t="shared" ref="G36:I36" si="11">SUM(G37:G39)</f>
        <v>0</v>
      </c>
      <c r="H36" s="27">
        <f t="shared" si="11"/>
        <v>0</v>
      </c>
      <c r="I36" s="27">
        <f t="shared" si="11"/>
        <v>0</v>
      </c>
      <c r="J36" s="27">
        <f t="shared" si="10"/>
        <v>0</v>
      </c>
      <c r="K36" s="27">
        <f>SUM(K37:K39)</f>
        <v>0</v>
      </c>
      <c r="L36" s="27">
        <f t="shared" ref="L36:O36" si="12">SUM(L37:L39)</f>
        <v>0</v>
      </c>
      <c r="M36" s="27">
        <f t="shared" si="12"/>
        <v>0</v>
      </c>
      <c r="N36" s="27">
        <f t="shared" si="12"/>
        <v>0</v>
      </c>
      <c r="O36" s="27">
        <f t="shared" si="12"/>
        <v>0</v>
      </c>
      <c r="P36" s="27">
        <f t="shared" si="0"/>
        <v>18238700</v>
      </c>
      <c r="Q36" s="2">
        <v>18608700</v>
      </c>
      <c r="S36" s="34">
        <f t="shared" si="6"/>
        <v>-370000</v>
      </c>
    </row>
    <row r="37" spans="1:19" s="5" customFormat="1" ht="75.75" customHeight="1">
      <c r="A37" s="9"/>
      <c r="B37" s="9"/>
      <c r="C37" s="9"/>
      <c r="D37" s="1" t="s">
        <v>269</v>
      </c>
      <c r="E37" s="29">
        <f>F37+I37</f>
        <v>10282200</v>
      </c>
      <c r="F37" s="29">
        <f>8383700-1499000-101500+3499000</f>
        <v>10282200</v>
      </c>
      <c r="G37" s="29"/>
      <c r="H37" s="29"/>
      <c r="I37" s="29">
        <f>1499000-1499000</f>
        <v>0</v>
      </c>
      <c r="J37" s="29">
        <f t="shared" si="10"/>
        <v>0</v>
      </c>
      <c r="K37" s="29"/>
      <c r="L37" s="29"/>
      <c r="M37" s="29"/>
      <c r="N37" s="29"/>
      <c r="O37" s="29"/>
      <c r="P37" s="29">
        <f t="shared" si="0"/>
        <v>10282200</v>
      </c>
      <c r="Q37" s="5">
        <v>10282200</v>
      </c>
      <c r="S37" s="34">
        <f t="shared" si="6"/>
        <v>0</v>
      </c>
    </row>
    <row r="38" spans="1:19" s="5" customFormat="1" ht="72.75" customHeight="1">
      <c r="A38" s="9"/>
      <c r="B38" s="9"/>
      <c r="C38" s="9"/>
      <c r="D38" s="1" t="s">
        <v>270</v>
      </c>
      <c r="E38" s="29">
        <f t="shared" ref="E38:E39" si="13">F38+I38</f>
        <v>3011900</v>
      </c>
      <c r="F38" s="29">
        <v>3011900</v>
      </c>
      <c r="G38" s="29"/>
      <c r="H38" s="29"/>
      <c r="I38" s="29"/>
      <c r="J38" s="29">
        <f t="shared" si="10"/>
        <v>0</v>
      </c>
      <c r="K38" s="29"/>
      <c r="L38" s="29"/>
      <c r="M38" s="29"/>
      <c r="N38" s="29"/>
      <c r="O38" s="29"/>
      <c r="P38" s="29">
        <f t="shared" si="0"/>
        <v>3011900</v>
      </c>
      <c r="Q38" s="5">
        <v>3011900</v>
      </c>
      <c r="S38" s="34">
        <f t="shared" si="6"/>
        <v>0</v>
      </c>
    </row>
    <row r="39" spans="1:19" s="5" customFormat="1" ht="57" customHeight="1">
      <c r="A39" s="9"/>
      <c r="B39" s="9"/>
      <c r="C39" s="9"/>
      <c r="D39" s="1" t="s">
        <v>271</v>
      </c>
      <c r="E39" s="29">
        <f t="shared" si="13"/>
        <v>4944600</v>
      </c>
      <c r="F39" s="29">
        <f>5314600-370000</f>
        <v>4944600</v>
      </c>
      <c r="G39" s="29"/>
      <c r="H39" s="29"/>
      <c r="I39" s="29"/>
      <c r="J39" s="29">
        <f t="shared" si="10"/>
        <v>0</v>
      </c>
      <c r="K39" s="29"/>
      <c r="L39" s="29"/>
      <c r="M39" s="29"/>
      <c r="N39" s="29"/>
      <c r="O39" s="29"/>
      <c r="P39" s="29">
        <f t="shared" si="0"/>
        <v>4944600</v>
      </c>
      <c r="Q39" s="5">
        <v>5314600</v>
      </c>
      <c r="S39" s="34">
        <f t="shared" si="6"/>
        <v>-370000</v>
      </c>
    </row>
    <row r="40" spans="1:19" ht="56.25" customHeight="1">
      <c r="A40" s="23" t="s">
        <v>326</v>
      </c>
      <c r="B40" s="23" t="s">
        <v>327</v>
      </c>
      <c r="C40" s="23" t="s">
        <v>249</v>
      </c>
      <c r="D40" s="8" t="s">
        <v>328</v>
      </c>
      <c r="E40" s="27">
        <f t="shared" si="9"/>
        <v>80000</v>
      </c>
      <c r="F40" s="27">
        <v>80000</v>
      </c>
      <c r="G40" s="27"/>
      <c r="H40" s="27"/>
      <c r="I40" s="27"/>
      <c r="J40" s="27">
        <f t="shared" si="10"/>
        <v>5900000</v>
      </c>
      <c r="K40" s="27">
        <v>5900000</v>
      </c>
      <c r="L40" s="27"/>
      <c r="M40" s="27"/>
      <c r="N40" s="27"/>
      <c r="O40" s="27">
        <v>5900000</v>
      </c>
      <c r="P40" s="27">
        <f t="shared" si="0"/>
        <v>5980000</v>
      </c>
      <c r="Q40" s="2">
        <v>5980000</v>
      </c>
      <c r="S40" s="34">
        <f t="shared" si="6"/>
        <v>0</v>
      </c>
    </row>
    <row r="41" spans="1:19" ht="39" customHeight="1">
      <c r="A41" s="23" t="s">
        <v>272</v>
      </c>
      <c r="B41" s="23" t="s">
        <v>273</v>
      </c>
      <c r="C41" s="23" t="s">
        <v>275</v>
      </c>
      <c r="D41" s="8" t="s">
        <v>274</v>
      </c>
      <c r="E41" s="27">
        <f t="shared" si="9"/>
        <v>1662400</v>
      </c>
      <c r="F41" s="27">
        <f>SUM(F42:F47)</f>
        <v>1359500</v>
      </c>
      <c r="G41" s="27">
        <f>SUM(G42:G47)</f>
        <v>0</v>
      </c>
      <c r="H41" s="27">
        <f>SUM(H42:H47)</f>
        <v>0</v>
      </c>
      <c r="I41" s="27">
        <f>SUM(I42:I47)</f>
        <v>302900</v>
      </c>
      <c r="J41" s="27">
        <f t="shared" si="10"/>
        <v>0</v>
      </c>
      <c r="K41" s="27">
        <f>SUM(K42:K47)</f>
        <v>0</v>
      </c>
      <c r="L41" s="27">
        <f>SUM(L42:L47)</f>
        <v>0</v>
      </c>
      <c r="M41" s="27">
        <f>SUM(M42:M47)</f>
        <v>0</v>
      </c>
      <c r="N41" s="27">
        <f>SUM(N42:N47)</f>
        <v>0</v>
      </c>
      <c r="O41" s="27">
        <f>SUM(O42:O47)</f>
        <v>0</v>
      </c>
      <c r="P41" s="27">
        <f t="shared" si="0"/>
        <v>1662400</v>
      </c>
      <c r="Q41" s="2">
        <v>1662400</v>
      </c>
      <c r="S41" s="34">
        <f t="shared" si="6"/>
        <v>0</v>
      </c>
    </row>
    <row r="42" spans="1:19" ht="54.75" customHeight="1">
      <c r="A42" s="23"/>
      <c r="B42" s="23"/>
      <c r="C42" s="23"/>
      <c r="D42" s="1" t="s">
        <v>19</v>
      </c>
      <c r="E42" s="29">
        <f t="shared" si="9"/>
        <v>1359700</v>
      </c>
      <c r="F42" s="29">
        <f>1177200+12500</f>
        <v>1189700</v>
      </c>
      <c r="G42" s="27"/>
      <c r="H42" s="27"/>
      <c r="I42" s="27">
        <v>170000</v>
      </c>
      <c r="J42" s="27">
        <f>L42+O42</f>
        <v>0</v>
      </c>
      <c r="K42" s="27"/>
      <c r="L42" s="27"/>
      <c r="M42" s="27"/>
      <c r="N42" s="27"/>
      <c r="O42" s="27"/>
      <c r="P42" s="29">
        <f t="shared" si="0"/>
        <v>1359700</v>
      </c>
      <c r="Q42" s="2">
        <v>1359700</v>
      </c>
      <c r="S42" s="34">
        <f t="shared" si="6"/>
        <v>0</v>
      </c>
    </row>
    <row r="43" spans="1:19" ht="74.25" customHeight="1">
      <c r="A43" s="23"/>
      <c r="B43" s="23"/>
      <c r="C43" s="23"/>
      <c r="D43" s="1" t="s">
        <v>269</v>
      </c>
      <c r="E43" s="29">
        <f t="shared" si="9"/>
        <v>11500</v>
      </c>
      <c r="F43" s="29">
        <v>11500</v>
      </c>
      <c r="G43" s="27"/>
      <c r="H43" s="27"/>
      <c r="I43" s="27"/>
      <c r="J43" s="27">
        <f>L43+O43</f>
        <v>0</v>
      </c>
      <c r="K43" s="27"/>
      <c r="L43" s="27"/>
      <c r="M43" s="27"/>
      <c r="N43" s="27"/>
      <c r="O43" s="27"/>
      <c r="P43" s="29">
        <f t="shared" si="0"/>
        <v>11500</v>
      </c>
      <c r="Q43" s="2">
        <v>11500</v>
      </c>
      <c r="S43" s="34">
        <f t="shared" si="6"/>
        <v>0</v>
      </c>
    </row>
    <row r="44" spans="1:19" ht="72" customHeight="1">
      <c r="A44" s="23"/>
      <c r="B44" s="23"/>
      <c r="C44" s="23"/>
      <c r="D44" s="1" t="s">
        <v>270</v>
      </c>
      <c r="E44" s="29">
        <f t="shared" si="9"/>
        <v>20900</v>
      </c>
      <c r="F44" s="29">
        <v>20900</v>
      </c>
      <c r="G44" s="27"/>
      <c r="H44" s="27"/>
      <c r="I44" s="27"/>
      <c r="J44" s="27"/>
      <c r="K44" s="27"/>
      <c r="L44" s="27"/>
      <c r="M44" s="27"/>
      <c r="N44" s="27"/>
      <c r="O44" s="27"/>
      <c r="P44" s="29">
        <f t="shared" si="0"/>
        <v>20900</v>
      </c>
      <c r="Q44" s="2">
        <v>20900</v>
      </c>
      <c r="S44" s="34">
        <f t="shared" si="6"/>
        <v>0</v>
      </c>
    </row>
    <row r="45" spans="1:19" ht="72" customHeight="1">
      <c r="A45" s="23"/>
      <c r="B45" s="23"/>
      <c r="C45" s="23"/>
      <c r="D45" s="1" t="s">
        <v>271</v>
      </c>
      <c r="E45" s="29">
        <f t="shared" si="9"/>
        <v>11500</v>
      </c>
      <c r="F45" s="29">
        <v>11500</v>
      </c>
      <c r="G45" s="27"/>
      <c r="H45" s="27"/>
      <c r="I45" s="27"/>
      <c r="J45" s="27">
        <f t="shared" ref="J45:J49" si="14">L45+O45</f>
        <v>0</v>
      </c>
      <c r="K45" s="27"/>
      <c r="L45" s="27"/>
      <c r="M45" s="27"/>
      <c r="N45" s="27"/>
      <c r="O45" s="27"/>
      <c r="P45" s="29">
        <f t="shared" si="0"/>
        <v>11500</v>
      </c>
      <c r="Q45" s="2">
        <v>11500</v>
      </c>
      <c r="S45" s="34">
        <f t="shared" si="6"/>
        <v>0</v>
      </c>
    </row>
    <row r="46" spans="1:19" ht="93" customHeight="1">
      <c r="A46" s="23"/>
      <c r="B46" s="23"/>
      <c r="C46" s="23"/>
      <c r="D46" s="1" t="s">
        <v>289</v>
      </c>
      <c r="E46" s="29">
        <f t="shared" si="9"/>
        <v>132900</v>
      </c>
      <c r="F46" s="29"/>
      <c r="G46" s="27"/>
      <c r="H46" s="27"/>
      <c r="I46" s="29">
        <v>132900</v>
      </c>
      <c r="J46" s="27">
        <f t="shared" si="14"/>
        <v>0</v>
      </c>
      <c r="K46" s="27"/>
      <c r="L46" s="27"/>
      <c r="M46" s="27"/>
      <c r="N46" s="27"/>
      <c r="O46" s="27"/>
      <c r="P46" s="29">
        <f t="shared" si="0"/>
        <v>132900</v>
      </c>
      <c r="Q46" s="2">
        <v>132900</v>
      </c>
      <c r="S46" s="34">
        <f t="shared" si="6"/>
        <v>0</v>
      </c>
    </row>
    <row r="47" spans="1:19" ht="53.25" customHeight="1">
      <c r="A47" s="23"/>
      <c r="B47" s="23"/>
      <c r="C47" s="23"/>
      <c r="D47" s="1" t="s">
        <v>290</v>
      </c>
      <c r="E47" s="29">
        <f t="shared" si="9"/>
        <v>125900</v>
      </c>
      <c r="F47" s="29">
        <v>125900</v>
      </c>
      <c r="G47" s="27"/>
      <c r="H47" s="27"/>
      <c r="I47" s="27"/>
      <c r="J47" s="27">
        <f t="shared" si="14"/>
        <v>0</v>
      </c>
      <c r="K47" s="27"/>
      <c r="L47" s="27"/>
      <c r="M47" s="27"/>
      <c r="N47" s="27"/>
      <c r="O47" s="27"/>
      <c r="P47" s="29">
        <f t="shared" si="0"/>
        <v>125900</v>
      </c>
      <c r="Q47" s="2">
        <v>125900</v>
      </c>
      <c r="S47" s="34">
        <f t="shared" si="6"/>
        <v>0</v>
      </c>
    </row>
    <row r="48" spans="1:19" ht="53.25" customHeight="1">
      <c r="A48" s="23" t="s">
        <v>331</v>
      </c>
      <c r="B48" s="23" t="s">
        <v>332</v>
      </c>
      <c r="C48" s="23" t="s">
        <v>334</v>
      </c>
      <c r="D48" s="8" t="s">
        <v>333</v>
      </c>
      <c r="E48" s="27">
        <f>F48+I48</f>
        <v>500000</v>
      </c>
      <c r="F48" s="27"/>
      <c r="G48" s="27"/>
      <c r="H48" s="27"/>
      <c r="I48" s="27">
        <v>500000</v>
      </c>
      <c r="J48" s="27">
        <f t="shared" si="14"/>
        <v>0</v>
      </c>
      <c r="K48" s="27"/>
      <c r="L48" s="27"/>
      <c r="M48" s="27"/>
      <c r="N48" s="27"/>
      <c r="O48" s="27"/>
      <c r="P48" s="27">
        <f>E48 + J48</f>
        <v>500000</v>
      </c>
      <c r="Q48" s="2">
        <v>500000</v>
      </c>
      <c r="S48" s="34">
        <f t="shared" si="6"/>
        <v>0</v>
      </c>
    </row>
    <row r="49" spans="1:19" ht="39" customHeight="1">
      <c r="A49" s="23" t="s">
        <v>352</v>
      </c>
      <c r="B49" s="23" t="s">
        <v>353</v>
      </c>
      <c r="C49" s="23" t="s">
        <v>355</v>
      </c>
      <c r="D49" s="8" t="s">
        <v>354</v>
      </c>
      <c r="E49" s="27">
        <f>F49+I49</f>
        <v>374197</v>
      </c>
      <c r="F49" s="27"/>
      <c r="G49" s="27"/>
      <c r="H49" s="27"/>
      <c r="I49" s="27">
        <v>374197</v>
      </c>
      <c r="J49" s="27">
        <f t="shared" si="14"/>
        <v>0</v>
      </c>
      <c r="K49" s="27"/>
      <c r="L49" s="27"/>
      <c r="M49" s="27"/>
      <c r="N49" s="27"/>
      <c r="O49" s="27"/>
      <c r="P49" s="27">
        <f>E49 + J49</f>
        <v>374197</v>
      </c>
      <c r="Q49" s="2">
        <v>374197</v>
      </c>
      <c r="S49" s="34">
        <f t="shared" si="6"/>
        <v>0</v>
      </c>
    </row>
    <row r="50" spans="1:19" ht="31.2">
      <c r="A50" s="24" t="s">
        <v>56</v>
      </c>
      <c r="B50" s="24" t="s">
        <v>57</v>
      </c>
      <c r="C50" s="24" t="s">
        <v>58</v>
      </c>
      <c r="D50" s="8" t="s">
        <v>59</v>
      </c>
      <c r="E50" s="27">
        <f>F50+I50</f>
        <v>232000</v>
      </c>
      <c r="F50" s="27">
        <v>232000</v>
      </c>
      <c r="G50" s="27">
        <v>0</v>
      </c>
      <c r="H50" s="27">
        <v>0</v>
      </c>
      <c r="I50" s="27">
        <v>0</v>
      </c>
      <c r="J50" s="27">
        <f>L50+O50</f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f>E50 + J50</f>
        <v>232000</v>
      </c>
      <c r="Q50" s="2">
        <v>232000</v>
      </c>
      <c r="S50" s="34">
        <f t="shared" si="6"/>
        <v>0</v>
      </c>
    </row>
    <row r="51" spans="1:19" ht="31.2">
      <c r="A51" s="23" t="s">
        <v>335</v>
      </c>
      <c r="B51" s="24">
        <v>7693</v>
      </c>
      <c r="C51" s="23" t="s">
        <v>58</v>
      </c>
      <c r="D51" s="8" t="s">
        <v>336</v>
      </c>
      <c r="E51" s="27">
        <f>F51+I51</f>
        <v>4728045</v>
      </c>
      <c r="F51" s="27">
        <f>154856938-977000-1040000-1500000-12000000-2000000-130430018-572350+470500-300000-1780025</f>
        <v>4728045</v>
      </c>
      <c r="G51" s="27"/>
      <c r="H51" s="27"/>
      <c r="I51" s="27"/>
      <c r="J51" s="27">
        <f>L51+O51</f>
        <v>0</v>
      </c>
      <c r="K51" s="27">
        <f>1734800-1734800</f>
        <v>0</v>
      </c>
      <c r="L51" s="27"/>
      <c r="M51" s="27"/>
      <c r="N51" s="27"/>
      <c r="O51" s="27">
        <f>1734800-1734800</f>
        <v>0</v>
      </c>
      <c r="P51" s="27">
        <f>E51 + J51</f>
        <v>4728045</v>
      </c>
      <c r="Q51" s="2">
        <v>6508070</v>
      </c>
      <c r="S51" s="34">
        <f t="shared" si="6"/>
        <v>-1780025</v>
      </c>
    </row>
    <row r="52" spans="1:19" ht="46.8">
      <c r="A52" s="23" t="s">
        <v>276</v>
      </c>
      <c r="B52" s="23">
        <v>8110</v>
      </c>
      <c r="C52" s="23" t="s">
        <v>233</v>
      </c>
      <c r="D52" s="8" t="s">
        <v>234</v>
      </c>
      <c r="E52" s="27">
        <f>F52+I52</f>
        <v>1811450</v>
      </c>
      <c r="F52" s="27">
        <f>SUM(F53:F59)</f>
        <v>1811450</v>
      </c>
      <c r="G52" s="27"/>
      <c r="H52" s="27"/>
      <c r="I52" s="27"/>
      <c r="J52" s="27"/>
      <c r="K52" s="27"/>
      <c r="L52" s="27"/>
      <c r="M52" s="27"/>
      <c r="N52" s="27"/>
      <c r="O52" s="27"/>
      <c r="P52" s="27">
        <f>E52 + J52</f>
        <v>1811450</v>
      </c>
      <c r="Q52" s="2">
        <v>1811450</v>
      </c>
      <c r="S52" s="34">
        <f t="shared" si="6"/>
        <v>0</v>
      </c>
    </row>
    <row r="53" spans="1:19" s="5" customFormat="1" ht="46.8">
      <c r="A53" s="11"/>
      <c r="B53" s="11"/>
      <c r="C53" s="11"/>
      <c r="D53" s="1" t="s">
        <v>19</v>
      </c>
      <c r="E53" s="29">
        <f t="shared" ref="E53:E57" si="15">F53+I53</f>
        <v>353850</v>
      </c>
      <c r="F53" s="29">
        <f>301900+105000-64050+11000</f>
        <v>353850</v>
      </c>
      <c r="G53" s="29"/>
      <c r="H53" s="29"/>
      <c r="I53" s="29"/>
      <c r="J53" s="29"/>
      <c r="K53" s="29"/>
      <c r="L53" s="29"/>
      <c r="M53" s="29"/>
      <c r="N53" s="29"/>
      <c r="O53" s="29"/>
      <c r="P53" s="29">
        <f t="shared" ref="P53:P59" si="16">E53 + J53</f>
        <v>353850</v>
      </c>
      <c r="Q53" s="5">
        <v>353850</v>
      </c>
      <c r="S53" s="34">
        <f t="shared" si="6"/>
        <v>0</v>
      </c>
    </row>
    <row r="54" spans="1:19" s="5" customFormat="1" ht="62.4">
      <c r="A54" s="11"/>
      <c r="B54" s="11"/>
      <c r="C54" s="11"/>
      <c r="D54" s="1" t="s">
        <v>269</v>
      </c>
      <c r="E54" s="29">
        <f t="shared" si="15"/>
        <v>116500</v>
      </c>
      <c r="F54" s="29">
        <f>15000+101500</f>
        <v>116500</v>
      </c>
      <c r="G54" s="29"/>
      <c r="H54" s="29"/>
      <c r="I54" s="29"/>
      <c r="J54" s="29"/>
      <c r="K54" s="29"/>
      <c r="L54" s="29"/>
      <c r="M54" s="29"/>
      <c r="N54" s="29"/>
      <c r="O54" s="29"/>
      <c r="P54" s="29">
        <f t="shared" si="16"/>
        <v>116500</v>
      </c>
      <c r="Q54" s="5">
        <v>116500</v>
      </c>
      <c r="S54" s="34">
        <f t="shared" si="6"/>
        <v>0</v>
      </c>
    </row>
    <row r="55" spans="1:19" s="5" customFormat="1" ht="62.4">
      <c r="A55" s="11"/>
      <c r="B55" s="11"/>
      <c r="C55" s="11"/>
      <c r="D55" s="1" t="s">
        <v>270</v>
      </c>
      <c r="E55" s="29">
        <f t="shared" si="15"/>
        <v>13000</v>
      </c>
      <c r="F55" s="29">
        <v>13000</v>
      </c>
      <c r="G55" s="29"/>
      <c r="H55" s="29"/>
      <c r="I55" s="29"/>
      <c r="J55" s="29"/>
      <c r="K55" s="29"/>
      <c r="L55" s="29"/>
      <c r="M55" s="29"/>
      <c r="N55" s="29"/>
      <c r="O55" s="29"/>
      <c r="P55" s="29">
        <f t="shared" si="16"/>
        <v>13000</v>
      </c>
      <c r="Q55" s="5">
        <v>13000</v>
      </c>
      <c r="S55" s="34">
        <f t="shared" si="6"/>
        <v>0</v>
      </c>
    </row>
    <row r="56" spans="1:19" s="5" customFormat="1" ht="46.8">
      <c r="A56" s="11"/>
      <c r="B56" s="11"/>
      <c r="C56" s="11"/>
      <c r="D56" s="1" t="s">
        <v>271</v>
      </c>
      <c r="E56" s="29">
        <f t="shared" si="15"/>
        <v>13000</v>
      </c>
      <c r="F56" s="29">
        <v>13000</v>
      </c>
      <c r="G56" s="29"/>
      <c r="H56" s="29"/>
      <c r="I56" s="29"/>
      <c r="J56" s="29"/>
      <c r="K56" s="29"/>
      <c r="L56" s="29"/>
      <c r="M56" s="29"/>
      <c r="N56" s="29"/>
      <c r="O56" s="29"/>
      <c r="P56" s="29">
        <f t="shared" si="16"/>
        <v>13000</v>
      </c>
      <c r="Q56" s="5">
        <v>13000</v>
      </c>
      <c r="S56" s="34">
        <f t="shared" si="6"/>
        <v>0</v>
      </c>
    </row>
    <row r="57" spans="1:19" s="5" customFormat="1" ht="46.8">
      <c r="A57" s="11"/>
      <c r="B57" s="11"/>
      <c r="C57" s="11"/>
      <c r="D57" s="1" t="s">
        <v>291</v>
      </c>
      <c r="E57" s="29">
        <f t="shared" si="15"/>
        <v>994500</v>
      </c>
      <c r="F57" s="29">
        <v>994500</v>
      </c>
      <c r="G57" s="29"/>
      <c r="H57" s="29"/>
      <c r="I57" s="29"/>
      <c r="J57" s="29"/>
      <c r="K57" s="29"/>
      <c r="L57" s="29"/>
      <c r="M57" s="29"/>
      <c r="N57" s="29"/>
      <c r="O57" s="29"/>
      <c r="P57" s="29">
        <f t="shared" si="16"/>
        <v>994500</v>
      </c>
      <c r="Q57" s="5">
        <v>994500</v>
      </c>
      <c r="S57" s="34">
        <f t="shared" si="6"/>
        <v>0</v>
      </c>
    </row>
    <row r="58" spans="1:19" s="5" customFormat="1" ht="62.4">
      <c r="A58" s="11"/>
      <c r="B58" s="11"/>
      <c r="C58" s="11"/>
      <c r="D58" s="1" t="s">
        <v>289</v>
      </c>
      <c r="E58" s="29">
        <f>F58+I58</f>
        <v>267100</v>
      </c>
      <c r="F58" s="29">
        <v>267100</v>
      </c>
      <c r="G58" s="29"/>
      <c r="H58" s="29"/>
      <c r="I58" s="29"/>
      <c r="J58" s="29"/>
      <c r="K58" s="29"/>
      <c r="L58" s="29"/>
      <c r="M58" s="29"/>
      <c r="N58" s="29"/>
      <c r="O58" s="29"/>
      <c r="P58" s="29">
        <f t="shared" si="16"/>
        <v>267100</v>
      </c>
      <c r="Q58" s="5">
        <v>267100</v>
      </c>
      <c r="S58" s="34">
        <f t="shared" si="6"/>
        <v>0</v>
      </c>
    </row>
    <row r="59" spans="1:19" s="5" customFormat="1" ht="62.4">
      <c r="A59" s="11"/>
      <c r="B59" s="11"/>
      <c r="C59" s="11"/>
      <c r="D59" s="1" t="s">
        <v>292</v>
      </c>
      <c r="E59" s="29">
        <f>F59+I59</f>
        <v>53500</v>
      </c>
      <c r="F59" s="29">
        <v>53500</v>
      </c>
      <c r="G59" s="29"/>
      <c r="H59" s="29"/>
      <c r="I59" s="29"/>
      <c r="J59" s="29"/>
      <c r="K59" s="29"/>
      <c r="L59" s="29"/>
      <c r="M59" s="29"/>
      <c r="N59" s="29"/>
      <c r="O59" s="29"/>
      <c r="P59" s="29">
        <f t="shared" si="16"/>
        <v>53500</v>
      </c>
      <c r="Q59" s="5">
        <v>53500</v>
      </c>
      <c r="S59" s="34">
        <f t="shared" si="6"/>
        <v>0</v>
      </c>
    </row>
    <row r="60" spans="1:19" ht="31.2">
      <c r="A60" s="24" t="s">
        <v>60</v>
      </c>
      <c r="B60" s="24" t="s">
        <v>61</v>
      </c>
      <c r="C60" s="24" t="s">
        <v>62</v>
      </c>
      <c r="D60" s="8" t="s">
        <v>63</v>
      </c>
      <c r="E60" s="27">
        <f t="shared" si="9"/>
        <v>28734000</v>
      </c>
      <c r="F60" s="27">
        <f>26495000+1139000+1100000</f>
        <v>28734000</v>
      </c>
      <c r="G60" s="27">
        <f>23147800+1139000+1100000</f>
        <v>25386800</v>
      </c>
      <c r="H60" s="27">
        <v>58500</v>
      </c>
      <c r="I60" s="27">
        <v>0</v>
      </c>
      <c r="J60" s="27">
        <f t="shared" si="10"/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f t="shared" si="0"/>
        <v>28734000</v>
      </c>
      <c r="Q60" s="2">
        <v>27634000</v>
      </c>
      <c r="S60" s="34">
        <f t="shared" si="6"/>
        <v>1100000</v>
      </c>
    </row>
    <row r="61" spans="1:19" ht="31.2">
      <c r="A61" s="24" t="s">
        <v>64</v>
      </c>
      <c r="B61" s="24" t="s">
        <v>65</v>
      </c>
      <c r="C61" s="24" t="s">
        <v>62</v>
      </c>
      <c r="D61" s="8" t="s">
        <v>66</v>
      </c>
      <c r="E61" s="27">
        <f t="shared" si="9"/>
        <v>873900</v>
      </c>
      <c r="F61" s="27">
        <v>873900</v>
      </c>
      <c r="G61" s="27">
        <v>0</v>
      </c>
      <c r="H61" s="27">
        <v>0</v>
      </c>
      <c r="I61" s="27">
        <v>0</v>
      </c>
      <c r="J61" s="27">
        <f t="shared" si="10"/>
        <v>0</v>
      </c>
      <c r="K61" s="27">
        <v>0</v>
      </c>
      <c r="L61" s="27">
        <v>0</v>
      </c>
      <c r="M61" s="27">
        <v>0</v>
      </c>
      <c r="N61" s="27">
        <v>0</v>
      </c>
      <c r="O61" s="27">
        <v>0</v>
      </c>
      <c r="P61" s="27">
        <f t="shared" si="0"/>
        <v>873900</v>
      </c>
      <c r="Q61" s="2">
        <v>873900</v>
      </c>
      <c r="S61" s="34">
        <f t="shared" si="6"/>
        <v>0</v>
      </c>
    </row>
    <row r="62" spans="1:19" ht="31.2">
      <c r="A62" s="24" t="s">
        <v>67</v>
      </c>
      <c r="B62" s="24" t="s">
        <v>68</v>
      </c>
      <c r="C62" s="24" t="s">
        <v>62</v>
      </c>
      <c r="D62" s="8" t="s">
        <v>69</v>
      </c>
      <c r="E62" s="27">
        <f t="shared" si="9"/>
        <v>4096305</v>
      </c>
      <c r="F62" s="27">
        <f>3336000+405280+355025</f>
        <v>4096305</v>
      </c>
      <c r="G62" s="27">
        <v>0</v>
      </c>
      <c r="H62" s="27">
        <v>0</v>
      </c>
      <c r="I62" s="27">
        <v>0</v>
      </c>
      <c r="J62" s="27">
        <f t="shared" si="10"/>
        <v>0</v>
      </c>
      <c r="K62" s="27">
        <v>0</v>
      </c>
      <c r="L62" s="27">
        <v>0</v>
      </c>
      <c r="M62" s="27">
        <v>0</v>
      </c>
      <c r="N62" s="27">
        <v>0</v>
      </c>
      <c r="O62" s="27">
        <v>0</v>
      </c>
      <c r="P62" s="27">
        <f t="shared" si="0"/>
        <v>4096305</v>
      </c>
      <c r="Q62" s="2">
        <v>3741280</v>
      </c>
      <c r="S62" s="34">
        <f t="shared" si="6"/>
        <v>355025</v>
      </c>
    </row>
    <row r="63" spans="1:19" ht="31.2">
      <c r="A63" s="23" t="s">
        <v>356</v>
      </c>
      <c r="B63" s="23" t="s">
        <v>252</v>
      </c>
      <c r="C63" s="23" t="s">
        <v>62</v>
      </c>
      <c r="D63" s="8" t="s">
        <v>357</v>
      </c>
      <c r="E63" s="27">
        <f t="shared" si="9"/>
        <v>285480</v>
      </c>
      <c r="F63" s="27">
        <v>285480</v>
      </c>
      <c r="G63" s="27"/>
      <c r="H63" s="27"/>
      <c r="I63" s="27"/>
      <c r="J63" s="27">
        <f t="shared" si="10"/>
        <v>0</v>
      </c>
      <c r="K63" s="27"/>
      <c r="L63" s="27"/>
      <c r="M63" s="27"/>
      <c r="N63" s="27"/>
      <c r="O63" s="27"/>
      <c r="P63" s="27">
        <f t="shared" si="0"/>
        <v>285480</v>
      </c>
      <c r="Q63" s="2">
        <v>285480</v>
      </c>
      <c r="S63" s="34">
        <f t="shared" si="6"/>
        <v>0</v>
      </c>
    </row>
    <row r="64" spans="1:19" ht="31.2">
      <c r="A64" s="23" t="s">
        <v>268</v>
      </c>
      <c r="B64" s="24">
        <v>8340</v>
      </c>
      <c r="C64" s="24" t="s">
        <v>266</v>
      </c>
      <c r="D64" s="8" t="s">
        <v>267</v>
      </c>
      <c r="E64" s="27">
        <f t="shared" si="9"/>
        <v>0</v>
      </c>
      <c r="F64" s="27"/>
      <c r="G64" s="27"/>
      <c r="H64" s="27"/>
      <c r="I64" s="27"/>
      <c r="J64" s="27">
        <f t="shared" si="10"/>
        <v>100000</v>
      </c>
      <c r="K64" s="27"/>
      <c r="L64" s="27">
        <v>100000</v>
      </c>
      <c r="M64" s="27"/>
      <c r="N64" s="27"/>
      <c r="O64" s="27">
        <v>0</v>
      </c>
      <c r="P64" s="27">
        <f t="shared" si="0"/>
        <v>100000</v>
      </c>
      <c r="Q64" s="2">
        <v>100000</v>
      </c>
      <c r="S64" s="34">
        <f t="shared" si="6"/>
        <v>0</v>
      </c>
    </row>
    <row r="65" spans="1:19" ht="46.8">
      <c r="A65" s="6" t="s">
        <v>70</v>
      </c>
      <c r="B65" s="6" t="s">
        <v>18</v>
      </c>
      <c r="C65" s="6" t="s">
        <v>18</v>
      </c>
      <c r="D65" s="7" t="s">
        <v>71</v>
      </c>
      <c r="E65" s="26">
        <f>F65+I65</f>
        <v>522325858.99999994</v>
      </c>
      <c r="F65" s="26">
        <f>F66</f>
        <v>515003354.04999995</v>
      </c>
      <c r="G65" s="26">
        <f>G66</f>
        <v>358089442</v>
      </c>
      <c r="H65" s="26">
        <f>H66</f>
        <v>43078800</v>
      </c>
      <c r="I65" s="26">
        <f>I66</f>
        <v>7322504.9500000002</v>
      </c>
      <c r="J65" s="26">
        <f>L65+O65</f>
        <v>30736658</v>
      </c>
      <c r="K65" s="26">
        <f>K66</f>
        <v>12915228</v>
      </c>
      <c r="L65" s="26">
        <f t="shared" ref="L65:O65" si="17">L66</f>
        <v>17821430</v>
      </c>
      <c r="M65" s="26">
        <f t="shared" si="17"/>
        <v>0</v>
      </c>
      <c r="N65" s="26">
        <f t="shared" si="17"/>
        <v>0</v>
      </c>
      <c r="O65" s="26">
        <f t="shared" si="17"/>
        <v>12915228</v>
      </c>
      <c r="P65" s="26">
        <f t="shared" si="0"/>
        <v>553062517</v>
      </c>
      <c r="Q65" s="34">
        <v>553062881</v>
      </c>
      <c r="S65" s="34">
        <f t="shared" si="6"/>
        <v>-364</v>
      </c>
    </row>
    <row r="66" spans="1:19" ht="46.8">
      <c r="A66" s="6" t="s">
        <v>72</v>
      </c>
      <c r="B66" s="6" t="s">
        <v>18</v>
      </c>
      <c r="C66" s="6" t="s">
        <v>18</v>
      </c>
      <c r="D66" s="7" t="s">
        <v>71</v>
      </c>
      <c r="E66" s="26">
        <f>F66+I66</f>
        <v>522325858.99999994</v>
      </c>
      <c r="F66" s="26">
        <f>SUM(F67:F95)-F74-F75</f>
        <v>515003354.04999995</v>
      </c>
      <c r="G66" s="26">
        <f t="shared" ref="G66:K66" si="18">SUM(G67:G95)-G74-G75</f>
        <v>358089442</v>
      </c>
      <c r="H66" s="26">
        <f t="shared" si="18"/>
        <v>43078800</v>
      </c>
      <c r="I66" s="26">
        <f t="shared" si="18"/>
        <v>7322504.9500000002</v>
      </c>
      <c r="J66" s="26">
        <f>L66+O66</f>
        <v>30736658</v>
      </c>
      <c r="K66" s="26">
        <f t="shared" si="18"/>
        <v>12915228</v>
      </c>
      <c r="L66" s="26">
        <f t="shared" ref="L66" si="19">SUM(L67:L95)-L74-L75</f>
        <v>17821430</v>
      </c>
      <c r="M66" s="26">
        <f t="shared" ref="M66" si="20">SUM(M67:M95)-M74-M75</f>
        <v>0</v>
      </c>
      <c r="N66" s="26">
        <f t="shared" ref="N66" si="21">SUM(N67:N95)-N74-N75</f>
        <v>0</v>
      </c>
      <c r="O66" s="26">
        <f t="shared" ref="O66" si="22">SUM(O67:O95)-O74-O75</f>
        <v>12915228</v>
      </c>
      <c r="P66" s="26">
        <f>E66 + J66</f>
        <v>553062517</v>
      </c>
      <c r="Q66" s="2">
        <v>553062881</v>
      </c>
      <c r="S66" s="34">
        <f t="shared" si="6"/>
        <v>-364</v>
      </c>
    </row>
    <row r="67" spans="1:19" ht="55.5" customHeight="1">
      <c r="A67" s="24" t="s">
        <v>73</v>
      </c>
      <c r="B67" s="24" t="s">
        <v>74</v>
      </c>
      <c r="C67" s="24" t="s">
        <v>23</v>
      </c>
      <c r="D67" s="8" t="s">
        <v>75</v>
      </c>
      <c r="E67" s="27">
        <f>F67+I67</f>
        <v>6509700</v>
      </c>
      <c r="F67" s="27">
        <v>6509700</v>
      </c>
      <c r="G67" s="27">
        <v>6022100</v>
      </c>
      <c r="H67" s="27">
        <v>407800</v>
      </c>
      <c r="I67" s="27">
        <v>0</v>
      </c>
      <c r="J67" s="27">
        <f>L67+O67</f>
        <v>0</v>
      </c>
      <c r="K67" s="27">
        <v>0</v>
      </c>
      <c r="L67" s="27">
        <v>0</v>
      </c>
      <c r="M67" s="27">
        <v>0</v>
      </c>
      <c r="N67" s="27">
        <v>0</v>
      </c>
      <c r="O67" s="27">
        <v>0</v>
      </c>
      <c r="P67" s="27">
        <f t="shared" si="0"/>
        <v>6509700</v>
      </c>
      <c r="Q67" s="2">
        <v>6509700</v>
      </c>
      <c r="S67" s="34">
        <f t="shared" si="6"/>
        <v>0</v>
      </c>
    </row>
    <row r="68" spans="1:19" ht="46.8">
      <c r="A68" s="23" t="s">
        <v>337</v>
      </c>
      <c r="B68" s="24" t="s">
        <v>26</v>
      </c>
      <c r="C68" s="24" t="s">
        <v>27</v>
      </c>
      <c r="D68" s="8" t="s">
        <v>28</v>
      </c>
      <c r="E68" s="27">
        <f t="shared" ref="E68" si="23">F68+I68</f>
        <v>2700</v>
      </c>
      <c r="F68" s="27">
        <v>2700</v>
      </c>
      <c r="G68" s="27">
        <v>0</v>
      </c>
      <c r="H68" s="27">
        <v>0</v>
      </c>
      <c r="I68" s="27">
        <v>0</v>
      </c>
      <c r="J68" s="27">
        <f t="shared" ref="J68" si="24">L68+O68</f>
        <v>0</v>
      </c>
      <c r="K68" s="27">
        <v>0</v>
      </c>
      <c r="L68" s="27">
        <v>0</v>
      </c>
      <c r="M68" s="27">
        <v>0</v>
      </c>
      <c r="N68" s="27">
        <v>0</v>
      </c>
      <c r="O68" s="27">
        <v>0</v>
      </c>
      <c r="P68" s="27">
        <f t="shared" ref="P68" si="25">E68 + J68</f>
        <v>2700</v>
      </c>
      <c r="Q68" s="2">
        <v>2700</v>
      </c>
      <c r="S68" s="34">
        <f t="shared" si="6"/>
        <v>0</v>
      </c>
    </row>
    <row r="69" spans="1:19" ht="22.5" customHeight="1">
      <c r="A69" s="24" t="s">
        <v>76</v>
      </c>
      <c r="B69" s="24" t="s">
        <v>77</v>
      </c>
      <c r="C69" s="24" t="s">
        <v>78</v>
      </c>
      <c r="D69" s="8" t="s">
        <v>79</v>
      </c>
      <c r="E69" s="27">
        <f t="shared" ref="E69:E94" si="26">F69+I69</f>
        <v>109944410</v>
      </c>
      <c r="F69" s="27">
        <f>113243600-1727900-1300000+1727900-2110600+111410</f>
        <v>109944410</v>
      </c>
      <c r="G69" s="27">
        <f>85400000-2600000+111410</f>
        <v>82911410</v>
      </c>
      <c r="H69" s="27">
        <f>14999000+1489400</f>
        <v>16488400</v>
      </c>
      <c r="I69" s="27">
        <v>0</v>
      </c>
      <c r="J69" s="27">
        <f t="shared" ref="J69:J95" si="27">L69+O69</f>
        <v>10286500</v>
      </c>
      <c r="K69" s="27">
        <v>0</v>
      </c>
      <c r="L69" s="27">
        <v>10286500</v>
      </c>
      <c r="M69" s="27">
        <v>0</v>
      </c>
      <c r="N69" s="27">
        <v>0</v>
      </c>
      <c r="O69" s="27">
        <v>0</v>
      </c>
      <c r="P69" s="27">
        <f t="shared" si="0"/>
        <v>120230910</v>
      </c>
      <c r="Q69" s="34">
        <v>120119500</v>
      </c>
      <c r="S69" s="34">
        <f t="shared" si="6"/>
        <v>111410</v>
      </c>
    </row>
    <row r="70" spans="1:19" ht="60.75" customHeight="1">
      <c r="A70" s="24" t="s">
        <v>80</v>
      </c>
      <c r="B70" s="24" t="s">
        <v>81</v>
      </c>
      <c r="C70" s="24" t="s">
        <v>82</v>
      </c>
      <c r="D70" s="8" t="s">
        <v>83</v>
      </c>
      <c r="E70" s="27">
        <f t="shared" si="26"/>
        <v>130608190</v>
      </c>
      <c r="F70" s="27">
        <f>130896400-5747800+1583000-326283+973745.05+214873</f>
        <v>127593935.05</v>
      </c>
      <c r="G70" s="27">
        <f>39122800+15000000+214873</f>
        <v>54337673</v>
      </c>
      <c r="H70" s="27">
        <f>18380000+1583000</f>
        <v>19963000</v>
      </c>
      <c r="I70" s="27">
        <f>2438000+1550000-973745.05</f>
        <v>3014254.95</v>
      </c>
      <c r="J70" s="27">
        <f t="shared" si="27"/>
        <v>313499</v>
      </c>
      <c r="K70" s="27">
        <v>0</v>
      </c>
      <c r="L70" s="27">
        <v>313499</v>
      </c>
      <c r="M70" s="27">
        <v>0</v>
      </c>
      <c r="N70" s="27">
        <v>0</v>
      </c>
      <c r="O70" s="27">
        <v>0</v>
      </c>
      <c r="P70" s="27">
        <f t="shared" si="0"/>
        <v>130921689</v>
      </c>
      <c r="Q70" s="34">
        <v>131033099</v>
      </c>
      <c r="S70" s="34">
        <f t="shared" si="6"/>
        <v>-111410</v>
      </c>
    </row>
    <row r="71" spans="1:19" ht="109.5" customHeight="1">
      <c r="A71" s="24" t="s">
        <v>84</v>
      </c>
      <c r="B71" s="24" t="s">
        <v>85</v>
      </c>
      <c r="C71" s="24" t="s">
        <v>86</v>
      </c>
      <c r="D71" s="8" t="s">
        <v>87</v>
      </c>
      <c r="E71" s="27">
        <f t="shared" si="26"/>
        <v>14648700</v>
      </c>
      <c r="F71" s="27">
        <f>15836500-712800-475000</f>
        <v>14648700</v>
      </c>
      <c r="G71" s="27">
        <f>8200000+1100000</f>
        <v>9300000</v>
      </c>
      <c r="H71" s="27">
        <f>1606900+25000</f>
        <v>1631900</v>
      </c>
      <c r="I71" s="27">
        <v>0</v>
      </c>
      <c r="J71" s="27">
        <f t="shared" si="27"/>
        <v>0</v>
      </c>
      <c r="K71" s="27">
        <v>0</v>
      </c>
      <c r="L71" s="27">
        <v>0</v>
      </c>
      <c r="M71" s="27">
        <v>0</v>
      </c>
      <c r="N71" s="27">
        <v>0</v>
      </c>
      <c r="O71" s="27">
        <v>0</v>
      </c>
      <c r="P71" s="27">
        <f t="shared" si="0"/>
        <v>14648700</v>
      </c>
      <c r="Q71" s="34">
        <v>14648700</v>
      </c>
      <c r="S71" s="34">
        <f t="shared" si="6"/>
        <v>0</v>
      </c>
    </row>
    <row r="72" spans="1:19" s="12" customFormat="1" ht="53.25" customHeight="1">
      <c r="A72" s="24" t="s">
        <v>88</v>
      </c>
      <c r="B72" s="24" t="s">
        <v>89</v>
      </c>
      <c r="C72" s="24" t="s">
        <v>82</v>
      </c>
      <c r="D72" s="8" t="s">
        <v>90</v>
      </c>
      <c r="E72" s="27">
        <f t="shared" si="26"/>
        <v>124892200</v>
      </c>
      <c r="F72" s="27">
        <f>F74+F75</f>
        <v>124892200</v>
      </c>
      <c r="G72" s="27">
        <f t="shared" ref="G72:I72" si="28">G74+G75</f>
        <v>124892200</v>
      </c>
      <c r="H72" s="27">
        <f t="shared" si="28"/>
        <v>0</v>
      </c>
      <c r="I72" s="27">
        <f t="shared" si="28"/>
        <v>0</v>
      </c>
      <c r="J72" s="27">
        <f t="shared" si="27"/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7">
        <f t="shared" si="0"/>
        <v>124892200</v>
      </c>
      <c r="Q72" s="36">
        <v>124892564</v>
      </c>
      <c r="S72" s="34">
        <f t="shared" si="6"/>
        <v>-364</v>
      </c>
    </row>
    <row r="73" spans="1:19" s="25" customFormat="1">
      <c r="A73" s="9"/>
      <c r="B73" s="9"/>
      <c r="C73" s="9"/>
      <c r="D73" s="1" t="s">
        <v>323</v>
      </c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S73" s="34">
        <f t="shared" si="6"/>
        <v>0</v>
      </c>
    </row>
    <row r="74" spans="1:19" s="25" customFormat="1" ht="31.2">
      <c r="A74" s="9"/>
      <c r="B74" s="9"/>
      <c r="C74" s="9"/>
      <c r="D74" s="1" t="s">
        <v>324</v>
      </c>
      <c r="E74" s="29">
        <f t="shared" ref="E74:E75" si="29">F74+I74</f>
        <v>124668900</v>
      </c>
      <c r="F74" s="29">
        <v>124668900</v>
      </c>
      <c r="G74" s="29">
        <v>124668900</v>
      </c>
      <c r="H74" s="29"/>
      <c r="I74" s="29"/>
      <c r="J74" s="29"/>
      <c r="K74" s="29"/>
      <c r="L74" s="29"/>
      <c r="M74" s="29"/>
      <c r="N74" s="29"/>
      <c r="O74" s="29"/>
      <c r="P74" s="29">
        <f t="shared" si="0"/>
        <v>124668900</v>
      </c>
      <c r="Q74" s="25">
        <v>124668900</v>
      </c>
      <c r="S74" s="34">
        <f t="shared" si="6"/>
        <v>0</v>
      </c>
    </row>
    <row r="75" spans="1:19" s="25" customFormat="1" ht="31.2">
      <c r="A75" s="9"/>
      <c r="B75" s="9"/>
      <c r="C75" s="9"/>
      <c r="D75" s="1" t="s">
        <v>359</v>
      </c>
      <c r="E75" s="29">
        <f t="shared" si="29"/>
        <v>223300</v>
      </c>
      <c r="F75" s="29">
        <f>223664-364</f>
        <v>223300</v>
      </c>
      <c r="G75" s="29">
        <f>223664-364</f>
        <v>223300</v>
      </c>
      <c r="H75" s="29"/>
      <c r="I75" s="29"/>
      <c r="J75" s="29"/>
      <c r="K75" s="29"/>
      <c r="L75" s="29"/>
      <c r="M75" s="29"/>
      <c r="N75" s="29"/>
      <c r="O75" s="29"/>
      <c r="P75" s="29">
        <f t="shared" si="0"/>
        <v>223300</v>
      </c>
      <c r="Q75" s="25">
        <v>223664</v>
      </c>
      <c r="S75" s="34">
        <f t="shared" si="6"/>
        <v>-364</v>
      </c>
    </row>
    <row r="76" spans="1:19" s="12" customFormat="1" ht="107.25" customHeight="1">
      <c r="A76" s="24" t="s">
        <v>91</v>
      </c>
      <c r="B76" s="24" t="s">
        <v>92</v>
      </c>
      <c r="C76" s="24" t="s">
        <v>86</v>
      </c>
      <c r="D76" s="8" t="s">
        <v>93</v>
      </c>
      <c r="E76" s="27">
        <f t="shared" si="26"/>
        <v>12500000</v>
      </c>
      <c r="F76" s="27">
        <v>12500000</v>
      </c>
      <c r="G76" s="27">
        <v>12500000</v>
      </c>
      <c r="H76" s="27">
        <v>0</v>
      </c>
      <c r="I76" s="27">
        <v>0</v>
      </c>
      <c r="J76" s="27">
        <f t="shared" si="27"/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f t="shared" si="0"/>
        <v>12500000</v>
      </c>
      <c r="Q76" s="12">
        <v>12500000</v>
      </c>
      <c r="S76" s="34">
        <f t="shared" si="6"/>
        <v>0</v>
      </c>
    </row>
    <row r="77" spans="1:19" ht="57" customHeight="1">
      <c r="A77" s="24" t="s">
        <v>94</v>
      </c>
      <c r="B77" s="24" t="s">
        <v>95</v>
      </c>
      <c r="C77" s="24" t="s">
        <v>96</v>
      </c>
      <c r="D77" s="8" t="s">
        <v>97</v>
      </c>
      <c r="E77" s="27">
        <f t="shared" si="26"/>
        <v>23355800</v>
      </c>
      <c r="F77" s="27">
        <f>23353200+2600</f>
        <v>23355800</v>
      </c>
      <c r="G77" s="27">
        <v>19600000</v>
      </c>
      <c r="H77" s="27">
        <f>1122500+2600</f>
        <v>1125100</v>
      </c>
      <c r="I77" s="27">
        <v>0</v>
      </c>
      <c r="J77" s="27">
        <f t="shared" si="27"/>
        <v>200000</v>
      </c>
      <c r="K77" s="27">
        <v>0</v>
      </c>
      <c r="L77" s="27">
        <v>200000</v>
      </c>
      <c r="M77" s="27">
        <v>0</v>
      </c>
      <c r="N77" s="27">
        <v>0</v>
      </c>
      <c r="O77" s="27">
        <v>0</v>
      </c>
      <c r="P77" s="27">
        <f t="shared" si="0"/>
        <v>23555800</v>
      </c>
      <c r="Q77" s="34">
        <v>23555800</v>
      </c>
      <c r="S77" s="34">
        <f t="shared" si="6"/>
        <v>0</v>
      </c>
    </row>
    <row r="78" spans="1:19" ht="48.75" customHeight="1">
      <c r="A78" s="24" t="s">
        <v>98</v>
      </c>
      <c r="B78" s="24" t="s">
        <v>99</v>
      </c>
      <c r="C78" s="24" t="s">
        <v>100</v>
      </c>
      <c r="D78" s="8" t="s">
        <v>101</v>
      </c>
      <c r="E78" s="27">
        <f t="shared" si="26"/>
        <v>16500</v>
      </c>
      <c r="F78" s="27">
        <v>16500</v>
      </c>
      <c r="G78" s="27">
        <v>0</v>
      </c>
      <c r="H78" s="27">
        <v>0</v>
      </c>
      <c r="I78" s="27">
        <v>0</v>
      </c>
      <c r="J78" s="27">
        <f t="shared" si="27"/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f t="shared" si="0"/>
        <v>16500</v>
      </c>
      <c r="Q78" s="34">
        <v>16500</v>
      </c>
      <c r="S78" s="34">
        <f t="shared" si="6"/>
        <v>0</v>
      </c>
    </row>
    <row r="79" spans="1:19" ht="41.25" customHeight="1">
      <c r="A79" s="24" t="s">
        <v>102</v>
      </c>
      <c r="B79" s="24" t="s">
        <v>103</v>
      </c>
      <c r="C79" s="24" t="s">
        <v>104</v>
      </c>
      <c r="D79" s="8" t="s">
        <v>105</v>
      </c>
      <c r="E79" s="27">
        <f t="shared" si="26"/>
        <v>20988600</v>
      </c>
      <c r="F79" s="27">
        <v>20988600</v>
      </c>
      <c r="G79" s="27">
        <v>15470000</v>
      </c>
      <c r="H79" s="27">
        <v>2173900</v>
      </c>
      <c r="I79" s="27"/>
      <c r="J79" s="27">
        <f t="shared" si="27"/>
        <v>1</v>
      </c>
      <c r="K79" s="27">
        <v>0</v>
      </c>
      <c r="L79" s="27">
        <v>1</v>
      </c>
      <c r="M79" s="27">
        <v>0</v>
      </c>
      <c r="N79" s="27">
        <v>0</v>
      </c>
      <c r="O79" s="27">
        <v>0</v>
      </c>
      <c r="P79" s="27">
        <f t="shared" si="0"/>
        <v>20988601</v>
      </c>
      <c r="Q79" s="2">
        <v>20988601</v>
      </c>
      <c r="S79" s="34">
        <f t="shared" si="6"/>
        <v>0</v>
      </c>
    </row>
    <row r="80" spans="1:19" ht="60" customHeight="1">
      <c r="A80" s="24" t="s">
        <v>106</v>
      </c>
      <c r="B80" s="24" t="s">
        <v>107</v>
      </c>
      <c r="C80" s="24" t="s">
        <v>104</v>
      </c>
      <c r="D80" s="8" t="s">
        <v>108</v>
      </c>
      <c r="E80" s="27">
        <f t="shared" si="26"/>
        <v>707400</v>
      </c>
      <c r="F80" s="27">
        <f>707400</f>
        <v>707400</v>
      </c>
      <c r="G80" s="27">
        <v>227200</v>
      </c>
      <c r="H80" s="27">
        <v>203600</v>
      </c>
      <c r="I80" s="27">
        <v>0</v>
      </c>
      <c r="J80" s="27">
        <f t="shared" si="27"/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f t="shared" si="0"/>
        <v>707400</v>
      </c>
      <c r="Q80" s="34">
        <v>707400</v>
      </c>
      <c r="S80" s="34">
        <f t="shared" si="6"/>
        <v>0</v>
      </c>
    </row>
    <row r="81" spans="1:19" ht="60" customHeight="1">
      <c r="A81" s="23" t="s">
        <v>360</v>
      </c>
      <c r="B81" s="23" t="s">
        <v>361</v>
      </c>
      <c r="C81" s="23" t="s">
        <v>104</v>
      </c>
      <c r="D81" s="8" t="s">
        <v>362</v>
      </c>
      <c r="E81" s="27">
        <f t="shared" si="26"/>
        <v>1234759</v>
      </c>
      <c r="F81" s="27">
        <v>1234759</v>
      </c>
      <c r="G81" s="27">
        <v>1234759</v>
      </c>
      <c r="H81" s="27"/>
      <c r="I81" s="27"/>
      <c r="J81" s="27">
        <f t="shared" si="27"/>
        <v>0</v>
      </c>
      <c r="K81" s="27"/>
      <c r="L81" s="27"/>
      <c r="M81" s="27"/>
      <c r="N81" s="27"/>
      <c r="O81" s="27"/>
      <c r="P81" s="27">
        <f t="shared" si="0"/>
        <v>1234759</v>
      </c>
      <c r="Q81" s="2">
        <v>1234759</v>
      </c>
      <c r="S81" s="34">
        <f t="shared" si="6"/>
        <v>0</v>
      </c>
    </row>
    <row r="82" spans="1:19" ht="60" customHeight="1">
      <c r="A82" s="24" t="s">
        <v>109</v>
      </c>
      <c r="B82" s="24" t="s">
        <v>110</v>
      </c>
      <c r="C82" s="24" t="s">
        <v>104</v>
      </c>
      <c r="D82" s="8" t="s">
        <v>111</v>
      </c>
      <c r="E82" s="27">
        <f t="shared" si="26"/>
        <v>4591700</v>
      </c>
      <c r="F82" s="27">
        <f>4591700</f>
        <v>4591700</v>
      </c>
      <c r="G82" s="27">
        <v>4179100</v>
      </c>
      <c r="H82" s="27">
        <v>44500</v>
      </c>
      <c r="I82" s="27">
        <v>0</v>
      </c>
      <c r="J82" s="27">
        <f t="shared" si="27"/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f t="shared" si="0"/>
        <v>4591700</v>
      </c>
      <c r="Q82" s="2">
        <v>4591700</v>
      </c>
      <c r="S82" s="34">
        <f t="shared" si="6"/>
        <v>0</v>
      </c>
    </row>
    <row r="83" spans="1:19" ht="124.8">
      <c r="A83" s="23" t="s">
        <v>406</v>
      </c>
      <c r="B83" s="23" t="s">
        <v>408</v>
      </c>
      <c r="C83" s="23" t="s">
        <v>104</v>
      </c>
      <c r="D83" s="8" t="s">
        <v>410</v>
      </c>
      <c r="E83" s="27">
        <f t="shared" si="26"/>
        <v>0</v>
      </c>
      <c r="F83" s="27"/>
      <c r="G83" s="27"/>
      <c r="H83" s="27"/>
      <c r="I83" s="27"/>
      <c r="J83" s="27">
        <f t="shared" si="27"/>
        <v>606500</v>
      </c>
      <c r="K83" s="27">
        <v>606500</v>
      </c>
      <c r="L83" s="27"/>
      <c r="M83" s="27"/>
      <c r="N83" s="27"/>
      <c r="O83" s="27">
        <v>606500</v>
      </c>
      <c r="P83" s="27">
        <f t="shared" si="0"/>
        <v>606500</v>
      </c>
      <c r="Q83" s="2">
        <v>606500</v>
      </c>
      <c r="S83" s="34">
        <f t="shared" ref="S83:S146" si="30">P83-Q83</f>
        <v>0</v>
      </c>
    </row>
    <row r="84" spans="1:19" ht="124.8">
      <c r="A84" s="23" t="s">
        <v>407</v>
      </c>
      <c r="B84" s="23" t="s">
        <v>409</v>
      </c>
      <c r="C84" s="23" t="s">
        <v>104</v>
      </c>
      <c r="D84" s="8" t="s">
        <v>411</v>
      </c>
      <c r="E84" s="27">
        <f t="shared" si="26"/>
        <v>0</v>
      </c>
      <c r="F84" s="27"/>
      <c r="G84" s="27"/>
      <c r="H84" s="27"/>
      <c r="I84" s="27"/>
      <c r="J84" s="27">
        <f t="shared" si="27"/>
        <v>1415100</v>
      </c>
      <c r="K84" s="27">
        <v>1415100</v>
      </c>
      <c r="L84" s="27"/>
      <c r="M84" s="27"/>
      <c r="N84" s="27"/>
      <c r="O84" s="27">
        <v>1415100</v>
      </c>
      <c r="P84" s="27">
        <f t="shared" si="0"/>
        <v>1415100</v>
      </c>
      <c r="Q84" s="2">
        <v>1415100</v>
      </c>
      <c r="S84" s="34">
        <f t="shared" si="30"/>
        <v>0</v>
      </c>
    </row>
    <row r="85" spans="1:19" ht="60" customHeight="1">
      <c r="A85" s="23" t="s">
        <v>404</v>
      </c>
      <c r="B85" s="24">
        <v>1200</v>
      </c>
      <c r="C85" s="23" t="s">
        <v>104</v>
      </c>
      <c r="D85" s="8" t="s">
        <v>405</v>
      </c>
      <c r="E85" s="27">
        <f t="shared" si="26"/>
        <v>327700</v>
      </c>
      <c r="F85" s="27">
        <v>327700</v>
      </c>
      <c r="G85" s="27"/>
      <c r="H85" s="27"/>
      <c r="I85" s="27"/>
      <c r="J85" s="27">
        <f t="shared" si="27"/>
        <v>0</v>
      </c>
      <c r="K85" s="27"/>
      <c r="L85" s="27"/>
      <c r="M85" s="27"/>
      <c r="N85" s="27"/>
      <c r="O85" s="27"/>
      <c r="P85" s="27">
        <f t="shared" si="0"/>
        <v>327700</v>
      </c>
      <c r="Q85" s="2">
        <v>327700</v>
      </c>
      <c r="S85" s="34">
        <f t="shared" si="30"/>
        <v>0</v>
      </c>
    </row>
    <row r="86" spans="1:19" ht="111" customHeight="1">
      <c r="A86" s="23" t="s">
        <v>363</v>
      </c>
      <c r="B86" s="23" t="s">
        <v>364</v>
      </c>
      <c r="C86" s="23" t="s">
        <v>104</v>
      </c>
      <c r="D86" s="8" t="s">
        <v>365</v>
      </c>
      <c r="E86" s="27">
        <f t="shared" si="26"/>
        <v>0</v>
      </c>
      <c r="F86" s="27"/>
      <c r="G86" s="27"/>
      <c r="H86" s="27"/>
      <c r="I86" s="27"/>
      <c r="J86" s="27">
        <f t="shared" si="27"/>
        <v>4508100</v>
      </c>
      <c r="K86" s="27"/>
      <c r="L86" s="27">
        <v>4508100</v>
      </c>
      <c r="M86" s="27"/>
      <c r="N86" s="27"/>
      <c r="O86" s="27"/>
      <c r="P86" s="27">
        <f t="shared" si="0"/>
        <v>4508100</v>
      </c>
      <c r="Q86" s="2">
        <v>4508100</v>
      </c>
      <c r="S86" s="34">
        <f t="shared" si="30"/>
        <v>0</v>
      </c>
    </row>
    <row r="87" spans="1:19" ht="60" customHeight="1">
      <c r="A87" s="23" t="s">
        <v>366</v>
      </c>
      <c r="B87" s="23" t="s">
        <v>367</v>
      </c>
      <c r="C87" s="23" t="s">
        <v>104</v>
      </c>
      <c r="D87" s="8" t="s">
        <v>368</v>
      </c>
      <c r="E87" s="27">
        <f t="shared" si="26"/>
        <v>0</v>
      </c>
      <c r="F87" s="27"/>
      <c r="G87" s="27"/>
      <c r="H87" s="27"/>
      <c r="I87" s="27"/>
      <c r="J87" s="27">
        <f t="shared" si="27"/>
        <v>10893628</v>
      </c>
      <c r="K87" s="27">
        <f>11843628-950000</f>
        <v>10893628</v>
      </c>
      <c r="L87" s="27"/>
      <c r="M87" s="27"/>
      <c r="N87" s="27"/>
      <c r="O87" s="27">
        <f>11843628-950000</f>
        <v>10893628</v>
      </c>
      <c r="P87" s="27">
        <f t="shared" si="0"/>
        <v>10893628</v>
      </c>
      <c r="Q87" s="2">
        <v>10893628</v>
      </c>
      <c r="S87" s="34">
        <f t="shared" si="30"/>
        <v>0</v>
      </c>
    </row>
    <row r="88" spans="1:19" ht="60" customHeight="1">
      <c r="A88" s="23" t="s">
        <v>369</v>
      </c>
      <c r="B88" s="23" t="s">
        <v>370</v>
      </c>
      <c r="C88" s="23" t="s">
        <v>104</v>
      </c>
      <c r="D88" s="8" t="s">
        <v>371</v>
      </c>
      <c r="E88" s="27">
        <f t="shared" si="26"/>
        <v>15857800</v>
      </c>
      <c r="F88" s="27">
        <v>15857800</v>
      </c>
      <c r="G88" s="27">
        <v>15857800</v>
      </c>
      <c r="H88" s="27"/>
      <c r="I88" s="27"/>
      <c r="J88" s="27">
        <f t="shared" si="27"/>
        <v>0</v>
      </c>
      <c r="K88" s="27"/>
      <c r="L88" s="27"/>
      <c r="M88" s="27"/>
      <c r="N88" s="27"/>
      <c r="O88" s="27"/>
      <c r="P88" s="27">
        <f t="shared" si="0"/>
        <v>15857800</v>
      </c>
      <c r="Q88" s="2">
        <v>15857800</v>
      </c>
      <c r="S88" s="34">
        <f t="shared" si="30"/>
        <v>0</v>
      </c>
    </row>
    <row r="89" spans="1:19" ht="102" customHeight="1">
      <c r="A89" s="23" t="s">
        <v>372</v>
      </c>
      <c r="B89" s="23" t="s">
        <v>373</v>
      </c>
      <c r="C89" s="23" t="s">
        <v>104</v>
      </c>
      <c r="D89" s="8" t="s">
        <v>374</v>
      </c>
      <c r="E89" s="27">
        <f t="shared" si="26"/>
        <v>0</v>
      </c>
      <c r="F89" s="27"/>
      <c r="G89" s="27"/>
      <c r="H89" s="27"/>
      <c r="I89" s="27"/>
      <c r="J89" s="27">
        <f t="shared" si="27"/>
        <v>2513330</v>
      </c>
      <c r="K89" s="27"/>
      <c r="L89" s="27">
        <v>2513330</v>
      </c>
      <c r="M89" s="27"/>
      <c r="N89" s="27"/>
      <c r="O89" s="27"/>
      <c r="P89" s="27">
        <f t="shared" si="0"/>
        <v>2513330</v>
      </c>
      <c r="Q89" s="2">
        <v>2513330</v>
      </c>
      <c r="S89" s="34">
        <f t="shared" si="30"/>
        <v>0</v>
      </c>
    </row>
    <row r="90" spans="1:19" ht="60" customHeight="1">
      <c r="A90" s="23" t="s">
        <v>375</v>
      </c>
      <c r="B90" s="23" t="s">
        <v>376</v>
      </c>
      <c r="C90" s="23" t="s">
        <v>104</v>
      </c>
      <c r="D90" s="8" t="s">
        <v>377</v>
      </c>
      <c r="E90" s="27">
        <f t="shared" si="26"/>
        <v>29075900</v>
      </c>
      <c r="F90" s="27">
        <v>29075900</v>
      </c>
      <c r="G90" s="27"/>
      <c r="H90" s="27"/>
      <c r="I90" s="27"/>
      <c r="J90" s="27">
        <f t="shared" si="27"/>
        <v>0</v>
      </c>
      <c r="K90" s="27"/>
      <c r="L90" s="27"/>
      <c r="M90" s="27"/>
      <c r="N90" s="27"/>
      <c r="O90" s="27"/>
      <c r="P90" s="27">
        <f t="shared" si="0"/>
        <v>29075900</v>
      </c>
      <c r="Q90" s="2">
        <v>29075900</v>
      </c>
      <c r="S90" s="34">
        <f t="shared" si="30"/>
        <v>0</v>
      </c>
    </row>
    <row r="91" spans="1:19" ht="100.5" customHeight="1">
      <c r="A91" s="24" t="s">
        <v>112</v>
      </c>
      <c r="B91" s="24" t="s">
        <v>113</v>
      </c>
      <c r="C91" s="24" t="s">
        <v>114</v>
      </c>
      <c r="D91" s="8" t="s">
        <v>115</v>
      </c>
      <c r="E91" s="27">
        <f t="shared" si="26"/>
        <v>3220000</v>
      </c>
      <c r="F91" s="27">
        <v>3220000</v>
      </c>
      <c r="G91" s="27">
        <v>0</v>
      </c>
      <c r="H91" s="28">
        <v>0</v>
      </c>
      <c r="I91" s="27">
        <v>0</v>
      </c>
      <c r="J91" s="27">
        <f t="shared" si="27"/>
        <v>0</v>
      </c>
      <c r="K91" s="27">
        <v>0</v>
      </c>
      <c r="L91" s="27">
        <v>0</v>
      </c>
      <c r="M91" s="27">
        <v>0</v>
      </c>
      <c r="N91" s="27">
        <v>0</v>
      </c>
      <c r="O91" s="27">
        <v>0</v>
      </c>
      <c r="P91" s="27">
        <f t="shared" si="0"/>
        <v>3220000</v>
      </c>
      <c r="Q91" s="2">
        <v>3220000</v>
      </c>
      <c r="S91" s="34">
        <f t="shared" si="30"/>
        <v>0</v>
      </c>
    </row>
    <row r="92" spans="1:19" ht="46.8">
      <c r="A92" s="24" t="s">
        <v>116</v>
      </c>
      <c r="B92" s="24" t="s">
        <v>50</v>
      </c>
      <c r="C92" s="24" t="s">
        <v>51</v>
      </c>
      <c r="D92" s="8" t="s">
        <v>350</v>
      </c>
      <c r="E92" s="27">
        <f t="shared" si="26"/>
        <v>723100</v>
      </c>
      <c r="F92" s="27">
        <v>723100</v>
      </c>
      <c r="G92" s="27">
        <v>0</v>
      </c>
      <c r="H92" s="27">
        <v>0</v>
      </c>
      <c r="I92" s="27">
        <v>0</v>
      </c>
      <c r="J92" s="27">
        <f t="shared" si="27"/>
        <v>0</v>
      </c>
      <c r="K92" s="27">
        <v>0</v>
      </c>
      <c r="L92" s="27">
        <v>0</v>
      </c>
      <c r="M92" s="27">
        <v>0</v>
      </c>
      <c r="N92" s="27">
        <v>0</v>
      </c>
      <c r="O92" s="27">
        <v>0</v>
      </c>
      <c r="P92" s="27">
        <f t="shared" si="0"/>
        <v>723100</v>
      </c>
      <c r="Q92" s="2">
        <v>723100</v>
      </c>
      <c r="S92" s="34">
        <f t="shared" si="30"/>
        <v>0</v>
      </c>
    </row>
    <row r="93" spans="1:19" ht="74.25" customHeight="1">
      <c r="A93" s="24" t="s">
        <v>117</v>
      </c>
      <c r="B93" s="24" t="s">
        <v>118</v>
      </c>
      <c r="C93" s="24" t="s">
        <v>119</v>
      </c>
      <c r="D93" s="8" t="s">
        <v>322</v>
      </c>
      <c r="E93" s="27">
        <f t="shared" si="26"/>
        <v>14415000</v>
      </c>
      <c r="F93" s="27">
        <v>14415000</v>
      </c>
      <c r="G93" s="27">
        <v>11557200</v>
      </c>
      <c r="H93" s="27">
        <v>1040600</v>
      </c>
      <c r="I93" s="27">
        <v>0</v>
      </c>
      <c r="J93" s="27">
        <f t="shared" si="27"/>
        <v>0</v>
      </c>
      <c r="K93" s="27">
        <v>0</v>
      </c>
      <c r="L93" s="27">
        <v>0</v>
      </c>
      <c r="M93" s="27">
        <v>0</v>
      </c>
      <c r="N93" s="27">
        <v>0</v>
      </c>
      <c r="O93" s="27">
        <v>0</v>
      </c>
      <c r="P93" s="27">
        <f t="shared" ref="P93:P163" si="31">E93 + J93</f>
        <v>14415000</v>
      </c>
      <c r="Q93" s="2">
        <v>14415000</v>
      </c>
      <c r="S93" s="34">
        <f t="shared" si="30"/>
        <v>0</v>
      </c>
    </row>
    <row r="94" spans="1:19" ht="35.25" customHeight="1">
      <c r="A94" s="23" t="s">
        <v>277</v>
      </c>
      <c r="B94" s="23" t="s">
        <v>273</v>
      </c>
      <c r="C94" s="23" t="s">
        <v>275</v>
      </c>
      <c r="D94" s="8" t="s">
        <v>274</v>
      </c>
      <c r="E94" s="27">
        <f t="shared" si="26"/>
        <v>2429900</v>
      </c>
      <c r="F94" s="27">
        <f>1929900+500000</f>
        <v>2429900</v>
      </c>
      <c r="G94" s="27"/>
      <c r="H94" s="27"/>
      <c r="I94" s="27"/>
      <c r="J94" s="27">
        <f t="shared" si="27"/>
        <v>0</v>
      </c>
      <c r="K94" s="27"/>
      <c r="L94" s="27"/>
      <c r="M94" s="27"/>
      <c r="N94" s="27"/>
      <c r="O94" s="27"/>
      <c r="P94" s="27">
        <f t="shared" si="31"/>
        <v>2429900</v>
      </c>
      <c r="Q94" s="2">
        <v>2429900</v>
      </c>
      <c r="S94" s="34">
        <f t="shared" si="30"/>
        <v>0</v>
      </c>
    </row>
    <row r="95" spans="1:19" ht="54.75" customHeight="1">
      <c r="A95" s="23" t="s">
        <v>278</v>
      </c>
      <c r="B95" s="23">
        <v>8110</v>
      </c>
      <c r="C95" s="23" t="s">
        <v>233</v>
      </c>
      <c r="D95" s="8" t="s">
        <v>234</v>
      </c>
      <c r="E95" s="27">
        <f>F95+I95</f>
        <v>6275800</v>
      </c>
      <c r="F95" s="27">
        <f>667550+1300000</f>
        <v>1967550</v>
      </c>
      <c r="G95" s="27"/>
      <c r="H95" s="27"/>
      <c r="I95" s="27">
        <f>6694750-606500-1780000</f>
        <v>4308250</v>
      </c>
      <c r="J95" s="27">
        <f t="shared" si="27"/>
        <v>0</v>
      </c>
      <c r="K95" s="27">
        <v>0</v>
      </c>
      <c r="L95" s="27"/>
      <c r="M95" s="27"/>
      <c r="N95" s="27"/>
      <c r="O95" s="27">
        <v>0</v>
      </c>
      <c r="P95" s="27">
        <f>E95 + J95</f>
        <v>6275800</v>
      </c>
      <c r="Q95" s="2">
        <v>6275800</v>
      </c>
      <c r="S95" s="34">
        <f t="shared" si="30"/>
        <v>0</v>
      </c>
    </row>
    <row r="96" spans="1:19" ht="58.5" customHeight="1">
      <c r="A96" s="6" t="s">
        <v>120</v>
      </c>
      <c r="B96" s="6" t="s">
        <v>18</v>
      </c>
      <c r="C96" s="6" t="s">
        <v>18</v>
      </c>
      <c r="D96" s="7" t="s">
        <v>121</v>
      </c>
      <c r="E96" s="26">
        <f>F96+I96</f>
        <v>135341137</v>
      </c>
      <c r="F96" s="26">
        <f>F97</f>
        <v>134306137</v>
      </c>
      <c r="G96" s="26">
        <f>G97</f>
        <v>57387620</v>
      </c>
      <c r="H96" s="26">
        <f>H97</f>
        <v>1162316.52</v>
      </c>
      <c r="I96" s="26">
        <f>I97</f>
        <v>1035000</v>
      </c>
      <c r="J96" s="26">
        <f>L96+O96</f>
        <v>180000</v>
      </c>
      <c r="K96" s="26">
        <f>K97</f>
        <v>0</v>
      </c>
      <c r="L96" s="26">
        <f t="shared" ref="L96:O96" si="32">L97</f>
        <v>55000</v>
      </c>
      <c r="M96" s="26">
        <f t="shared" si="32"/>
        <v>0</v>
      </c>
      <c r="N96" s="26">
        <f t="shared" si="32"/>
        <v>0</v>
      </c>
      <c r="O96" s="26">
        <f t="shared" si="32"/>
        <v>125000</v>
      </c>
      <c r="P96" s="26">
        <f t="shared" si="31"/>
        <v>135521137</v>
      </c>
      <c r="Q96" s="34">
        <v>135521137</v>
      </c>
      <c r="S96" s="34">
        <f t="shared" si="30"/>
        <v>0</v>
      </c>
    </row>
    <row r="97" spans="1:19" ht="60.75" customHeight="1">
      <c r="A97" s="6" t="s">
        <v>122</v>
      </c>
      <c r="B97" s="6" t="s">
        <v>18</v>
      </c>
      <c r="C97" s="6" t="s">
        <v>18</v>
      </c>
      <c r="D97" s="7" t="s">
        <v>121</v>
      </c>
      <c r="E97" s="26">
        <f>F97+I97</f>
        <v>135341137</v>
      </c>
      <c r="F97" s="26">
        <f>SUM(F98:F118)+F122</f>
        <v>134306137</v>
      </c>
      <c r="G97" s="26">
        <f t="shared" ref="G97:K97" si="33">SUM(G98:G118)+G122</f>
        <v>57387620</v>
      </c>
      <c r="H97" s="26">
        <f t="shared" si="33"/>
        <v>1162316.52</v>
      </c>
      <c r="I97" s="26">
        <f t="shared" si="33"/>
        <v>1035000</v>
      </c>
      <c r="J97" s="26">
        <f>L97+O97</f>
        <v>180000</v>
      </c>
      <c r="K97" s="26">
        <f t="shared" si="33"/>
        <v>0</v>
      </c>
      <c r="L97" s="26">
        <f t="shared" ref="L97" si="34">SUM(L98:L118)+L122</f>
        <v>55000</v>
      </c>
      <c r="M97" s="26">
        <f t="shared" ref="M97" si="35">SUM(M98:M118)+M122</f>
        <v>0</v>
      </c>
      <c r="N97" s="26">
        <f t="shared" ref="N97" si="36">SUM(N98:N118)+N122</f>
        <v>0</v>
      </c>
      <c r="O97" s="26">
        <f t="shared" ref="O97" si="37">SUM(O98:O118)+O122</f>
        <v>125000</v>
      </c>
      <c r="P97" s="26">
        <f t="shared" si="31"/>
        <v>135521137</v>
      </c>
      <c r="Q97" s="2">
        <v>135521137</v>
      </c>
      <c r="S97" s="34">
        <f t="shared" si="30"/>
        <v>0</v>
      </c>
    </row>
    <row r="98" spans="1:19" ht="69.75" customHeight="1">
      <c r="A98" s="24" t="s">
        <v>123</v>
      </c>
      <c r="B98" s="24" t="s">
        <v>74</v>
      </c>
      <c r="C98" s="24" t="s">
        <v>23</v>
      </c>
      <c r="D98" s="8" t="s">
        <v>75</v>
      </c>
      <c r="E98" s="27">
        <f>F98+I98</f>
        <v>23512500</v>
      </c>
      <c r="F98" s="27">
        <v>23512500</v>
      </c>
      <c r="G98" s="27">
        <v>22122300</v>
      </c>
      <c r="H98" s="27">
        <v>934000</v>
      </c>
      <c r="I98" s="27">
        <v>0</v>
      </c>
      <c r="J98" s="27">
        <f>L98+O98</f>
        <v>0</v>
      </c>
      <c r="K98" s="27">
        <v>0</v>
      </c>
      <c r="L98" s="27">
        <v>0</v>
      </c>
      <c r="M98" s="27">
        <v>0</v>
      </c>
      <c r="N98" s="27">
        <v>0</v>
      </c>
      <c r="O98" s="27">
        <v>0</v>
      </c>
      <c r="P98" s="27">
        <f t="shared" si="31"/>
        <v>23512500</v>
      </c>
      <c r="Q98" s="2">
        <v>23512500</v>
      </c>
      <c r="S98" s="34">
        <f t="shared" si="30"/>
        <v>0</v>
      </c>
    </row>
    <row r="99" spans="1:19" ht="46.8">
      <c r="A99" s="23" t="s">
        <v>338</v>
      </c>
      <c r="B99" s="24" t="s">
        <v>26</v>
      </c>
      <c r="C99" s="24" t="s">
        <v>27</v>
      </c>
      <c r="D99" s="8" t="s">
        <v>28</v>
      </c>
      <c r="E99" s="27">
        <f t="shared" ref="E99" si="38">F99+I99</f>
        <v>9000</v>
      </c>
      <c r="F99" s="27">
        <v>9000</v>
      </c>
      <c r="G99" s="27">
        <v>0</v>
      </c>
      <c r="H99" s="27">
        <v>0</v>
      </c>
      <c r="I99" s="27">
        <v>0</v>
      </c>
      <c r="J99" s="27">
        <f t="shared" ref="J99" si="39">L99+O99</f>
        <v>0</v>
      </c>
      <c r="K99" s="27">
        <v>0</v>
      </c>
      <c r="L99" s="27">
        <v>0</v>
      </c>
      <c r="M99" s="27">
        <v>0</v>
      </c>
      <c r="N99" s="27">
        <v>0</v>
      </c>
      <c r="O99" s="27">
        <v>0</v>
      </c>
      <c r="P99" s="27">
        <f t="shared" si="31"/>
        <v>9000</v>
      </c>
      <c r="Q99" s="2">
        <v>9000</v>
      </c>
      <c r="S99" s="34">
        <f t="shared" si="30"/>
        <v>0</v>
      </c>
    </row>
    <row r="100" spans="1:19" ht="42.75" customHeight="1">
      <c r="A100" s="24" t="s">
        <v>124</v>
      </c>
      <c r="B100" s="24" t="s">
        <v>30</v>
      </c>
      <c r="C100" s="24" t="s">
        <v>31</v>
      </c>
      <c r="D100" s="8" t="s">
        <v>32</v>
      </c>
      <c r="E100" s="27">
        <f t="shared" ref="E100:E169" si="40">F100+I100</f>
        <v>63500</v>
      </c>
      <c r="F100" s="27">
        <v>63500</v>
      </c>
      <c r="G100" s="27">
        <v>0</v>
      </c>
      <c r="H100" s="27">
        <v>0</v>
      </c>
      <c r="I100" s="27">
        <v>0</v>
      </c>
      <c r="J100" s="27">
        <f t="shared" ref="J100:J198" si="41">L100+O100</f>
        <v>0</v>
      </c>
      <c r="K100" s="27">
        <v>0</v>
      </c>
      <c r="L100" s="27">
        <v>0</v>
      </c>
      <c r="M100" s="27">
        <v>0</v>
      </c>
      <c r="N100" s="27">
        <v>0</v>
      </c>
      <c r="O100" s="27">
        <v>0</v>
      </c>
      <c r="P100" s="27">
        <f t="shared" si="31"/>
        <v>63500</v>
      </c>
      <c r="Q100" s="2">
        <v>63500</v>
      </c>
      <c r="S100" s="34">
        <f t="shared" si="30"/>
        <v>0</v>
      </c>
    </row>
    <row r="101" spans="1:19" ht="37.5" customHeight="1">
      <c r="A101" s="24" t="s">
        <v>126</v>
      </c>
      <c r="B101" s="24" t="s">
        <v>127</v>
      </c>
      <c r="C101" s="24" t="s">
        <v>95</v>
      </c>
      <c r="D101" s="8" t="s">
        <v>128</v>
      </c>
      <c r="E101" s="27">
        <f t="shared" si="40"/>
        <v>3400</v>
      </c>
      <c r="F101" s="27">
        <v>3400</v>
      </c>
      <c r="G101" s="27">
        <v>0</v>
      </c>
      <c r="H101" s="27">
        <v>0</v>
      </c>
      <c r="I101" s="27">
        <v>0</v>
      </c>
      <c r="J101" s="27">
        <f t="shared" si="41"/>
        <v>0</v>
      </c>
      <c r="K101" s="27">
        <v>0</v>
      </c>
      <c r="L101" s="27">
        <v>0</v>
      </c>
      <c r="M101" s="27">
        <v>0</v>
      </c>
      <c r="N101" s="27">
        <v>0</v>
      </c>
      <c r="O101" s="27">
        <v>0</v>
      </c>
      <c r="P101" s="27">
        <f t="shared" si="31"/>
        <v>3400</v>
      </c>
      <c r="Q101" s="2">
        <v>3400</v>
      </c>
      <c r="S101" s="34">
        <f t="shared" si="30"/>
        <v>0</v>
      </c>
    </row>
    <row r="102" spans="1:19" ht="46.8">
      <c r="A102" s="23" t="s">
        <v>378</v>
      </c>
      <c r="B102" s="23" t="s">
        <v>379</v>
      </c>
      <c r="C102" s="23" t="s">
        <v>95</v>
      </c>
      <c r="D102" s="8" t="s">
        <v>380</v>
      </c>
      <c r="E102" s="27">
        <f t="shared" si="40"/>
        <v>161000</v>
      </c>
      <c r="F102" s="27">
        <f>8000+153000</f>
        <v>161000</v>
      </c>
      <c r="G102" s="27"/>
      <c r="H102" s="27"/>
      <c r="I102" s="27"/>
      <c r="J102" s="27">
        <f t="shared" si="41"/>
        <v>0</v>
      </c>
      <c r="K102" s="27"/>
      <c r="L102" s="27"/>
      <c r="M102" s="27"/>
      <c r="N102" s="27"/>
      <c r="O102" s="27"/>
      <c r="P102" s="27">
        <f t="shared" si="31"/>
        <v>161000</v>
      </c>
      <c r="Q102" s="2">
        <v>161000</v>
      </c>
      <c r="S102" s="34">
        <f t="shared" si="30"/>
        <v>0</v>
      </c>
    </row>
    <row r="103" spans="1:19" s="12" customFormat="1" ht="57" customHeight="1">
      <c r="A103" s="24" t="s">
        <v>129</v>
      </c>
      <c r="B103" s="24" t="s">
        <v>130</v>
      </c>
      <c r="C103" s="24" t="s">
        <v>95</v>
      </c>
      <c r="D103" s="8" t="s">
        <v>131</v>
      </c>
      <c r="E103" s="27">
        <f t="shared" si="40"/>
        <v>482313</v>
      </c>
      <c r="F103" s="27">
        <v>482313</v>
      </c>
      <c r="G103" s="27">
        <v>0</v>
      </c>
      <c r="H103" s="27">
        <v>0</v>
      </c>
      <c r="I103" s="27">
        <v>0</v>
      </c>
      <c r="J103" s="27">
        <f t="shared" si="41"/>
        <v>0</v>
      </c>
      <c r="K103" s="27">
        <v>0</v>
      </c>
      <c r="L103" s="27">
        <v>0</v>
      </c>
      <c r="M103" s="27">
        <v>0</v>
      </c>
      <c r="N103" s="27">
        <v>0</v>
      </c>
      <c r="O103" s="27">
        <v>0</v>
      </c>
      <c r="P103" s="27">
        <f t="shared" si="31"/>
        <v>482313</v>
      </c>
      <c r="Q103" s="12">
        <v>482313</v>
      </c>
      <c r="S103" s="34">
        <f t="shared" si="30"/>
        <v>0</v>
      </c>
    </row>
    <row r="104" spans="1:19" s="12" customFormat="1" ht="57" customHeight="1">
      <c r="A104" s="24" t="s">
        <v>132</v>
      </c>
      <c r="B104" s="24" t="s">
        <v>133</v>
      </c>
      <c r="C104" s="24" t="s">
        <v>125</v>
      </c>
      <c r="D104" s="8" t="s">
        <v>134</v>
      </c>
      <c r="E104" s="27">
        <f t="shared" si="40"/>
        <v>151514</v>
      </c>
      <c r="F104" s="27">
        <v>151514</v>
      </c>
      <c r="G104" s="27">
        <v>0</v>
      </c>
      <c r="H104" s="27">
        <v>0</v>
      </c>
      <c r="I104" s="27">
        <v>0</v>
      </c>
      <c r="J104" s="27">
        <f t="shared" si="41"/>
        <v>0</v>
      </c>
      <c r="K104" s="27">
        <v>0</v>
      </c>
      <c r="L104" s="27">
        <v>0</v>
      </c>
      <c r="M104" s="27">
        <v>0</v>
      </c>
      <c r="N104" s="27">
        <v>0</v>
      </c>
      <c r="O104" s="27">
        <v>0</v>
      </c>
      <c r="P104" s="27">
        <f t="shared" si="31"/>
        <v>151514</v>
      </c>
      <c r="Q104" s="12">
        <v>151514</v>
      </c>
      <c r="S104" s="34">
        <f t="shared" si="30"/>
        <v>0</v>
      </c>
    </row>
    <row r="105" spans="1:19" ht="87.75" customHeight="1">
      <c r="A105" s="24" t="s">
        <v>135</v>
      </c>
      <c r="B105" s="24" t="s">
        <v>136</v>
      </c>
      <c r="C105" s="24" t="s">
        <v>137</v>
      </c>
      <c r="D105" s="8" t="s">
        <v>138</v>
      </c>
      <c r="E105" s="27">
        <f t="shared" si="40"/>
        <v>23423800</v>
      </c>
      <c r="F105" s="27">
        <f>21799800+2360000-1000000+264000</f>
        <v>23423800</v>
      </c>
      <c r="G105" s="27">
        <f>20540700+2360000-1000000+264000</f>
        <v>22164700</v>
      </c>
      <c r="H105" s="27">
        <f>334900-175700-945.93-154237.55</f>
        <v>4016.5200000000186</v>
      </c>
      <c r="I105" s="27">
        <v>0</v>
      </c>
      <c r="J105" s="27">
        <f t="shared" si="41"/>
        <v>180000</v>
      </c>
      <c r="K105" s="27">
        <v>0</v>
      </c>
      <c r="L105" s="27">
        <v>55000</v>
      </c>
      <c r="M105" s="27">
        <v>0</v>
      </c>
      <c r="N105" s="27">
        <v>0</v>
      </c>
      <c r="O105" s="27">
        <v>125000</v>
      </c>
      <c r="P105" s="27">
        <f t="shared" si="31"/>
        <v>23603800</v>
      </c>
      <c r="Q105" s="2">
        <v>23603800</v>
      </c>
      <c r="S105" s="34">
        <f t="shared" si="30"/>
        <v>0</v>
      </c>
    </row>
    <row r="106" spans="1:19" ht="126.75" customHeight="1">
      <c r="A106" s="24" t="s">
        <v>139</v>
      </c>
      <c r="B106" s="24" t="s">
        <v>140</v>
      </c>
      <c r="C106" s="24" t="s">
        <v>114</v>
      </c>
      <c r="D106" s="8" t="s">
        <v>320</v>
      </c>
      <c r="E106" s="27">
        <f t="shared" si="40"/>
        <v>13049300</v>
      </c>
      <c r="F106" s="27">
        <f>12988200+100000-408900-430000+800000</f>
        <v>13049300</v>
      </c>
      <c r="G106" s="27">
        <f>9691500+1285000-478100-430000+800000</f>
        <v>10868400</v>
      </c>
      <c r="H106" s="27">
        <f>362300-56300-81700</f>
        <v>224300</v>
      </c>
      <c r="I106" s="27">
        <v>0</v>
      </c>
      <c r="J106" s="27">
        <f t="shared" si="41"/>
        <v>0</v>
      </c>
      <c r="K106" s="27">
        <v>0</v>
      </c>
      <c r="L106" s="27">
        <v>0</v>
      </c>
      <c r="M106" s="27">
        <v>0</v>
      </c>
      <c r="N106" s="27">
        <v>0</v>
      </c>
      <c r="O106" s="27">
        <v>0</v>
      </c>
      <c r="P106" s="27">
        <f t="shared" si="31"/>
        <v>13049300</v>
      </c>
      <c r="Q106" s="2">
        <v>13049300</v>
      </c>
      <c r="S106" s="34">
        <f t="shared" si="30"/>
        <v>0</v>
      </c>
    </row>
    <row r="107" spans="1:19" ht="44.25" customHeight="1">
      <c r="A107" s="24" t="s">
        <v>141</v>
      </c>
      <c r="B107" s="24" t="s">
        <v>142</v>
      </c>
      <c r="C107" s="24" t="s">
        <v>114</v>
      </c>
      <c r="D107" s="8" t="s">
        <v>143</v>
      </c>
      <c r="E107" s="27">
        <f t="shared" si="40"/>
        <v>507500</v>
      </c>
      <c r="F107" s="27">
        <v>507500</v>
      </c>
      <c r="G107" s="27">
        <v>0</v>
      </c>
      <c r="H107" s="27">
        <v>0</v>
      </c>
      <c r="I107" s="27">
        <v>0</v>
      </c>
      <c r="J107" s="27">
        <f t="shared" si="41"/>
        <v>0</v>
      </c>
      <c r="K107" s="27">
        <v>0</v>
      </c>
      <c r="L107" s="27">
        <v>0</v>
      </c>
      <c r="M107" s="27">
        <v>0</v>
      </c>
      <c r="N107" s="27">
        <v>0</v>
      </c>
      <c r="O107" s="27">
        <v>0</v>
      </c>
      <c r="P107" s="27">
        <f t="shared" si="31"/>
        <v>507500</v>
      </c>
      <c r="Q107" s="2">
        <v>507500</v>
      </c>
      <c r="S107" s="34">
        <f t="shared" si="30"/>
        <v>0</v>
      </c>
    </row>
    <row r="108" spans="1:19" ht="93.6">
      <c r="A108" s="23" t="s">
        <v>279</v>
      </c>
      <c r="B108" s="24" t="s">
        <v>113</v>
      </c>
      <c r="C108" s="24" t="s">
        <v>114</v>
      </c>
      <c r="D108" s="8" t="s">
        <v>115</v>
      </c>
      <c r="E108" s="27">
        <f t="shared" si="40"/>
        <v>1300000</v>
      </c>
      <c r="F108" s="27">
        <v>1300000</v>
      </c>
      <c r="G108" s="27">
        <v>0</v>
      </c>
      <c r="H108" s="27">
        <v>0</v>
      </c>
      <c r="I108" s="27">
        <v>0</v>
      </c>
      <c r="J108" s="27">
        <f t="shared" si="41"/>
        <v>0</v>
      </c>
      <c r="K108" s="27">
        <v>0</v>
      </c>
      <c r="L108" s="27">
        <v>0</v>
      </c>
      <c r="M108" s="27">
        <v>0</v>
      </c>
      <c r="N108" s="27">
        <v>0</v>
      </c>
      <c r="O108" s="27">
        <v>0</v>
      </c>
      <c r="P108" s="27">
        <f t="shared" si="31"/>
        <v>1300000</v>
      </c>
      <c r="Q108" s="2">
        <v>1300000</v>
      </c>
      <c r="S108" s="34">
        <f t="shared" si="30"/>
        <v>0</v>
      </c>
    </row>
    <row r="109" spans="1:19" ht="121.5" customHeight="1">
      <c r="A109" s="24" t="s">
        <v>144</v>
      </c>
      <c r="B109" s="24" t="s">
        <v>145</v>
      </c>
      <c r="C109" s="24" t="s">
        <v>77</v>
      </c>
      <c r="D109" s="8" t="s">
        <v>146</v>
      </c>
      <c r="E109" s="27">
        <f t="shared" si="40"/>
        <v>2900000</v>
      </c>
      <c r="F109" s="27">
        <v>2900000</v>
      </c>
      <c r="G109" s="27">
        <v>0</v>
      </c>
      <c r="H109" s="27">
        <v>0</v>
      </c>
      <c r="I109" s="27">
        <v>0</v>
      </c>
      <c r="J109" s="27">
        <f t="shared" si="41"/>
        <v>0</v>
      </c>
      <c r="K109" s="27">
        <v>0</v>
      </c>
      <c r="L109" s="27">
        <v>0</v>
      </c>
      <c r="M109" s="27">
        <v>0</v>
      </c>
      <c r="N109" s="27">
        <v>0</v>
      </c>
      <c r="O109" s="27">
        <v>0</v>
      </c>
      <c r="P109" s="27">
        <f t="shared" si="31"/>
        <v>2900000</v>
      </c>
      <c r="Q109" s="2">
        <v>2900000</v>
      </c>
      <c r="S109" s="34">
        <f t="shared" si="30"/>
        <v>0</v>
      </c>
    </row>
    <row r="110" spans="1:19" s="12" customFormat="1" ht="86.25" customHeight="1">
      <c r="A110" s="24" t="s">
        <v>147</v>
      </c>
      <c r="B110" s="24" t="s">
        <v>148</v>
      </c>
      <c r="C110" s="24" t="s">
        <v>77</v>
      </c>
      <c r="D110" s="8" t="s">
        <v>149</v>
      </c>
      <c r="E110" s="27">
        <f t="shared" si="40"/>
        <v>31190</v>
      </c>
      <c r="F110" s="27">
        <v>31190</v>
      </c>
      <c r="G110" s="27">
        <v>0</v>
      </c>
      <c r="H110" s="27">
        <v>0</v>
      </c>
      <c r="I110" s="27">
        <v>0</v>
      </c>
      <c r="J110" s="27">
        <f t="shared" si="41"/>
        <v>0</v>
      </c>
      <c r="K110" s="27">
        <v>0</v>
      </c>
      <c r="L110" s="27">
        <v>0</v>
      </c>
      <c r="M110" s="27">
        <v>0</v>
      </c>
      <c r="N110" s="27">
        <v>0</v>
      </c>
      <c r="O110" s="27">
        <v>0</v>
      </c>
      <c r="P110" s="27">
        <f t="shared" si="31"/>
        <v>31190</v>
      </c>
      <c r="Q110" s="12">
        <v>31190</v>
      </c>
      <c r="S110" s="34">
        <f t="shared" si="30"/>
        <v>0</v>
      </c>
    </row>
    <row r="111" spans="1:19" ht="93.6">
      <c r="A111" s="24" t="s">
        <v>150</v>
      </c>
      <c r="B111" s="24" t="s">
        <v>151</v>
      </c>
      <c r="C111" s="24" t="s">
        <v>152</v>
      </c>
      <c r="D111" s="8" t="s">
        <v>153</v>
      </c>
      <c r="E111" s="27">
        <f t="shared" si="40"/>
        <v>1120000</v>
      </c>
      <c r="F111" s="27">
        <v>1120000</v>
      </c>
      <c r="G111" s="27">
        <v>0</v>
      </c>
      <c r="H111" s="27">
        <v>0</v>
      </c>
      <c r="I111" s="27">
        <v>0</v>
      </c>
      <c r="J111" s="27">
        <f t="shared" si="41"/>
        <v>0</v>
      </c>
      <c r="K111" s="27">
        <v>0</v>
      </c>
      <c r="L111" s="27">
        <v>0</v>
      </c>
      <c r="M111" s="27">
        <v>0</v>
      </c>
      <c r="N111" s="27">
        <v>0</v>
      </c>
      <c r="O111" s="27">
        <v>0</v>
      </c>
      <c r="P111" s="27">
        <f t="shared" si="31"/>
        <v>1120000</v>
      </c>
      <c r="Q111" s="2">
        <v>1120000</v>
      </c>
      <c r="S111" s="34">
        <f t="shared" si="30"/>
        <v>0</v>
      </c>
    </row>
    <row r="112" spans="1:19" ht="31.2">
      <c r="A112" s="23" t="s">
        <v>381</v>
      </c>
      <c r="B112" s="23">
        <v>3191</v>
      </c>
      <c r="C112" s="23" t="s">
        <v>125</v>
      </c>
      <c r="D112" s="8" t="s">
        <v>382</v>
      </c>
      <c r="E112" s="27">
        <f t="shared" si="40"/>
        <v>22713400</v>
      </c>
      <c r="F112" s="27">
        <f>22866400-153000</f>
        <v>22713400</v>
      </c>
      <c r="G112" s="27"/>
      <c r="H112" s="27"/>
      <c r="I112" s="27"/>
      <c r="J112" s="27">
        <f t="shared" si="41"/>
        <v>0</v>
      </c>
      <c r="K112" s="27"/>
      <c r="L112" s="27"/>
      <c r="M112" s="27"/>
      <c r="N112" s="27"/>
      <c r="O112" s="27"/>
      <c r="P112" s="27">
        <f t="shared" si="31"/>
        <v>22713400</v>
      </c>
      <c r="Q112" s="2">
        <v>22713400</v>
      </c>
      <c r="S112" s="34">
        <f t="shared" si="30"/>
        <v>0</v>
      </c>
    </row>
    <row r="113" spans="1:19" ht="79.5" customHeight="1">
      <c r="A113" s="24" t="s">
        <v>154</v>
      </c>
      <c r="B113" s="24" t="s">
        <v>155</v>
      </c>
      <c r="C113" s="24" t="s">
        <v>125</v>
      </c>
      <c r="D113" s="8" t="s">
        <v>156</v>
      </c>
      <c r="E113" s="27">
        <f t="shared" si="40"/>
        <v>71000</v>
      </c>
      <c r="F113" s="27">
        <v>71000</v>
      </c>
      <c r="G113" s="27">
        <v>0</v>
      </c>
      <c r="H113" s="27">
        <v>0</v>
      </c>
      <c r="I113" s="27">
        <v>0</v>
      </c>
      <c r="J113" s="27">
        <f t="shared" si="41"/>
        <v>0</v>
      </c>
      <c r="K113" s="27">
        <v>0</v>
      </c>
      <c r="L113" s="27">
        <v>0</v>
      </c>
      <c r="M113" s="27">
        <v>0</v>
      </c>
      <c r="N113" s="27">
        <v>0</v>
      </c>
      <c r="O113" s="27">
        <v>0</v>
      </c>
      <c r="P113" s="27">
        <f t="shared" si="31"/>
        <v>71000</v>
      </c>
      <c r="Q113" s="2">
        <v>71000</v>
      </c>
      <c r="S113" s="34">
        <f t="shared" si="30"/>
        <v>0</v>
      </c>
    </row>
    <row r="114" spans="1:19" ht="93.6">
      <c r="A114" s="23" t="s">
        <v>383</v>
      </c>
      <c r="B114" s="23" t="s">
        <v>384</v>
      </c>
      <c r="C114" s="23" t="s">
        <v>125</v>
      </c>
      <c r="D114" s="8" t="s">
        <v>385</v>
      </c>
      <c r="E114" s="27">
        <f t="shared" si="40"/>
        <v>2072420</v>
      </c>
      <c r="F114" s="27">
        <f>1057100+880320-65000+200000-84000</f>
        <v>1988420</v>
      </c>
      <c r="G114" s="27">
        <f>880320+678100-65000+200000</f>
        <v>1693420</v>
      </c>
      <c r="H114" s="27"/>
      <c r="I114" s="27">
        <v>84000</v>
      </c>
      <c r="J114" s="27"/>
      <c r="K114" s="27"/>
      <c r="L114" s="27"/>
      <c r="M114" s="27"/>
      <c r="N114" s="27"/>
      <c r="O114" s="27"/>
      <c r="P114" s="27">
        <f t="shared" si="31"/>
        <v>2072420</v>
      </c>
      <c r="Q114" s="2">
        <v>2072420</v>
      </c>
      <c r="S114" s="34">
        <f t="shared" si="30"/>
        <v>0</v>
      </c>
    </row>
    <row r="115" spans="1:19" ht="72.75" customHeight="1">
      <c r="A115" s="24" t="s">
        <v>157</v>
      </c>
      <c r="B115" s="24" t="s">
        <v>158</v>
      </c>
      <c r="C115" s="24" t="s">
        <v>95</v>
      </c>
      <c r="D115" s="8" t="s">
        <v>159</v>
      </c>
      <c r="E115" s="27">
        <f t="shared" si="40"/>
        <v>1097600</v>
      </c>
      <c r="F115" s="27">
        <v>1097600</v>
      </c>
      <c r="G115" s="27">
        <v>0</v>
      </c>
      <c r="H115" s="27">
        <v>0</v>
      </c>
      <c r="I115" s="27">
        <v>0</v>
      </c>
      <c r="J115" s="27">
        <f t="shared" si="41"/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f t="shared" si="31"/>
        <v>1097600</v>
      </c>
      <c r="Q115" s="2">
        <v>1097600</v>
      </c>
      <c r="S115" s="34">
        <f t="shared" si="30"/>
        <v>0</v>
      </c>
    </row>
    <row r="116" spans="1:19" ht="46.8">
      <c r="A116" s="24" t="s">
        <v>160</v>
      </c>
      <c r="B116" s="24" t="s">
        <v>50</v>
      </c>
      <c r="C116" s="24" t="s">
        <v>51</v>
      </c>
      <c r="D116" s="8" t="s">
        <v>350</v>
      </c>
      <c r="E116" s="27">
        <f t="shared" si="40"/>
        <v>39789600</v>
      </c>
      <c r="F116" s="27">
        <f>59503000-19713400</f>
        <v>39789600</v>
      </c>
      <c r="G116" s="27">
        <v>0</v>
      </c>
      <c r="H116" s="27">
        <v>0</v>
      </c>
      <c r="I116" s="27">
        <v>0</v>
      </c>
      <c r="J116" s="27">
        <f t="shared" si="41"/>
        <v>0</v>
      </c>
      <c r="K116" s="27">
        <v>0</v>
      </c>
      <c r="L116" s="27">
        <v>0</v>
      </c>
      <c r="M116" s="27">
        <v>0</v>
      </c>
      <c r="N116" s="27">
        <v>0</v>
      </c>
      <c r="O116" s="27">
        <v>0</v>
      </c>
      <c r="P116" s="27">
        <f t="shared" si="31"/>
        <v>39789600</v>
      </c>
      <c r="Q116" s="2">
        <v>39789600</v>
      </c>
      <c r="S116" s="34">
        <f t="shared" si="30"/>
        <v>0</v>
      </c>
    </row>
    <row r="117" spans="1:19" ht="46.8">
      <c r="A117" s="23" t="s">
        <v>386</v>
      </c>
      <c r="B117" s="23" t="s">
        <v>387</v>
      </c>
      <c r="C117" s="23" t="s">
        <v>51</v>
      </c>
      <c r="D117" s="8" t="s">
        <v>388</v>
      </c>
      <c r="E117" s="27">
        <f t="shared" si="40"/>
        <v>1832800</v>
      </c>
      <c r="F117" s="27">
        <f>901800-20000</f>
        <v>881800</v>
      </c>
      <c r="G117" s="27">
        <f>558800-20000</f>
        <v>538800</v>
      </c>
      <c r="H117" s="27"/>
      <c r="I117" s="27">
        <v>951000</v>
      </c>
      <c r="J117" s="27">
        <f t="shared" si="41"/>
        <v>0</v>
      </c>
      <c r="K117" s="27"/>
      <c r="L117" s="27"/>
      <c r="M117" s="27"/>
      <c r="N117" s="27"/>
      <c r="O117" s="27"/>
      <c r="P117" s="27">
        <f t="shared" si="31"/>
        <v>1832800</v>
      </c>
      <c r="Q117" s="2">
        <v>1832800</v>
      </c>
      <c r="S117" s="34">
        <f t="shared" si="30"/>
        <v>0</v>
      </c>
    </row>
    <row r="118" spans="1:19" ht="31.2">
      <c r="A118" s="23" t="s">
        <v>280</v>
      </c>
      <c r="B118" s="23" t="s">
        <v>273</v>
      </c>
      <c r="C118" s="23" t="s">
        <v>275</v>
      </c>
      <c r="D118" s="8" t="s">
        <v>274</v>
      </c>
      <c r="E118" s="27">
        <f t="shared" si="40"/>
        <v>989300</v>
      </c>
      <c r="F118" s="27">
        <f>SUM(F119:F121)</f>
        <v>989300</v>
      </c>
      <c r="G118" s="27"/>
      <c r="H118" s="27"/>
      <c r="I118" s="27"/>
      <c r="J118" s="27">
        <f t="shared" si="41"/>
        <v>0</v>
      </c>
      <c r="K118" s="27"/>
      <c r="L118" s="27"/>
      <c r="M118" s="27"/>
      <c r="N118" s="27"/>
      <c r="O118" s="27"/>
      <c r="P118" s="27">
        <f t="shared" si="31"/>
        <v>989300</v>
      </c>
      <c r="Q118" s="2">
        <v>989300</v>
      </c>
      <c r="S118" s="34">
        <f t="shared" si="30"/>
        <v>0</v>
      </c>
    </row>
    <row r="119" spans="1:19" s="5" customFormat="1" ht="46.8">
      <c r="A119" s="11"/>
      <c r="B119" s="11"/>
      <c r="C119" s="11"/>
      <c r="D119" s="1" t="s">
        <v>293</v>
      </c>
      <c r="E119" s="29">
        <f t="shared" si="40"/>
        <v>168100</v>
      </c>
      <c r="F119" s="29">
        <v>168100</v>
      </c>
      <c r="G119" s="29"/>
      <c r="H119" s="29"/>
      <c r="I119" s="29"/>
      <c r="J119" s="29"/>
      <c r="K119" s="29"/>
      <c r="L119" s="29"/>
      <c r="M119" s="29"/>
      <c r="N119" s="29"/>
      <c r="O119" s="29"/>
      <c r="P119" s="29">
        <f t="shared" si="31"/>
        <v>168100</v>
      </c>
      <c r="Q119" s="5">
        <v>168100</v>
      </c>
      <c r="S119" s="34">
        <f t="shared" si="30"/>
        <v>0</v>
      </c>
    </row>
    <row r="120" spans="1:19" s="5" customFormat="1" ht="62.4">
      <c r="A120" s="11"/>
      <c r="B120" s="11"/>
      <c r="C120" s="11"/>
      <c r="D120" s="1" t="s">
        <v>298</v>
      </c>
      <c r="E120" s="29">
        <f t="shared" si="40"/>
        <v>757300</v>
      </c>
      <c r="F120" s="29">
        <f>350900+406400</f>
        <v>757300</v>
      </c>
      <c r="G120" s="29"/>
      <c r="H120" s="29"/>
      <c r="I120" s="29"/>
      <c r="J120" s="29"/>
      <c r="K120" s="29"/>
      <c r="L120" s="29"/>
      <c r="M120" s="29"/>
      <c r="N120" s="29"/>
      <c r="O120" s="29"/>
      <c r="P120" s="29">
        <f t="shared" si="31"/>
        <v>757300</v>
      </c>
      <c r="Q120" s="5">
        <v>757300</v>
      </c>
      <c r="S120" s="34">
        <f t="shared" si="30"/>
        <v>0</v>
      </c>
    </row>
    <row r="121" spans="1:19" s="5" customFormat="1" ht="78">
      <c r="A121" s="11"/>
      <c r="B121" s="11"/>
      <c r="C121" s="11"/>
      <c r="D121" s="1" t="s">
        <v>297</v>
      </c>
      <c r="E121" s="29">
        <f t="shared" si="40"/>
        <v>63900</v>
      </c>
      <c r="F121" s="29">
        <v>63900</v>
      </c>
      <c r="G121" s="29"/>
      <c r="H121" s="29"/>
      <c r="I121" s="29"/>
      <c r="J121" s="29"/>
      <c r="K121" s="29"/>
      <c r="L121" s="29"/>
      <c r="M121" s="29"/>
      <c r="N121" s="29"/>
      <c r="O121" s="29"/>
      <c r="P121" s="29">
        <f t="shared" si="31"/>
        <v>63900</v>
      </c>
      <c r="Q121" s="5">
        <v>63900</v>
      </c>
      <c r="S121" s="34">
        <f t="shared" si="30"/>
        <v>0</v>
      </c>
    </row>
    <row r="122" spans="1:19" ht="54.75" customHeight="1">
      <c r="A122" s="23" t="s">
        <v>339</v>
      </c>
      <c r="B122" s="23">
        <v>8110</v>
      </c>
      <c r="C122" s="23" t="s">
        <v>233</v>
      </c>
      <c r="D122" s="8" t="s">
        <v>234</v>
      </c>
      <c r="E122" s="27">
        <f>F122+I122</f>
        <v>60000</v>
      </c>
      <c r="F122" s="27">
        <f>F123</f>
        <v>60000</v>
      </c>
      <c r="G122" s="27"/>
      <c r="H122" s="27"/>
      <c r="I122" s="27"/>
      <c r="J122" s="27">
        <f t="shared" ref="J122" si="42">L122+O122</f>
        <v>0</v>
      </c>
      <c r="K122" s="27">
        <v>0</v>
      </c>
      <c r="L122" s="27"/>
      <c r="M122" s="27"/>
      <c r="N122" s="27"/>
      <c r="O122" s="27">
        <v>0</v>
      </c>
      <c r="P122" s="27">
        <f>E122 + J122</f>
        <v>60000</v>
      </c>
      <c r="Q122" s="2">
        <v>60000</v>
      </c>
      <c r="S122" s="34">
        <f t="shared" si="30"/>
        <v>0</v>
      </c>
    </row>
    <row r="123" spans="1:19" s="5" customFormat="1" ht="78">
      <c r="A123" s="11"/>
      <c r="B123" s="11"/>
      <c r="C123" s="11"/>
      <c r="D123" s="1" t="s">
        <v>297</v>
      </c>
      <c r="E123" s="29">
        <f t="shared" ref="E123" si="43">F123+I123</f>
        <v>60000</v>
      </c>
      <c r="F123" s="29">
        <v>60000</v>
      </c>
      <c r="G123" s="29"/>
      <c r="H123" s="29"/>
      <c r="I123" s="29"/>
      <c r="J123" s="29"/>
      <c r="K123" s="29"/>
      <c r="L123" s="29"/>
      <c r="M123" s="29"/>
      <c r="N123" s="29"/>
      <c r="O123" s="29"/>
      <c r="P123" s="29">
        <f t="shared" ref="P123" si="44">E123 + J123</f>
        <v>60000</v>
      </c>
      <c r="Q123" s="5">
        <v>60000</v>
      </c>
      <c r="S123" s="34">
        <f t="shared" si="30"/>
        <v>0</v>
      </c>
    </row>
    <row r="124" spans="1:19" ht="46.8">
      <c r="A124" s="6" t="s">
        <v>161</v>
      </c>
      <c r="B124" s="6" t="s">
        <v>18</v>
      </c>
      <c r="C124" s="6" t="s">
        <v>18</v>
      </c>
      <c r="D124" s="7" t="s">
        <v>162</v>
      </c>
      <c r="E124" s="26">
        <f t="shared" si="40"/>
        <v>3818800</v>
      </c>
      <c r="F124" s="26">
        <f>F125</f>
        <v>3818800</v>
      </c>
      <c r="G124" s="26">
        <f t="shared" ref="G124:I124" si="45">G125</f>
        <v>3396800</v>
      </c>
      <c r="H124" s="26">
        <f t="shared" si="45"/>
        <v>0</v>
      </c>
      <c r="I124" s="26">
        <f t="shared" si="45"/>
        <v>0</v>
      </c>
      <c r="J124" s="26">
        <f t="shared" si="41"/>
        <v>0</v>
      </c>
      <c r="K124" s="26">
        <f>K125</f>
        <v>0</v>
      </c>
      <c r="L124" s="26">
        <f t="shared" ref="L124:O124" si="46">L125</f>
        <v>0</v>
      </c>
      <c r="M124" s="26">
        <f t="shared" si="46"/>
        <v>0</v>
      </c>
      <c r="N124" s="26">
        <f t="shared" si="46"/>
        <v>0</v>
      </c>
      <c r="O124" s="26">
        <f t="shared" si="46"/>
        <v>0</v>
      </c>
      <c r="P124" s="26">
        <f t="shared" si="31"/>
        <v>3818800</v>
      </c>
      <c r="Q124" s="2">
        <v>3818800</v>
      </c>
      <c r="S124" s="34">
        <f t="shared" si="30"/>
        <v>0</v>
      </c>
    </row>
    <row r="125" spans="1:19" ht="46.8">
      <c r="A125" s="6" t="s">
        <v>163</v>
      </c>
      <c r="B125" s="6" t="s">
        <v>18</v>
      </c>
      <c r="C125" s="6" t="s">
        <v>18</v>
      </c>
      <c r="D125" s="7" t="s">
        <v>162</v>
      </c>
      <c r="E125" s="26">
        <f t="shared" si="40"/>
        <v>3818800</v>
      </c>
      <c r="F125" s="26">
        <f>SUM(F126:F129)</f>
        <v>3818800</v>
      </c>
      <c r="G125" s="26">
        <f>SUM(G126:G129)</f>
        <v>3396800</v>
      </c>
      <c r="H125" s="26">
        <f>SUM(H126:H129)</f>
        <v>0</v>
      </c>
      <c r="I125" s="26">
        <f>SUM(I126:I129)</f>
        <v>0</v>
      </c>
      <c r="J125" s="26">
        <f t="shared" si="41"/>
        <v>0</v>
      </c>
      <c r="K125" s="26">
        <f>SUM(K126:K129)</f>
        <v>0</v>
      </c>
      <c r="L125" s="26">
        <f>SUM(L126:L129)</f>
        <v>0</v>
      </c>
      <c r="M125" s="26">
        <f>SUM(M126:M129)</f>
        <v>0</v>
      </c>
      <c r="N125" s="26">
        <f>SUM(N126:N129)</f>
        <v>0</v>
      </c>
      <c r="O125" s="26">
        <f>SUM(O126:O129)</f>
        <v>0</v>
      </c>
      <c r="P125" s="26">
        <f t="shared" si="31"/>
        <v>3818800</v>
      </c>
      <c r="Q125" s="2">
        <v>3818800</v>
      </c>
      <c r="S125" s="34">
        <f t="shared" si="30"/>
        <v>0</v>
      </c>
    </row>
    <row r="126" spans="1:19" ht="66" customHeight="1">
      <c r="A126" s="24" t="s">
        <v>164</v>
      </c>
      <c r="B126" s="24" t="s">
        <v>74</v>
      </c>
      <c r="C126" s="24" t="s">
        <v>23</v>
      </c>
      <c r="D126" s="8" t="s">
        <v>75</v>
      </c>
      <c r="E126" s="27">
        <f t="shared" si="40"/>
        <v>3465300</v>
      </c>
      <c r="F126" s="27">
        <f>3475300-10000</f>
        <v>3465300</v>
      </c>
      <c r="G126" s="27">
        <v>3396800</v>
      </c>
      <c r="H126" s="27">
        <v>0</v>
      </c>
      <c r="I126" s="27">
        <v>0</v>
      </c>
      <c r="J126" s="27">
        <f t="shared" si="41"/>
        <v>0</v>
      </c>
      <c r="K126" s="27">
        <v>0</v>
      </c>
      <c r="L126" s="27">
        <v>0</v>
      </c>
      <c r="M126" s="27">
        <v>0</v>
      </c>
      <c r="N126" s="27">
        <v>0</v>
      </c>
      <c r="O126" s="27">
        <v>0</v>
      </c>
      <c r="P126" s="27">
        <f t="shared" si="31"/>
        <v>3465300</v>
      </c>
      <c r="Q126" s="2">
        <v>3465300</v>
      </c>
      <c r="S126" s="34">
        <f t="shared" si="30"/>
        <v>0</v>
      </c>
    </row>
    <row r="127" spans="1:19" ht="46.8">
      <c r="A127" s="23" t="s">
        <v>340</v>
      </c>
      <c r="B127" s="24" t="s">
        <v>26</v>
      </c>
      <c r="C127" s="24" t="s">
        <v>27</v>
      </c>
      <c r="D127" s="8" t="s">
        <v>28</v>
      </c>
      <c r="E127" s="27">
        <f t="shared" si="40"/>
        <v>6500</v>
      </c>
      <c r="F127" s="27">
        <v>6500</v>
      </c>
      <c r="G127" s="27">
        <v>0</v>
      </c>
      <c r="H127" s="27">
        <v>0</v>
      </c>
      <c r="I127" s="27">
        <v>0</v>
      </c>
      <c r="J127" s="27">
        <f t="shared" si="41"/>
        <v>0</v>
      </c>
      <c r="K127" s="27">
        <v>0</v>
      </c>
      <c r="L127" s="27">
        <v>0</v>
      </c>
      <c r="M127" s="27">
        <v>0</v>
      </c>
      <c r="N127" s="27">
        <v>0</v>
      </c>
      <c r="O127" s="27">
        <v>0</v>
      </c>
      <c r="P127" s="27">
        <f t="shared" ref="P127" si="47">E127 + J127</f>
        <v>6500</v>
      </c>
      <c r="Q127" s="2">
        <v>6500</v>
      </c>
      <c r="S127" s="34">
        <f t="shared" si="30"/>
        <v>0</v>
      </c>
    </row>
    <row r="128" spans="1:19" ht="31.2">
      <c r="A128" s="24" t="s">
        <v>165</v>
      </c>
      <c r="B128" s="24" t="s">
        <v>166</v>
      </c>
      <c r="C128" s="24" t="s">
        <v>114</v>
      </c>
      <c r="D128" s="8" t="s">
        <v>167</v>
      </c>
      <c r="E128" s="27">
        <f t="shared" si="40"/>
        <v>328000</v>
      </c>
      <c r="F128" s="27">
        <f>278000+50000</f>
        <v>328000</v>
      </c>
      <c r="G128" s="27">
        <v>0</v>
      </c>
      <c r="H128" s="27">
        <v>0</v>
      </c>
      <c r="I128" s="27">
        <v>0</v>
      </c>
      <c r="J128" s="27">
        <f t="shared" si="41"/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f t="shared" si="31"/>
        <v>328000</v>
      </c>
      <c r="Q128" s="2">
        <v>328000</v>
      </c>
      <c r="S128" s="34">
        <f t="shared" si="30"/>
        <v>0</v>
      </c>
    </row>
    <row r="129" spans="1:19" ht="31.2">
      <c r="A129" s="23" t="s">
        <v>281</v>
      </c>
      <c r="B129" s="23" t="s">
        <v>273</v>
      </c>
      <c r="C129" s="23" t="s">
        <v>275</v>
      </c>
      <c r="D129" s="8" t="s">
        <v>274</v>
      </c>
      <c r="E129" s="27">
        <f t="shared" si="40"/>
        <v>19000</v>
      </c>
      <c r="F129" s="27">
        <f>9000+10000</f>
        <v>19000</v>
      </c>
      <c r="G129" s="27"/>
      <c r="H129" s="27"/>
      <c r="I129" s="27"/>
      <c r="J129" s="27">
        <f t="shared" si="41"/>
        <v>0</v>
      </c>
      <c r="K129" s="27"/>
      <c r="L129" s="27"/>
      <c r="M129" s="27"/>
      <c r="N129" s="27"/>
      <c r="O129" s="27"/>
      <c r="P129" s="27">
        <f t="shared" si="31"/>
        <v>19000</v>
      </c>
      <c r="Q129" s="2">
        <v>19000</v>
      </c>
      <c r="S129" s="34">
        <f t="shared" si="30"/>
        <v>0</v>
      </c>
    </row>
    <row r="130" spans="1:19" ht="46.8">
      <c r="A130" s="6" t="s">
        <v>168</v>
      </c>
      <c r="B130" s="6" t="s">
        <v>18</v>
      </c>
      <c r="C130" s="6" t="s">
        <v>18</v>
      </c>
      <c r="D130" s="7" t="s">
        <v>169</v>
      </c>
      <c r="E130" s="26">
        <f t="shared" si="40"/>
        <v>70427074</v>
      </c>
      <c r="F130" s="26">
        <f>F131</f>
        <v>70105100</v>
      </c>
      <c r="G130" s="26">
        <f t="shared" ref="G130:I130" si="48">G131</f>
        <v>57986500</v>
      </c>
      <c r="H130" s="26">
        <f t="shared" si="48"/>
        <v>3851880</v>
      </c>
      <c r="I130" s="26">
        <f t="shared" si="48"/>
        <v>321974</v>
      </c>
      <c r="J130" s="26">
        <f t="shared" si="41"/>
        <v>1400000</v>
      </c>
      <c r="K130" s="26">
        <f>K131</f>
        <v>0</v>
      </c>
      <c r="L130" s="26">
        <f t="shared" ref="L130:O130" si="49">L131</f>
        <v>1170000</v>
      </c>
      <c r="M130" s="26">
        <f t="shared" si="49"/>
        <v>511100</v>
      </c>
      <c r="N130" s="26">
        <f t="shared" si="49"/>
        <v>0</v>
      </c>
      <c r="O130" s="26">
        <f t="shared" si="49"/>
        <v>230000</v>
      </c>
      <c r="P130" s="26">
        <f t="shared" si="31"/>
        <v>71827074</v>
      </c>
      <c r="Q130" s="2">
        <v>71502074</v>
      </c>
      <c r="S130" s="34">
        <f t="shared" si="30"/>
        <v>325000</v>
      </c>
    </row>
    <row r="131" spans="1:19" ht="46.8">
      <c r="A131" s="6" t="s">
        <v>170</v>
      </c>
      <c r="B131" s="6" t="s">
        <v>18</v>
      </c>
      <c r="C131" s="6" t="s">
        <v>18</v>
      </c>
      <c r="D131" s="7" t="s">
        <v>169</v>
      </c>
      <c r="E131" s="26">
        <f t="shared" si="40"/>
        <v>70427074</v>
      </c>
      <c r="F131" s="26">
        <f>SUM(F132:F143)</f>
        <v>70105100</v>
      </c>
      <c r="G131" s="26">
        <f t="shared" ref="G131:K131" si="50">SUM(G132:G143)</f>
        <v>57986500</v>
      </c>
      <c r="H131" s="26">
        <f t="shared" si="50"/>
        <v>3851880</v>
      </c>
      <c r="I131" s="26">
        <f t="shared" si="50"/>
        <v>321974</v>
      </c>
      <c r="J131" s="26">
        <f t="shared" si="41"/>
        <v>1400000</v>
      </c>
      <c r="K131" s="26">
        <f t="shared" si="50"/>
        <v>0</v>
      </c>
      <c r="L131" s="26">
        <f t="shared" ref="L131" si="51">SUM(L132:L143)</f>
        <v>1170000</v>
      </c>
      <c r="M131" s="26">
        <f t="shared" ref="M131" si="52">SUM(M132:M143)</f>
        <v>511100</v>
      </c>
      <c r="N131" s="26">
        <f t="shared" ref="N131" si="53">SUM(N132:N143)</f>
        <v>0</v>
      </c>
      <c r="O131" s="26">
        <f t="shared" ref="O131" si="54">SUM(O132:O143)</f>
        <v>230000</v>
      </c>
      <c r="P131" s="26">
        <f t="shared" si="31"/>
        <v>71827074</v>
      </c>
      <c r="Q131" s="2">
        <v>71502074</v>
      </c>
      <c r="S131" s="34">
        <f t="shared" si="30"/>
        <v>325000</v>
      </c>
    </row>
    <row r="132" spans="1:19" ht="54" customHeight="1">
      <c r="A132" s="24" t="s">
        <v>171</v>
      </c>
      <c r="B132" s="24" t="s">
        <v>74</v>
      </c>
      <c r="C132" s="24" t="s">
        <v>23</v>
      </c>
      <c r="D132" s="8" t="s">
        <v>75</v>
      </c>
      <c r="E132" s="27">
        <f t="shared" si="40"/>
        <v>1373800</v>
      </c>
      <c r="F132" s="27">
        <v>1373800</v>
      </c>
      <c r="G132" s="27">
        <v>1342800</v>
      </c>
      <c r="H132" s="27">
        <v>0</v>
      </c>
      <c r="I132" s="27">
        <v>0</v>
      </c>
      <c r="J132" s="27">
        <f t="shared" si="41"/>
        <v>0</v>
      </c>
      <c r="K132" s="27">
        <v>0</v>
      </c>
      <c r="L132" s="27">
        <v>0</v>
      </c>
      <c r="M132" s="27">
        <v>0</v>
      </c>
      <c r="N132" s="27">
        <v>0</v>
      </c>
      <c r="O132" s="27">
        <v>0</v>
      </c>
      <c r="P132" s="27">
        <f t="shared" si="31"/>
        <v>1373800</v>
      </c>
      <c r="Q132" s="2">
        <v>1373800</v>
      </c>
      <c r="S132" s="34">
        <f t="shared" si="30"/>
        <v>0</v>
      </c>
    </row>
    <row r="133" spans="1:19" ht="46.8">
      <c r="A133" s="23" t="s">
        <v>341</v>
      </c>
      <c r="B133" s="24" t="s">
        <v>26</v>
      </c>
      <c r="C133" s="24" t="s">
        <v>27</v>
      </c>
      <c r="D133" s="8" t="s">
        <v>28</v>
      </c>
      <c r="E133" s="27">
        <f t="shared" ref="E133" si="55">F133+I133</f>
        <v>4000</v>
      </c>
      <c r="F133" s="27">
        <v>4000</v>
      </c>
      <c r="G133" s="27">
        <v>0</v>
      </c>
      <c r="H133" s="27">
        <v>0</v>
      </c>
      <c r="I133" s="27">
        <v>0</v>
      </c>
      <c r="J133" s="27">
        <f t="shared" ref="J133" si="56">L133+O133</f>
        <v>0</v>
      </c>
      <c r="K133" s="27">
        <v>0</v>
      </c>
      <c r="L133" s="27">
        <v>0</v>
      </c>
      <c r="M133" s="27">
        <v>0</v>
      </c>
      <c r="N133" s="27">
        <v>0</v>
      </c>
      <c r="O133" s="27">
        <v>0</v>
      </c>
      <c r="P133" s="27">
        <f t="shared" si="31"/>
        <v>4000</v>
      </c>
      <c r="Q133" s="2">
        <v>4000</v>
      </c>
      <c r="S133" s="34">
        <f t="shared" si="30"/>
        <v>0</v>
      </c>
    </row>
    <row r="134" spans="1:19" ht="31.2">
      <c r="A134" s="24" t="s">
        <v>172</v>
      </c>
      <c r="B134" s="24" t="s">
        <v>173</v>
      </c>
      <c r="C134" s="24" t="s">
        <v>96</v>
      </c>
      <c r="D134" s="8" t="s">
        <v>174</v>
      </c>
      <c r="E134" s="27">
        <f t="shared" si="40"/>
        <v>32188400</v>
      </c>
      <c r="F134" s="27">
        <f>29010800+3900000+740000-1574400+112000</f>
        <v>32188400</v>
      </c>
      <c r="G134" s="27">
        <f>27112900+4640000-1574400+112000</f>
        <v>30290500</v>
      </c>
      <c r="H134" s="27">
        <v>735900</v>
      </c>
      <c r="I134" s="27">
        <v>0</v>
      </c>
      <c r="J134" s="27">
        <f t="shared" si="41"/>
        <v>1090000</v>
      </c>
      <c r="K134" s="27">
        <v>0</v>
      </c>
      <c r="L134" s="27">
        <v>890000</v>
      </c>
      <c r="M134" s="27">
        <v>499100</v>
      </c>
      <c r="N134" s="27">
        <v>0</v>
      </c>
      <c r="O134" s="27">
        <v>200000</v>
      </c>
      <c r="P134" s="27">
        <f t="shared" si="31"/>
        <v>33278400</v>
      </c>
      <c r="Q134" s="2">
        <v>33278400</v>
      </c>
      <c r="S134" s="34">
        <f t="shared" si="30"/>
        <v>0</v>
      </c>
    </row>
    <row r="135" spans="1:19" ht="108.75" customHeight="1">
      <c r="A135" s="24" t="s">
        <v>175</v>
      </c>
      <c r="B135" s="24" t="s">
        <v>113</v>
      </c>
      <c r="C135" s="24" t="s">
        <v>114</v>
      </c>
      <c r="D135" s="8" t="s">
        <v>115</v>
      </c>
      <c r="E135" s="27">
        <f t="shared" si="40"/>
        <v>170000</v>
      </c>
      <c r="F135" s="27">
        <v>170000</v>
      </c>
      <c r="G135" s="27">
        <v>0</v>
      </c>
      <c r="H135" s="27">
        <v>0</v>
      </c>
      <c r="I135" s="27">
        <v>0</v>
      </c>
      <c r="J135" s="27">
        <f t="shared" si="41"/>
        <v>0</v>
      </c>
      <c r="K135" s="27">
        <v>0</v>
      </c>
      <c r="L135" s="27">
        <v>0</v>
      </c>
      <c r="M135" s="27">
        <v>0</v>
      </c>
      <c r="N135" s="27">
        <v>0</v>
      </c>
      <c r="O135" s="27">
        <v>0</v>
      </c>
      <c r="P135" s="27">
        <f t="shared" si="31"/>
        <v>170000</v>
      </c>
      <c r="Q135" s="2">
        <v>170000</v>
      </c>
      <c r="S135" s="34">
        <f t="shared" si="30"/>
        <v>0</v>
      </c>
    </row>
    <row r="136" spans="1:19" ht="46.8">
      <c r="A136" s="24">
        <v>1013242</v>
      </c>
      <c r="B136" s="24">
        <v>3242</v>
      </c>
      <c r="C136" s="24">
        <v>1090</v>
      </c>
      <c r="D136" s="8" t="s">
        <v>350</v>
      </c>
      <c r="E136" s="27">
        <f t="shared" si="40"/>
        <v>48000</v>
      </c>
      <c r="F136" s="27">
        <v>48000</v>
      </c>
      <c r="G136" s="27"/>
      <c r="H136" s="27"/>
      <c r="I136" s="27"/>
      <c r="J136" s="27"/>
      <c r="K136" s="27"/>
      <c r="L136" s="27"/>
      <c r="M136" s="27"/>
      <c r="N136" s="27"/>
      <c r="O136" s="27"/>
      <c r="P136" s="27">
        <f t="shared" si="31"/>
        <v>48000</v>
      </c>
      <c r="Q136" s="2">
        <v>48000</v>
      </c>
      <c r="S136" s="34">
        <f t="shared" si="30"/>
        <v>0</v>
      </c>
    </row>
    <row r="137" spans="1:19">
      <c r="A137" s="24" t="s">
        <v>176</v>
      </c>
      <c r="B137" s="24" t="s">
        <v>177</v>
      </c>
      <c r="C137" s="24" t="s">
        <v>178</v>
      </c>
      <c r="D137" s="8" t="s">
        <v>179</v>
      </c>
      <c r="E137" s="27">
        <f t="shared" si="40"/>
        <v>11304475</v>
      </c>
      <c r="F137" s="27">
        <v>11148800</v>
      </c>
      <c r="G137" s="27">
        <v>8446400</v>
      </c>
      <c r="H137" s="27">
        <v>1273200</v>
      </c>
      <c r="I137" s="27">
        <v>155675</v>
      </c>
      <c r="J137" s="27">
        <f t="shared" si="41"/>
        <v>80000</v>
      </c>
      <c r="K137" s="27">
        <v>0</v>
      </c>
      <c r="L137" s="27">
        <f>80000</f>
        <v>80000</v>
      </c>
      <c r="M137" s="27">
        <v>0</v>
      </c>
      <c r="N137" s="27">
        <v>0</v>
      </c>
      <c r="O137" s="27">
        <v>0</v>
      </c>
      <c r="P137" s="27">
        <f t="shared" si="31"/>
        <v>11384475</v>
      </c>
      <c r="Q137" s="2">
        <v>11384475</v>
      </c>
      <c r="S137" s="34">
        <f t="shared" si="30"/>
        <v>0</v>
      </c>
    </row>
    <row r="138" spans="1:19" ht="31.2">
      <c r="A138" s="24" t="s">
        <v>180</v>
      </c>
      <c r="B138" s="24" t="s">
        <v>181</v>
      </c>
      <c r="C138" s="24" t="s">
        <v>178</v>
      </c>
      <c r="D138" s="8" t="s">
        <v>182</v>
      </c>
      <c r="E138" s="27">
        <f t="shared" si="40"/>
        <v>5069900</v>
      </c>
      <c r="F138" s="27">
        <f>4329900+375000+325000</f>
        <v>5029900</v>
      </c>
      <c r="G138" s="27">
        <v>2944500</v>
      </c>
      <c r="H138" s="27">
        <v>553800</v>
      </c>
      <c r="I138" s="27">
        <v>40000</v>
      </c>
      <c r="J138" s="27">
        <f t="shared" si="41"/>
        <v>40000</v>
      </c>
      <c r="K138" s="27">
        <v>0</v>
      </c>
      <c r="L138" s="27">
        <v>40000</v>
      </c>
      <c r="M138" s="27">
        <v>0</v>
      </c>
      <c r="N138" s="27">
        <v>0</v>
      </c>
      <c r="O138" s="27">
        <v>0</v>
      </c>
      <c r="P138" s="27">
        <f t="shared" si="31"/>
        <v>5109900</v>
      </c>
      <c r="Q138" s="2">
        <v>4784900</v>
      </c>
      <c r="S138" s="34">
        <f t="shared" si="30"/>
        <v>325000</v>
      </c>
    </row>
    <row r="139" spans="1:19" ht="46.8">
      <c r="A139" s="24" t="s">
        <v>183</v>
      </c>
      <c r="B139" s="24" t="s">
        <v>184</v>
      </c>
      <c r="C139" s="24" t="s">
        <v>185</v>
      </c>
      <c r="D139" s="8" t="s">
        <v>186</v>
      </c>
      <c r="E139" s="27">
        <f t="shared" si="40"/>
        <v>16090199</v>
      </c>
      <c r="F139" s="27">
        <f>15603900+390000</f>
        <v>15993900</v>
      </c>
      <c r="G139" s="27">
        <v>12105600</v>
      </c>
      <c r="H139" s="27">
        <f>1194900+90000</f>
        <v>1284900</v>
      </c>
      <c r="I139" s="27">
        <v>96299</v>
      </c>
      <c r="J139" s="27">
        <f t="shared" si="41"/>
        <v>190000</v>
      </c>
      <c r="K139" s="27">
        <v>0</v>
      </c>
      <c r="L139" s="27">
        <v>160000</v>
      </c>
      <c r="M139" s="27">
        <f>10000+2000</f>
        <v>12000</v>
      </c>
      <c r="N139" s="27">
        <v>0</v>
      </c>
      <c r="O139" s="27">
        <v>30000</v>
      </c>
      <c r="P139" s="27">
        <f t="shared" si="31"/>
        <v>16280199</v>
      </c>
      <c r="Q139" s="2">
        <v>16280199</v>
      </c>
      <c r="S139" s="34">
        <f t="shared" si="30"/>
        <v>0</v>
      </c>
    </row>
    <row r="140" spans="1:19" ht="31.2">
      <c r="A140" s="24" t="s">
        <v>187</v>
      </c>
      <c r="B140" s="24" t="s">
        <v>188</v>
      </c>
      <c r="C140" s="24" t="s">
        <v>189</v>
      </c>
      <c r="D140" s="8" t="s">
        <v>190</v>
      </c>
      <c r="E140" s="27">
        <f t="shared" si="40"/>
        <v>2999300</v>
      </c>
      <c r="F140" s="27">
        <v>2999300</v>
      </c>
      <c r="G140" s="27">
        <v>2856700</v>
      </c>
      <c r="H140" s="27">
        <f>74600-70520</f>
        <v>4080</v>
      </c>
      <c r="I140" s="27">
        <v>0</v>
      </c>
      <c r="J140" s="27">
        <f t="shared" si="41"/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f t="shared" si="31"/>
        <v>2999300</v>
      </c>
      <c r="Q140" s="2">
        <v>2999300</v>
      </c>
      <c r="S140" s="34">
        <f t="shared" si="30"/>
        <v>0</v>
      </c>
    </row>
    <row r="141" spans="1:19" ht="31.2">
      <c r="A141" s="24" t="s">
        <v>191</v>
      </c>
      <c r="B141" s="24" t="s">
        <v>192</v>
      </c>
      <c r="C141" s="24" t="s">
        <v>189</v>
      </c>
      <c r="D141" s="8" t="s">
        <v>193</v>
      </c>
      <c r="E141" s="27">
        <f t="shared" si="40"/>
        <v>879000</v>
      </c>
      <c r="F141" s="27">
        <f>750000+129000</f>
        <v>879000</v>
      </c>
      <c r="G141" s="27">
        <v>0</v>
      </c>
      <c r="H141" s="27">
        <v>0</v>
      </c>
      <c r="I141" s="27">
        <v>0</v>
      </c>
      <c r="J141" s="27">
        <f t="shared" si="41"/>
        <v>0</v>
      </c>
      <c r="K141" s="27">
        <v>0</v>
      </c>
      <c r="L141" s="27">
        <v>0</v>
      </c>
      <c r="M141" s="27">
        <v>0</v>
      </c>
      <c r="N141" s="27">
        <v>0</v>
      </c>
      <c r="O141" s="27">
        <v>0</v>
      </c>
      <c r="P141" s="27">
        <f t="shared" si="31"/>
        <v>879000</v>
      </c>
      <c r="Q141" s="2">
        <v>879000</v>
      </c>
      <c r="S141" s="34">
        <f t="shared" si="30"/>
        <v>0</v>
      </c>
    </row>
    <row r="142" spans="1:19" ht="31.2">
      <c r="A142" s="23" t="s">
        <v>282</v>
      </c>
      <c r="B142" s="23" t="s">
        <v>273</v>
      </c>
      <c r="C142" s="23" t="s">
        <v>275</v>
      </c>
      <c r="D142" s="8" t="s">
        <v>274</v>
      </c>
      <c r="E142" s="27">
        <f t="shared" si="40"/>
        <v>235000</v>
      </c>
      <c r="F142" s="27">
        <v>205000</v>
      </c>
      <c r="G142" s="27"/>
      <c r="H142" s="27"/>
      <c r="I142" s="27">
        <v>30000</v>
      </c>
      <c r="J142" s="27">
        <f t="shared" si="41"/>
        <v>0</v>
      </c>
      <c r="K142" s="27">
        <v>0</v>
      </c>
      <c r="L142" s="27"/>
      <c r="M142" s="27"/>
      <c r="N142" s="27"/>
      <c r="O142" s="27">
        <v>0</v>
      </c>
      <c r="P142" s="27">
        <f t="shared" si="31"/>
        <v>235000</v>
      </c>
      <c r="Q142" s="2">
        <v>235000</v>
      </c>
      <c r="S142" s="34">
        <f t="shared" si="30"/>
        <v>0</v>
      </c>
    </row>
    <row r="143" spans="1:19" ht="54.75" customHeight="1">
      <c r="A143" s="23" t="s">
        <v>342</v>
      </c>
      <c r="B143" s="23">
        <v>8110</v>
      </c>
      <c r="C143" s="23" t="s">
        <v>233</v>
      </c>
      <c r="D143" s="8" t="s">
        <v>234</v>
      </c>
      <c r="E143" s="27">
        <f>F143+I143</f>
        <v>65000</v>
      </c>
      <c r="F143" s="27">
        <v>65000</v>
      </c>
      <c r="G143" s="27"/>
      <c r="H143" s="27"/>
      <c r="I143" s="27">
        <f>550000-550000</f>
        <v>0</v>
      </c>
      <c r="J143" s="27">
        <f t="shared" si="41"/>
        <v>0</v>
      </c>
      <c r="K143" s="27">
        <v>0</v>
      </c>
      <c r="L143" s="27"/>
      <c r="M143" s="27"/>
      <c r="N143" s="27"/>
      <c r="O143" s="27">
        <v>0</v>
      </c>
      <c r="P143" s="27">
        <f>E143 + J143</f>
        <v>65000</v>
      </c>
      <c r="Q143" s="2">
        <v>65000</v>
      </c>
      <c r="S143" s="34">
        <f t="shared" si="30"/>
        <v>0</v>
      </c>
    </row>
    <row r="144" spans="1:19" ht="46.8">
      <c r="A144" s="6" t="s">
        <v>194</v>
      </c>
      <c r="B144" s="6" t="s">
        <v>18</v>
      </c>
      <c r="C144" s="6" t="s">
        <v>18</v>
      </c>
      <c r="D144" s="7" t="s">
        <v>195</v>
      </c>
      <c r="E144" s="26">
        <f t="shared" si="40"/>
        <v>20937150</v>
      </c>
      <c r="F144" s="26">
        <f>F145</f>
        <v>12501300</v>
      </c>
      <c r="G144" s="26">
        <f t="shared" ref="G144:I144" si="57">G145</f>
        <v>3696300</v>
      </c>
      <c r="H144" s="26">
        <f t="shared" si="57"/>
        <v>78300</v>
      </c>
      <c r="I144" s="26">
        <f t="shared" si="57"/>
        <v>8435850</v>
      </c>
      <c r="J144" s="26">
        <f t="shared" si="41"/>
        <v>4340995.8600000003</v>
      </c>
      <c r="K144" s="26">
        <f>K145</f>
        <v>0</v>
      </c>
      <c r="L144" s="26">
        <f t="shared" ref="L144:O144" si="58">L145</f>
        <v>0</v>
      </c>
      <c r="M144" s="26">
        <f t="shared" si="58"/>
        <v>0</v>
      </c>
      <c r="N144" s="26">
        <f t="shared" si="58"/>
        <v>0</v>
      </c>
      <c r="O144" s="26">
        <f t="shared" si="58"/>
        <v>4340995.8600000003</v>
      </c>
      <c r="P144" s="26">
        <f t="shared" si="31"/>
        <v>25278145.859999999</v>
      </c>
      <c r="Q144" s="2">
        <v>25278145.859999999</v>
      </c>
      <c r="S144" s="34">
        <f t="shared" si="30"/>
        <v>0</v>
      </c>
    </row>
    <row r="145" spans="1:19" ht="46.8">
      <c r="A145" s="6" t="s">
        <v>196</v>
      </c>
      <c r="B145" s="6" t="s">
        <v>18</v>
      </c>
      <c r="C145" s="6" t="s">
        <v>18</v>
      </c>
      <c r="D145" s="7" t="s">
        <v>195</v>
      </c>
      <c r="E145" s="26">
        <f t="shared" si="40"/>
        <v>20937150</v>
      </c>
      <c r="F145" s="26">
        <f>SUM(F146:F154)</f>
        <v>12501300</v>
      </c>
      <c r="G145" s="26">
        <f>SUM(G146:G154)</f>
        <v>3696300</v>
      </c>
      <c r="H145" s="26">
        <f>SUM(H146:H154)</f>
        <v>78300</v>
      </c>
      <c r="I145" s="26">
        <f>SUM(I146:I154)</f>
        <v>8435850</v>
      </c>
      <c r="J145" s="26">
        <f t="shared" si="41"/>
        <v>4340995.8600000003</v>
      </c>
      <c r="K145" s="26">
        <f>SUM(K146:K154)</f>
        <v>0</v>
      </c>
      <c r="L145" s="26">
        <f>SUM(L146:L154)</f>
        <v>0</v>
      </c>
      <c r="M145" s="26">
        <f>SUM(M146:M154)</f>
        <v>0</v>
      </c>
      <c r="N145" s="26">
        <f>SUM(N146:N154)</f>
        <v>0</v>
      </c>
      <c r="O145" s="26">
        <f>SUM(O146:O154)</f>
        <v>4340995.8600000003</v>
      </c>
      <c r="P145" s="26">
        <f t="shared" si="31"/>
        <v>25278145.859999999</v>
      </c>
      <c r="Q145" s="2">
        <v>25278145.859999999</v>
      </c>
      <c r="S145" s="34">
        <f t="shared" si="30"/>
        <v>0</v>
      </c>
    </row>
    <row r="146" spans="1:19" ht="71.25" customHeight="1">
      <c r="A146" s="24" t="s">
        <v>197</v>
      </c>
      <c r="B146" s="24" t="s">
        <v>74</v>
      </c>
      <c r="C146" s="24" t="s">
        <v>23</v>
      </c>
      <c r="D146" s="8" t="s">
        <v>75</v>
      </c>
      <c r="E146" s="27">
        <f t="shared" si="40"/>
        <v>3006000</v>
      </c>
      <c r="F146" s="27">
        <v>3006000</v>
      </c>
      <c r="G146" s="27">
        <v>2895700</v>
      </c>
      <c r="H146" s="27">
        <v>0</v>
      </c>
      <c r="I146" s="27">
        <v>0</v>
      </c>
      <c r="J146" s="27">
        <f t="shared" si="41"/>
        <v>0</v>
      </c>
      <c r="K146" s="27">
        <v>0</v>
      </c>
      <c r="L146" s="27">
        <v>0</v>
      </c>
      <c r="M146" s="27">
        <v>0</v>
      </c>
      <c r="N146" s="27">
        <v>0</v>
      </c>
      <c r="O146" s="27">
        <v>0</v>
      </c>
      <c r="P146" s="27">
        <f t="shared" si="31"/>
        <v>3006000</v>
      </c>
      <c r="Q146" s="2">
        <v>3006000</v>
      </c>
      <c r="S146" s="34">
        <f t="shared" si="30"/>
        <v>0</v>
      </c>
    </row>
    <row r="147" spans="1:19" ht="46.8">
      <c r="A147" s="23" t="s">
        <v>343</v>
      </c>
      <c r="B147" s="24" t="s">
        <v>26</v>
      </c>
      <c r="C147" s="24" t="s">
        <v>27</v>
      </c>
      <c r="D147" s="8" t="s">
        <v>28</v>
      </c>
      <c r="E147" s="27">
        <f t="shared" si="40"/>
        <v>9000</v>
      </c>
      <c r="F147" s="27">
        <v>9000</v>
      </c>
      <c r="G147" s="27">
        <v>0</v>
      </c>
      <c r="H147" s="27">
        <v>0</v>
      </c>
      <c r="I147" s="27">
        <v>0</v>
      </c>
      <c r="J147" s="27">
        <f t="shared" si="41"/>
        <v>0</v>
      </c>
      <c r="K147" s="27">
        <v>0</v>
      </c>
      <c r="L147" s="27">
        <v>0</v>
      </c>
      <c r="M147" s="27">
        <v>0</v>
      </c>
      <c r="N147" s="27">
        <v>0</v>
      </c>
      <c r="O147" s="27">
        <v>0</v>
      </c>
      <c r="P147" s="27">
        <f t="shared" ref="P147" si="59">E147 + J147</f>
        <v>9000</v>
      </c>
      <c r="Q147" s="2">
        <v>9000</v>
      </c>
      <c r="S147" s="34">
        <f t="shared" ref="S147:S210" si="60">P147-Q147</f>
        <v>0</v>
      </c>
    </row>
    <row r="148" spans="1:19" ht="62.4">
      <c r="A148" s="24" t="s">
        <v>198</v>
      </c>
      <c r="B148" s="24" t="s">
        <v>199</v>
      </c>
      <c r="C148" s="24" t="s">
        <v>114</v>
      </c>
      <c r="D148" s="8" t="s">
        <v>321</v>
      </c>
      <c r="E148" s="27">
        <f t="shared" si="40"/>
        <v>2429000</v>
      </c>
      <c r="F148" s="27">
        <v>2429000</v>
      </c>
      <c r="G148" s="27">
        <v>800600</v>
      </c>
      <c r="H148" s="27">
        <v>78300</v>
      </c>
      <c r="I148" s="27">
        <v>0</v>
      </c>
      <c r="J148" s="27">
        <f t="shared" si="41"/>
        <v>0</v>
      </c>
      <c r="K148" s="27">
        <v>0</v>
      </c>
      <c r="L148" s="27">
        <v>0</v>
      </c>
      <c r="M148" s="27">
        <v>0</v>
      </c>
      <c r="N148" s="27">
        <v>0</v>
      </c>
      <c r="O148" s="27">
        <v>0</v>
      </c>
      <c r="P148" s="27">
        <f t="shared" si="31"/>
        <v>2429000</v>
      </c>
      <c r="Q148" s="2">
        <v>2429000</v>
      </c>
      <c r="S148" s="34">
        <f t="shared" si="60"/>
        <v>0</v>
      </c>
    </row>
    <row r="149" spans="1:19" ht="46.8">
      <c r="A149" s="24" t="s">
        <v>200</v>
      </c>
      <c r="B149" s="24" t="s">
        <v>201</v>
      </c>
      <c r="C149" s="24" t="s">
        <v>119</v>
      </c>
      <c r="D149" s="8" t="s">
        <v>202</v>
      </c>
      <c r="E149" s="27">
        <f t="shared" si="40"/>
        <v>1579400</v>
      </c>
      <c r="F149" s="27">
        <f>1529900+49500</f>
        <v>1579400</v>
      </c>
      <c r="G149" s="27">
        <v>0</v>
      </c>
      <c r="H149" s="27">
        <v>0</v>
      </c>
      <c r="I149" s="27">
        <v>0</v>
      </c>
      <c r="J149" s="27">
        <f t="shared" si="41"/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f t="shared" si="31"/>
        <v>1579400</v>
      </c>
      <c r="Q149" s="2">
        <v>1579400</v>
      </c>
      <c r="S149" s="34">
        <f t="shared" si="60"/>
        <v>0</v>
      </c>
    </row>
    <row r="150" spans="1:19" ht="46.8">
      <c r="A150" s="24" t="s">
        <v>203</v>
      </c>
      <c r="B150" s="24" t="s">
        <v>204</v>
      </c>
      <c r="C150" s="24" t="s">
        <v>119</v>
      </c>
      <c r="D150" s="8" t="s">
        <v>205</v>
      </c>
      <c r="E150" s="27">
        <f t="shared" si="40"/>
        <v>1104500</v>
      </c>
      <c r="F150" s="27">
        <f>1055000+49500</f>
        <v>1104500</v>
      </c>
      <c r="G150" s="27">
        <v>0</v>
      </c>
      <c r="H150" s="27">
        <v>0</v>
      </c>
      <c r="I150" s="27">
        <v>0</v>
      </c>
      <c r="J150" s="27">
        <f t="shared" si="41"/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f t="shared" si="31"/>
        <v>1104500</v>
      </c>
      <c r="Q150" s="2">
        <v>1104500</v>
      </c>
      <c r="S150" s="34">
        <f t="shared" si="60"/>
        <v>0</v>
      </c>
    </row>
    <row r="151" spans="1:19" ht="35.4" customHeight="1">
      <c r="A151" s="24">
        <v>1115048</v>
      </c>
      <c r="B151" s="24">
        <v>5048</v>
      </c>
      <c r="C151" s="23" t="s">
        <v>119</v>
      </c>
      <c r="D151" s="8" t="s">
        <v>403</v>
      </c>
      <c r="E151" s="27">
        <f>F151+I151</f>
        <v>8435850</v>
      </c>
      <c r="F151" s="27"/>
      <c r="G151" s="27"/>
      <c r="H151" s="27"/>
      <c r="I151" s="27">
        <v>8435850</v>
      </c>
      <c r="J151" s="27">
        <f>L151+O151</f>
        <v>0</v>
      </c>
      <c r="K151" s="27"/>
      <c r="L151" s="27"/>
      <c r="M151" s="27"/>
      <c r="N151" s="27"/>
      <c r="O151" s="27"/>
      <c r="P151" s="27">
        <f>E151 + J151</f>
        <v>8435850</v>
      </c>
      <c r="Q151" s="2">
        <v>8435850</v>
      </c>
      <c r="S151" s="34">
        <f t="shared" si="60"/>
        <v>0</v>
      </c>
    </row>
    <row r="152" spans="1:19" ht="84" customHeight="1">
      <c r="A152" s="24" t="s">
        <v>206</v>
      </c>
      <c r="B152" s="24" t="s">
        <v>207</v>
      </c>
      <c r="C152" s="24" t="s">
        <v>119</v>
      </c>
      <c r="D152" s="8" t="s">
        <v>351</v>
      </c>
      <c r="E152" s="27">
        <f t="shared" si="40"/>
        <v>4296800</v>
      </c>
      <c r="F152" s="27">
        <v>4296800</v>
      </c>
      <c r="G152" s="27">
        <v>0</v>
      </c>
      <c r="H152" s="27">
        <v>0</v>
      </c>
      <c r="I152" s="27">
        <v>0</v>
      </c>
      <c r="J152" s="27">
        <f t="shared" si="41"/>
        <v>0</v>
      </c>
      <c r="K152" s="27">
        <v>0</v>
      </c>
      <c r="L152" s="27">
        <v>0</v>
      </c>
      <c r="M152" s="27">
        <v>0</v>
      </c>
      <c r="N152" s="27">
        <v>0</v>
      </c>
      <c r="O152" s="27">
        <v>0</v>
      </c>
      <c r="P152" s="27">
        <f t="shared" si="31"/>
        <v>4296800</v>
      </c>
      <c r="Q152" s="2">
        <v>4296800</v>
      </c>
      <c r="S152" s="34">
        <f t="shared" si="60"/>
        <v>0</v>
      </c>
    </row>
    <row r="153" spans="1:19" ht="31.2">
      <c r="A153" s="23" t="s">
        <v>283</v>
      </c>
      <c r="B153" s="23" t="s">
        <v>273</v>
      </c>
      <c r="C153" s="23" t="s">
        <v>275</v>
      </c>
      <c r="D153" s="8" t="s">
        <v>274</v>
      </c>
      <c r="E153" s="27">
        <f t="shared" si="40"/>
        <v>76600</v>
      </c>
      <c r="F153" s="27">
        <v>76600</v>
      </c>
      <c r="G153" s="27"/>
      <c r="H153" s="27"/>
      <c r="I153" s="27"/>
      <c r="J153" s="27">
        <f t="shared" ref="J153:J154" si="61">L153+O153</f>
        <v>0</v>
      </c>
      <c r="K153" s="27"/>
      <c r="L153" s="27"/>
      <c r="M153" s="27"/>
      <c r="N153" s="27"/>
      <c r="O153" s="27"/>
      <c r="P153" s="27">
        <f t="shared" si="31"/>
        <v>76600</v>
      </c>
      <c r="Q153" s="2">
        <v>76600</v>
      </c>
      <c r="S153" s="34">
        <f t="shared" si="60"/>
        <v>0</v>
      </c>
    </row>
    <row r="154" spans="1:19" ht="140.4">
      <c r="A154" s="23" t="s">
        <v>389</v>
      </c>
      <c r="B154" s="23" t="s">
        <v>390</v>
      </c>
      <c r="C154" s="23" t="s">
        <v>58</v>
      </c>
      <c r="D154" s="8" t="s">
        <v>391</v>
      </c>
      <c r="E154" s="27">
        <f t="shared" si="40"/>
        <v>0</v>
      </c>
      <c r="F154" s="27"/>
      <c r="G154" s="27"/>
      <c r="H154" s="27"/>
      <c r="I154" s="27"/>
      <c r="J154" s="27">
        <f t="shared" si="61"/>
        <v>4340995.8600000003</v>
      </c>
      <c r="K154" s="27"/>
      <c r="L154" s="27"/>
      <c r="M154" s="27"/>
      <c r="N154" s="27"/>
      <c r="O154" s="27">
        <v>4340995.8600000003</v>
      </c>
      <c r="P154" s="27">
        <f t="shared" si="31"/>
        <v>4340995.8600000003</v>
      </c>
      <c r="Q154" s="2">
        <v>4340995.8600000003</v>
      </c>
      <c r="S154" s="34">
        <f t="shared" si="60"/>
        <v>0</v>
      </c>
    </row>
    <row r="155" spans="1:19" ht="62.4">
      <c r="A155" s="6" t="s">
        <v>208</v>
      </c>
      <c r="B155" s="6" t="s">
        <v>18</v>
      </c>
      <c r="C155" s="6" t="s">
        <v>18</v>
      </c>
      <c r="D155" s="7" t="s">
        <v>209</v>
      </c>
      <c r="E155" s="26">
        <f t="shared" si="40"/>
        <v>237467557</v>
      </c>
      <c r="F155" s="26">
        <f>F156</f>
        <v>49603000</v>
      </c>
      <c r="G155" s="26">
        <f t="shared" ref="G155:I155" si="62">G156</f>
        <v>5752900</v>
      </c>
      <c r="H155" s="26">
        <f t="shared" si="62"/>
        <v>15900</v>
      </c>
      <c r="I155" s="26">
        <f t="shared" si="62"/>
        <v>187864557</v>
      </c>
      <c r="J155" s="26">
        <f t="shared" si="41"/>
        <v>11568975.67</v>
      </c>
      <c r="K155" s="26">
        <f>K156</f>
        <v>5116500</v>
      </c>
      <c r="L155" s="26">
        <f t="shared" ref="L155:O155" si="63">L156</f>
        <v>989184</v>
      </c>
      <c r="M155" s="26">
        <f t="shared" si="63"/>
        <v>0</v>
      </c>
      <c r="N155" s="26">
        <f t="shared" si="63"/>
        <v>0</v>
      </c>
      <c r="O155" s="26">
        <f t="shared" si="63"/>
        <v>10579791.67</v>
      </c>
      <c r="P155" s="26">
        <f t="shared" si="31"/>
        <v>249036532.66999999</v>
      </c>
      <c r="Q155" s="2">
        <v>248913032.66999999</v>
      </c>
      <c r="S155" s="34">
        <f t="shared" si="60"/>
        <v>123500</v>
      </c>
    </row>
    <row r="156" spans="1:19" ht="62.4">
      <c r="A156" s="6" t="s">
        <v>210</v>
      </c>
      <c r="B156" s="6" t="s">
        <v>18</v>
      </c>
      <c r="C156" s="6" t="s">
        <v>18</v>
      </c>
      <c r="D156" s="7" t="s">
        <v>209</v>
      </c>
      <c r="E156" s="26">
        <f>F156+I156</f>
        <v>237467557</v>
      </c>
      <c r="F156" s="26">
        <f>SUM(F157:F172)</f>
        <v>49603000</v>
      </c>
      <c r="G156" s="26">
        <f>SUM(G157:G172)</f>
        <v>5752900</v>
      </c>
      <c r="H156" s="26">
        <f>SUM(H157:H172)</f>
        <v>15900</v>
      </c>
      <c r="I156" s="26">
        <f>SUM(I157:I172)</f>
        <v>187864557</v>
      </c>
      <c r="J156" s="26">
        <f t="shared" si="41"/>
        <v>11568975.67</v>
      </c>
      <c r="K156" s="26">
        <f>SUM(K157:K172)</f>
        <v>5116500</v>
      </c>
      <c r="L156" s="26">
        <f>SUM(L157:L172)</f>
        <v>989184</v>
      </c>
      <c r="M156" s="26">
        <f>SUM(M157:M172)</f>
        <v>0</v>
      </c>
      <c r="N156" s="26">
        <f>SUM(N157:N172)</f>
        <v>0</v>
      </c>
      <c r="O156" s="26">
        <f>SUM(O157:O172)</f>
        <v>10579791.67</v>
      </c>
      <c r="P156" s="26">
        <f>E156 + J156</f>
        <v>249036532.66999999</v>
      </c>
      <c r="Q156" s="2">
        <v>248913032.66999999</v>
      </c>
      <c r="S156" s="34">
        <f t="shared" si="60"/>
        <v>123500</v>
      </c>
    </row>
    <row r="157" spans="1:19" ht="46.8">
      <c r="A157" s="24" t="s">
        <v>211</v>
      </c>
      <c r="B157" s="24" t="s">
        <v>74</v>
      </c>
      <c r="C157" s="24" t="s">
        <v>23</v>
      </c>
      <c r="D157" s="8" t="s">
        <v>75</v>
      </c>
      <c r="E157" s="27">
        <f t="shared" si="40"/>
        <v>6100200</v>
      </c>
      <c r="F157" s="27">
        <v>6100200</v>
      </c>
      <c r="G157" s="27">
        <v>5752900</v>
      </c>
      <c r="H157" s="27">
        <v>15900</v>
      </c>
      <c r="I157" s="27">
        <v>0</v>
      </c>
      <c r="J157" s="27">
        <f t="shared" si="41"/>
        <v>0</v>
      </c>
      <c r="K157" s="27">
        <v>0</v>
      </c>
      <c r="L157" s="27">
        <v>0</v>
      </c>
      <c r="M157" s="27">
        <v>0</v>
      </c>
      <c r="N157" s="27">
        <v>0</v>
      </c>
      <c r="O157" s="27">
        <v>0</v>
      </c>
      <c r="P157" s="27">
        <f t="shared" si="31"/>
        <v>6100200</v>
      </c>
      <c r="Q157" s="2">
        <v>6100200</v>
      </c>
      <c r="S157" s="34">
        <f t="shared" si="60"/>
        <v>0</v>
      </c>
    </row>
    <row r="158" spans="1:19" ht="46.8">
      <c r="A158" s="24" t="s">
        <v>212</v>
      </c>
      <c r="B158" s="24" t="s">
        <v>26</v>
      </c>
      <c r="C158" s="24" t="s">
        <v>27</v>
      </c>
      <c r="D158" s="8" t="s">
        <v>28</v>
      </c>
      <c r="E158" s="27">
        <f t="shared" si="40"/>
        <v>10000</v>
      </c>
      <c r="F158" s="27">
        <v>10000</v>
      </c>
      <c r="G158" s="27">
        <v>0</v>
      </c>
      <c r="H158" s="27">
        <v>0</v>
      </c>
      <c r="I158" s="27">
        <v>0</v>
      </c>
      <c r="J158" s="27">
        <f t="shared" si="41"/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f t="shared" si="31"/>
        <v>10000</v>
      </c>
      <c r="Q158" s="2">
        <v>10000</v>
      </c>
      <c r="S158" s="34">
        <f t="shared" si="60"/>
        <v>0</v>
      </c>
    </row>
    <row r="159" spans="1:19" ht="31.2">
      <c r="A159" s="24" t="s">
        <v>213</v>
      </c>
      <c r="B159" s="24" t="s">
        <v>214</v>
      </c>
      <c r="C159" s="24" t="s">
        <v>215</v>
      </c>
      <c r="D159" s="8" t="s">
        <v>216</v>
      </c>
      <c r="E159" s="27">
        <f t="shared" si="40"/>
        <v>30000</v>
      </c>
      <c r="F159" s="27">
        <f>50000-20000</f>
        <v>30000</v>
      </c>
      <c r="G159" s="27">
        <v>0</v>
      </c>
      <c r="H159" s="27">
        <v>0</v>
      </c>
      <c r="I159" s="27">
        <v>0</v>
      </c>
      <c r="J159" s="27">
        <f t="shared" si="41"/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f t="shared" si="31"/>
        <v>30000</v>
      </c>
      <c r="Q159" s="2">
        <v>30000</v>
      </c>
      <c r="S159" s="34">
        <f t="shared" si="60"/>
        <v>0</v>
      </c>
    </row>
    <row r="160" spans="1:19" ht="31.2">
      <c r="A160" s="24">
        <v>1216011</v>
      </c>
      <c r="B160" s="24">
        <v>6011</v>
      </c>
      <c r="C160" s="23" t="s">
        <v>393</v>
      </c>
      <c r="D160" s="8" t="s">
        <v>392</v>
      </c>
      <c r="E160" s="27">
        <f t="shared" si="40"/>
        <v>1951939</v>
      </c>
      <c r="F160" s="27">
        <f>227819-227819</f>
        <v>0</v>
      </c>
      <c r="G160" s="27"/>
      <c r="H160" s="27"/>
      <c r="I160" s="27">
        <f>1724120+227819</f>
        <v>1951939</v>
      </c>
      <c r="J160" s="27">
        <f t="shared" si="41"/>
        <v>0</v>
      </c>
      <c r="K160" s="27"/>
      <c r="L160" s="27"/>
      <c r="M160" s="27"/>
      <c r="N160" s="27"/>
      <c r="O160" s="27"/>
      <c r="P160" s="27">
        <f t="shared" si="31"/>
        <v>1951939</v>
      </c>
      <c r="Q160" s="2">
        <v>1951939</v>
      </c>
      <c r="S160" s="34">
        <f t="shared" si="60"/>
        <v>0</v>
      </c>
    </row>
    <row r="161" spans="1:19" ht="31.2">
      <c r="A161" s="24">
        <v>1216013</v>
      </c>
      <c r="B161" s="24">
        <v>6013</v>
      </c>
      <c r="C161" s="23" t="s">
        <v>54</v>
      </c>
      <c r="D161" s="8" t="s">
        <v>394</v>
      </c>
      <c r="E161" s="27">
        <f t="shared" si="40"/>
        <v>4161800</v>
      </c>
      <c r="F161" s="27"/>
      <c r="G161" s="27"/>
      <c r="H161" s="27"/>
      <c r="I161" s="27">
        <v>4161800</v>
      </c>
      <c r="J161" s="27">
        <f t="shared" si="41"/>
        <v>0</v>
      </c>
      <c r="K161" s="27"/>
      <c r="L161" s="27"/>
      <c r="M161" s="27"/>
      <c r="N161" s="27"/>
      <c r="O161" s="27"/>
      <c r="P161" s="27">
        <f t="shared" si="31"/>
        <v>4161800</v>
      </c>
      <c r="Q161" s="2">
        <v>4161800</v>
      </c>
      <c r="S161" s="34">
        <f t="shared" si="60"/>
        <v>0</v>
      </c>
    </row>
    <row r="162" spans="1:19" ht="31.2">
      <c r="A162" s="24" t="s">
        <v>217</v>
      </c>
      <c r="B162" s="24" t="s">
        <v>218</v>
      </c>
      <c r="C162" s="24" t="s">
        <v>54</v>
      </c>
      <c r="D162" s="8" t="s">
        <v>219</v>
      </c>
      <c r="E162" s="27">
        <f t="shared" si="40"/>
        <v>300000</v>
      </c>
      <c r="F162" s="27"/>
      <c r="G162" s="27">
        <v>0</v>
      </c>
      <c r="H162" s="27">
        <v>0</v>
      </c>
      <c r="I162" s="27">
        <v>300000</v>
      </c>
      <c r="J162" s="27">
        <f t="shared" si="41"/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f t="shared" si="31"/>
        <v>300000</v>
      </c>
      <c r="Q162" s="2">
        <v>300000</v>
      </c>
      <c r="S162" s="34">
        <f t="shared" si="60"/>
        <v>0</v>
      </c>
    </row>
    <row r="163" spans="1:19" ht="46.8">
      <c r="A163" s="24" t="s">
        <v>220</v>
      </c>
      <c r="B163" s="24" t="s">
        <v>221</v>
      </c>
      <c r="C163" s="24" t="s">
        <v>54</v>
      </c>
      <c r="D163" s="8" t="s">
        <v>222</v>
      </c>
      <c r="E163" s="27">
        <f t="shared" si="40"/>
        <v>2940200</v>
      </c>
      <c r="F163" s="27">
        <v>0</v>
      </c>
      <c r="G163" s="27">
        <v>0</v>
      </c>
      <c r="H163" s="27">
        <v>0</v>
      </c>
      <c r="I163" s="27">
        <f>2440200+500000</f>
        <v>2940200</v>
      </c>
      <c r="J163" s="27">
        <f t="shared" si="41"/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f t="shared" si="31"/>
        <v>2940200</v>
      </c>
      <c r="Q163" s="2">
        <v>2940200</v>
      </c>
      <c r="S163" s="34">
        <f t="shared" si="60"/>
        <v>0</v>
      </c>
    </row>
    <row r="164" spans="1:19" ht="31.2">
      <c r="A164" s="24" t="s">
        <v>223</v>
      </c>
      <c r="B164" s="24" t="s">
        <v>53</v>
      </c>
      <c r="C164" s="24" t="s">
        <v>54</v>
      </c>
      <c r="D164" s="8" t="s">
        <v>55</v>
      </c>
      <c r="E164" s="27">
        <f t="shared" si="40"/>
        <v>101307332</v>
      </c>
      <c r="F164" s="27">
        <f>10001000+15450000-18500000+180000+169000+1000000-119000+180000</f>
        <v>8361000</v>
      </c>
      <c r="G164" s="27">
        <v>0</v>
      </c>
      <c r="H164" s="27">
        <v>0</v>
      </c>
      <c r="I164" s="27">
        <f>18500000+47970000+22000000+600000+1500000-169000+387732+119000+329500-180000+1064900+700700+123500</f>
        <v>92946332</v>
      </c>
      <c r="J164" s="27">
        <f t="shared" si="41"/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f t="shared" ref="P164:P207" si="64">E164 + J164</f>
        <v>101307332</v>
      </c>
      <c r="Q164" s="2">
        <v>101183832</v>
      </c>
      <c r="S164" s="34">
        <f t="shared" si="60"/>
        <v>123500</v>
      </c>
    </row>
    <row r="165" spans="1:19" ht="78">
      <c r="A165" s="24">
        <v>1216091</v>
      </c>
      <c r="B165" s="24">
        <v>6091</v>
      </c>
      <c r="C165" s="23" t="s">
        <v>295</v>
      </c>
      <c r="D165" s="8" t="s">
        <v>395</v>
      </c>
      <c r="E165" s="27">
        <f t="shared" si="40"/>
        <v>0</v>
      </c>
      <c r="F165" s="27"/>
      <c r="G165" s="27"/>
      <c r="H165" s="27"/>
      <c r="I165" s="27"/>
      <c r="J165" s="27">
        <f t="shared" si="41"/>
        <v>5116500</v>
      </c>
      <c r="K165" s="27">
        <v>5116500</v>
      </c>
      <c r="L165" s="27"/>
      <c r="M165" s="27"/>
      <c r="N165" s="27"/>
      <c r="O165" s="27">
        <v>5116500</v>
      </c>
      <c r="P165" s="27">
        <f t="shared" si="64"/>
        <v>5116500</v>
      </c>
      <c r="Q165" s="2">
        <v>5116500</v>
      </c>
      <c r="S165" s="34">
        <f t="shared" si="60"/>
        <v>0</v>
      </c>
    </row>
    <row r="166" spans="1:19" ht="46.8">
      <c r="A166" s="24" t="s">
        <v>224</v>
      </c>
      <c r="B166" s="24" t="s">
        <v>225</v>
      </c>
      <c r="C166" s="24" t="s">
        <v>226</v>
      </c>
      <c r="D166" s="8" t="s">
        <v>227</v>
      </c>
      <c r="E166" s="27">
        <f t="shared" si="40"/>
        <v>32000000</v>
      </c>
      <c r="F166" s="27">
        <v>32000000</v>
      </c>
      <c r="G166" s="27">
        <v>0</v>
      </c>
      <c r="H166" s="27">
        <v>0</v>
      </c>
      <c r="I166" s="27">
        <v>0</v>
      </c>
      <c r="J166" s="27">
        <f t="shared" si="41"/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f t="shared" si="64"/>
        <v>32000000</v>
      </c>
      <c r="Q166" s="2">
        <v>32000000</v>
      </c>
      <c r="S166" s="34">
        <f t="shared" si="60"/>
        <v>0</v>
      </c>
    </row>
    <row r="167" spans="1:19" ht="31.2">
      <c r="A167" s="23" t="s">
        <v>284</v>
      </c>
      <c r="B167" s="23" t="s">
        <v>273</v>
      </c>
      <c r="C167" s="23" t="s">
        <v>275</v>
      </c>
      <c r="D167" s="8" t="s">
        <v>274</v>
      </c>
      <c r="E167" s="27">
        <f t="shared" si="40"/>
        <v>151800</v>
      </c>
      <c r="F167" s="27">
        <f>551800-400000</f>
        <v>151800</v>
      </c>
      <c r="G167" s="27"/>
      <c r="H167" s="27"/>
      <c r="I167" s="27"/>
      <c r="J167" s="27">
        <f t="shared" si="41"/>
        <v>0</v>
      </c>
      <c r="K167" s="27">
        <f>36000-36000</f>
        <v>0</v>
      </c>
      <c r="L167" s="27"/>
      <c r="M167" s="27"/>
      <c r="N167" s="27"/>
      <c r="O167" s="27">
        <f>36000-36000</f>
        <v>0</v>
      </c>
      <c r="P167" s="27">
        <f t="shared" si="64"/>
        <v>151800</v>
      </c>
      <c r="Q167" s="2">
        <v>151800</v>
      </c>
      <c r="S167" s="34">
        <f t="shared" si="60"/>
        <v>0</v>
      </c>
    </row>
    <row r="168" spans="1:19">
      <c r="A168" s="23" t="s">
        <v>396</v>
      </c>
      <c r="B168" s="23" t="s">
        <v>353</v>
      </c>
      <c r="C168" s="23" t="s">
        <v>355</v>
      </c>
      <c r="D168" s="8" t="s">
        <v>354</v>
      </c>
      <c r="E168" s="27">
        <f t="shared" si="40"/>
        <v>97505</v>
      </c>
      <c r="F168" s="27"/>
      <c r="G168" s="27"/>
      <c r="H168" s="27"/>
      <c r="I168" s="27">
        <v>97505</v>
      </c>
      <c r="J168" s="27">
        <f t="shared" si="41"/>
        <v>0</v>
      </c>
      <c r="K168" s="27"/>
      <c r="L168" s="27"/>
      <c r="M168" s="27"/>
      <c r="N168" s="27"/>
      <c r="O168" s="27"/>
      <c r="P168" s="27">
        <f t="shared" si="64"/>
        <v>97505</v>
      </c>
      <c r="Q168" s="2">
        <v>97505</v>
      </c>
      <c r="S168" s="34">
        <f t="shared" si="60"/>
        <v>0</v>
      </c>
    </row>
    <row r="169" spans="1:19" ht="140.4">
      <c r="A169" s="23" t="s">
        <v>397</v>
      </c>
      <c r="B169" s="23" t="s">
        <v>390</v>
      </c>
      <c r="C169" s="23" t="s">
        <v>58</v>
      </c>
      <c r="D169" s="8" t="s">
        <v>391</v>
      </c>
      <c r="E169" s="27">
        <f t="shared" si="40"/>
        <v>0</v>
      </c>
      <c r="F169" s="27"/>
      <c r="G169" s="27"/>
      <c r="H169" s="27"/>
      <c r="I169" s="27"/>
      <c r="J169" s="27">
        <f t="shared" si="41"/>
        <v>5363291.67</v>
      </c>
      <c r="K169" s="27"/>
      <c r="L169" s="27"/>
      <c r="M169" s="27"/>
      <c r="N169" s="27"/>
      <c r="O169" s="27">
        <v>5363291.67</v>
      </c>
      <c r="P169" s="27">
        <f t="shared" si="64"/>
        <v>5363291.67</v>
      </c>
      <c r="Q169" s="2">
        <v>5363291.67</v>
      </c>
      <c r="S169" s="34">
        <f t="shared" si="60"/>
        <v>0</v>
      </c>
    </row>
    <row r="170" spans="1:19" ht="31.2">
      <c r="A170" s="24" t="s">
        <v>228</v>
      </c>
      <c r="B170" s="24" t="s">
        <v>229</v>
      </c>
      <c r="C170" s="24" t="s">
        <v>58</v>
      </c>
      <c r="D170" s="8" t="s">
        <v>230</v>
      </c>
      <c r="E170" s="27">
        <f t="shared" ref="E170:E197" si="65">F170+I170</f>
        <v>85466781</v>
      </c>
      <c r="F170" s="27">
        <v>0</v>
      </c>
      <c r="G170" s="27">
        <v>0</v>
      </c>
      <c r="H170" s="27">
        <v>0</v>
      </c>
      <c r="I170" s="27">
        <f>3600000+20000000+30000000+12000000+19266781+600000</f>
        <v>85466781</v>
      </c>
      <c r="J170" s="27">
        <f t="shared" si="41"/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f t="shared" si="64"/>
        <v>85466781</v>
      </c>
      <c r="Q170" s="2">
        <v>85466781</v>
      </c>
      <c r="S170" s="34">
        <f t="shared" si="60"/>
        <v>0</v>
      </c>
    </row>
    <row r="171" spans="1:19" ht="46.8">
      <c r="A171" s="24" t="s">
        <v>231</v>
      </c>
      <c r="B171" s="24" t="s">
        <v>232</v>
      </c>
      <c r="C171" s="24" t="s">
        <v>233</v>
      </c>
      <c r="D171" s="8" t="s">
        <v>234</v>
      </c>
      <c r="E171" s="27">
        <f t="shared" si="65"/>
        <v>2950000</v>
      </c>
      <c r="F171" s="27">
        <f>2300000+650000</f>
        <v>2950000</v>
      </c>
      <c r="G171" s="27">
        <v>0</v>
      </c>
      <c r="H171" s="27">
        <v>0</v>
      </c>
      <c r="I171" s="27">
        <v>0</v>
      </c>
      <c r="J171" s="27">
        <f t="shared" si="41"/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f t="shared" si="64"/>
        <v>2950000</v>
      </c>
      <c r="Q171" s="2">
        <v>2950000</v>
      </c>
      <c r="S171" s="34">
        <f t="shared" si="60"/>
        <v>0</v>
      </c>
    </row>
    <row r="172" spans="1:19" ht="31.2">
      <c r="A172" s="23" t="s">
        <v>329</v>
      </c>
      <c r="B172" s="24">
        <v>8340</v>
      </c>
      <c r="C172" s="24" t="s">
        <v>266</v>
      </c>
      <c r="D172" s="8" t="s">
        <v>267</v>
      </c>
      <c r="E172" s="27">
        <f t="shared" si="65"/>
        <v>0</v>
      </c>
      <c r="F172" s="27"/>
      <c r="G172" s="27"/>
      <c r="H172" s="27"/>
      <c r="I172" s="27"/>
      <c r="J172" s="27">
        <f t="shared" si="41"/>
        <v>1089184</v>
      </c>
      <c r="K172" s="27"/>
      <c r="L172" s="27">
        <f>550000+439184</f>
        <v>989184</v>
      </c>
      <c r="M172" s="27"/>
      <c r="N172" s="27"/>
      <c r="O172" s="27">
        <v>100000</v>
      </c>
      <c r="P172" s="27">
        <f t="shared" si="64"/>
        <v>1089184</v>
      </c>
      <c r="Q172" s="2">
        <v>1089184</v>
      </c>
      <c r="S172" s="34">
        <f t="shared" si="60"/>
        <v>0</v>
      </c>
    </row>
    <row r="173" spans="1:19" ht="62.4">
      <c r="A173" s="6" t="s">
        <v>235</v>
      </c>
      <c r="B173" s="6" t="s">
        <v>18</v>
      </c>
      <c r="C173" s="6" t="s">
        <v>18</v>
      </c>
      <c r="D173" s="7" t="s">
        <v>236</v>
      </c>
      <c r="E173" s="26">
        <f t="shared" si="65"/>
        <v>10625806</v>
      </c>
      <c r="F173" s="26">
        <f>F174</f>
        <v>7363900</v>
      </c>
      <c r="G173" s="26">
        <f t="shared" ref="G173:I173" si="66">G174</f>
        <v>7006100</v>
      </c>
      <c r="H173" s="26">
        <f t="shared" si="66"/>
        <v>0</v>
      </c>
      <c r="I173" s="26">
        <f t="shared" si="66"/>
        <v>3261906</v>
      </c>
      <c r="J173" s="26">
        <f t="shared" si="41"/>
        <v>115312278.20999999</v>
      </c>
      <c r="K173" s="26">
        <f>K174</f>
        <v>113677987.5</v>
      </c>
      <c r="L173" s="26">
        <f t="shared" ref="L173:O173" si="67">L174</f>
        <v>0</v>
      </c>
      <c r="M173" s="26">
        <f t="shared" si="67"/>
        <v>0</v>
      </c>
      <c r="N173" s="26">
        <f t="shared" si="67"/>
        <v>0</v>
      </c>
      <c r="O173" s="26">
        <f t="shared" si="67"/>
        <v>115312278.20999999</v>
      </c>
      <c r="P173" s="26">
        <f t="shared" si="64"/>
        <v>125938084.20999999</v>
      </c>
      <c r="Q173" s="2">
        <v>125538084.20999999</v>
      </c>
      <c r="S173" s="34">
        <f t="shared" si="60"/>
        <v>400000</v>
      </c>
    </row>
    <row r="174" spans="1:19" ht="62.4">
      <c r="A174" s="6" t="s">
        <v>237</v>
      </c>
      <c r="B174" s="6" t="s">
        <v>18</v>
      </c>
      <c r="C174" s="6" t="s">
        <v>18</v>
      </c>
      <c r="D174" s="7" t="s">
        <v>236</v>
      </c>
      <c r="E174" s="26">
        <f t="shared" si="65"/>
        <v>10625806</v>
      </c>
      <c r="F174" s="26">
        <f>SUM(F175:F185)</f>
        <v>7363900</v>
      </c>
      <c r="G174" s="26">
        <f t="shared" ref="G174:K174" si="68">SUM(G175:G185)</f>
        <v>7006100</v>
      </c>
      <c r="H174" s="26">
        <f t="shared" si="68"/>
        <v>0</v>
      </c>
      <c r="I174" s="26">
        <f t="shared" si="68"/>
        <v>3261906</v>
      </c>
      <c r="J174" s="26">
        <f t="shared" si="41"/>
        <v>115312278.20999999</v>
      </c>
      <c r="K174" s="26">
        <f t="shared" si="68"/>
        <v>113677987.5</v>
      </c>
      <c r="L174" s="26">
        <f t="shared" ref="L174" si="69">SUM(L175:L185)</f>
        <v>0</v>
      </c>
      <c r="M174" s="26">
        <f t="shared" ref="M174" si="70">SUM(M175:M185)</f>
        <v>0</v>
      </c>
      <c r="N174" s="26">
        <f t="shared" ref="N174" si="71">SUM(N175:N185)</f>
        <v>0</v>
      </c>
      <c r="O174" s="26">
        <f t="shared" ref="O174" si="72">SUM(O175:O185)</f>
        <v>115312278.20999999</v>
      </c>
      <c r="P174" s="26">
        <f t="shared" si="64"/>
        <v>125938084.20999999</v>
      </c>
      <c r="Q174" s="2">
        <v>125538084.20999999</v>
      </c>
      <c r="S174" s="34">
        <f t="shared" si="60"/>
        <v>400000</v>
      </c>
    </row>
    <row r="175" spans="1:19" ht="93.6">
      <c r="A175" s="23">
        <v>1510150</v>
      </c>
      <c r="B175" s="23" t="s">
        <v>22</v>
      </c>
      <c r="C175" s="23" t="s">
        <v>23</v>
      </c>
      <c r="D175" s="8" t="s">
        <v>24</v>
      </c>
      <c r="E175" s="27">
        <f t="shared" si="65"/>
        <v>541176</v>
      </c>
      <c r="F175" s="27"/>
      <c r="G175" s="27"/>
      <c r="H175" s="27"/>
      <c r="I175" s="27">
        <v>541176</v>
      </c>
      <c r="J175" s="27"/>
      <c r="K175" s="27"/>
      <c r="L175" s="27"/>
      <c r="M175" s="27"/>
      <c r="N175" s="27"/>
      <c r="O175" s="27"/>
      <c r="P175" s="27">
        <f t="shared" si="64"/>
        <v>541176</v>
      </c>
      <c r="Q175" s="2">
        <v>541176</v>
      </c>
      <c r="S175" s="34">
        <f t="shared" si="60"/>
        <v>0</v>
      </c>
    </row>
    <row r="176" spans="1:19" ht="46.8">
      <c r="A176" s="24" t="s">
        <v>238</v>
      </c>
      <c r="B176" s="24" t="s">
        <v>74</v>
      </c>
      <c r="C176" s="24" t="s">
        <v>23</v>
      </c>
      <c r="D176" s="8" t="s">
        <v>75</v>
      </c>
      <c r="E176" s="27">
        <f t="shared" si="65"/>
        <v>7164900</v>
      </c>
      <c r="F176" s="27">
        <f>7114900+50000</f>
        <v>7164900</v>
      </c>
      <c r="G176" s="27">
        <v>7006100</v>
      </c>
      <c r="H176" s="27">
        <v>0</v>
      </c>
      <c r="I176" s="27">
        <v>0</v>
      </c>
      <c r="J176" s="27">
        <f t="shared" si="41"/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f t="shared" si="64"/>
        <v>7164900</v>
      </c>
      <c r="Q176" s="2">
        <v>7114900</v>
      </c>
      <c r="S176" s="34">
        <f t="shared" si="60"/>
        <v>50000</v>
      </c>
    </row>
    <row r="177" spans="1:19" ht="46.8">
      <c r="A177" s="24">
        <v>1510170</v>
      </c>
      <c r="B177" s="24" t="s">
        <v>26</v>
      </c>
      <c r="C177" s="24" t="s">
        <v>27</v>
      </c>
      <c r="D177" s="8" t="s">
        <v>28</v>
      </c>
      <c r="E177" s="27">
        <f t="shared" si="65"/>
        <v>15000</v>
      </c>
      <c r="F177" s="27">
        <v>15000</v>
      </c>
      <c r="G177" s="27">
        <v>0</v>
      </c>
      <c r="H177" s="27">
        <v>0</v>
      </c>
      <c r="I177" s="27">
        <v>0</v>
      </c>
      <c r="J177" s="27">
        <f t="shared" ref="J177:J182" si="73">L177+O177</f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f t="shared" si="64"/>
        <v>15000</v>
      </c>
      <c r="Q177" s="2">
        <v>15000</v>
      </c>
      <c r="S177" s="34">
        <f t="shared" si="60"/>
        <v>0</v>
      </c>
    </row>
    <row r="178" spans="1:19" ht="42.75" customHeight="1">
      <c r="A178" s="24">
        <v>1510180</v>
      </c>
      <c r="B178" s="24" t="s">
        <v>30</v>
      </c>
      <c r="C178" s="24" t="s">
        <v>31</v>
      </c>
      <c r="D178" s="8" t="s">
        <v>32</v>
      </c>
      <c r="E178" s="27">
        <f t="shared" si="65"/>
        <v>100000</v>
      </c>
      <c r="F178" s="27">
        <f>150000-50000</f>
        <v>100000</v>
      </c>
      <c r="G178" s="27">
        <v>0</v>
      </c>
      <c r="H178" s="27">
        <v>0</v>
      </c>
      <c r="I178" s="27">
        <v>0</v>
      </c>
      <c r="J178" s="27">
        <f t="shared" si="73"/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f t="shared" si="64"/>
        <v>100000</v>
      </c>
      <c r="Q178" s="2">
        <v>150000</v>
      </c>
      <c r="S178" s="34">
        <f t="shared" si="60"/>
        <v>-50000</v>
      </c>
    </row>
    <row r="179" spans="1:19" ht="42.75" customHeight="1">
      <c r="A179" s="24">
        <v>1511300</v>
      </c>
      <c r="B179" s="24">
        <v>1300</v>
      </c>
      <c r="C179" s="23" t="s">
        <v>104</v>
      </c>
      <c r="D179" s="8" t="s">
        <v>368</v>
      </c>
      <c r="E179" s="27">
        <f t="shared" si="65"/>
        <v>0</v>
      </c>
      <c r="F179" s="27"/>
      <c r="G179" s="27"/>
      <c r="H179" s="27"/>
      <c r="I179" s="27"/>
      <c r="J179" s="27">
        <f t="shared" si="73"/>
        <v>67371232.5</v>
      </c>
      <c r="K179" s="27">
        <v>67371232.5</v>
      </c>
      <c r="L179" s="27"/>
      <c r="M179" s="27"/>
      <c r="N179" s="27"/>
      <c r="O179" s="27">
        <v>67371232.5</v>
      </c>
      <c r="P179" s="27">
        <f t="shared" si="64"/>
        <v>67371232.5</v>
      </c>
      <c r="Q179" s="2">
        <v>67371232.5</v>
      </c>
      <c r="S179" s="34">
        <f t="shared" si="60"/>
        <v>0</v>
      </c>
    </row>
    <row r="180" spans="1:19" ht="78">
      <c r="A180" s="24">
        <v>1512171</v>
      </c>
      <c r="B180" s="24">
        <v>2171</v>
      </c>
      <c r="C180" s="23" t="s">
        <v>47</v>
      </c>
      <c r="D180" s="8" t="s">
        <v>398</v>
      </c>
      <c r="E180" s="27">
        <f t="shared" si="65"/>
        <v>2050730</v>
      </c>
      <c r="F180" s="27"/>
      <c r="G180" s="27"/>
      <c r="H180" s="27"/>
      <c r="I180" s="27">
        <v>2050730</v>
      </c>
      <c r="J180" s="27">
        <f t="shared" si="73"/>
        <v>5000000</v>
      </c>
      <c r="K180" s="27">
        <f>7050730-2050730</f>
        <v>5000000</v>
      </c>
      <c r="L180" s="27"/>
      <c r="M180" s="27"/>
      <c r="N180" s="27"/>
      <c r="O180" s="27">
        <f>7050730-2050730</f>
        <v>5000000</v>
      </c>
      <c r="P180" s="27">
        <f t="shared" si="64"/>
        <v>7050730</v>
      </c>
      <c r="Q180" s="2">
        <v>7050730</v>
      </c>
      <c r="S180" s="34">
        <f t="shared" si="60"/>
        <v>0</v>
      </c>
    </row>
    <row r="181" spans="1:19" ht="78">
      <c r="A181" s="24">
        <v>1516091</v>
      </c>
      <c r="B181" s="24">
        <v>6091</v>
      </c>
      <c r="C181" s="23" t="s">
        <v>295</v>
      </c>
      <c r="D181" s="8" t="s">
        <v>395</v>
      </c>
      <c r="E181" s="27">
        <f t="shared" si="65"/>
        <v>0</v>
      </c>
      <c r="F181" s="27"/>
      <c r="G181" s="27"/>
      <c r="H181" s="27"/>
      <c r="I181" s="27"/>
      <c r="J181" s="27">
        <f>L181+O181</f>
        <v>32334310</v>
      </c>
      <c r="K181" s="27">
        <v>32334310</v>
      </c>
      <c r="L181" s="27"/>
      <c r="M181" s="27"/>
      <c r="N181" s="27"/>
      <c r="O181" s="27">
        <v>32334310</v>
      </c>
      <c r="P181" s="27">
        <f t="shared" si="64"/>
        <v>32334310</v>
      </c>
      <c r="Q181" s="2">
        <v>32334310</v>
      </c>
      <c r="S181" s="34">
        <f t="shared" si="60"/>
        <v>0</v>
      </c>
    </row>
    <row r="182" spans="1:19" ht="78">
      <c r="A182" s="24">
        <v>1517330</v>
      </c>
      <c r="B182" s="24">
        <v>7330</v>
      </c>
      <c r="C182" s="23" t="s">
        <v>58</v>
      </c>
      <c r="D182" s="8" t="s">
        <v>399</v>
      </c>
      <c r="E182" s="27">
        <f t="shared" si="65"/>
        <v>0</v>
      </c>
      <c r="F182" s="27"/>
      <c r="G182" s="27"/>
      <c r="H182" s="27"/>
      <c r="I182" s="27"/>
      <c r="J182" s="27">
        <f t="shared" si="73"/>
        <v>8972445</v>
      </c>
      <c r="K182" s="27">
        <v>8972445</v>
      </c>
      <c r="L182" s="27"/>
      <c r="M182" s="27"/>
      <c r="N182" s="27"/>
      <c r="O182" s="27">
        <v>8972445</v>
      </c>
      <c r="P182" s="27">
        <f t="shared" si="64"/>
        <v>8972445</v>
      </c>
      <c r="Q182" s="2">
        <v>8972445</v>
      </c>
      <c r="S182" s="34">
        <f t="shared" si="60"/>
        <v>0</v>
      </c>
    </row>
    <row r="183" spans="1:19" ht="31.2">
      <c r="A183" s="23" t="s">
        <v>285</v>
      </c>
      <c r="B183" s="23" t="s">
        <v>273</v>
      </c>
      <c r="C183" s="23" t="s">
        <v>275</v>
      </c>
      <c r="D183" s="8" t="s">
        <v>274</v>
      </c>
      <c r="E183" s="27">
        <f t="shared" si="65"/>
        <v>84000</v>
      </c>
      <c r="F183" s="27">
        <v>84000</v>
      </c>
      <c r="G183" s="27"/>
      <c r="H183" s="27"/>
      <c r="I183" s="27"/>
      <c r="J183" s="27">
        <f t="shared" si="41"/>
        <v>0</v>
      </c>
      <c r="K183" s="27"/>
      <c r="L183" s="27"/>
      <c r="M183" s="27"/>
      <c r="N183" s="27"/>
      <c r="O183" s="27"/>
      <c r="P183" s="27">
        <f t="shared" si="64"/>
        <v>84000</v>
      </c>
      <c r="Q183" s="2">
        <v>84000</v>
      </c>
      <c r="S183" s="34">
        <f t="shared" si="60"/>
        <v>0</v>
      </c>
    </row>
    <row r="184" spans="1:19" ht="140.4">
      <c r="A184" s="23" t="s">
        <v>400</v>
      </c>
      <c r="B184" s="23" t="s">
        <v>390</v>
      </c>
      <c r="C184" s="23" t="s">
        <v>58</v>
      </c>
      <c r="D184" s="8" t="s">
        <v>391</v>
      </c>
      <c r="E184" s="27">
        <f t="shared" si="65"/>
        <v>0</v>
      </c>
      <c r="F184" s="27"/>
      <c r="G184" s="27"/>
      <c r="H184" s="27"/>
      <c r="I184" s="27"/>
      <c r="J184" s="27">
        <f t="shared" ref="J184:J185" si="74">L184+O184</f>
        <v>1634290.71</v>
      </c>
      <c r="K184" s="27"/>
      <c r="L184" s="27"/>
      <c r="M184" s="27"/>
      <c r="N184" s="27"/>
      <c r="O184" s="27">
        <v>1634290.71</v>
      </c>
      <c r="P184" s="27">
        <f t="shared" ref="P184:P185" si="75">E184 + J184</f>
        <v>1634290.71</v>
      </c>
      <c r="Q184" s="2">
        <v>1634290.71</v>
      </c>
      <c r="S184" s="34">
        <f t="shared" si="60"/>
        <v>0</v>
      </c>
    </row>
    <row r="185" spans="1:19" ht="46.8">
      <c r="A185" s="24">
        <v>1518110</v>
      </c>
      <c r="B185" s="24" t="s">
        <v>232</v>
      </c>
      <c r="C185" s="24" t="s">
        <v>233</v>
      </c>
      <c r="D185" s="8" t="s">
        <v>234</v>
      </c>
      <c r="E185" s="27">
        <f t="shared" ref="E185" si="76">F185+I185</f>
        <v>670000</v>
      </c>
      <c r="F185" s="27"/>
      <c r="G185" s="27">
        <v>0</v>
      </c>
      <c r="H185" s="27">
        <v>0</v>
      </c>
      <c r="I185" s="27">
        <f>270000+400000</f>
        <v>670000</v>
      </c>
      <c r="J185" s="27">
        <f t="shared" si="74"/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f t="shared" si="75"/>
        <v>670000</v>
      </c>
      <c r="Q185" s="2">
        <v>270000</v>
      </c>
      <c r="S185" s="34">
        <f t="shared" si="60"/>
        <v>400000</v>
      </c>
    </row>
    <row r="186" spans="1:19" ht="68.400000000000006" customHeight="1">
      <c r="A186" s="6" t="s">
        <v>239</v>
      </c>
      <c r="B186" s="6" t="s">
        <v>18</v>
      </c>
      <c r="C186" s="6" t="s">
        <v>18</v>
      </c>
      <c r="D186" s="7" t="s">
        <v>240</v>
      </c>
      <c r="E186" s="26">
        <f t="shared" si="65"/>
        <v>32429071</v>
      </c>
      <c r="F186" s="26">
        <f>F187</f>
        <v>7893800</v>
      </c>
      <c r="G186" s="26">
        <f t="shared" ref="G186:I186" si="77">G187</f>
        <v>5785700</v>
      </c>
      <c r="H186" s="26">
        <f t="shared" si="77"/>
        <v>0</v>
      </c>
      <c r="I186" s="26">
        <f t="shared" si="77"/>
        <v>24535271</v>
      </c>
      <c r="J186" s="26">
        <f t="shared" si="41"/>
        <v>0</v>
      </c>
      <c r="K186" s="26">
        <f>K187</f>
        <v>0</v>
      </c>
      <c r="L186" s="26">
        <f t="shared" ref="L186:O186" si="78">L187</f>
        <v>0</v>
      </c>
      <c r="M186" s="26">
        <f t="shared" si="78"/>
        <v>0</v>
      </c>
      <c r="N186" s="26">
        <f t="shared" si="78"/>
        <v>0</v>
      </c>
      <c r="O186" s="26">
        <f t="shared" si="78"/>
        <v>0</v>
      </c>
      <c r="P186" s="26">
        <f t="shared" si="64"/>
        <v>32429071</v>
      </c>
      <c r="Q186" s="2">
        <v>32129071</v>
      </c>
      <c r="S186" s="34">
        <f t="shared" si="60"/>
        <v>300000</v>
      </c>
    </row>
    <row r="187" spans="1:19" ht="66.599999999999994" customHeight="1">
      <c r="A187" s="6" t="s">
        <v>241</v>
      </c>
      <c r="B187" s="6" t="s">
        <v>18</v>
      </c>
      <c r="C187" s="6" t="s">
        <v>18</v>
      </c>
      <c r="D187" s="7" t="s">
        <v>240</v>
      </c>
      <c r="E187" s="26">
        <f t="shared" si="65"/>
        <v>32429071</v>
      </c>
      <c r="F187" s="26">
        <f>SUM(F188:F197)</f>
        <v>7893800</v>
      </c>
      <c r="G187" s="26">
        <f t="shared" ref="G187:K187" si="79">SUM(G188:G197)</f>
        <v>5785700</v>
      </c>
      <c r="H187" s="26">
        <f t="shared" si="79"/>
        <v>0</v>
      </c>
      <c r="I187" s="26">
        <f t="shared" si="79"/>
        <v>24535271</v>
      </c>
      <c r="J187" s="26">
        <f t="shared" si="41"/>
        <v>0</v>
      </c>
      <c r="K187" s="26">
        <f t="shared" si="79"/>
        <v>0</v>
      </c>
      <c r="L187" s="26">
        <f t="shared" ref="L187" si="80">SUM(L188:L197)</f>
        <v>0</v>
      </c>
      <c r="M187" s="26">
        <f t="shared" ref="M187" si="81">SUM(M188:M197)</f>
        <v>0</v>
      </c>
      <c r="N187" s="26">
        <f t="shared" ref="N187" si="82">SUM(N188:N197)</f>
        <v>0</v>
      </c>
      <c r="O187" s="26">
        <f t="shared" ref="O187" si="83">SUM(O188:O197)</f>
        <v>0</v>
      </c>
      <c r="P187" s="26">
        <f t="shared" si="64"/>
        <v>32429071</v>
      </c>
      <c r="Q187" s="2">
        <v>32129071</v>
      </c>
      <c r="S187" s="34">
        <f t="shared" si="60"/>
        <v>300000</v>
      </c>
    </row>
    <row r="188" spans="1:19" ht="51" customHeight="1">
      <c r="A188" s="24" t="s">
        <v>242</v>
      </c>
      <c r="B188" s="24" t="s">
        <v>74</v>
      </c>
      <c r="C188" s="24" t="s">
        <v>23</v>
      </c>
      <c r="D188" s="8" t="s">
        <v>75</v>
      </c>
      <c r="E188" s="27">
        <f t="shared" si="65"/>
        <v>5908000</v>
      </c>
      <c r="F188" s="27">
        <v>5908000</v>
      </c>
      <c r="G188" s="27">
        <v>5785700</v>
      </c>
      <c r="H188" s="27">
        <v>0</v>
      </c>
      <c r="I188" s="27">
        <v>0</v>
      </c>
      <c r="J188" s="27">
        <f t="shared" si="41"/>
        <v>0</v>
      </c>
      <c r="K188" s="27">
        <v>0</v>
      </c>
      <c r="L188" s="27">
        <v>0</v>
      </c>
      <c r="M188" s="27">
        <v>0</v>
      </c>
      <c r="N188" s="27">
        <v>0</v>
      </c>
      <c r="O188" s="27">
        <v>0</v>
      </c>
      <c r="P188" s="27">
        <f t="shared" si="64"/>
        <v>5908000</v>
      </c>
      <c r="Q188" s="2">
        <v>5908000</v>
      </c>
      <c r="S188" s="34">
        <f t="shared" si="60"/>
        <v>0</v>
      </c>
    </row>
    <row r="189" spans="1:19" ht="46.8">
      <c r="A189" s="24">
        <v>3110170</v>
      </c>
      <c r="B189" s="24" t="s">
        <v>26</v>
      </c>
      <c r="C189" s="24" t="s">
        <v>27</v>
      </c>
      <c r="D189" s="8" t="s">
        <v>28</v>
      </c>
      <c r="E189" s="27">
        <f t="shared" ref="E189" si="84">F189+I189</f>
        <v>4500</v>
      </c>
      <c r="F189" s="27">
        <v>4500</v>
      </c>
      <c r="G189" s="27">
        <v>0</v>
      </c>
      <c r="H189" s="27">
        <v>0</v>
      </c>
      <c r="I189" s="27">
        <v>0</v>
      </c>
      <c r="J189" s="27">
        <f t="shared" si="41"/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f t="shared" ref="P189" si="85">E189 + J189</f>
        <v>4500</v>
      </c>
      <c r="Q189" s="2">
        <v>4500</v>
      </c>
      <c r="S189" s="34">
        <f t="shared" si="60"/>
        <v>0</v>
      </c>
    </row>
    <row r="190" spans="1:19" ht="44.25" customHeight="1">
      <c r="A190" s="24" t="s">
        <v>243</v>
      </c>
      <c r="B190" s="24" t="s">
        <v>30</v>
      </c>
      <c r="C190" s="24" t="s">
        <v>31</v>
      </c>
      <c r="D190" s="8" t="s">
        <v>32</v>
      </c>
      <c r="E190" s="27">
        <f t="shared" si="65"/>
        <v>65000</v>
      </c>
      <c r="F190" s="27">
        <v>65000</v>
      </c>
      <c r="G190" s="27">
        <v>0</v>
      </c>
      <c r="H190" s="27">
        <v>0</v>
      </c>
      <c r="I190" s="27">
        <v>0</v>
      </c>
      <c r="J190" s="27">
        <f t="shared" si="41"/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f t="shared" si="64"/>
        <v>65000</v>
      </c>
      <c r="Q190" s="2">
        <v>65000</v>
      </c>
      <c r="S190" s="34">
        <f t="shared" si="60"/>
        <v>0</v>
      </c>
    </row>
    <row r="191" spans="1:19" ht="56.25" customHeight="1">
      <c r="A191" s="24" t="s">
        <v>244</v>
      </c>
      <c r="B191" s="24" t="s">
        <v>221</v>
      </c>
      <c r="C191" s="24" t="s">
        <v>54</v>
      </c>
      <c r="D191" s="8" t="s">
        <v>222</v>
      </c>
      <c r="E191" s="27">
        <f t="shared" si="65"/>
        <v>227200</v>
      </c>
      <c r="F191" s="27">
        <v>227200</v>
      </c>
      <c r="G191" s="27">
        <v>0</v>
      </c>
      <c r="H191" s="27">
        <v>0</v>
      </c>
      <c r="I191" s="27">
        <v>0</v>
      </c>
      <c r="J191" s="27">
        <f t="shared" si="41"/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f t="shared" si="64"/>
        <v>227200</v>
      </c>
      <c r="Q191" s="2">
        <v>227200</v>
      </c>
      <c r="S191" s="34">
        <f t="shared" si="60"/>
        <v>0</v>
      </c>
    </row>
    <row r="192" spans="1:19" s="12" customFormat="1" ht="42.75" customHeight="1">
      <c r="A192" s="23" t="s">
        <v>296</v>
      </c>
      <c r="B192" s="24">
        <v>6090</v>
      </c>
      <c r="C192" s="23" t="s">
        <v>295</v>
      </c>
      <c r="D192" s="8" t="s">
        <v>294</v>
      </c>
      <c r="E192" s="27">
        <f t="shared" si="65"/>
        <v>1150000</v>
      </c>
      <c r="F192" s="27"/>
      <c r="G192" s="27">
        <v>0</v>
      </c>
      <c r="H192" s="27">
        <v>0</v>
      </c>
      <c r="I192" s="27">
        <v>1150000</v>
      </c>
      <c r="J192" s="27">
        <f t="shared" si="41"/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f t="shared" si="64"/>
        <v>1150000</v>
      </c>
      <c r="Q192" s="12">
        <v>1150000</v>
      </c>
      <c r="S192" s="34">
        <f t="shared" si="60"/>
        <v>0</v>
      </c>
    </row>
    <row r="193" spans="1:19" ht="28.2" customHeight="1">
      <c r="A193" s="24" t="s">
        <v>245</v>
      </c>
      <c r="B193" s="24" t="s">
        <v>246</v>
      </c>
      <c r="C193" s="24" t="s">
        <v>247</v>
      </c>
      <c r="D193" s="8" t="s">
        <v>248</v>
      </c>
      <c r="E193" s="27">
        <f t="shared" si="65"/>
        <v>1300000</v>
      </c>
      <c r="F193" s="27">
        <v>1200000</v>
      </c>
      <c r="G193" s="27">
        <v>0</v>
      </c>
      <c r="H193" s="27">
        <v>0</v>
      </c>
      <c r="I193" s="27">
        <v>100000</v>
      </c>
      <c r="J193" s="27">
        <f t="shared" si="41"/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f t="shared" si="64"/>
        <v>1300000</v>
      </c>
      <c r="Q193" s="2">
        <v>1300000</v>
      </c>
      <c r="S193" s="34">
        <f t="shared" si="60"/>
        <v>0</v>
      </c>
    </row>
    <row r="194" spans="1:19" ht="41.25" customHeight="1">
      <c r="A194" s="23" t="s">
        <v>286</v>
      </c>
      <c r="B194" s="23" t="s">
        <v>273</v>
      </c>
      <c r="C194" s="23" t="s">
        <v>275</v>
      </c>
      <c r="D194" s="8" t="s">
        <v>274</v>
      </c>
      <c r="E194" s="27">
        <f t="shared" si="65"/>
        <v>23100</v>
      </c>
      <c r="F194" s="27">
        <v>23100</v>
      </c>
      <c r="G194" s="27"/>
      <c r="H194" s="27"/>
      <c r="I194" s="27"/>
      <c r="J194" s="27">
        <f t="shared" si="41"/>
        <v>0</v>
      </c>
      <c r="K194" s="27"/>
      <c r="L194" s="27"/>
      <c r="M194" s="27"/>
      <c r="N194" s="27"/>
      <c r="O194" s="27"/>
      <c r="P194" s="27">
        <f t="shared" si="64"/>
        <v>23100</v>
      </c>
      <c r="Q194" s="2">
        <v>23100</v>
      </c>
      <c r="S194" s="34">
        <f t="shared" si="60"/>
        <v>0</v>
      </c>
    </row>
    <row r="195" spans="1:19" ht="40.5" customHeight="1">
      <c r="A195" s="24" t="s">
        <v>250</v>
      </c>
      <c r="B195" s="24" t="s">
        <v>229</v>
      </c>
      <c r="C195" s="24" t="s">
        <v>58</v>
      </c>
      <c r="D195" s="8" t="s">
        <v>230</v>
      </c>
      <c r="E195" s="27">
        <f t="shared" si="65"/>
        <v>23285271</v>
      </c>
      <c r="F195" s="27">
        <v>0</v>
      </c>
      <c r="G195" s="27">
        <v>0</v>
      </c>
      <c r="H195" s="27">
        <v>0</v>
      </c>
      <c r="I195" s="27">
        <f>22049300+791571+31400+413000</f>
        <v>23285271</v>
      </c>
      <c r="J195" s="27">
        <f t="shared" si="41"/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f t="shared" si="64"/>
        <v>23285271</v>
      </c>
      <c r="Q195" s="2">
        <v>23285271</v>
      </c>
      <c r="S195" s="34">
        <f t="shared" si="60"/>
        <v>0</v>
      </c>
    </row>
    <row r="196" spans="1:19" ht="46.8">
      <c r="A196" s="24">
        <v>3118110</v>
      </c>
      <c r="B196" s="24">
        <v>8110</v>
      </c>
      <c r="C196" s="24" t="s">
        <v>233</v>
      </c>
      <c r="D196" s="8" t="s">
        <v>234</v>
      </c>
      <c r="E196" s="27">
        <f t="shared" si="65"/>
        <v>300000</v>
      </c>
      <c r="F196" s="27">
        <v>300000</v>
      </c>
      <c r="G196" s="27"/>
      <c r="H196" s="27"/>
      <c r="I196" s="27"/>
      <c r="J196" s="27">
        <f t="shared" si="41"/>
        <v>0</v>
      </c>
      <c r="K196" s="27"/>
      <c r="L196" s="27"/>
      <c r="M196" s="27"/>
      <c r="N196" s="27"/>
      <c r="O196" s="27"/>
      <c r="P196" s="27">
        <f t="shared" si="64"/>
        <v>300000</v>
      </c>
      <c r="S196" s="34">
        <f t="shared" si="60"/>
        <v>300000</v>
      </c>
    </row>
    <row r="197" spans="1:19" ht="40.5" customHeight="1">
      <c r="A197" s="24" t="s">
        <v>251</v>
      </c>
      <c r="B197" s="24" t="s">
        <v>252</v>
      </c>
      <c r="C197" s="24" t="s">
        <v>62</v>
      </c>
      <c r="D197" s="8" t="s">
        <v>253</v>
      </c>
      <c r="E197" s="27">
        <f t="shared" si="65"/>
        <v>166000</v>
      </c>
      <c r="F197" s="27">
        <v>166000</v>
      </c>
      <c r="G197" s="27">
        <v>0</v>
      </c>
      <c r="H197" s="27">
        <v>0</v>
      </c>
      <c r="I197" s="27">
        <v>0</v>
      </c>
      <c r="J197" s="27">
        <f t="shared" si="41"/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f t="shared" si="64"/>
        <v>166000</v>
      </c>
      <c r="Q197" s="2">
        <v>166000</v>
      </c>
      <c r="S197" s="34">
        <f t="shared" si="60"/>
        <v>0</v>
      </c>
    </row>
    <row r="198" spans="1:19" ht="60.75" customHeight="1">
      <c r="A198" s="6" t="s">
        <v>254</v>
      </c>
      <c r="B198" s="6" t="s">
        <v>18</v>
      </c>
      <c r="C198" s="6" t="s">
        <v>18</v>
      </c>
      <c r="D198" s="7" t="s">
        <v>255</v>
      </c>
      <c r="E198" s="26">
        <f>E199</f>
        <v>172497712</v>
      </c>
      <c r="F198" s="26">
        <f>F199</f>
        <v>141040712</v>
      </c>
      <c r="G198" s="26">
        <f t="shared" ref="G198:I198" si="86">G199</f>
        <v>8142800</v>
      </c>
      <c r="H198" s="26">
        <f t="shared" si="86"/>
        <v>0</v>
      </c>
      <c r="I198" s="26">
        <f t="shared" si="86"/>
        <v>22257000</v>
      </c>
      <c r="J198" s="26">
        <f t="shared" si="41"/>
        <v>1680000</v>
      </c>
      <c r="K198" s="26">
        <f>K199</f>
        <v>1680000</v>
      </c>
      <c r="L198" s="26">
        <f t="shared" ref="L198:O198" si="87">L199</f>
        <v>0</v>
      </c>
      <c r="M198" s="26">
        <f t="shared" si="87"/>
        <v>0</v>
      </c>
      <c r="N198" s="26">
        <f t="shared" si="87"/>
        <v>0</v>
      </c>
      <c r="O198" s="26">
        <f t="shared" si="87"/>
        <v>1680000</v>
      </c>
      <c r="P198" s="26">
        <f t="shared" si="64"/>
        <v>174177712</v>
      </c>
      <c r="Q198" s="2">
        <v>173899712</v>
      </c>
      <c r="S198" s="34">
        <f t="shared" si="60"/>
        <v>278000</v>
      </c>
    </row>
    <row r="199" spans="1:19" ht="60" customHeight="1">
      <c r="A199" s="6" t="s">
        <v>256</v>
      </c>
      <c r="B199" s="6" t="s">
        <v>18</v>
      </c>
      <c r="C199" s="6" t="s">
        <v>18</v>
      </c>
      <c r="D199" s="7" t="s">
        <v>255</v>
      </c>
      <c r="E199" s="26">
        <f>F199+I199+E202</f>
        <v>172497712</v>
      </c>
      <c r="F199" s="26">
        <f>F200+F201+F202+F203+F204+F205+F206</f>
        <v>141040712</v>
      </c>
      <c r="G199" s="26">
        <f t="shared" ref="G199:K199" si="88">G200+G201+G202+G203+G204+G205+G206</f>
        <v>8142800</v>
      </c>
      <c r="H199" s="26">
        <f t="shared" si="88"/>
        <v>0</v>
      </c>
      <c r="I199" s="26">
        <f t="shared" si="88"/>
        <v>22257000</v>
      </c>
      <c r="J199" s="26">
        <f t="shared" ref="J199:J204" si="89">L199+O199</f>
        <v>1680000</v>
      </c>
      <c r="K199" s="26">
        <f t="shared" si="88"/>
        <v>1680000</v>
      </c>
      <c r="L199" s="26">
        <f t="shared" ref="L199" si="90">L200+L201+L202+L203+L204+L205+L206</f>
        <v>0</v>
      </c>
      <c r="M199" s="26">
        <f t="shared" ref="M199" si="91">M200+M201+M202+M203+M204+M205+M206</f>
        <v>0</v>
      </c>
      <c r="N199" s="26">
        <f t="shared" ref="N199" si="92">N200+N201+N202+N203+N204+N205+N206</f>
        <v>0</v>
      </c>
      <c r="O199" s="26">
        <f t="shared" ref="O199" si="93">O200+O201+O202+O203+O204+O205+O206</f>
        <v>1680000</v>
      </c>
      <c r="P199" s="26">
        <f t="shared" si="64"/>
        <v>174177712</v>
      </c>
      <c r="Q199" s="2">
        <v>173899712</v>
      </c>
      <c r="S199" s="34">
        <f t="shared" si="60"/>
        <v>278000</v>
      </c>
    </row>
    <row r="200" spans="1:19" ht="70.5" customHeight="1">
      <c r="A200" s="24" t="s">
        <v>257</v>
      </c>
      <c r="B200" s="24" t="s">
        <v>74</v>
      </c>
      <c r="C200" s="24" t="s">
        <v>23</v>
      </c>
      <c r="D200" s="8" t="s">
        <v>75</v>
      </c>
      <c r="E200" s="27">
        <f>F200+I200</f>
        <v>8517700</v>
      </c>
      <c r="F200" s="27">
        <f>8469200-3000</f>
        <v>8466200</v>
      </c>
      <c r="G200" s="27">
        <v>8142800</v>
      </c>
      <c r="H200" s="27">
        <v>0</v>
      </c>
      <c r="I200" s="27">
        <f>99000-47500</f>
        <v>51500</v>
      </c>
      <c r="J200" s="27">
        <f t="shared" si="89"/>
        <v>0</v>
      </c>
      <c r="K200" s="27"/>
      <c r="L200" s="27">
        <v>0</v>
      </c>
      <c r="M200" s="27">
        <v>0</v>
      </c>
      <c r="N200" s="27">
        <v>0</v>
      </c>
      <c r="O200" s="27"/>
      <c r="P200" s="27">
        <f t="shared" si="64"/>
        <v>8517700</v>
      </c>
      <c r="Q200" s="2">
        <v>8568200</v>
      </c>
      <c r="S200" s="34">
        <f t="shared" si="60"/>
        <v>-50500</v>
      </c>
    </row>
    <row r="201" spans="1:19" ht="31.2">
      <c r="A201" s="23" t="s">
        <v>287</v>
      </c>
      <c r="B201" s="23" t="s">
        <v>273</v>
      </c>
      <c r="C201" s="23" t="s">
        <v>275</v>
      </c>
      <c r="D201" s="8" t="s">
        <v>274</v>
      </c>
      <c r="E201" s="27">
        <f t="shared" ref="E201" si="94">F201+I201</f>
        <v>169100</v>
      </c>
      <c r="F201" s="27">
        <f>118600+50500</f>
        <v>169100</v>
      </c>
      <c r="G201" s="27"/>
      <c r="H201" s="27"/>
      <c r="I201" s="27"/>
      <c r="J201" s="27">
        <f t="shared" si="89"/>
        <v>0</v>
      </c>
      <c r="K201" s="27">
        <v>0</v>
      </c>
      <c r="L201" s="27"/>
      <c r="M201" s="27"/>
      <c r="N201" s="27"/>
      <c r="O201" s="27">
        <v>0</v>
      </c>
      <c r="P201" s="27">
        <f t="shared" si="64"/>
        <v>169100</v>
      </c>
      <c r="Q201" s="2">
        <v>118600</v>
      </c>
      <c r="S201" s="34">
        <f t="shared" si="60"/>
        <v>50500</v>
      </c>
    </row>
    <row r="202" spans="1:19" ht="23.4" customHeight="1">
      <c r="A202" s="24" t="s">
        <v>258</v>
      </c>
      <c r="B202" s="24" t="s">
        <v>259</v>
      </c>
      <c r="C202" s="24" t="s">
        <v>31</v>
      </c>
      <c r="D202" s="8" t="s">
        <v>260</v>
      </c>
      <c r="E202" s="27">
        <f>10000000-500000-300000</f>
        <v>9200000</v>
      </c>
      <c r="F202" s="27">
        <v>0</v>
      </c>
      <c r="G202" s="27">
        <v>0</v>
      </c>
      <c r="H202" s="27">
        <v>0</v>
      </c>
      <c r="I202" s="27">
        <v>0</v>
      </c>
      <c r="J202" s="27">
        <f t="shared" si="89"/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f t="shared" si="64"/>
        <v>9200000</v>
      </c>
      <c r="Q202" s="2">
        <v>9500000</v>
      </c>
      <c r="S202" s="34">
        <f t="shared" si="60"/>
        <v>-300000</v>
      </c>
    </row>
    <row r="203" spans="1:19" ht="23.4" customHeight="1">
      <c r="A203" s="24">
        <v>3719110</v>
      </c>
      <c r="B203" s="24">
        <v>9110</v>
      </c>
      <c r="C203" s="23" t="s">
        <v>30</v>
      </c>
      <c r="D203" s="8" t="s">
        <v>288</v>
      </c>
      <c r="E203" s="27">
        <f>F203+I203</f>
        <v>79482900</v>
      </c>
      <c r="F203" s="27">
        <v>79482900</v>
      </c>
      <c r="G203" s="27"/>
      <c r="H203" s="27"/>
      <c r="I203" s="27"/>
      <c r="J203" s="27">
        <f t="shared" si="89"/>
        <v>0</v>
      </c>
      <c r="K203" s="27"/>
      <c r="L203" s="27"/>
      <c r="M203" s="27"/>
      <c r="N203" s="27"/>
      <c r="O203" s="27"/>
      <c r="P203" s="27">
        <f t="shared" si="64"/>
        <v>79482900</v>
      </c>
      <c r="Q203" s="2">
        <v>79482900</v>
      </c>
      <c r="S203" s="34">
        <f t="shared" si="60"/>
        <v>0</v>
      </c>
    </row>
    <row r="204" spans="1:19" ht="62.4">
      <c r="A204" s="24">
        <v>3719720</v>
      </c>
      <c r="B204" s="24">
        <v>9720</v>
      </c>
      <c r="C204" s="23" t="s">
        <v>30</v>
      </c>
      <c r="D204" s="8" t="s">
        <v>413</v>
      </c>
      <c r="E204" s="27">
        <f>F204+I204</f>
        <v>0</v>
      </c>
      <c r="F204" s="27"/>
      <c r="G204" s="27"/>
      <c r="H204" s="27"/>
      <c r="I204" s="27"/>
      <c r="J204" s="27">
        <f t="shared" si="89"/>
        <v>1680000</v>
      </c>
      <c r="K204" s="27">
        <v>1680000</v>
      </c>
      <c r="L204" s="27"/>
      <c r="M204" s="27"/>
      <c r="N204" s="27"/>
      <c r="O204" s="27">
        <v>1680000</v>
      </c>
      <c r="P204" s="27">
        <f t="shared" si="64"/>
        <v>1680000</v>
      </c>
      <c r="Q204" s="2">
        <v>1680000</v>
      </c>
      <c r="S204" s="34">
        <f t="shared" si="60"/>
        <v>0</v>
      </c>
    </row>
    <row r="205" spans="1:19" ht="23.4" customHeight="1">
      <c r="A205" s="24" t="s">
        <v>261</v>
      </c>
      <c r="B205" s="24" t="s">
        <v>262</v>
      </c>
      <c r="C205" s="24" t="s">
        <v>30</v>
      </c>
      <c r="D205" s="8" t="s">
        <v>263</v>
      </c>
      <c r="E205" s="27">
        <f>F205+I205</f>
        <v>5002800</v>
      </c>
      <c r="F205" s="27">
        <f>5924800-2000000+404500+578000</f>
        <v>4907300</v>
      </c>
      <c r="G205" s="27"/>
      <c r="H205" s="27"/>
      <c r="I205" s="27">
        <f>500000-404500</f>
        <v>95500</v>
      </c>
      <c r="J205" s="27"/>
      <c r="K205" s="27"/>
      <c r="L205" s="27"/>
      <c r="M205" s="27"/>
      <c r="N205" s="27"/>
      <c r="O205" s="27"/>
      <c r="P205" s="27">
        <f t="shared" si="64"/>
        <v>5002800</v>
      </c>
      <c r="Q205" s="2">
        <v>4424800</v>
      </c>
      <c r="S205" s="34">
        <f t="shared" si="60"/>
        <v>578000</v>
      </c>
    </row>
    <row r="206" spans="1:19" s="12" customFormat="1" ht="62.4">
      <c r="A206" s="24">
        <v>3719800</v>
      </c>
      <c r="B206" s="24">
        <v>9800</v>
      </c>
      <c r="C206" s="23" t="s">
        <v>30</v>
      </c>
      <c r="D206" s="37" t="s">
        <v>325</v>
      </c>
      <c r="E206" s="27">
        <f t="shared" ref="E206" si="95">F206+I206</f>
        <v>70125212</v>
      </c>
      <c r="F206" s="27">
        <f>2625212+1890000+48000000+500000-5000000</f>
        <v>48015212</v>
      </c>
      <c r="G206" s="27"/>
      <c r="H206" s="27"/>
      <c r="I206" s="27">
        <f>4000000+1110000+12000000+5000000</f>
        <v>22110000</v>
      </c>
      <c r="J206" s="27"/>
      <c r="K206" s="27"/>
      <c r="L206" s="27"/>
      <c r="M206" s="27"/>
      <c r="N206" s="27"/>
      <c r="O206" s="27"/>
      <c r="P206" s="27">
        <f t="shared" si="64"/>
        <v>70125212</v>
      </c>
      <c r="Q206" s="2">
        <v>70125212</v>
      </c>
      <c r="S206" s="34">
        <f t="shared" si="60"/>
        <v>0</v>
      </c>
    </row>
    <row r="207" spans="1:19" ht="19.95" customHeight="1">
      <c r="A207" s="6" t="s">
        <v>265</v>
      </c>
      <c r="B207" s="6" t="s">
        <v>265</v>
      </c>
      <c r="C207" s="6" t="s">
        <v>265</v>
      </c>
      <c r="D207" s="10" t="s">
        <v>264</v>
      </c>
      <c r="E207" s="26">
        <f>E18+E65+E96+E124+E130+E144+E155+E173+E186+E198</f>
        <v>1460280011</v>
      </c>
      <c r="F207" s="26">
        <f>F18+F65+F96+F124+F130+F144+F155+F173+F186+F198</f>
        <v>1191213248.05</v>
      </c>
      <c r="G207" s="26">
        <f>G18+G65+G96+G124+G130+G144+G155+G173+G186+G198</f>
        <v>634259062</v>
      </c>
      <c r="H207" s="26">
        <f>H18+H65+H96+H124+H130+H144+H155+H173+H186+H198</f>
        <v>53836796.520000003</v>
      </c>
      <c r="I207" s="26">
        <f>I18+I65+I96+I124+I130+I144+I155+I173+I186+I198</f>
        <v>259866762.94999999</v>
      </c>
      <c r="J207" s="26">
        <f>L207+O207</f>
        <v>173868879.74000001</v>
      </c>
      <c r="K207" s="26">
        <f>K18+K65+K96+K124+K130+K144+K155+K173+K186+K198</f>
        <v>141819687.5</v>
      </c>
      <c r="L207" s="26">
        <f>L18+L65+L96+L124+L130+L144+L155+L173+L186+L198</f>
        <v>20255614</v>
      </c>
      <c r="M207" s="26">
        <f>M18+M65+M96+M124+M130+M144+M155+M173+M186+M198</f>
        <v>511100</v>
      </c>
      <c r="N207" s="26">
        <f>N18+N65+N96+N124+N130+N144+N155+N173+N186+N198</f>
        <v>0</v>
      </c>
      <c r="O207" s="26">
        <f>O18+O65+O96+O124+O130+O144+O155+O173+O186+O198</f>
        <v>153613265.74000001</v>
      </c>
      <c r="P207" s="26">
        <f t="shared" si="64"/>
        <v>1634148890.74</v>
      </c>
      <c r="Q207" s="12">
        <v>1630866877.74</v>
      </c>
      <c r="S207" s="34">
        <f t="shared" si="60"/>
        <v>3282013</v>
      </c>
    </row>
    <row r="208" spans="1:19" ht="9" customHeight="1">
      <c r="A208" s="13"/>
      <c r="B208" s="13"/>
      <c r="C208" s="13"/>
      <c r="D208" s="14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S208" s="34">
        <f t="shared" si="60"/>
        <v>0</v>
      </c>
    </row>
    <row r="209" spans="1:19" s="18" customFormat="1" ht="18">
      <c r="A209" s="15"/>
      <c r="B209" s="15"/>
      <c r="C209" s="16" t="s">
        <v>299</v>
      </c>
      <c r="D209" s="17" t="s">
        <v>300</v>
      </c>
      <c r="E209" s="31">
        <f t="shared" ref="E209:O209" si="96">E20+E25+E26+E67+E68+E98+E99+E100+E126+E127+E132+E133+E146+E147+E157+E158+E175+E176+E177+E178+E188+E189+E190+E200</f>
        <v>183193476</v>
      </c>
      <c r="F209" s="31">
        <f t="shared" si="96"/>
        <v>182600800</v>
      </c>
      <c r="G209" s="31">
        <f t="shared" si="96"/>
        <v>164095300</v>
      </c>
      <c r="H209" s="31">
        <f t="shared" si="96"/>
        <v>6948800</v>
      </c>
      <c r="I209" s="31">
        <f t="shared" si="96"/>
        <v>592676</v>
      </c>
      <c r="J209" s="31">
        <f t="shared" si="96"/>
        <v>120000</v>
      </c>
      <c r="K209" s="31">
        <f t="shared" si="96"/>
        <v>0</v>
      </c>
      <c r="L209" s="31">
        <f t="shared" si="96"/>
        <v>120000</v>
      </c>
      <c r="M209" s="31">
        <f t="shared" si="96"/>
        <v>0</v>
      </c>
      <c r="N209" s="31">
        <f t="shared" si="96"/>
        <v>0</v>
      </c>
      <c r="O209" s="31">
        <f t="shared" si="96"/>
        <v>0</v>
      </c>
      <c r="P209" s="31">
        <f>E209+J209</f>
        <v>183313476</v>
      </c>
      <c r="Q209" s="2">
        <v>182993976</v>
      </c>
      <c r="S209" s="34">
        <f t="shared" si="60"/>
        <v>319500</v>
      </c>
    </row>
    <row r="210" spans="1:19" s="18" customFormat="1" ht="18">
      <c r="A210" s="15"/>
      <c r="B210" s="15"/>
      <c r="C210" s="16" t="s">
        <v>301</v>
      </c>
      <c r="D210" s="17" t="s">
        <v>302</v>
      </c>
      <c r="E210" s="31">
        <f t="shared" ref="E210:O210" si="97">E69+E70+E71+E72+E76+E77+E78+E79+E80+E81+E82+E83+E84+E85+E86+E87+E88+E89+E90+E134+E179</f>
        <v>520938059</v>
      </c>
      <c r="F210" s="31">
        <f t="shared" si="97"/>
        <v>517923804.05000001</v>
      </c>
      <c r="G210" s="31">
        <f t="shared" si="97"/>
        <v>370800642</v>
      </c>
      <c r="H210" s="31">
        <f t="shared" si="97"/>
        <v>42366300</v>
      </c>
      <c r="I210" s="31">
        <f t="shared" si="97"/>
        <v>3014254.95</v>
      </c>
      <c r="J210" s="31">
        <f t="shared" si="97"/>
        <v>99197890.5</v>
      </c>
      <c r="K210" s="31">
        <f t="shared" si="97"/>
        <v>80286460.5</v>
      </c>
      <c r="L210" s="31">
        <f t="shared" si="97"/>
        <v>18711430</v>
      </c>
      <c r="M210" s="31">
        <f t="shared" si="97"/>
        <v>499100</v>
      </c>
      <c r="N210" s="31">
        <f t="shared" si="97"/>
        <v>0</v>
      </c>
      <c r="O210" s="31">
        <f t="shared" si="97"/>
        <v>80486460.5</v>
      </c>
      <c r="P210" s="31">
        <f>E210+J210</f>
        <v>620135949.5</v>
      </c>
      <c r="Q210" s="18">
        <v>620136313.5</v>
      </c>
      <c r="S210" s="34">
        <f t="shared" si="60"/>
        <v>-364</v>
      </c>
    </row>
    <row r="211" spans="1:19" s="18" customFormat="1" ht="18">
      <c r="A211" s="15"/>
      <c r="B211" s="15"/>
      <c r="C211" s="16" t="s">
        <v>303</v>
      </c>
      <c r="D211" s="17" t="s">
        <v>304</v>
      </c>
      <c r="E211" s="31">
        <f t="shared" ref="E211:O211" si="98">E27+E28+E29+E30+E34+E180</f>
        <v>74539098</v>
      </c>
      <c r="F211" s="31">
        <f t="shared" si="98"/>
        <v>68832765</v>
      </c>
      <c r="G211" s="31">
        <f t="shared" si="98"/>
        <v>0</v>
      </c>
      <c r="H211" s="31">
        <f t="shared" si="98"/>
        <v>0</v>
      </c>
      <c r="I211" s="31">
        <f t="shared" si="98"/>
        <v>5706333</v>
      </c>
      <c r="J211" s="31">
        <f t="shared" si="98"/>
        <v>7529972</v>
      </c>
      <c r="K211" s="31">
        <f t="shared" si="98"/>
        <v>7529972</v>
      </c>
      <c r="L211" s="31">
        <f t="shared" si="98"/>
        <v>0</v>
      </c>
      <c r="M211" s="31">
        <f t="shared" si="98"/>
        <v>0</v>
      </c>
      <c r="N211" s="31">
        <f t="shared" si="98"/>
        <v>0</v>
      </c>
      <c r="O211" s="31">
        <f t="shared" si="98"/>
        <v>7529972</v>
      </c>
      <c r="P211" s="31">
        <f t="shared" ref="P211:P219" si="99">E211+J211</f>
        <v>82069070</v>
      </c>
      <c r="Q211" s="18">
        <v>79888193</v>
      </c>
      <c r="S211" s="34">
        <f t="shared" ref="S211:S219" si="100">P211-Q211</f>
        <v>2180877</v>
      </c>
    </row>
    <row r="212" spans="1:19" s="18" customFormat="1" ht="31.8">
      <c r="A212" s="15"/>
      <c r="B212" s="15"/>
      <c r="C212" s="16" t="s">
        <v>305</v>
      </c>
      <c r="D212" s="17" t="s">
        <v>306</v>
      </c>
      <c r="E212" s="31">
        <f t="shared" ref="E212:O212" si="101">E35+E91+E92+E101+E102+E103+E104+E105+E106+E107+E108+E109+E110+E111+E112+E113+E114+E115+E116+E117+E128+E135+E136+E148+E159</f>
        <v>121154937</v>
      </c>
      <c r="F212" s="31">
        <f t="shared" si="101"/>
        <v>120119937</v>
      </c>
      <c r="G212" s="31">
        <f t="shared" si="101"/>
        <v>36065920</v>
      </c>
      <c r="H212" s="31">
        <f t="shared" si="101"/>
        <v>306616.52</v>
      </c>
      <c r="I212" s="31">
        <f t="shared" si="101"/>
        <v>1035000</v>
      </c>
      <c r="J212" s="31">
        <f t="shared" si="101"/>
        <v>180000</v>
      </c>
      <c r="K212" s="31">
        <f t="shared" si="101"/>
        <v>0</v>
      </c>
      <c r="L212" s="31">
        <f t="shared" si="101"/>
        <v>55000</v>
      </c>
      <c r="M212" s="31">
        <f t="shared" si="101"/>
        <v>0</v>
      </c>
      <c r="N212" s="31">
        <f t="shared" si="101"/>
        <v>0</v>
      </c>
      <c r="O212" s="31">
        <f t="shared" si="101"/>
        <v>125000</v>
      </c>
      <c r="P212" s="31">
        <f t="shared" si="99"/>
        <v>121334937</v>
      </c>
      <c r="Q212" s="18">
        <v>121334937</v>
      </c>
      <c r="S212" s="34">
        <f t="shared" si="100"/>
        <v>0</v>
      </c>
    </row>
    <row r="213" spans="1:19" s="18" customFormat="1" ht="18">
      <c r="A213" s="15"/>
      <c r="B213" s="15"/>
      <c r="C213" s="16" t="s">
        <v>307</v>
      </c>
      <c r="D213" s="17" t="s">
        <v>308</v>
      </c>
      <c r="E213" s="31">
        <f t="shared" ref="E213:O213" si="102">E137+E138+E139+E140+E141</f>
        <v>36342874</v>
      </c>
      <c r="F213" s="31">
        <f t="shared" si="102"/>
        <v>36050900</v>
      </c>
      <c r="G213" s="31">
        <f t="shared" si="102"/>
        <v>26353200</v>
      </c>
      <c r="H213" s="31">
        <f t="shared" si="102"/>
        <v>3115980</v>
      </c>
      <c r="I213" s="31">
        <f t="shared" si="102"/>
        <v>291974</v>
      </c>
      <c r="J213" s="31">
        <f t="shared" si="102"/>
        <v>310000</v>
      </c>
      <c r="K213" s="31">
        <f t="shared" si="102"/>
        <v>0</v>
      </c>
      <c r="L213" s="31">
        <f t="shared" si="102"/>
        <v>280000</v>
      </c>
      <c r="M213" s="31">
        <f t="shared" si="102"/>
        <v>12000</v>
      </c>
      <c r="N213" s="31">
        <f t="shared" si="102"/>
        <v>0</v>
      </c>
      <c r="O213" s="31">
        <f t="shared" si="102"/>
        <v>30000</v>
      </c>
      <c r="P213" s="31">
        <f t="shared" si="99"/>
        <v>36652874</v>
      </c>
      <c r="Q213" s="18">
        <v>36327874</v>
      </c>
      <c r="S213" s="34">
        <f t="shared" si="100"/>
        <v>325000</v>
      </c>
    </row>
    <row r="214" spans="1:19" s="18" customFormat="1" ht="18">
      <c r="A214" s="15"/>
      <c r="B214" s="15"/>
      <c r="C214" s="16" t="s">
        <v>309</v>
      </c>
      <c r="D214" s="17" t="s">
        <v>310</v>
      </c>
      <c r="E214" s="31">
        <f t="shared" ref="E214:O214" si="103">E93+E149+E150+E152+E151</f>
        <v>29831550</v>
      </c>
      <c r="F214" s="31">
        <f t="shared" si="103"/>
        <v>21395700</v>
      </c>
      <c r="G214" s="31">
        <f t="shared" si="103"/>
        <v>11557200</v>
      </c>
      <c r="H214" s="31">
        <f t="shared" si="103"/>
        <v>1040600</v>
      </c>
      <c r="I214" s="31">
        <f t="shared" si="103"/>
        <v>8435850</v>
      </c>
      <c r="J214" s="31">
        <f t="shared" si="103"/>
        <v>0</v>
      </c>
      <c r="K214" s="31">
        <f t="shared" si="103"/>
        <v>0</v>
      </c>
      <c r="L214" s="31">
        <f t="shared" si="103"/>
        <v>0</v>
      </c>
      <c r="M214" s="31">
        <f t="shared" si="103"/>
        <v>0</v>
      </c>
      <c r="N214" s="31">
        <f t="shared" si="103"/>
        <v>0</v>
      </c>
      <c r="O214" s="31">
        <f t="shared" si="103"/>
        <v>0</v>
      </c>
      <c r="P214" s="31">
        <f t="shared" si="99"/>
        <v>29831550</v>
      </c>
      <c r="Q214" s="18">
        <v>29831550</v>
      </c>
      <c r="S214" s="34">
        <f t="shared" si="100"/>
        <v>0</v>
      </c>
    </row>
    <row r="215" spans="1:19" s="18" customFormat="1" ht="18">
      <c r="A215" s="15"/>
      <c r="B215" s="15"/>
      <c r="C215" s="16" t="s">
        <v>311</v>
      </c>
      <c r="D215" s="17" t="s">
        <v>312</v>
      </c>
      <c r="E215" s="31">
        <f t="shared" ref="E215:O215" si="104">E36+E160+E161+E165+E162+E163+E164+E181+E191+E192</f>
        <v>130277171</v>
      </c>
      <c r="F215" s="31">
        <f t="shared" si="104"/>
        <v>26826900</v>
      </c>
      <c r="G215" s="31">
        <f t="shared" si="104"/>
        <v>0</v>
      </c>
      <c r="H215" s="31">
        <f t="shared" si="104"/>
        <v>0</v>
      </c>
      <c r="I215" s="31">
        <f t="shared" si="104"/>
        <v>103450271</v>
      </c>
      <c r="J215" s="31">
        <f t="shared" si="104"/>
        <v>37450810</v>
      </c>
      <c r="K215" s="31">
        <f t="shared" si="104"/>
        <v>37450810</v>
      </c>
      <c r="L215" s="31">
        <f t="shared" si="104"/>
        <v>0</v>
      </c>
      <c r="M215" s="31">
        <f t="shared" si="104"/>
        <v>0</v>
      </c>
      <c r="N215" s="31">
        <f t="shared" si="104"/>
        <v>0</v>
      </c>
      <c r="O215" s="31">
        <f t="shared" si="104"/>
        <v>37450810</v>
      </c>
      <c r="P215" s="31">
        <f t="shared" si="99"/>
        <v>167727981</v>
      </c>
      <c r="Q215" s="18">
        <v>167974481</v>
      </c>
      <c r="S215" s="34">
        <f t="shared" si="100"/>
        <v>-246500</v>
      </c>
    </row>
    <row r="216" spans="1:19" s="18" customFormat="1" ht="18">
      <c r="A216" s="15"/>
      <c r="B216" s="15"/>
      <c r="C216" s="16" t="s">
        <v>313</v>
      </c>
      <c r="D216" s="17" t="s">
        <v>314</v>
      </c>
      <c r="E216" s="31">
        <f t="shared" ref="E216:O216" si="105">E40+E41+E48+E49+E50+E51+E94+E118+E129+E142+E153+E154+E166+E167+E168+E169+E170+E182+E183+E184+E193+E194+E195+E201</f>
        <v>153903999</v>
      </c>
      <c r="F216" s="31">
        <f t="shared" si="105"/>
        <v>43747345</v>
      </c>
      <c r="G216" s="31">
        <f t="shared" si="105"/>
        <v>0</v>
      </c>
      <c r="H216" s="31">
        <f t="shared" si="105"/>
        <v>0</v>
      </c>
      <c r="I216" s="31">
        <f t="shared" si="105"/>
        <v>110156654</v>
      </c>
      <c r="J216" s="31">
        <f t="shared" si="105"/>
        <v>26211023.240000002</v>
      </c>
      <c r="K216" s="31">
        <f t="shared" si="105"/>
        <v>14872445</v>
      </c>
      <c r="L216" s="31">
        <f t="shared" si="105"/>
        <v>0</v>
      </c>
      <c r="M216" s="31">
        <f t="shared" si="105"/>
        <v>0</v>
      </c>
      <c r="N216" s="31">
        <f t="shared" si="105"/>
        <v>0</v>
      </c>
      <c r="O216" s="31">
        <f t="shared" si="105"/>
        <v>26211023.240000002</v>
      </c>
      <c r="P216" s="31">
        <f t="shared" si="99"/>
        <v>180115022.24000001</v>
      </c>
      <c r="Q216" s="18">
        <v>181844547.24000001</v>
      </c>
      <c r="S216" s="34">
        <f t="shared" si="100"/>
        <v>-1729525</v>
      </c>
    </row>
    <row r="217" spans="1:19" s="19" customFormat="1" ht="18">
      <c r="A217" s="15"/>
      <c r="B217" s="15"/>
      <c r="C217" s="16" t="s">
        <v>315</v>
      </c>
      <c r="D217" s="17" t="s">
        <v>316</v>
      </c>
      <c r="E217" s="31">
        <f>E52+E60+E61+E62+E63+E64+E95+E122+E143+E171+E172+E185+E196+E197+E202</f>
        <v>55487935</v>
      </c>
      <c r="F217" s="31">
        <f t="shared" ref="F217:O217" si="106">F52+F60+F61+F62+F63+F64+F95+F122+F143+F171+F172+F185+F196+F197+F202</f>
        <v>41309685</v>
      </c>
      <c r="G217" s="31">
        <f t="shared" si="106"/>
        <v>25386800</v>
      </c>
      <c r="H217" s="31">
        <f t="shared" si="106"/>
        <v>58500</v>
      </c>
      <c r="I217" s="31">
        <f t="shared" si="106"/>
        <v>4978250</v>
      </c>
      <c r="J217" s="31">
        <f t="shared" si="106"/>
        <v>1189184</v>
      </c>
      <c r="K217" s="31">
        <f t="shared" si="106"/>
        <v>0</v>
      </c>
      <c r="L217" s="31">
        <f t="shared" si="106"/>
        <v>1089184</v>
      </c>
      <c r="M217" s="31">
        <f t="shared" si="106"/>
        <v>0</v>
      </c>
      <c r="N217" s="31">
        <f t="shared" si="106"/>
        <v>0</v>
      </c>
      <c r="O217" s="31">
        <f t="shared" si="106"/>
        <v>100000</v>
      </c>
      <c r="P217" s="31">
        <f t="shared" si="99"/>
        <v>56677119</v>
      </c>
      <c r="Q217" s="18">
        <v>54822094</v>
      </c>
      <c r="S217" s="34">
        <f t="shared" si="100"/>
        <v>1855025</v>
      </c>
    </row>
    <row r="218" spans="1:19" s="12" customFormat="1" ht="18">
      <c r="A218" s="15"/>
      <c r="B218" s="15"/>
      <c r="C218" s="16" t="s">
        <v>317</v>
      </c>
      <c r="D218" s="17" t="s">
        <v>318</v>
      </c>
      <c r="E218" s="31">
        <f>E203+E204+E205+E206</f>
        <v>154610912</v>
      </c>
      <c r="F218" s="31">
        <f t="shared" ref="F218:O218" si="107">F203+F204+F205+F206</f>
        <v>132405412</v>
      </c>
      <c r="G218" s="31">
        <f t="shared" si="107"/>
        <v>0</v>
      </c>
      <c r="H218" s="31">
        <f t="shared" si="107"/>
        <v>0</v>
      </c>
      <c r="I218" s="31">
        <f t="shared" si="107"/>
        <v>22205500</v>
      </c>
      <c r="J218" s="31">
        <f t="shared" si="107"/>
        <v>1680000</v>
      </c>
      <c r="K218" s="31">
        <f t="shared" si="107"/>
        <v>1680000</v>
      </c>
      <c r="L218" s="31">
        <f t="shared" si="107"/>
        <v>0</v>
      </c>
      <c r="M218" s="31">
        <f t="shared" si="107"/>
        <v>0</v>
      </c>
      <c r="N218" s="31">
        <f t="shared" si="107"/>
        <v>0</v>
      </c>
      <c r="O218" s="31">
        <f t="shared" si="107"/>
        <v>1680000</v>
      </c>
      <c r="P218" s="31">
        <f t="shared" si="99"/>
        <v>156290912</v>
      </c>
      <c r="Q218" s="19">
        <v>155712912</v>
      </c>
      <c r="S218" s="34">
        <f t="shared" si="100"/>
        <v>578000</v>
      </c>
    </row>
    <row r="219" spans="1:19" s="12" customFormat="1">
      <c r="A219" s="20"/>
      <c r="B219" s="20"/>
      <c r="C219" s="20"/>
      <c r="D219" s="20" t="s">
        <v>16</v>
      </c>
      <c r="E219" s="32">
        <f>SUM(E209:E218)</f>
        <v>1460280011</v>
      </c>
      <c r="F219" s="32">
        <f>SUM(F209:F218)</f>
        <v>1191213248.05</v>
      </c>
      <c r="G219" s="32">
        <f>SUM(G209:G218)</f>
        <v>634259062</v>
      </c>
      <c r="H219" s="32">
        <f t="shared" ref="H219:O219" si="108">SUM(H209:H218)</f>
        <v>53836796.520000003</v>
      </c>
      <c r="I219" s="32">
        <f t="shared" si="108"/>
        <v>259866762.94999999</v>
      </c>
      <c r="J219" s="32">
        <f t="shared" si="108"/>
        <v>173868879.74000001</v>
      </c>
      <c r="K219" s="32">
        <f>SUM(K209:K218)</f>
        <v>141819687.5</v>
      </c>
      <c r="L219" s="32">
        <f t="shared" si="108"/>
        <v>20255614</v>
      </c>
      <c r="M219" s="32">
        <f t="shared" si="108"/>
        <v>511100</v>
      </c>
      <c r="N219" s="32">
        <f t="shared" si="108"/>
        <v>0</v>
      </c>
      <c r="O219" s="32">
        <f t="shared" si="108"/>
        <v>153613265.74000001</v>
      </c>
      <c r="P219" s="32">
        <f t="shared" si="99"/>
        <v>1634148890.74</v>
      </c>
      <c r="Q219" s="12">
        <v>1630866877.74</v>
      </c>
      <c r="S219" s="34">
        <f t="shared" si="100"/>
        <v>3282013</v>
      </c>
    </row>
    <row r="220" spans="1:19" s="21" customFormat="1">
      <c r="E220" s="33">
        <f>E207-E219</f>
        <v>0</v>
      </c>
      <c r="F220" s="33">
        <f t="shared" ref="F220:P220" si="109">F207-F219</f>
        <v>0</v>
      </c>
      <c r="G220" s="33">
        <f t="shared" si="109"/>
        <v>0</v>
      </c>
      <c r="H220" s="33">
        <f t="shared" si="109"/>
        <v>0</v>
      </c>
      <c r="I220" s="33">
        <f t="shared" si="109"/>
        <v>0</v>
      </c>
      <c r="J220" s="33">
        <f t="shared" si="109"/>
        <v>0</v>
      </c>
      <c r="K220" s="33">
        <f t="shared" si="109"/>
        <v>0</v>
      </c>
      <c r="L220" s="33">
        <f t="shared" si="109"/>
        <v>0</v>
      </c>
      <c r="M220" s="33">
        <f t="shared" si="109"/>
        <v>0</v>
      </c>
      <c r="N220" s="33">
        <f t="shared" si="109"/>
        <v>0</v>
      </c>
      <c r="O220" s="33">
        <f t="shared" si="109"/>
        <v>0</v>
      </c>
      <c r="P220" s="33">
        <f t="shared" si="109"/>
        <v>0</v>
      </c>
    </row>
    <row r="221" spans="1:19">
      <c r="D221" s="38" t="s">
        <v>414</v>
      </c>
      <c r="E221" s="38"/>
      <c r="J221" s="2" t="s">
        <v>415</v>
      </c>
    </row>
    <row r="222" spans="1:19">
      <c r="E222" s="2" t="s">
        <v>344</v>
      </c>
      <c r="P222" s="22"/>
    </row>
    <row r="223" spans="1:19">
      <c r="D223" s="2" t="s">
        <v>401</v>
      </c>
      <c r="E223" s="35">
        <v>1458262157</v>
      </c>
      <c r="F223" s="35">
        <v>1193489367</v>
      </c>
      <c r="G223" s="35">
        <v>632833143</v>
      </c>
      <c r="H223" s="35">
        <v>54387200</v>
      </c>
      <c r="I223" s="35">
        <v>255272790</v>
      </c>
      <c r="J223" s="35">
        <v>172604720.74000001</v>
      </c>
      <c r="K223" s="35">
        <v>140555528.5</v>
      </c>
      <c r="L223" s="35">
        <v>20255614</v>
      </c>
      <c r="M223" s="35">
        <v>511100</v>
      </c>
      <c r="N223" s="35">
        <v>0</v>
      </c>
      <c r="O223" s="35">
        <v>152349106.74000001</v>
      </c>
      <c r="P223" s="35">
        <v>1630866877.74</v>
      </c>
    </row>
    <row r="224" spans="1:19">
      <c r="D224" s="2" t="s">
        <v>402</v>
      </c>
      <c r="E224" s="34">
        <f>E207-E223</f>
        <v>2017854</v>
      </c>
      <c r="F224" s="34">
        <f>F207-F223-300000</f>
        <v>-2576118.9500000477</v>
      </c>
      <c r="G224" s="34">
        <f>G207-G223</f>
        <v>1425919</v>
      </c>
      <c r="H224" s="34">
        <f t="shared" ref="H224:P224" si="110">H207-H223</f>
        <v>-550403.47999999672</v>
      </c>
      <c r="I224" s="34">
        <f t="shared" si="110"/>
        <v>4593972.9499999881</v>
      </c>
      <c r="J224" s="34">
        <f t="shared" si="110"/>
        <v>1264159</v>
      </c>
      <c r="K224" s="34">
        <f t="shared" si="110"/>
        <v>1264159</v>
      </c>
      <c r="L224" s="34">
        <f t="shared" si="110"/>
        <v>0</v>
      </c>
      <c r="M224" s="34">
        <f t="shared" si="110"/>
        <v>0</v>
      </c>
      <c r="N224" s="34">
        <f t="shared" si="110"/>
        <v>0</v>
      </c>
      <c r="O224" s="34">
        <f t="shared" si="110"/>
        <v>1264159</v>
      </c>
      <c r="P224" s="34">
        <f t="shared" si="110"/>
        <v>3282013</v>
      </c>
    </row>
    <row r="225" spans="5:16">
      <c r="E225" s="34">
        <f>2017854</f>
        <v>2017854</v>
      </c>
      <c r="F225" s="34">
        <f>1021245.05+1402636</f>
        <v>2423881.0499999998</v>
      </c>
      <c r="G225" s="34">
        <f>1100000+111410+214873-364</f>
        <v>1425919</v>
      </c>
      <c r="H225" s="34">
        <f>-175700-945.93-154237.55-56300-81700-70520-11000</f>
        <v>-550403.48</v>
      </c>
      <c r="I225" s="34">
        <f>-1021245.05+615218</f>
        <v>-406027.05000000005</v>
      </c>
      <c r="J225" s="34">
        <f>1264159</f>
        <v>1264159</v>
      </c>
      <c r="K225" s="34">
        <f>1264159</f>
        <v>1264159</v>
      </c>
      <c r="L225" s="34"/>
      <c r="M225" s="34"/>
      <c r="N225" s="34"/>
      <c r="O225" s="34">
        <f>J225-L225</f>
        <v>1264159</v>
      </c>
      <c r="P225" s="34">
        <f>E225+J225</f>
        <v>3282013</v>
      </c>
    </row>
    <row r="226" spans="5:16">
      <c r="E226" s="34">
        <f>E224-E225</f>
        <v>0</v>
      </c>
      <c r="F226" s="34">
        <f t="shared" ref="F226:P226" si="111">F224-F225</f>
        <v>-5000000.0000000475</v>
      </c>
      <c r="G226" s="34">
        <f t="shared" si="111"/>
        <v>0</v>
      </c>
      <c r="H226" s="34">
        <f t="shared" si="111"/>
        <v>3.2596290111541748E-9</v>
      </c>
      <c r="I226" s="34">
        <f t="shared" si="111"/>
        <v>4999999.9999999879</v>
      </c>
      <c r="J226" s="34">
        <f t="shared" si="111"/>
        <v>0</v>
      </c>
      <c r="K226" s="34">
        <f t="shared" si="111"/>
        <v>0</v>
      </c>
      <c r="L226" s="34">
        <f t="shared" si="111"/>
        <v>0</v>
      </c>
      <c r="M226" s="34">
        <f t="shared" si="111"/>
        <v>0</v>
      </c>
      <c r="N226" s="34">
        <f t="shared" si="111"/>
        <v>0</v>
      </c>
      <c r="O226" s="34">
        <f t="shared" si="111"/>
        <v>0</v>
      </c>
      <c r="P226" s="34">
        <f t="shared" si="111"/>
        <v>0</v>
      </c>
    </row>
    <row r="227" spans="5:16">
      <c r="H227" s="34"/>
      <c r="K227" s="34"/>
    </row>
    <row r="228" spans="5:16">
      <c r="H228" s="34"/>
      <c r="K228" s="34"/>
    </row>
    <row r="234" spans="5:16">
      <c r="P234" s="22"/>
    </row>
  </sheetData>
  <mergeCells count="23">
    <mergeCell ref="M14:N14"/>
    <mergeCell ref="O14:O16"/>
    <mergeCell ref="G15:G16"/>
    <mergeCell ref="H15:H16"/>
    <mergeCell ref="M15:M16"/>
    <mergeCell ref="N15:N16"/>
    <mergeCell ref="L14:L16"/>
    <mergeCell ref="D221:E221"/>
    <mergeCell ref="A9:P9"/>
    <mergeCell ref="A10:P10"/>
    <mergeCell ref="A13:A16"/>
    <mergeCell ref="B13:B16"/>
    <mergeCell ref="C13:C16"/>
    <mergeCell ref="D13:D16"/>
    <mergeCell ref="E13:I13"/>
    <mergeCell ref="J13:O13"/>
    <mergeCell ref="P13:P16"/>
    <mergeCell ref="E14:E16"/>
    <mergeCell ref="F14:F16"/>
    <mergeCell ref="G14:H14"/>
    <mergeCell ref="I14:I16"/>
    <mergeCell ref="J14:J16"/>
    <mergeCell ref="K14:K16"/>
  </mergeCells>
  <pageMargins left="0.19685039370078741" right="0.19685039370078741" top="0.39370078740157483" bottom="0.39370078740157483" header="0" footer="0"/>
  <pageSetup paperSize="9" scale="48" fitToWidth="11" fitToHeight="11" orientation="landscape" r:id="rId1"/>
  <headerFooter differentFirst="1">
    <oddHeader>&amp;C&amp;P</oddHeader>
  </headerFooter>
  <rowBreaks count="1" manualBreakCount="1">
    <brk id="192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2026</vt:lpstr>
      <vt:lpstr>'2026'!Заголовки_для_друку</vt:lpstr>
      <vt:lpstr>'2026'!Область_друку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220FU5</dc:creator>
  <cp:lastModifiedBy>Tofan</cp:lastModifiedBy>
  <cp:lastPrinted>2026-05-11T11:46:34Z</cp:lastPrinted>
  <dcterms:created xsi:type="dcterms:W3CDTF">2023-12-16T13:37:11Z</dcterms:created>
  <dcterms:modified xsi:type="dcterms:W3CDTF">2026-05-18T06:16:32Z</dcterms:modified>
</cp:coreProperties>
</file>