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ЦяКнига" defaultThemeVersion="124226"/>
  <mc:AlternateContent xmlns:mc="http://schemas.openxmlformats.org/markup-compatibility/2006">
    <mc:Choice Requires="x15">
      <x15ac:absPath xmlns:x15ac="http://schemas.microsoft.com/office/spreadsheetml/2010/11/ac" url="Z:\Оксана документы\1 ДОКУМЕНТИ\8 созыв\75 сесія 24.07.2026\№1146 Виконання І п\"/>
    </mc:Choice>
  </mc:AlternateContent>
  <xr:revisionPtr revIDLastSave="0" documentId="13_ncr:1_{134309BF-F08D-4FC7-A8A5-5749812D4B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4" r:id="rId1"/>
  </sheets>
  <definedNames>
    <definedName name="Z_22648713_93C4_4BCC_9593_E6D578C36006_.wvu.PrintArea" localSheetId="0" hidden="1">'2026'!$A$1:$P$118</definedName>
    <definedName name="Z_22648713_93C4_4BCC_9593_E6D578C36006_.wvu.PrintTitles" localSheetId="0" hidden="1">'2026'!$9:$14</definedName>
    <definedName name="Z_22648713_93C4_4BCC_9593_E6D578C36006_.wvu.Rows" localSheetId="0" hidden="1">'2026'!$26:$26,'2026'!#REF!</definedName>
    <definedName name="_xlnm.Print_Titles" localSheetId="0">'2026'!$9:$14</definedName>
    <definedName name="_xlnm.Print_Area" localSheetId="0">'2026'!$A$1:$Q$222</definedName>
  </definedNames>
  <calcPr calcId="191029"/>
  <customWorkbookViews>
    <customWorkbookView name="Администратор - Личное представление" guid="{22648713-93C4-4BCC-9593-E6D578C36006}" mergeInterval="0" personalView="1" maximized="1" xWindow="1" yWindow="1" windowWidth="1276" windowHeight="767" activeSheetId="4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7" i="4" l="1"/>
  <c r="K137" i="4" l="1"/>
  <c r="K136" i="4"/>
  <c r="K135" i="4"/>
  <c r="K74" i="4"/>
  <c r="K66" i="4"/>
  <c r="K18" i="4"/>
  <c r="K114" i="4"/>
  <c r="K68" i="4"/>
  <c r="J196" i="4" l="1"/>
  <c r="J170" i="4"/>
  <c r="J169" i="4"/>
  <c r="J163" i="4"/>
  <c r="J152" i="4"/>
  <c r="J146" i="4" l="1"/>
  <c r="J115" i="4"/>
  <c r="J114" i="4"/>
  <c r="J69" i="4" l="1"/>
  <c r="N18" i="4" l="1"/>
  <c r="N19" i="4"/>
  <c r="N20" i="4"/>
  <c r="N21" i="4"/>
  <c r="O21" i="4"/>
  <c r="N22" i="4"/>
  <c r="N23" i="4"/>
  <c r="N24" i="4"/>
  <c r="N25" i="4"/>
  <c r="N26" i="4"/>
  <c r="N28" i="4"/>
  <c r="N29" i="4"/>
  <c r="N30" i="4"/>
  <c r="O31" i="4"/>
  <c r="P31" i="4"/>
  <c r="N32" i="4"/>
  <c r="N34" i="4"/>
  <c r="N35" i="4"/>
  <c r="N36" i="4"/>
  <c r="N37" i="4"/>
  <c r="O37" i="4"/>
  <c r="P37" i="4"/>
  <c r="N39" i="4"/>
  <c r="N40" i="4"/>
  <c r="N41" i="4"/>
  <c r="N42" i="4"/>
  <c r="N43" i="4"/>
  <c r="N44" i="4"/>
  <c r="N45" i="4"/>
  <c r="N46" i="4"/>
  <c r="N47" i="4"/>
  <c r="N48" i="4"/>
  <c r="N50" i="4"/>
  <c r="M51" i="4"/>
  <c r="N51" i="4"/>
  <c r="N52" i="4"/>
  <c r="N53" i="4"/>
  <c r="N54" i="4"/>
  <c r="N55" i="4"/>
  <c r="N56" i="4"/>
  <c r="N57" i="4"/>
  <c r="N58" i="4"/>
  <c r="N59" i="4"/>
  <c r="N60" i="4"/>
  <c r="N64" i="4"/>
  <c r="N65" i="4"/>
  <c r="N66" i="4"/>
  <c r="O66" i="4"/>
  <c r="N67" i="4"/>
  <c r="N68" i="4"/>
  <c r="N71" i="4"/>
  <c r="N72" i="4"/>
  <c r="N73" i="4"/>
  <c r="N74" i="4"/>
  <c r="O74" i="4"/>
  <c r="N75" i="4"/>
  <c r="N76" i="4"/>
  <c r="O76" i="4"/>
  <c r="N77" i="4"/>
  <c r="N78" i="4"/>
  <c r="N79" i="4"/>
  <c r="O80" i="4"/>
  <c r="P80" i="4"/>
  <c r="O81" i="4"/>
  <c r="P81" i="4"/>
  <c r="N82" i="4"/>
  <c r="O83" i="4"/>
  <c r="O84" i="4"/>
  <c r="P84" i="4"/>
  <c r="N85" i="4"/>
  <c r="O86" i="4"/>
  <c r="N87" i="4"/>
  <c r="N88" i="4"/>
  <c r="N89" i="4"/>
  <c r="N90" i="4"/>
  <c r="N91" i="4"/>
  <c r="N92" i="4"/>
  <c r="N95" i="4"/>
  <c r="N96" i="4"/>
  <c r="N97" i="4"/>
  <c r="N98" i="4"/>
  <c r="N99" i="4"/>
  <c r="N100" i="4"/>
  <c r="N101" i="4"/>
  <c r="N102" i="4"/>
  <c r="N103" i="4"/>
  <c r="N104" i="4"/>
  <c r="M105" i="4"/>
  <c r="N105" i="4"/>
  <c r="N106" i="4"/>
  <c r="N107" i="4"/>
  <c r="N108" i="4"/>
  <c r="N109" i="4"/>
  <c r="N110" i="4"/>
  <c r="N111" i="4"/>
  <c r="N112" i="4"/>
  <c r="N113" i="4"/>
  <c r="O113" i="4"/>
  <c r="P113" i="4"/>
  <c r="N114" i="4"/>
  <c r="N115" i="4"/>
  <c r="N117" i="4"/>
  <c r="N118" i="4"/>
  <c r="N119" i="4"/>
  <c r="N121" i="4"/>
  <c r="N124" i="4"/>
  <c r="N125" i="4"/>
  <c r="N126" i="4"/>
  <c r="N127" i="4"/>
  <c r="N130" i="4"/>
  <c r="N131" i="4"/>
  <c r="N132" i="4"/>
  <c r="O132" i="4"/>
  <c r="N133" i="4"/>
  <c r="N134" i="4"/>
  <c r="N135" i="4"/>
  <c r="N136" i="4"/>
  <c r="O136" i="4"/>
  <c r="N137" i="4"/>
  <c r="N138" i="4"/>
  <c r="N139" i="4"/>
  <c r="N140" i="4"/>
  <c r="N141" i="4"/>
  <c r="N144" i="4"/>
  <c r="N145" i="4"/>
  <c r="N146" i="4"/>
  <c r="N147" i="4"/>
  <c r="N148" i="4"/>
  <c r="N149" i="4"/>
  <c r="N150" i="4"/>
  <c r="N151" i="4"/>
  <c r="N152" i="4"/>
  <c r="O153" i="4"/>
  <c r="N156" i="4"/>
  <c r="N157" i="4"/>
  <c r="N158" i="4"/>
  <c r="N159" i="4"/>
  <c r="N160" i="4"/>
  <c r="N161" i="4"/>
  <c r="N162" i="4"/>
  <c r="N163" i="4"/>
  <c r="O164" i="4"/>
  <c r="P164" i="4"/>
  <c r="N165" i="4"/>
  <c r="N166" i="4"/>
  <c r="N167" i="4"/>
  <c r="O168" i="4"/>
  <c r="N169" i="4"/>
  <c r="N170" i="4"/>
  <c r="M171" i="4"/>
  <c r="N174" i="4"/>
  <c r="N175" i="4"/>
  <c r="N176" i="4"/>
  <c r="N177" i="4"/>
  <c r="O178" i="4"/>
  <c r="P178" i="4"/>
  <c r="N179" i="4"/>
  <c r="O179" i="4"/>
  <c r="P179" i="4"/>
  <c r="M180" i="4"/>
  <c r="N180" i="4"/>
  <c r="N181" i="4"/>
  <c r="N183" i="4"/>
  <c r="N184" i="4"/>
  <c r="O185" i="4"/>
  <c r="N186" i="4"/>
  <c r="N189" i="4"/>
  <c r="N190" i="4"/>
  <c r="N191" i="4"/>
  <c r="N192" i="4"/>
  <c r="N193" i="4"/>
  <c r="M194" i="4"/>
  <c r="N194" i="4"/>
  <c r="N195" i="4"/>
  <c r="N196" i="4"/>
  <c r="N197" i="4"/>
  <c r="N198" i="4"/>
  <c r="M201" i="4"/>
  <c r="N201" i="4"/>
  <c r="N202" i="4"/>
  <c r="N203" i="4"/>
  <c r="N204" i="4"/>
  <c r="O205" i="4"/>
  <c r="P205" i="4"/>
  <c r="N206" i="4"/>
  <c r="N207" i="4"/>
  <c r="L219" i="4"/>
  <c r="P219" i="4" s="1"/>
  <c r="K219" i="4"/>
  <c r="O219" i="4" s="1"/>
  <c r="J219" i="4"/>
  <c r="L215" i="4"/>
  <c r="K215" i="4"/>
  <c r="J215" i="4"/>
  <c r="L214" i="4"/>
  <c r="K214" i="4"/>
  <c r="J214" i="4"/>
  <c r="L213" i="4"/>
  <c r="K213" i="4"/>
  <c r="O213" i="4" s="1"/>
  <c r="J213" i="4"/>
  <c r="L211" i="4"/>
  <c r="K211" i="4"/>
  <c r="I209" i="4"/>
  <c r="I207" i="4"/>
  <c r="M207" i="4" s="1"/>
  <c r="I206" i="4"/>
  <c r="I205" i="4"/>
  <c r="M205" i="4" s="1"/>
  <c r="I204" i="4"/>
  <c r="I203" i="4"/>
  <c r="M203" i="4" s="1"/>
  <c r="I202" i="4"/>
  <c r="I201" i="4"/>
  <c r="L200" i="4"/>
  <c r="L199" i="4" s="1"/>
  <c r="K200" i="4"/>
  <c r="K199" i="4" s="1"/>
  <c r="J200" i="4"/>
  <c r="I198" i="4"/>
  <c r="I197" i="4"/>
  <c r="M197" i="4" s="1"/>
  <c r="I196" i="4"/>
  <c r="M196" i="4" s="1"/>
  <c r="I195" i="4"/>
  <c r="M195" i="4" s="1"/>
  <c r="I194" i="4"/>
  <c r="I193" i="4"/>
  <c r="M193" i="4" s="1"/>
  <c r="I192" i="4"/>
  <c r="I191" i="4"/>
  <c r="M191" i="4" s="1"/>
  <c r="I190" i="4"/>
  <c r="M190" i="4" s="1"/>
  <c r="I189" i="4"/>
  <c r="L188" i="4"/>
  <c r="L187" i="4" s="1"/>
  <c r="K188" i="4"/>
  <c r="K187" i="4" s="1"/>
  <c r="J188" i="4"/>
  <c r="J187" i="4" s="1"/>
  <c r="I186" i="4"/>
  <c r="M186" i="4" s="1"/>
  <c r="I185" i="4"/>
  <c r="I184" i="4"/>
  <c r="M184" i="4" s="1"/>
  <c r="I183" i="4"/>
  <c r="M183" i="4" s="1"/>
  <c r="L173" i="4"/>
  <c r="L172" i="4" s="1"/>
  <c r="I182" i="4"/>
  <c r="I181" i="4"/>
  <c r="M181" i="4" s="1"/>
  <c r="I180" i="4"/>
  <c r="I179" i="4"/>
  <c r="I178" i="4"/>
  <c r="I177" i="4"/>
  <c r="I176" i="4"/>
  <c r="M176" i="4" s="1"/>
  <c r="I175" i="4"/>
  <c r="M175" i="4" s="1"/>
  <c r="I174" i="4"/>
  <c r="J173" i="4"/>
  <c r="J172" i="4" s="1"/>
  <c r="I171" i="4"/>
  <c r="I170" i="4"/>
  <c r="I169" i="4"/>
  <c r="I168" i="4"/>
  <c r="I167" i="4"/>
  <c r="M167" i="4" s="1"/>
  <c r="I166" i="4"/>
  <c r="I165" i="4"/>
  <c r="I164" i="4"/>
  <c r="I163" i="4"/>
  <c r="I162" i="4"/>
  <c r="I161" i="4"/>
  <c r="M161" i="4" s="1"/>
  <c r="I160" i="4"/>
  <c r="M160" i="4" s="1"/>
  <c r="I159" i="4"/>
  <c r="I158" i="4"/>
  <c r="M158" i="4" s="1"/>
  <c r="I157" i="4"/>
  <c r="M157" i="4" s="1"/>
  <c r="I156" i="4"/>
  <c r="L155" i="4"/>
  <c r="L154" i="4" s="1"/>
  <c r="K155" i="4"/>
  <c r="K154" i="4" s="1"/>
  <c r="J155" i="4"/>
  <c r="J154" i="4" s="1"/>
  <c r="I153" i="4"/>
  <c r="M153" i="4" s="1"/>
  <c r="I152" i="4"/>
  <c r="I151" i="4"/>
  <c r="M151" i="4" s="1"/>
  <c r="I150" i="4"/>
  <c r="I149" i="4"/>
  <c r="M149" i="4" s="1"/>
  <c r="I148" i="4"/>
  <c r="I147" i="4"/>
  <c r="I146" i="4"/>
  <c r="I145" i="4"/>
  <c r="I144" i="4"/>
  <c r="L143" i="4"/>
  <c r="L142" i="4" s="1"/>
  <c r="K143" i="4"/>
  <c r="K142" i="4" s="1"/>
  <c r="J143" i="4"/>
  <c r="I141" i="4"/>
  <c r="I140" i="4"/>
  <c r="M140" i="4" s="1"/>
  <c r="I139" i="4"/>
  <c r="M139" i="4" s="1"/>
  <c r="I138" i="4"/>
  <c r="I137" i="4"/>
  <c r="I136" i="4"/>
  <c r="I135" i="4"/>
  <c r="I134" i="4"/>
  <c r="I133" i="4"/>
  <c r="I132" i="4"/>
  <c r="I131" i="4"/>
  <c r="I130" i="4"/>
  <c r="L129" i="4"/>
  <c r="L128" i="4" s="1"/>
  <c r="K129" i="4"/>
  <c r="K128" i="4" s="1"/>
  <c r="J129" i="4"/>
  <c r="I127" i="4"/>
  <c r="I126" i="4"/>
  <c r="M126" i="4" s="1"/>
  <c r="I125" i="4"/>
  <c r="M125" i="4" s="1"/>
  <c r="I124" i="4"/>
  <c r="L123" i="4"/>
  <c r="K123" i="4"/>
  <c r="K122" i="4" s="1"/>
  <c r="J123" i="4"/>
  <c r="J122" i="4" s="1"/>
  <c r="L122" i="4"/>
  <c r="I121" i="4"/>
  <c r="M121" i="4" s="1"/>
  <c r="J120" i="4"/>
  <c r="N120" i="4" s="1"/>
  <c r="I119" i="4"/>
  <c r="M119" i="4" s="1"/>
  <c r="I118" i="4"/>
  <c r="I117" i="4"/>
  <c r="J116" i="4"/>
  <c r="I116" i="4" s="1"/>
  <c r="I115" i="4"/>
  <c r="I114" i="4"/>
  <c r="I113" i="4"/>
  <c r="M113" i="4" s="1"/>
  <c r="I112" i="4"/>
  <c r="M112" i="4" s="1"/>
  <c r="I111" i="4"/>
  <c r="I110" i="4"/>
  <c r="I109" i="4"/>
  <c r="I108" i="4"/>
  <c r="M108" i="4" s="1"/>
  <c r="I107" i="4"/>
  <c r="M107" i="4" s="1"/>
  <c r="I106" i="4"/>
  <c r="I105" i="4"/>
  <c r="I104" i="4"/>
  <c r="M104" i="4" s="1"/>
  <c r="I103" i="4"/>
  <c r="I102" i="4"/>
  <c r="I101" i="4"/>
  <c r="I100" i="4"/>
  <c r="I99" i="4"/>
  <c r="M99" i="4" s="1"/>
  <c r="I98" i="4"/>
  <c r="I97" i="4"/>
  <c r="I96" i="4"/>
  <c r="M96" i="4" s="1"/>
  <c r="I95" i="4"/>
  <c r="M95" i="4" s="1"/>
  <c r="L94" i="4"/>
  <c r="L93" i="4" s="1"/>
  <c r="K94" i="4"/>
  <c r="K93" i="4" s="1"/>
  <c r="I92" i="4"/>
  <c r="M92" i="4" s="1"/>
  <c r="I91" i="4"/>
  <c r="I90" i="4"/>
  <c r="I89" i="4"/>
  <c r="M89" i="4" s="1"/>
  <c r="I88" i="4"/>
  <c r="M88" i="4" s="1"/>
  <c r="I87" i="4"/>
  <c r="I86" i="4"/>
  <c r="I85" i="4"/>
  <c r="M85" i="4" s="1"/>
  <c r="I84" i="4"/>
  <c r="M84" i="4" s="1"/>
  <c r="I83" i="4"/>
  <c r="M83" i="4" s="1"/>
  <c r="I82" i="4"/>
  <c r="I81" i="4"/>
  <c r="M81" i="4" s="1"/>
  <c r="I80" i="4"/>
  <c r="I79" i="4"/>
  <c r="I78" i="4"/>
  <c r="I77" i="4"/>
  <c r="I76" i="4"/>
  <c r="I75" i="4"/>
  <c r="I74" i="4"/>
  <c r="I73" i="4"/>
  <c r="M73" i="4" s="1"/>
  <c r="I72" i="4"/>
  <c r="M72" i="4" s="1"/>
  <c r="I71" i="4"/>
  <c r="M71" i="4" s="1"/>
  <c r="I70" i="4"/>
  <c r="I69" i="4"/>
  <c r="I68" i="4"/>
  <c r="I67" i="4"/>
  <c r="I66" i="4"/>
  <c r="I65" i="4"/>
  <c r="M65" i="4" s="1"/>
  <c r="I64" i="4"/>
  <c r="L63" i="4"/>
  <c r="L62" i="4" s="1"/>
  <c r="K63" i="4"/>
  <c r="K62" i="4" s="1"/>
  <c r="I61" i="4"/>
  <c r="M61" i="4" s="1"/>
  <c r="I60" i="4"/>
  <c r="M60" i="4" s="1"/>
  <c r="I59" i="4"/>
  <c r="M59" i="4" s="1"/>
  <c r="I58" i="4"/>
  <c r="I57" i="4"/>
  <c r="I56" i="4"/>
  <c r="I55" i="4"/>
  <c r="M55" i="4" s="1"/>
  <c r="I54" i="4"/>
  <c r="I53" i="4"/>
  <c r="M53" i="4" s="1"/>
  <c r="I52" i="4"/>
  <c r="M52" i="4" s="1"/>
  <c r="I51" i="4"/>
  <c r="I50" i="4"/>
  <c r="L49" i="4"/>
  <c r="L218" i="4" s="1"/>
  <c r="K49" i="4"/>
  <c r="K218" i="4" s="1"/>
  <c r="O218" i="4" s="1"/>
  <c r="J49" i="4"/>
  <c r="J218" i="4" s="1"/>
  <c r="I48" i="4"/>
  <c r="M48" i="4" s="1"/>
  <c r="I47" i="4"/>
  <c r="I46" i="4"/>
  <c r="M46" i="4" s="1"/>
  <c r="I45" i="4"/>
  <c r="M45" i="4" s="1"/>
  <c r="I44" i="4"/>
  <c r="I43" i="4"/>
  <c r="M43" i="4" s="1"/>
  <c r="I42" i="4"/>
  <c r="I41" i="4"/>
  <c r="I40" i="4"/>
  <c r="M40" i="4" s="1"/>
  <c r="I39" i="4"/>
  <c r="L38" i="4"/>
  <c r="L217" i="4" s="1"/>
  <c r="P217" i="4" s="1"/>
  <c r="K38" i="4"/>
  <c r="K217" i="4" s="1"/>
  <c r="J38" i="4"/>
  <c r="I37" i="4"/>
  <c r="M37" i="4" s="1"/>
  <c r="I36" i="4"/>
  <c r="I35" i="4"/>
  <c r="I34" i="4"/>
  <c r="L33" i="4"/>
  <c r="L216" i="4" s="1"/>
  <c r="K33" i="4"/>
  <c r="K216" i="4" s="1"/>
  <c r="J33" i="4"/>
  <c r="J216" i="4" s="1"/>
  <c r="I32" i="4"/>
  <c r="I31" i="4"/>
  <c r="M31" i="4" s="1"/>
  <c r="I30" i="4"/>
  <c r="M30" i="4" s="1"/>
  <c r="I29" i="4"/>
  <c r="M29" i="4" s="1"/>
  <c r="I28" i="4"/>
  <c r="M28" i="4" s="1"/>
  <c r="L27" i="4"/>
  <c r="L212" i="4" s="1"/>
  <c r="K27" i="4"/>
  <c r="K212" i="4" s="1"/>
  <c r="J27" i="4"/>
  <c r="J212" i="4" s="1"/>
  <c r="I26" i="4"/>
  <c r="I25" i="4"/>
  <c r="I24" i="4"/>
  <c r="I23" i="4"/>
  <c r="I22" i="4"/>
  <c r="I21" i="4"/>
  <c r="M21" i="4" s="1"/>
  <c r="I20" i="4"/>
  <c r="I19" i="4"/>
  <c r="I18" i="4"/>
  <c r="L17" i="4"/>
  <c r="L210" i="4" s="1"/>
  <c r="K17" i="4"/>
  <c r="K210" i="4" s="1"/>
  <c r="J17" i="4"/>
  <c r="G211" i="4"/>
  <c r="H211" i="4"/>
  <c r="F213" i="4"/>
  <c r="G213" i="4"/>
  <c r="H213" i="4"/>
  <c r="F214" i="4"/>
  <c r="G214" i="4"/>
  <c r="H214" i="4"/>
  <c r="F215" i="4"/>
  <c r="G215" i="4"/>
  <c r="H215" i="4"/>
  <c r="F216" i="4"/>
  <c r="F219" i="4"/>
  <c r="G219" i="4"/>
  <c r="H219" i="4"/>
  <c r="G200" i="4"/>
  <c r="G199" i="4" s="1"/>
  <c r="H200" i="4"/>
  <c r="H199" i="4" s="1"/>
  <c r="F200" i="4"/>
  <c r="F199" i="4" s="1"/>
  <c r="F187" i="4"/>
  <c r="G188" i="4"/>
  <c r="E188" i="4" s="1"/>
  <c r="H188" i="4"/>
  <c r="H187" i="4" s="1"/>
  <c r="P187" i="4" s="1"/>
  <c r="F188" i="4"/>
  <c r="G173" i="4"/>
  <c r="E173" i="4" s="1"/>
  <c r="F173" i="4"/>
  <c r="F172" i="4" s="1"/>
  <c r="F154" i="4"/>
  <c r="G155" i="4"/>
  <c r="G154" i="4" s="1"/>
  <c r="H155" i="4"/>
  <c r="H154" i="4" s="1"/>
  <c r="P154" i="4" s="1"/>
  <c r="F155" i="4"/>
  <c r="G143" i="4"/>
  <c r="G142" i="4" s="1"/>
  <c r="H143" i="4"/>
  <c r="H142" i="4" s="1"/>
  <c r="F143" i="4"/>
  <c r="F142" i="4" s="1"/>
  <c r="F128" i="4"/>
  <c r="G129" i="4"/>
  <c r="G128" i="4" s="1"/>
  <c r="E128" i="4" s="1"/>
  <c r="H129" i="4"/>
  <c r="H128" i="4" s="1"/>
  <c r="F129" i="4"/>
  <c r="G123" i="4"/>
  <c r="G122" i="4" s="1"/>
  <c r="H123" i="4"/>
  <c r="H122" i="4" s="1"/>
  <c r="F123" i="4"/>
  <c r="F122" i="4" s="1"/>
  <c r="F120" i="4"/>
  <c r="F94" i="4" s="1"/>
  <c r="F93" i="4" s="1"/>
  <c r="F116" i="4"/>
  <c r="E116" i="4" s="1"/>
  <c r="F69" i="4"/>
  <c r="F63" i="4" s="1"/>
  <c r="F62" i="4" s="1"/>
  <c r="G93" i="4"/>
  <c r="H93" i="4"/>
  <c r="G94" i="4"/>
  <c r="H94" i="4"/>
  <c r="G63" i="4"/>
  <c r="G62" i="4" s="1"/>
  <c r="H63" i="4"/>
  <c r="H62" i="4" s="1"/>
  <c r="G49" i="4"/>
  <c r="G218" i="4" s="1"/>
  <c r="H49" i="4"/>
  <c r="H218" i="4" s="1"/>
  <c r="F49" i="4"/>
  <c r="F218" i="4" s="1"/>
  <c r="G38" i="4"/>
  <c r="G217" i="4" s="1"/>
  <c r="H38" i="4"/>
  <c r="H217" i="4" s="1"/>
  <c r="F38" i="4"/>
  <c r="F217" i="4" s="1"/>
  <c r="G33" i="4"/>
  <c r="G216" i="4" s="1"/>
  <c r="H33" i="4"/>
  <c r="H216" i="4" s="1"/>
  <c r="F33" i="4"/>
  <c r="G27" i="4"/>
  <c r="G212" i="4" s="1"/>
  <c r="O212" i="4" s="1"/>
  <c r="H27" i="4"/>
  <c r="H212" i="4" s="1"/>
  <c r="P212" i="4" s="1"/>
  <c r="F27" i="4"/>
  <c r="F212" i="4" s="1"/>
  <c r="G17" i="4"/>
  <c r="G210" i="4" s="1"/>
  <c r="H17" i="4"/>
  <c r="H210" i="4" s="1"/>
  <c r="F17" i="4"/>
  <c r="F210" i="4" s="1"/>
  <c r="E205" i="4"/>
  <c r="H182" i="4"/>
  <c r="P182" i="4" s="1"/>
  <c r="G182" i="4"/>
  <c r="O182" i="4" s="1"/>
  <c r="E196" i="4"/>
  <c r="E180" i="4"/>
  <c r="E167" i="4"/>
  <c r="E156" i="4"/>
  <c r="E151" i="4"/>
  <c r="E147" i="4"/>
  <c r="E140" i="4"/>
  <c r="E139" i="4"/>
  <c r="E138" i="4"/>
  <c r="E137" i="4"/>
  <c r="E131" i="4"/>
  <c r="E119" i="4"/>
  <c r="E111" i="4"/>
  <c r="E106" i="4"/>
  <c r="E92" i="4"/>
  <c r="E84" i="4"/>
  <c r="E82" i="4"/>
  <c r="E67" i="4"/>
  <c r="E57" i="4"/>
  <c r="E51" i="4"/>
  <c r="E48" i="4"/>
  <c r="E46" i="4"/>
  <c r="E43" i="4"/>
  <c r="E41" i="4"/>
  <c r="E35" i="4"/>
  <c r="E30" i="4"/>
  <c r="E25" i="4"/>
  <c r="E19" i="4"/>
  <c r="E71" i="4"/>
  <c r="E87" i="4"/>
  <c r="E95" i="4"/>
  <c r="E103" i="4"/>
  <c r="E127" i="4"/>
  <c r="E175" i="4"/>
  <c r="E183" i="4"/>
  <c r="E191" i="4"/>
  <c r="E207" i="4"/>
  <c r="E202" i="4"/>
  <c r="E163" i="4"/>
  <c r="E150" i="4"/>
  <c r="E148" i="4"/>
  <c r="E136" i="4"/>
  <c r="E132" i="4"/>
  <c r="E124" i="4"/>
  <c r="E114" i="4"/>
  <c r="E102" i="4"/>
  <c r="E99" i="4"/>
  <c r="E91" i="4"/>
  <c r="E90" i="4"/>
  <c r="E215" i="4" s="1"/>
  <c r="E88" i="4"/>
  <c r="E69" i="4"/>
  <c r="E68" i="4"/>
  <c r="E50" i="4"/>
  <c r="E34" i="4"/>
  <c r="E21" i="4"/>
  <c r="E36" i="4"/>
  <c r="E58" i="4"/>
  <c r="E64" i="4"/>
  <c r="E75" i="4"/>
  <c r="E123" i="4"/>
  <c r="E152" i="4"/>
  <c r="E158" i="4"/>
  <c r="E165" i="4"/>
  <c r="E179" i="4"/>
  <c r="E193" i="4"/>
  <c r="E198" i="4"/>
  <c r="E164" i="4"/>
  <c r="E149" i="4"/>
  <c r="E141" i="4"/>
  <c r="E108" i="4"/>
  <c r="E107" i="4"/>
  <c r="E100" i="4"/>
  <c r="E89" i="4"/>
  <c r="E86" i="4"/>
  <c r="E85" i="4"/>
  <c r="E80" i="4"/>
  <c r="M80" i="4" s="1"/>
  <c r="E78" i="4"/>
  <c r="E59" i="4"/>
  <c r="E47" i="4"/>
  <c r="E44" i="4"/>
  <c r="E39" i="4"/>
  <c r="E37" i="4"/>
  <c r="E70" i="4"/>
  <c r="E203" i="4"/>
  <c r="E209" i="4"/>
  <c r="E190" i="4"/>
  <c r="E185" i="4"/>
  <c r="E177" i="4"/>
  <c r="E169" i="4"/>
  <c r="E153" i="4"/>
  <c r="E145" i="4"/>
  <c r="E133" i="4"/>
  <c r="E126" i="4"/>
  <c r="E113" i="4"/>
  <c r="E77" i="4"/>
  <c r="E73" i="4"/>
  <c r="E60" i="4"/>
  <c r="E45" i="4"/>
  <c r="E40" i="4"/>
  <c r="E20" i="4"/>
  <c r="E201" i="4"/>
  <c r="E197" i="4"/>
  <c r="E195" i="4"/>
  <c r="E194" i="4"/>
  <c r="E192" i="4"/>
  <c r="E189" i="4"/>
  <c r="E186" i="4"/>
  <c r="E184" i="4"/>
  <c r="E181" i="4"/>
  <c r="E178" i="4"/>
  <c r="E176" i="4"/>
  <c r="E174" i="4"/>
  <c r="E171" i="4"/>
  <c r="E170" i="4"/>
  <c r="E168" i="4"/>
  <c r="E166" i="4"/>
  <c r="E162" i="4"/>
  <c r="E161" i="4"/>
  <c r="E160" i="4"/>
  <c r="E157" i="4"/>
  <c r="E146" i="4"/>
  <c r="E144" i="4"/>
  <c r="E134" i="4"/>
  <c r="M134" i="4" s="1"/>
  <c r="E130" i="4"/>
  <c r="E125" i="4"/>
  <c r="E121" i="4"/>
  <c r="E117" i="4"/>
  <c r="E115" i="4"/>
  <c r="E112" i="4"/>
  <c r="E110" i="4"/>
  <c r="E109" i="4"/>
  <c r="E105" i="4"/>
  <c r="E104" i="4"/>
  <c r="E101" i="4"/>
  <c r="E98" i="4"/>
  <c r="E97" i="4"/>
  <c r="M97" i="4" s="1"/>
  <c r="E96" i="4"/>
  <c r="E83" i="4"/>
  <c r="E81" i="4"/>
  <c r="E76" i="4"/>
  <c r="E74" i="4"/>
  <c r="E72" i="4"/>
  <c r="E65" i="4"/>
  <c r="E61" i="4"/>
  <c r="E56" i="4"/>
  <c r="E55" i="4"/>
  <c r="E54" i="4"/>
  <c r="E53" i="4"/>
  <c r="E52" i="4"/>
  <c r="E42" i="4"/>
  <c r="E31" i="4"/>
  <c r="E29" i="4"/>
  <c r="E28" i="4"/>
  <c r="E26" i="4"/>
  <c r="E23" i="4"/>
  <c r="E142" i="4" l="1"/>
  <c r="O142" i="4"/>
  <c r="O199" i="4"/>
  <c r="P199" i="4"/>
  <c r="H220" i="4"/>
  <c r="G220" i="4"/>
  <c r="M47" i="4"/>
  <c r="M57" i="4"/>
  <c r="M69" i="4"/>
  <c r="O93" i="4"/>
  <c r="M117" i="4"/>
  <c r="M137" i="4"/>
  <c r="M147" i="4"/>
  <c r="M170" i="4"/>
  <c r="M204" i="4"/>
  <c r="P188" i="4"/>
  <c r="O128" i="4"/>
  <c r="E27" i="4"/>
  <c r="F16" i="4"/>
  <c r="F15" i="4" s="1"/>
  <c r="F208" i="4" s="1"/>
  <c r="I38" i="4"/>
  <c r="M58" i="4"/>
  <c r="M82" i="4"/>
  <c r="M106" i="4"/>
  <c r="M127" i="4"/>
  <c r="M138" i="4"/>
  <c r="M148" i="4"/>
  <c r="N215" i="4"/>
  <c r="O188" i="4"/>
  <c r="P155" i="4"/>
  <c r="E33" i="4"/>
  <c r="M39" i="4"/>
  <c r="M109" i="4"/>
  <c r="M141" i="4"/>
  <c r="M162" i="4"/>
  <c r="P200" i="4"/>
  <c r="O143" i="4"/>
  <c r="N69" i="4"/>
  <c r="F211" i="4"/>
  <c r="F220" i="4" s="1"/>
  <c r="E220" i="4" s="1"/>
  <c r="M174" i="4"/>
  <c r="G187" i="4"/>
  <c r="O187" i="4" s="1"/>
  <c r="M50" i="4"/>
  <c r="O62" i="4"/>
  <c r="M74" i="4"/>
  <c r="M86" i="4"/>
  <c r="M98" i="4"/>
  <c r="M110" i="4"/>
  <c r="M130" i="4"/>
  <c r="M152" i="4"/>
  <c r="M163" i="4"/>
  <c r="N187" i="4"/>
  <c r="M198" i="4"/>
  <c r="O211" i="4"/>
  <c r="N219" i="4"/>
  <c r="O200" i="4"/>
  <c r="N218" i="4"/>
  <c r="G16" i="4"/>
  <c r="G15" i="4" s="1"/>
  <c r="M20" i="4"/>
  <c r="M185" i="4"/>
  <c r="M23" i="4"/>
  <c r="N216" i="4"/>
  <c r="M41" i="4"/>
  <c r="P62" i="4"/>
  <c r="M75" i="4"/>
  <c r="M87" i="4"/>
  <c r="M111" i="4"/>
  <c r="M131" i="4"/>
  <c r="I143" i="4"/>
  <c r="M164" i="4"/>
  <c r="M177" i="4"/>
  <c r="I200" i="4"/>
  <c r="P211" i="4"/>
  <c r="M19" i="4"/>
  <c r="M150" i="4"/>
  <c r="H173" i="4"/>
  <c r="H172" i="4" s="1"/>
  <c r="P172" i="4" s="1"/>
  <c r="O216" i="4"/>
  <c r="M42" i="4"/>
  <c r="M64" i="4"/>
  <c r="M76" i="4"/>
  <c r="M100" i="4"/>
  <c r="I122" i="4"/>
  <c r="M122" i="4" s="1"/>
  <c r="M132" i="4"/>
  <c r="N154" i="4"/>
  <c r="M165" i="4"/>
  <c r="M178" i="4"/>
  <c r="N213" i="4"/>
  <c r="O217" i="4"/>
  <c r="M206" i="4"/>
  <c r="M25" i="4"/>
  <c r="P216" i="4"/>
  <c r="M77" i="4"/>
  <c r="M101" i="4"/>
  <c r="M133" i="4"/>
  <c r="O154" i="4"/>
  <c r="M166" i="4"/>
  <c r="M179" i="4"/>
  <c r="M189" i="4"/>
  <c r="H16" i="4"/>
  <c r="H15" i="4" s="1"/>
  <c r="H208" i="4" s="1"/>
  <c r="N172" i="4"/>
  <c r="E182" i="4"/>
  <c r="M182" i="4" s="1"/>
  <c r="M26" i="4"/>
  <c r="M34" i="4"/>
  <c r="M44" i="4"/>
  <c r="M54" i="4"/>
  <c r="M78" i="4"/>
  <c r="M90" i="4"/>
  <c r="M102" i="4"/>
  <c r="M114" i="4"/>
  <c r="M144" i="4"/>
  <c r="N17" i="4"/>
  <c r="N212" i="4"/>
  <c r="M35" i="4"/>
  <c r="M67" i="4"/>
  <c r="M91" i="4"/>
  <c r="M103" i="4"/>
  <c r="M115" i="4"/>
  <c r="M124" i="4"/>
  <c r="M145" i="4"/>
  <c r="M156" i="4"/>
  <c r="M168" i="4"/>
  <c r="M202" i="4"/>
  <c r="N214" i="4"/>
  <c r="G172" i="4"/>
  <c r="E172" i="4" s="1"/>
  <c r="M36" i="4"/>
  <c r="M56" i="4"/>
  <c r="M68" i="4"/>
  <c r="M116" i="4"/>
  <c r="M136" i="4"/>
  <c r="M146" i="4"/>
  <c r="M169" i="4"/>
  <c r="M192" i="4"/>
  <c r="N116" i="4"/>
  <c r="I129" i="4"/>
  <c r="M129" i="4" s="1"/>
  <c r="O129" i="4"/>
  <c r="O94" i="4"/>
  <c r="O155" i="4"/>
  <c r="P63" i="4"/>
  <c r="O63" i="4"/>
  <c r="N200" i="4"/>
  <c r="N188" i="4"/>
  <c r="N173" i="4"/>
  <c r="N155" i="4"/>
  <c r="N143" i="4"/>
  <c r="J142" i="4"/>
  <c r="N142" i="4" s="1"/>
  <c r="I214" i="4"/>
  <c r="N129" i="4"/>
  <c r="N123" i="4"/>
  <c r="I123" i="4"/>
  <c r="M123" i="4" s="1"/>
  <c r="N122" i="4"/>
  <c r="I215" i="4"/>
  <c r="M215" i="4" s="1"/>
  <c r="N49" i="4"/>
  <c r="N38" i="4"/>
  <c r="N33" i="4"/>
  <c r="N27" i="4"/>
  <c r="I219" i="4"/>
  <c r="J199" i="4"/>
  <c r="N199" i="4" s="1"/>
  <c r="I187" i="4"/>
  <c r="I154" i="4"/>
  <c r="I155" i="4"/>
  <c r="J94" i="4"/>
  <c r="I213" i="4"/>
  <c r="I211" i="4"/>
  <c r="J217" i="4"/>
  <c r="N217" i="4" s="1"/>
  <c r="I27" i="4"/>
  <c r="I17" i="4"/>
  <c r="K220" i="4"/>
  <c r="O220" i="4" s="1"/>
  <c r="L220" i="4"/>
  <c r="P220" i="4" s="1"/>
  <c r="I217" i="4"/>
  <c r="J211" i="4"/>
  <c r="I49" i="4"/>
  <c r="I120" i="4"/>
  <c r="J128" i="4"/>
  <c r="I188" i="4"/>
  <c r="M188" i="4" s="1"/>
  <c r="J16" i="4"/>
  <c r="K16" i="4"/>
  <c r="I33" i="4"/>
  <c r="L16" i="4"/>
  <c r="K173" i="4"/>
  <c r="O173" i="4" s="1"/>
  <c r="J210" i="4"/>
  <c r="N210" i="4" s="1"/>
  <c r="J63" i="4"/>
  <c r="N63" i="4" s="1"/>
  <c r="E122" i="4"/>
  <c r="E204" i="4"/>
  <c r="E22" i="4"/>
  <c r="M22" i="4" s="1"/>
  <c r="E79" i="4"/>
  <c r="M79" i="4" s="1"/>
  <c r="E38" i="4"/>
  <c r="E217" i="4" s="1"/>
  <c r="E154" i="4"/>
  <c r="E155" i="4"/>
  <c r="E62" i="4"/>
  <c r="E63" i="4"/>
  <c r="E18" i="4"/>
  <c r="M18" i="4" s="1"/>
  <c r="E49" i="4"/>
  <c r="E32" i="4"/>
  <c r="E118" i="4"/>
  <c r="M118" i="4" s="1"/>
  <c r="E143" i="4"/>
  <c r="E206" i="4"/>
  <c r="E129" i="4"/>
  <c r="E159" i="4"/>
  <c r="M159" i="4" s="1"/>
  <c r="E120" i="4"/>
  <c r="E66" i="4"/>
  <c r="E211" i="4" s="1"/>
  <c r="E199" i="4"/>
  <c r="E17" i="4"/>
  <c r="E210" i="4" s="1"/>
  <c r="L15" i="4" l="1"/>
  <c r="P16" i="4"/>
  <c r="M211" i="4"/>
  <c r="G208" i="4"/>
  <c r="M27" i="4"/>
  <c r="N16" i="4"/>
  <c r="E219" i="4"/>
  <c r="M219" i="4" s="1"/>
  <c r="M120" i="4"/>
  <c r="M143" i="4"/>
  <c r="M38" i="4"/>
  <c r="M217" i="4"/>
  <c r="M66" i="4"/>
  <c r="E213" i="4"/>
  <c r="M213" i="4" s="1"/>
  <c r="M32" i="4"/>
  <c r="M155" i="4"/>
  <c r="E218" i="4"/>
  <c r="M154" i="4"/>
  <c r="P173" i="4"/>
  <c r="E187" i="4"/>
  <c r="M187" i="4" s="1"/>
  <c r="N211" i="4"/>
  <c r="E216" i="4"/>
  <c r="K15" i="4"/>
  <c r="O15" i="4" s="1"/>
  <c r="O16" i="4"/>
  <c r="I199" i="4"/>
  <c r="M199" i="4" s="1"/>
  <c r="I142" i="4"/>
  <c r="M142" i="4" s="1"/>
  <c r="I128" i="4"/>
  <c r="M128" i="4" s="1"/>
  <c r="N128" i="4"/>
  <c r="I94" i="4"/>
  <c r="M94" i="4" s="1"/>
  <c r="N94" i="4"/>
  <c r="I218" i="4"/>
  <c r="M218" i="4" s="1"/>
  <c r="M49" i="4"/>
  <c r="I216" i="4"/>
  <c r="M33" i="4"/>
  <c r="I212" i="4"/>
  <c r="I210" i="4"/>
  <c r="M210" i="4" s="1"/>
  <c r="M17" i="4"/>
  <c r="J93" i="4"/>
  <c r="J15" i="4"/>
  <c r="N15" i="4" s="1"/>
  <c r="I16" i="4"/>
  <c r="M16" i="4" s="1"/>
  <c r="I63" i="4"/>
  <c r="M63" i="4" s="1"/>
  <c r="J62" i="4"/>
  <c r="I173" i="4"/>
  <c r="M173" i="4" s="1"/>
  <c r="K172" i="4"/>
  <c r="J220" i="4"/>
  <c r="E16" i="4"/>
  <c r="E93" i="4"/>
  <c r="E94" i="4"/>
  <c r="E200" i="4"/>
  <c r="M200" i="4" s="1"/>
  <c r="E24" i="4"/>
  <c r="E135" i="4"/>
  <c r="E214" i="4" l="1"/>
  <c r="M214" i="4" s="1"/>
  <c r="M135" i="4"/>
  <c r="L208" i="4"/>
  <c r="P208" i="4" s="1"/>
  <c r="P15" i="4"/>
  <c r="E212" i="4"/>
  <c r="M24" i="4"/>
  <c r="M212" i="4"/>
  <c r="M216" i="4"/>
  <c r="I172" i="4"/>
  <c r="M172" i="4" s="1"/>
  <c r="O172" i="4"/>
  <c r="I93" i="4"/>
  <c r="M93" i="4" s="1"/>
  <c r="N93" i="4"/>
  <c r="I62" i="4"/>
  <c r="M62" i="4" s="1"/>
  <c r="N62" i="4"/>
  <c r="I220" i="4"/>
  <c r="M220" i="4" s="1"/>
  <c r="N220" i="4"/>
  <c r="K208" i="4"/>
  <c r="O208" i="4" s="1"/>
  <c r="I15" i="4"/>
  <c r="J208" i="4"/>
  <c r="N208" i="4" s="1"/>
  <c r="E208" i="4"/>
  <c r="E15" i="4"/>
  <c r="M15" i="4" l="1"/>
  <c r="I208" i="4"/>
  <c r="M208" i="4" s="1"/>
</calcChain>
</file>

<file path=xl/sharedStrings.xml><?xml version="1.0" encoding="utf-8"?>
<sst xmlns="http://schemas.openxmlformats.org/spreadsheetml/2006/main" count="703" uniqueCount="425">
  <si>
    <t>бюджет розвитку</t>
  </si>
  <si>
    <t>РАЗОМ</t>
  </si>
  <si>
    <t>0111</t>
  </si>
  <si>
    <t>1090</t>
  </si>
  <si>
    <t>0320</t>
  </si>
  <si>
    <t>0133</t>
  </si>
  <si>
    <t>0470</t>
  </si>
  <si>
    <t>Заходи з енергозбереження</t>
  </si>
  <si>
    <t>0620</t>
  </si>
  <si>
    <t>0180</t>
  </si>
  <si>
    <t>1010</t>
  </si>
  <si>
    <t>0910</t>
  </si>
  <si>
    <t>1020</t>
  </si>
  <si>
    <t>0921</t>
  </si>
  <si>
    <t>1030</t>
  </si>
  <si>
    <t>0922</t>
  </si>
  <si>
    <t>0960</t>
  </si>
  <si>
    <t>0950</t>
  </si>
  <si>
    <t>0990</t>
  </si>
  <si>
    <t>1040</t>
  </si>
  <si>
    <t>0810</t>
  </si>
  <si>
    <t>0490</t>
  </si>
  <si>
    <t>1100000</t>
  </si>
  <si>
    <t>1110000</t>
  </si>
  <si>
    <t>5011</t>
  </si>
  <si>
    <t>1115011</t>
  </si>
  <si>
    <t>1500000</t>
  </si>
  <si>
    <t>1510000</t>
  </si>
  <si>
    <t>1060</t>
  </si>
  <si>
    <t>2010</t>
  </si>
  <si>
    <t>0731</t>
  </si>
  <si>
    <t>0722</t>
  </si>
  <si>
    <t>1070</t>
  </si>
  <si>
    <t>3112</t>
  </si>
  <si>
    <t>4060</t>
  </si>
  <si>
    <t>0824</t>
  </si>
  <si>
    <t>0828</t>
  </si>
  <si>
    <t>0829</t>
  </si>
  <si>
    <t>6030</t>
  </si>
  <si>
    <t>0456</t>
  </si>
  <si>
    <t>0540</t>
  </si>
  <si>
    <t>Проведення навчально-тренувальних зборів і змагань з олімпійських видів спорту</t>
  </si>
  <si>
    <t>Заходи державної політики з питань дітей та їх соціального захисту</t>
  </si>
  <si>
    <t>1115012</t>
  </si>
  <si>
    <t>5012</t>
  </si>
  <si>
    <t>Проведення навчально-тренувальних зборів і змагань з неолімпійських видів спорту</t>
  </si>
  <si>
    <t>5031</t>
  </si>
  <si>
    <t>1115061</t>
  </si>
  <si>
    <t>5061</t>
  </si>
  <si>
    <t>0150</t>
  </si>
  <si>
    <t>2100</t>
  </si>
  <si>
    <t>0600000</t>
  </si>
  <si>
    <t>0610000</t>
  </si>
  <si>
    <t>0160</t>
  </si>
  <si>
    <t>0610160</t>
  </si>
  <si>
    <t>0611010</t>
  </si>
  <si>
    <t>Надання дошкільної освіти</t>
  </si>
  <si>
    <t>0611070</t>
  </si>
  <si>
    <t>0200000</t>
  </si>
  <si>
    <t>0210000</t>
  </si>
  <si>
    <t>0210150</t>
  </si>
  <si>
    <t>0212010</t>
  </si>
  <si>
    <t>0212100</t>
  </si>
  <si>
    <t>0216030</t>
  </si>
  <si>
    <t>0615031</t>
  </si>
  <si>
    <t>0800000</t>
  </si>
  <si>
    <t>0810000</t>
  </si>
  <si>
    <t>0810160</t>
  </si>
  <si>
    <t>3121</t>
  </si>
  <si>
    <t>0813121</t>
  </si>
  <si>
    <t>1000000</t>
  </si>
  <si>
    <t>1010000</t>
  </si>
  <si>
    <t>1010160</t>
  </si>
  <si>
    <t>4030</t>
  </si>
  <si>
    <t>1014030</t>
  </si>
  <si>
    <t>Забезпечення діяльності бібліотек</t>
  </si>
  <si>
    <t>4040</t>
  </si>
  <si>
    <t>1014040</t>
  </si>
  <si>
    <t>1014060</t>
  </si>
  <si>
    <t>1110160</t>
  </si>
  <si>
    <t>3123</t>
  </si>
  <si>
    <t>3133</t>
  </si>
  <si>
    <t>1113133</t>
  </si>
  <si>
    <t>1200000</t>
  </si>
  <si>
    <t>1210000</t>
  </si>
  <si>
    <t>1210160</t>
  </si>
  <si>
    <t>1216030</t>
  </si>
  <si>
    <t>1510160</t>
  </si>
  <si>
    <t>3100000</t>
  </si>
  <si>
    <t>3110000</t>
  </si>
  <si>
    <t>3110160</t>
  </si>
  <si>
    <t>3700000</t>
  </si>
  <si>
    <t>3710000</t>
  </si>
  <si>
    <t>3710160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</si>
  <si>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</si>
  <si>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</si>
  <si>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Експлуатація та технічне обслуговування житлового фонду</t>
  </si>
  <si>
    <t>3110180</t>
  </si>
  <si>
    <t>Інша діяльність у сфері державного управління</t>
  </si>
  <si>
    <t>0813032</t>
  </si>
  <si>
    <t>3032</t>
  </si>
  <si>
    <t>0210170</t>
  </si>
  <si>
    <t>0170</t>
  </si>
  <si>
    <t>0131</t>
  </si>
  <si>
    <t>Підвищення кваліфікації депутатів місцевих рад та посадових осіб місцевого самоврядування</t>
  </si>
  <si>
    <t>7680</t>
  </si>
  <si>
    <t>0217680</t>
  </si>
  <si>
    <t>Членські внески до асоціацій органів місцевого самоврядування</t>
  </si>
  <si>
    <t>0210180</t>
  </si>
  <si>
    <t>3104</t>
  </si>
  <si>
    <t>0813104</t>
  </si>
  <si>
    <t>1050</t>
  </si>
  <si>
    <t>Організація та проведення громадських робіт</t>
  </si>
  <si>
    <t>6015</t>
  </si>
  <si>
    <t>1216015</t>
  </si>
  <si>
    <t>Забезпечення надійної та безперебійної експлуатації ліфтів</t>
  </si>
  <si>
    <t>1217461</t>
  </si>
  <si>
    <t>0443</t>
  </si>
  <si>
    <t>0218340</t>
  </si>
  <si>
    <t>0763</t>
  </si>
  <si>
    <t>1014082</t>
  </si>
  <si>
    <t>4082</t>
  </si>
  <si>
    <t>4081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</si>
  <si>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</si>
  <si>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</si>
  <si>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>Природоохоронні заходи за рахунок цільових фондів</t>
  </si>
  <si>
    <t>7693</t>
  </si>
  <si>
    <t>Заходи із запобігання та ліквідації надзвичайних ситуацій та наслідків стихійного лиха</t>
  </si>
  <si>
    <t>3210</t>
  </si>
  <si>
    <t>1213210</t>
  </si>
  <si>
    <t>0813160</t>
  </si>
  <si>
    <t>3160</t>
  </si>
  <si>
    <t>0813180</t>
  </si>
  <si>
    <t>3180</t>
  </si>
  <si>
    <t>0813192</t>
  </si>
  <si>
    <t>3192</t>
  </si>
  <si>
    <t>3242</t>
  </si>
  <si>
    <t>0213242</t>
  </si>
  <si>
    <t>0613242</t>
  </si>
  <si>
    <t>0813242</t>
  </si>
  <si>
    <t>1014081</t>
  </si>
  <si>
    <t>Забезпечення діяльності інших закладів у сфері освіти</t>
  </si>
  <si>
    <t>1216017</t>
  </si>
  <si>
    <t>6017</t>
  </si>
  <si>
    <t>Багатопрофільна стаціонарна медична допомога населенню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</si>
  <si>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</si>
  <si>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Інші субвенції з місцевого бюджету</t>
  </si>
  <si>
    <t>0810180</t>
  </si>
  <si>
    <t>0380</t>
  </si>
  <si>
    <t>Код Програмної класифікації видатків та кредитування місцевих бюджетів</t>
  </si>
  <si>
    <t>Код 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</si>
  <si>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</si>
  <si>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  головного розпорядника коштів місцевого бюджету/ відповідального виконавця, найменування бюджетної програми/ підпрограми згідно з Типовою програмною класифікацією видатків та кредитування місцевих бюджетів</t>
  </si>
  <si>
    <t>3050</t>
  </si>
  <si>
    <t>Пільгове медичне обслуговування осіб, які постраждали внаслідок Чорнобильської катастрофи</t>
  </si>
  <si>
    <t>0813050</t>
  </si>
  <si>
    <t>0813090</t>
  </si>
  <si>
    <t>3090</t>
  </si>
  <si>
    <t>Видатки на поховання учасників бойових дій та осіб з інвалідністю внаслідок війни</t>
  </si>
  <si>
    <t>0813171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</si>
  <si>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</si>
  <si>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</si>
  <si>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3117693</t>
  </si>
  <si>
    <t>ЗВІТ</t>
  </si>
  <si>
    <t>в  тому  числі</t>
  </si>
  <si>
    <t>в  тому   числі</t>
  </si>
  <si>
    <t>загальний фонд</t>
  </si>
  <si>
    <t>спеціальний фонд</t>
  </si>
  <si>
    <t>загальний  фонд</t>
  </si>
  <si>
    <t xml:space="preserve">з них </t>
  </si>
  <si>
    <t>0218210</t>
  </si>
  <si>
    <t>8210</t>
  </si>
  <si>
    <t>Муніципальні формування з охорони громадського порядку</t>
  </si>
  <si>
    <t>3116017</t>
  </si>
  <si>
    <t>2152</t>
  </si>
  <si>
    <t>1210170</t>
  </si>
  <si>
    <t>0611021</t>
  </si>
  <si>
    <t>1021</t>
  </si>
  <si>
    <t>0611022</t>
  </si>
  <si>
    <t>1022</t>
  </si>
  <si>
    <t>0611031</t>
  </si>
  <si>
    <t>1031</t>
  </si>
  <si>
    <t>0611032</t>
  </si>
  <si>
    <t>1032</t>
  </si>
  <si>
    <t>Надання позашкільної освіти закладами позашкільної освіти, заходи із позашкільної роботи з дітьми</t>
  </si>
  <si>
    <t>0611120</t>
  </si>
  <si>
    <t>1120</t>
  </si>
  <si>
    <t>Підвищення кваліфікації, перепідготовка кадрів закладами післядипломної освіти</t>
  </si>
  <si>
    <t>0611141</t>
  </si>
  <si>
    <t>1141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</si>
  <si>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</si>
  <si>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</si>
  <si>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</si>
  <si>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</si>
  <si>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Забезпечення діяльності інклюзивно-ресурсних центрів за рахунок освітньої субвенції</t>
  </si>
  <si>
    <t>1011080</t>
  </si>
  <si>
    <t>1080</t>
  </si>
  <si>
    <t>3718710</t>
  </si>
  <si>
    <t>8710</t>
  </si>
  <si>
    <t>Олександрівська селищна адміністрація Чорноморської міської ради Одеського району Одеської області</t>
  </si>
  <si>
    <t>Малодолинська сільська адміністрація Чорноморської міської ради Одеського району Одеської області</t>
  </si>
  <si>
    <t>Бурлачобалківська сільська адміністрація Чорноморської міської ради Одеського району Одеської області</t>
  </si>
  <si>
    <t>(код бюджету)</t>
  </si>
  <si>
    <t>0100</t>
  </si>
  <si>
    <t>Державне управління</t>
  </si>
  <si>
    <t>1000</t>
  </si>
  <si>
    <t>Освіта</t>
  </si>
  <si>
    <t>2000</t>
  </si>
  <si>
    <t>Охорона здоров'я</t>
  </si>
  <si>
    <t>3000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</si>
  <si>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</si>
  <si>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</si>
  <si>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</si>
  <si>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</si>
  <si>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</si>
  <si>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</si>
  <si>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</si>
  <si>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Субвенція з місцевого бюджету державному бюджету на виконання програм соціально-економічного розвитку регіонів</t>
  </si>
  <si>
    <t/>
  </si>
  <si>
    <t>Виконавчий комiтет Чорноморської мiської ради Одеського району Одеської областi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</si>
  <si>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</si>
  <si>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Стоматологічна допомога населенню</t>
  </si>
  <si>
    <t>0212111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</si>
  <si>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</si>
  <si>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</si>
  <si>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0212152</t>
  </si>
  <si>
    <t>Інші програми та заходи у сфері охорони здоров`я</t>
  </si>
  <si>
    <t>Організація благоустрою населених пунктів</t>
  </si>
  <si>
    <t>0218220</t>
  </si>
  <si>
    <t>Заходи та роботи з мобілізаційної підготовки місцевого значення</t>
  </si>
  <si>
    <t>0218230</t>
  </si>
  <si>
    <t>8230</t>
  </si>
  <si>
    <t>Інші заходи громадського порядку та безпеки</t>
  </si>
  <si>
    <t>8240</t>
  </si>
  <si>
    <t>Заходи та роботи з територіальної оборони</t>
  </si>
  <si>
    <t>Керівництво і управління у відповідній сфері у містах (місті Києві), селищах, селах, територіальних громадах</t>
  </si>
  <si>
    <t>Управлiння соцiальної полiтики Чорноморської мiської ради Одеського району Одеської областi</t>
  </si>
  <si>
    <t>Надання пільг окремим категоріям громадян з оплати послуг зв`язку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</si>
  <si>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</si>
  <si>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0813123</t>
  </si>
  <si>
    <t>Заходи державної політики з питань сім`ї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</si>
  <si>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</si>
  <si>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</si>
  <si>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</si>
  <si>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Вiддiл культури Чорноморської мiської ради Одеського району Одеської областi</t>
  </si>
  <si>
    <t>Надання спеціалізованої освіти мистецькими школами</t>
  </si>
  <si>
    <t>Забезпечення діяльності музеїв i виставок</t>
  </si>
  <si>
    <t>Забезпечення діяльності палаців i будинків культури, клубів, центрів дозвілля та iнших клубних закладів</t>
  </si>
  <si>
    <t>Вiддiл комунального господарства та благоустрою Чорноморської мiської ради Одеського району Одеської областi</t>
  </si>
  <si>
    <t>Інша діяльність, пов`язана з експлуатацією об`єктів житлово-комунального господарства</t>
  </si>
  <si>
    <t>Інші заходи, пов`язані з економічною діяльністю</t>
  </si>
  <si>
    <t>Управлiння капiтального будiвництва Чорноморської мiської ради Одеського району Одеської областi</t>
  </si>
  <si>
    <t>Управлiння комунальної власностi та земельних вiдносин Чорноморської мiської ради Одеського району Одеської областi</t>
  </si>
  <si>
    <t>Фiнансове управлiння Чорноморської мiської ради Одеського району Одеської областi</t>
  </si>
  <si>
    <t>Резервний фонд місцевого бюджету</t>
  </si>
  <si>
    <t>X</t>
  </si>
  <si>
    <t>УСЬОГО</t>
  </si>
  <si>
    <t>0813230</t>
  </si>
  <si>
    <t>3118240</t>
  </si>
  <si>
    <t xml:space="preserve"> в тому  числі</t>
  </si>
  <si>
    <t>Виконання (%)</t>
  </si>
  <si>
    <t>0618110</t>
  </si>
  <si>
    <t>0610</t>
  </si>
  <si>
    <t>0611160</t>
  </si>
  <si>
    <t>1160</t>
  </si>
  <si>
    <t>Забезпечення діяльності центрів професійного розвитку педагогічних працівників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</si>
  <si>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</si>
  <si>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</si>
  <si>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</si>
  <si>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3117130</t>
  </si>
  <si>
    <t>7130</t>
  </si>
  <si>
    <t>0421</t>
  </si>
  <si>
    <t>Здійснення заходів із землеустрою</t>
  </si>
  <si>
    <t>7000</t>
  </si>
  <si>
    <t>Економічна діяльність</t>
  </si>
  <si>
    <t>Інша діяльність</t>
  </si>
  <si>
    <t>8000</t>
  </si>
  <si>
    <t>9000</t>
  </si>
  <si>
    <t>Міжбюджетні трансферти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</si>
  <si>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</si>
  <si>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</si>
  <si>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</si>
  <si>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освітньої субвенції</t>
  </si>
  <si>
    <t>Додаток 3</t>
  </si>
  <si>
    <t xml:space="preserve">до рішення Чорноморської міської ради </t>
  </si>
  <si>
    <t>0900000</t>
  </si>
  <si>
    <t>0910000</t>
  </si>
  <si>
    <t>0910160</t>
  </si>
  <si>
    <t>0913112</t>
  </si>
  <si>
    <t>Затверджено розписом на звітний рік з урахуванням змін, грн</t>
  </si>
  <si>
    <t>0218240</t>
  </si>
  <si>
    <t>0217640</t>
  </si>
  <si>
    <t>Разом</t>
  </si>
  <si>
    <t>усього</t>
  </si>
  <si>
    <t>Виконано за звітний період, грн</t>
  </si>
  <si>
    <t>2111</t>
  </si>
  <si>
    <t>КНП "Чорноморська лікарня" Чорноморської міської ради Одеського району Одеської області</t>
  </si>
  <si>
    <t>КНП "Чорноморський міський центр первинної медико-санітарної допомоги" Чорноморської міської ради Одеського району Одеської області</t>
  </si>
  <si>
    <t>КНП "Стоматологічна поліклініка міста Чорноморська" Чорноморської міської ради Одеського району Одеської області</t>
  </si>
  <si>
    <t>0217520</t>
  </si>
  <si>
    <t>7520</t>
  </si>
  <si>
    <t>0460</t>
  </si>
  <si>
    <t>Реалізація Національної програми інформатизації</t>
  </si>
  <si>
    <t>КУ "Муніципальна варта" Чорноморської міської ради Одеського району Одеської області</t>
  </si>
  <si>
    <t>7640</t>
  </si>
  <si>
    <t>0218110</t>
  </si>
  <si>
    <t>8220</t>
  </si>
  <si>
    <t>Управління освіти Чорноморської мiської ради Одеського району Одеської областi</t>
  </si>
  <si>
    <t>в тому числі:</t>
  </si>
  <si>
    <t>комунальні заклади загальної середньої освіти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</si>
  <si>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</si>
  <si>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</si>
  <si>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</si>
  <si>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</si>
  <si>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</si>
  <si>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</si>
  <si>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0611200</t>
  </si>
  <si>
    <t>Проведення (надання) додаткових психолого-педагогічних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</si>
  <si>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</si>
  <si>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</si>
  <si>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</si>
  <si>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Розвиток здібностей у дітей та молоді з фізичної культури та спорту комунальними дитячо-юнацькими спортивними школами</t>
  </si>
  <si>
    <t>0617520</t>
  </si>
  <si>
    <t>Здійснення соціальної роботи та надання соціальних послуг центрами соціальних служб та центрами надання соціальних послуг особам/сім'ям, які належать до вразливих груп населення та/або перебувають у складних життєвих обставинах</t>
  </si>
  <si>
    <t>0813140</t>
  </si>
  <si>
    <t>0813193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</si>
  <si>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</si>
  <si>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</si>
  <si>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</si>
  <si>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0817520</t>
  </si>
  <si>
    <t>Управління соціальної політики Чорноморської мiської ради Одеського району Одеської областi</t>
  </si>
  <si>
    <t>Комунальна установа "Центр соціальних служб Чорноморської міської ради Одеського району Одеської області"</t>
  </si>
  <si>
    <t>Комунальна установа "Територіальний центр соціального обслуговування (надання соціальних послуг) Чорноморської міської ради Одеського району  Одеської області"</t>
  </si>
  <si>
    <t>Служба у справах дітей Чорноморської міської ради Одеського району Одеської області</t>
  </si>
  <si>
    <t>0917520</t>
  </si>
  <si>
    <t>1013140</t>
  </si>
  <si>
    <t>1017520</t>
  </si>
  <si>
    <t>Вiддiл  молодi та спорту Чорноморської мiської ради Одеського району Одеської областi</t>
  </si>
  <si>
    <t>Забезпечення молодіжними центрами соціального становлення та розвитку молоді та інші заходи у сфері  молодіжної політики</t>
  </si>
  <si>
    <t>1117520</t>
  </si>
  <si>
    <t>0640</t>
  </si>
  <si>
    <t>1217520</t>
  </si>
  <si>
    <t>1217691</t>
  </si>
  <si>
    <t>7691</t>
  </si>
  <si>
    <t>1217693</t>
  </si>
  <si>
    <t>1218110</t>
  </si>
  <si>
    <t>8110</t>
  </si>
  <si>
    <t>1300</t>
  </si>
  <si>
    <t>Реалізація проектів (заходів) з відновлення закладів охорони здоров'я, пошкоджених/знищених внаслідок збройної агресії, за рахунок коштів місцевих бюджетів</t>
  </si>
  <si>
    <t>1517520</t>
  </si>
  <si>
    <t>3116090</t>
  </si>
  <si>
    <t>Інша діяльність у сфері житлово-комунального господарства</t>
  </si>
  <si>
    <t>3117520</t>
  </si>
  <si>
    <t>3717520</t>
  </si>
  <si>
    <t>Реверсна дотація</t>
  </si>
  <si>
    <t>3719770</t>
  </si>
  <si>
    <t>9770</t>
  </si>
  <si>
    <t>0212170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</si>
  <si>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</si>
  <si>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</si>
  <si>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Інші заходи та заклади у сфері соціального захисту і соціального забезпечення</t>
  </si>
  <si>
    <t>0217351</t>
  </si>
  <si>
    <t>7351</t>
  </si>
  <si>
    <t>Розроблення комплексних планів просторового розвитку територій територіальних громад</t>
  </si>
  <si>
    <t>0217610</t>
  </si>
  <si>
    <t>7610</t>
  </si>
  <si>
    <t>0411</t>
  </si>
  <si>
    <t>Сприяння розвитку малого та середнього підприємництва</t>
  </si>
  <si>
    <t>0217693</t>
  </si>
  <si>
    <t>Інші заходи, пов'язані з економічною діяльністю</t>
  </si>
  <si>
    <t>Заходи та роботи з територіальної оборони,</t>
  </si>
  <si>
    <t>0610170</t>
  </si>
  <si>
    <t>приватні заклади загальної середньої освіти</t>
  </si>
  <si>
    <t>1152</t>
  </si>
  <si>
    <t>0611279</t>
  </si>
  <si>
    <t>1279</t>
  </si>
  <si>
    <t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закладів загальної середньої освіти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</si>
  <si>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</si>
  <si>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</si>
  <si>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</si>
  <si>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</si>
  <si>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</si>
  <si>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</si>
  <si>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</si>
  <si>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</si>
  <si>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0810170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</si>
  <si>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</si>
  <si>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</si>
  <si>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</si>
  <si>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0813191</t>
  </si>
  <si>
    <t>Інші видатки на соціальний захист ветеранів війни та праці</t>
  </si>
  <si>
    <t>3193</t>
  </si>
  <si>
    <t>0823244</t>
  </si>
  <si>
    <t>3244</t>
  </si>
  <si>
    <t>Надання комплексної соціальної послуги життєстійкості надавачами соціальних послуг</t>
  </si>
  <si>
    <t>0818110</t>
  </si>
  <si>
    <t>0910170</t>
  </si>
  <si>
    <t>1010170</t>
  </si>
  <si>
    <t>1018110</t>
  </si>
  <si>
    <t>1110170</t>
  </si>
  <si>
    <t>Розвиток спортивної інфраструктури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</si>
  <si>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</si>
  <si>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1117691</t>
  </si>
  <si>
    <t>Забезпечення діяльності водопровідно-каналізаційного господарства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</si>
  <si>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</si>
  <si>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1217640</t>
  </si>
  <si>
    <t>1218340</t>
  </si>
  <si>
    <t>1517691</t>
  </si>
  <si>
    <t>про виконання видатків бюджету  Чорноморської міської територіальної громади  за  1 півріччя 2026 року</t>
  </si>
  <si>
    <t>0813221</t>
  </si>
  <si>
    <t>3221</t>
  </si>
  <si>
    <t>Грошова компенсація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</si>
  <si>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Підтримка спорту вищих досягнень та організацій, які здійснюють фізкультурно-спортивну діяльність в регіоні</t>
  </si>
  <si>
    <t>Забезпечення діяльності з виробництва, транспортування, постачання теплової енергії</t>
  </si>
  <si>
    <t>Реалізація інших заходів щодо соціально-економічного розвитку територій</t>
  </si>
  <si>
    <t>Субвенція з місцевого бюджету на підготовку та реалізацію публічних інвестиційних проектів/програм публічних інвестицій</t>
  </si>
  <si>
    <t>Заступник начальника фінансового управління - начальник бюджетного відділу</t>
  </si>
  <si>
    <t>Світлана ПЄРКОВА</t>
  </si>
  <si>
    <t>більше 100%</t>
  </si>
  <si>
    <t>у 7 разів</t>
  </si>
  <si>
    <t>у 2 рази</t>
  </si>
  <si>
    <t>у 2,5 рази</t>
  </si>
  <si>
    <t>у 2,1 рази</t>
  </si>
  <si>
    <t>більше 100 %</t>
  </si>
  <si>
    <t>від   24.07. 2026  № 1146 -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</si>
</sst>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b/>
      <sz val="10"/>
      <name val="Times New Roman"/>
      <family val="1"/>
      <charset val="204"/>
    </font>
    <font>
      <b/>
      <u/>
      <sz val="12"/>
      <name val="Times New Roman"/>
      <family val="1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6" fillId="2" borderId="0" xfId="0" applyFont="1" applyFill="1"/>
    <xf numFmtId="0" fontId="5" fillId="2" borderId="0" xfId="0" applyFont="1" applyFill="1"/>
    <xf numFmtId="49" fontId="3" fillId="2" borderId="0" xfId="0" applyNumberFormat="1" applyFont="1" applyFill="1"/>
    <xf numFmtId="0" fontId="9" fillId="2" borderId="0" xfId="0" applyFont="1" applyFill="1"/>
    <xf numFmtId="164" fontId="9" fillId="0" borderId="0" xfId="0" applyNumberFormat="1" applyFont="1" applyAlignment="1">
      <alignment horizontal="left"/>
    </xf>
    <xf numFmtId="2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49" fontId="3" fillId="0" borderId="0" xfId="0" applyNumberFormat="1" applyFont="1"/>
    <xf numFmtId="0" fontId="3" fillId="0" borderId="0" xfId="2" applyFont="1"/>
    <xf numFmtId="49" fontId="3" fillId="0" borderId="1" xfId="0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0" fontId="10" fillId="0" borderId="0" xfId="0" applyFont="1" applyAlignment="1">
      <alignment horizontal="center" wrapText="1"/>
    </xf>
    <xf numFmtId="0" fontId="3" fillId="0" borderId="0" xfId="2" applyFont="1" applyAlignment="1">
      <alignment wrapText="1"/>
    </xf>
    <xf numFmtId="0" fontId="6" fillId="2" borderId="0" xfId="0" applyFont="1" applyFill="1" applyAlignment="1">
      <alignment wrapText="1"/>
    </xf>
    <xf numFmtId="0" fontId="16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165" fontId="7" fillId="0" borderId="1" xfId="2" applyNumberFormat="1" applyFont="1" applyBorder="1" applyAlignment="1">
      <alignment vertical="center" wrapText="1"/>
    </xf>
    <xf numFmtId="165" fontId="5" fillId="0" borderId="1" xfId="2" applyNumberFormat="1" applyFont="1" applyBorder="1" applyAlignment="1">
      <alignment vertical="center" wrapText="1"/>
    </xf>
    <xf numFmtId="2" fontId="5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5" fillId="0" borderId="0" xfId="0" applyFont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quotePrefix="1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quotePrefix="1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quotePrefix="1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164" fontId="5" fillId="2" borderId="1" xfId="2" applyNumberFormat="1" applyFont="1" applyFill="1" applyBorder="1" applyAlignment="1">
      <alignment wrapText="1"/>
    </xf>
    <xf numFmtId="4" fontId="15" fillId="2" borderId="1" xfId="0" applyNumberFormat="1" applyFont="1" applyFill="1" applyBorder="1"/>
    <xf numFmtId="0" fontId="14" fillId="2" borderId="1" xfId="0" applyFont="1" applyFill="1" applyBorder="1" applyAlignment="1">
      <alignment wrapText="1"/>
    </xf>
    <xf numFmtId="4" fontId="5" fillId="2" borderId="0" xfId="0" applyNumberFormat="1" applyFont="1" applyFill="1" applyAlignment="1">
      <alignment vertical="center"/>
    </xf>
    <xf numFmtId="49" fontId="5" fillId="2" borderId="0" xfId="0" applyNumberFormat="1" applyFont="1" applyFill="1"/>
    <xf numFmtId="0" fontId="5" fillId="2" borderId="0" xfId="0" applyFont="1" applyFill="1" applyAlignment="1">
      <alignment wrapText="1"/>
    </xf>
    <xf numFmtId="4" fontId="14" fillId="0" borderId="1" xfId="0" applyNumberFormat="1" applyFont="1" applyBorder="1" applyAlignment="1">
      <alignment vertical="center"/>
    </xf>
    <xf numFmtId="4" fontId="15" fillId="0" borderId="1" xfId="0" applyNumberFormat="1" applyFont="1" applyBorder="1" applyAlignment="1">
      <alignment vertical="center"/>
    </xf>
    <xf numFmtId="4" fontId="16" fillId="0" borderId="1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4" fontId="15" fillId="0" borderId="1" xfId="0" applyNumberFormat="1" applyFont="1" applyBorder="1"/>
    <xf numFmtId="4" fontId="14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3" fillId="0" borderId="0" xfId="2" applyFont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2" applyFont="1" applyBorder="1" applyAlignment="1">
      <alignment horizontal="right" vertical="center" wrapText="1"/>
    </xf>
    <xf numFmtId="165" fontId="7" fillId="0" borderId="1" xfId="2" applyNumberFormat="1" applyFont="1" applyBorder="1" applyAlignment="1">
      <alignment horizontal="right" vertical="center" wrapText="1"/>
    </xf>
    <xf numFmtId="165" fontId="5" fillId="0" borderId="1" xfId="2" applyNumberFormat="1" applyFont="1" applyBorder="1" applyAlignment="1">
      <alignment horizontal="right" vertical="center" wrapText="1"/>
    </xf>
    <xf numFmtId="165" fontId="18" fillId="0" borderId="1" xfId="2" applyNumberFormat="1" applyFont="1" applyBorder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49" fontId="12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4">
    <cellStyle name="Звичайний" xfId="0" builtinId="0"/>
    <cellStyle name="Обычный 2" xfId="3" xr:uid="{00000000-0005-0000-0000-000001000000}"/>
    <cellStyle name="Обычный 3" xfId="1" xr:uid="{00000000-0005-0000-0000-000002000000}"/>
    <cellStyle name="Обычный_дод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/>
  <dimension ref="A1:R224"/>
  <sheetViews>
    <sheetView showZeros="0" tabSelected="1" view="pageBreakPreview" zoomScale="50" zoomScaleNormal="50" zoomScaleSheetLayoutView="50" workbookViewId="0">
      <pane xSplit="4" ySplit="14" topLeftCell="E15" activePane="bottomRight" state="frozen"/>
      <selection pane="topRight" activeCell="E1" sqref="E1"/>
      <selection pane="bottomLeft" activeCell="A13" sqref="A13"/>
      <selection pane="bottomRight" activeCell="M3" sqref="M3:P3"/>
    </sheetView>
  </sheetViews>
  <sheetFormatPr defaultColWidth="9.109375" defaultRowHeight="15.6" x14ac:dyDescent="0.3"/>
  <cols>
    <col min="1" max="1" width="18" style="3" customWidth="1"/>
    <col min="2" max="2" width="15.109375" style="3" customWidth="1"/>
    <col min="3" max="3" width="18.44140625" style="3" customWidth="1"/>
    <col min="4" max="4" width="54.109375" style="1" customWidth="1"/>
    <col min="5" max="5" width="23.109375" style="9" customWidth="1"/>
    <col min="6" max="6" width="23.6640625" style="9" customWidth="1"/>
    <col min="7" max="7" width="20.33203125" style="9" customWidth="1"/>
    <col min="8" max="8" width="19.88671875" style="9" customWidth="1"/>
    <col min="9" max="9" width="21" style="9" customWidth="1"/>
    <col min="10" max="10" width="21.33203125" style="9" customWidth="1"/>
    <col min="11" max="11" width="20.109375" style="9" customWidth="1"/>
    <col min="12" max="12" width="18" style="9" customWidth="1"/>
    <col min="13" max="13" width="10.6640625" style="22" customWidth="1"/>
    <col min="14" max="14" width="12.6640625" style="22" customWidth="1"/>
    <col min="15" max="15" width="15.44140625" style="74" customWidth="1"/>
    <col min="16" max="16" width="11" style="74" customWidth="1"/>
    <col min="17" max="17" width="12" style="1" hidden="1" customWidth="1"/>
    <col min="18" max="16384" width="9.109375" style="1"/>
  </cols>
  <sheetData>
    <row r="1" spans="1:16" x14ac:dyDescent="0.3">
      <c r="A1" s="5"/>
      <c r="B1" s="6"/>
      <c r="C1" s="6"/>
      <c r="D1" s="7"/>
      <c r="E1" s="8"/>
      <c r="F1" s="8"/>
      <c r="G1" s="8"/>
      <c r="H1" s="8"/>
      <c r="I1" s="8"/>
      <c r="J1" s="8"/>
      <c r="K1" s="8"/>
      <c r="L1" s="8"/>
      <c r="M1" s="92" t="s">
        <v>283</v>
      </c>
      <c r="N1" s="92"/>
      <c r="O1" s="92"/>
      <c r="P1" s="65"/>
    </row>
    <row r="2" spans="1:16" ht="15.6" customHeight="1" x14ac:dyDescent="0.3">
      <c r="A2" s="5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92" t="s">
        <v>284</v>
      </c>
      <c r="N2" s="92"/>
      <c r="O2" s="92"/>
      <c r="P2" s="92"/>
    </row>
    <row r="3" spans="1:16" ht="15.6" customHeight="1" x14ac:dyDescent="0.3">
      <c r="A3" s="5"/>
      <c r="B3" s="6"/>
      <c r="C3" s="10"/>
      <c r="D3" s="7"/>
      <c r="E3" s="8"/>
      <c r="F3" s="8"/>
      <c r="G3" s="8"/>
      <c r="H3" s="8"/>
      <c r="I3" s="8"/>
      <c r="J3" s="8"/>
      <c r="K3" s="64"/>
      <c r="L3" s="8"/>
      <c r="M3" s="92" t="s">
        <v>424</v>
      </c>
      <c r="N3" s="92"/>
      <c r="O3" s="92"/>
      <c r="P3" s="92"/>
    </row>
    <row r="4" spans="1:16" s="4" customFormat="1" x14ac:dyDescent="0.3">
      <c r="A4" s="96" t="s">
        <v>163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" s="4" customFormat="1" x14ac:dyDescent="0.3">
      <c r="A5" s="97" t="s">
        <v>408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</row>
    <row r="6" spans="1:16" s="4" customFormat="1" x14ac:dyDescent="0.3">
      <c r="A6" s="14">
        <v>1558900000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20"/>
      <c r="N6" s="20"/>
      <c r="O6" s="66"/>
      <c r="P6" s="66"/>
    </row>
    <row r="7" spans="1:16" s="4" customFormat="1" x14ac:dyDescent="0.3">
      <c r="A7" s="32" t="s">
        <v>202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20"/>
      <c r="N7" s="20"/>
      <c r="O7" s="66"/>
      <c r="P7" s="66"/>
    </row>
    <row r="8" spans="1:16" x14ac:dyDescent="0.3">
      <c r="A8" s="10"/>
      <c r="B8" s="10"/>
      <c r="C8" s="10"/>
      <c r="D8" s="11"/>
      <c r="E8" s="11"/>
      <c r="F8" s="11"/>
      <c r="G8" s="11"/>
      <c r="H8" s="11"/>
      <c r="I8" s="11"/>
      <c r="J8" s="11"/>
      <c r="K8" s="11"/>
      <c r="L8" s="11"/>
      <c r="M8" s="21"/>
      <c r="N8" s="21"/>
      <c r="O8" s="67"/>
      <c r="P8" s="67"/>
    </row>
    <row r="9" spans="1:16" ht="15.6" customHeight="1" x14ac:dyDescent="0.3">
      <c r="A9" s="79" t="s">
        <v>149</v>
      </c>
      <c r="B9" s="93" t="s">
        <v>150</v>
      </c>
      <c r="C9" s="79" t="s">
        <v>151</v>
      </c>
      <c r="D9" s="94" t="s">
        <v>152</v>
      </c>
      <c r="E9" s="80" t="s">
        <v>289</v>
      </c>
      <c r="F9" s="81"/>
      <c r="G9" s="81"/>
      <c r="H9" s="82"/>
      <c r="I9" s="80" t="s">
        <v>294</v>
      </c>
      <c r="J9" s="81"/>
      <c r="K9" s="81"/>
      <c r="L9" s="82"/>
      <c r="M9" s="80" t="s">
        <v>260</v>
      </c>
      <c r="N9" s="81"/>
      <c r="O9" s="81"/>
      <c r="P9" s="82"/>
    </row>
    <row r="10" spans="1:16" ht="15.6" customHeight="1" x14ac:dyDescent="0.3">
      <c r="A10" s="79"/>
      <c r="B10" s="93"/>
      <c r="C10" s="79"/>
      <c r="D10" s="94"/>
      <c r="E10" s="83" t="s">
        <v>292</v>
      </c>
      <c r="F10" s="89" t="s">
        <v>164</v>
      </c>
      <c r="G10" s="90"/>
      <c r="H10" s="91"/>
      <c r="I10" s="83" t="s">
        <v>292</v>
      </c>
      <c r="J10" s="89" t="s">
        <v>259</v>
      </c>
      <c r="K10" s="90"/>
      <c r="L10" s="91"/>
      <c r="M10" s="83" t="s">
        <v>292</v>
      </c>
      <c r="N10" s="86" t="s">
        <v>165</v>
      </c>
      <c r="O10" s="87"/>
      <c r="P10" s="88"/>
    </row>
    <row r="11" spans="1:16" x14ac:dyDescent="0.3">
      <c r="A11" s="79"/>
      <c r="B11" s="93"/>
      <c r="C11" s="79"/>
      <c r="D11" s="94"/>
      <c r="E11" s="84"/>
      <c r="F11" s="77" t="s">
        <v>166</v>
      </c>
      <c r="G11" s="77" t="s">
        <v>167</v>
      </c>
      <c r="H11" s="77"/>
      <c r="I11" s="84"/>
      <c r="J11" s="77" t="s">
        <v>168</v>
      </c>
      <c r="K11" s="77" t="s">
        <v>167</v>
      </c>
      <c r="L11" s="77"/>
      <c r="M11" s="84"/>
      <c r="N11" s="77" t="s">
        <v>166</v>
      </c>
      <c r="O11" s="95" t="s">
        <v>167</v>
      </c>
      <c r="P11" s="95"/>
    </row>
    <row r="12" spans="1:16" x14ac:dyDescent="0.3">
      <c r="A12" s="79"/>
      <c r="B12" s="93"/>
      <c r="C12" s="79"/>
      <c r="D12" s="94"/>
      <c r="E12" s="84"/>
      <c r="F12" s="78"/>
      <c r="G12" s="75" t="s">
        <v>293</v>
      </c>
      <c r="H12" s="63" t="s">
        <v>169</v>
      </c>
      <c r="I12" s="84"/>
      <c r="J12" s="78"/>
      <c r="K12" s="75" t="s">
        <v>293</v>
      </c>
      <c r="L12" s="63" t="s">
        <v>169</v>
      </c>
      <c r="M12" s="84"/>
      <c r="N12" s="78"/>
      <c r="O12" s="76" t="s">
        <v>293</v>
      </c>
      <c r="P12" s="68" t="s">
        <v>169</v>
      </c>
    </row>
    <row r="13" spans="1:16" ht="40.200000000000003" customHeight="1" x14ac:dyDescent="0.3">
      <c r="A13" s="79"/>
      <c r="B13" s="93"/>
      <c r="C13" s="79"/>
      <c r="D13" s="94"/>
      <c r="E13" s="85"/>
      <c r="F13" s="78"/>
      <c r="G13" s="75"/>
      <c r="H13" s="63" t="s">
        <v>0</v>
      </c>
      <c r="I13" s="85"/>
      <c r="J13" s="78"/>
      <c r="K13" s="75"/>
      <c r="L13" s="63" t="s">
        <v>0</v>
      </c>
      <c r="M13" s="85"/>
      <c r="N13" s="78"/>
      <c r="O13" s="76"/>
      <c r="P13" s="68" t="s">
        <v>0</v>
      </c>
    </row>
    <row r="14" spans="1:16" x14ac:dyDescent="0.3">
      <c r="A14" s="12">
        <v>1</v>
      </c>
      <c r="B14" s="12">
        <v>2</v>
      </c>
      <c r="C14" s="12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  <c r="L14" s="13">
        <v>12</v>
      </c>
      <c r="M14" s="13">
        <v>13</v>
      </c>
      <c r="N14" s="13">
        <v>14</v>
      </c>
      <c r="O14" s="69">
        <v>15</v>
      </c>
      <c r="P14" s="69">
        <v>16</v>
      </c>
    </row>
    <row r="15" spans="1:16" s="18" customFormat="1" ht="34.799999999999997" x14ac:dyDescent="0.3">
      <c r="A15" s="36" t="s">
        <v>58</v>
      </c>
      <c r="B15" s="36" t="s">
        <v>218</v>
      </c>
      <c r="C15" s="36" t="s">
        <v>218</v>
      </c>
      <c r="D15" s="37" t="s">
        <v>219</v>
      </c>
      <c r="E15" s="38">
        <f>F15+G15</f>
        <v>258477484</v>
      </c>
      <c r="F15" s="57">
        <f>F16</f>
        <v>254580363</v>
      </c>
      <c r="G15" s="57">
        <f t="shared" ref="G15:H15" si="0">G16</f>
        <v>3897121</v>
      </c>
      <c r="H15" s="57">
        <f t="shared" si="0"/>
        <v>3677121</v>
      </c>
      <c r="I15" s="57">
        <f>J15+K15</f>
        <v>112940680.2</v>
      </c>
      <c r="J15" s="57">
        <f>J16</f>
        <v>107276230.05</v>
      </c>
      <c r="K15" s="57">
        <f t="shared" ref="K15" si="1">K16</f>
        <v>5664450.1500000004</v>
      </c>
      <c r="L15" s="57">
        <f t="shared" ref="L15" si="2">L16</f>
        <v>0</v>
      </c>
      <c r="M15" s="26">
        <f>I15/E15</f>
        <v>0.43694591285947371</v>
      </c>
      <c r="N15" s="26">
        <f t="shared" ref="N15:P15" si="3">J15/F15</f>
        <v>0.42138454351249394</v>
      </c>
      <c r="O15" s="70">
        <f t="shared" si="3"/>
        <v>1.4534960936547776</v>
      </c>
      <c r="P15" s="70">
        <f t="shared" si="3"/>
        <v>0</v>
      </c>
    </row>
    <row r="16" spans="1:16" s="18" customFormat="1" ht="34.799999999999997" x14ac:dyDescent="0.3">
      <c r="A16" s="36" t="s">
        <v>59</v>
      </c>
      <c r="B16" s="36" t="s">
        <v>218</v>
      </c>
      <c r="C16" s="36" t="s">
        <v>218</v>
      </c>
      <c r="D16" s="37" t="s">
        <v>219</v>
      </c>
      <c r="E16" s="38">
        <f t="shared" ref="E16:E79" si="4">F16+G16</f>
        <v>258477484</v>
      </c>
      <c r="F16" s="57">
        <f>F17+F22+F23+F24+F25+F26+F27+F31+F32+F33+F37+F38+F45+F46+F47+F48+F49+F57+F58+F59+F60+F61</f>
        <v>254580363</v>
      </c>
      <c r="G16" s="57">
        <f t="shared" ref="G16:H16" si="5">G17+G22+G23+G24+G25+G26+G27+G31+G32+G33+G37+G38+G45+G46+G47+G48+G49+G57+G58+G59+G60+G61</f>
        <v>3897121</v>
      </c>
      <c r="H16" s="57">
        <f t="shared" si="5"/>
        <v>3677121</v>
      </c>
      <c r="I16" s="57">
        <f t="shared" ref="I16:I79" si="6">J16+K16</f>
        <v>112940680.2</v>
      </c>
      <c r="J16" s="57">
        <f>J17+J22+J23+J24+J25+J26+J27+J31+J32+J33+J37+J38+J45+J46+J47+J48+J49+J57+J58+J59+J60+J61</f>
        <v>107276230.05</v>
      </c>
      <c r="K16" s="57">
        <f t="shared" ref="K16" si="7">K17+K22+K23+K24+K25+K26+K27+K31+K32+K33+K37+K38+K45+K46+K47+K48+K49+K57+K58+K59+K60+K61</f>
        <v>5664450.1500000004</v>
      </c>
      <c r="L16" s="57">
        <f t="shared" ref="L16" si="8">L17+L22+L23+L24+L25+L26+L27+L31+L32+L33+L37+L38+L45+L46+L47+L48+L49+L57+L58+L59+L60+L61</f>
        <v>0</v>
      </c>
      <c r="M16" s="26">
        <f t="shared" ref="M16:M79" si="9">I16/E16</f>
        <v>0.43694591285947371</v>
      </c>
      <c r="N16" s="26">
        <f t="shared" ref="N16:N79" si="10">J16/F16</f>
        <v>0.42138454351249394</v>
      </c>
      <c r="O16" s="70">
        <f t="shared" ref="O16:O76" si="11">K16/G16</f>
        <v>1.4534960936547776</v>
      </c>
      <c r="P16" s="70">
        <f t="shared" ref="P16:P63" si="12">L16/H16</f>
        <v>0</v>
      </c>
    </row>
    <row r="17" spans="1:16" s="16" customFormat="1" ht="90" x14ac:dyDescent="0.3">
      <c r="A17" s="39" t="s">
        <v>60</v>
      </c>
      <c r="B17" s="39" t="s">
        <v>49</v>
      </c>
      <c r="C17" s="39" t="s">
        <v>2</v>
      </c>
      <c r="D17" s="40" t="s">
        <v>220</v>
      </c>
      <c r="E17" s="41">
        <f t="shared" si="4"/>
        <v>114343100</v>
      </c>
      <c r="F17" s="58">
        <f>SUM(F18:F21)</f>
        <v>114223100</v>
      </c>
      <c r="G17" s="58">
        <f t="shared" ref="G17:H17" si="13">SUM(G18:G21)</f>
        <v>120000</v>
      </c>
      <c r="H17" s="58">
        <f t="shared" si="13"/>
        <v>0</v>
      </c>
      <c r="I17" s="58">
        <f t="shared" si="6"/>
        <v>55279367.259999998</v>
      </c>
      <c r="J17" s="58">
        <f>SUM(J18:J21)</f>
        <v>49614917.109999999</v>
      </c>
      <c r="K17" s="58">
        <f t="shared" ref="K17" si="14">SUM(K18:K21)</f>
        <v>5664450.1500000004</v>
      </c>
      <c r="L17" s="58">
        <f t="shared" ref="L17" si="15">SUM(L18:L21)</f>
        <v>0</v>
      </c>
      <c r="M17" s="27">
        <f t="shared" si="9"/>
        <v>0.48345171033494805</v>
      </c>
      <c r="N17" s="27">
        <f t="shared" si="10"/>
        <v>0.4343685043568245</v>
      </c>
      <c r="O17" s="71" t="s">
        <v>418</v>
      </c>
      <c r="P17" s="71"/>
    </row>
    <row r="18" spans="1:16" s="15" customFormat="1" ht="36" x14ac:dyDescent="0.3">
      <c r="A18" s="42"/>
      <c r="B18" s="42"/>
      <c r="C18" s="42"/>
      <c r="D18" s="43" t="s">
        <v>219</v>
      </c>
      <c r="E18" s="44">
        <f t="shared" si="4"/>
        <v>101586798</v>
      </c>
      <c r="F18" s="59">
        <v>101466800</v>
      </c>
      <c r="G18" s="59">
        <v>119998</v>
      </c>
      <c r="H18" s="59"/>
      <c r="I18" s="59">
        <f t="shared" si="6"/>
        <v>49925062.299999997</v>
      </c>
      <c r="J18" s="59">
        <v>44261232.07</v>
      </c>
      <c r="K18" s="59">
        <f>5603919.11+59911.12</f>
        <v>5663830.2300000004</v>
      </c>
      <c r="L18" s="59"/>
      <c r="M18" s="27">
        <f t="shared" si="9"/>
        <v>0.49145226823666593</v>
      </c>
      <c r="N18" s="27">
        <f t="shared" si="10"/>
        <v>0.43621393470573627</v>
      </c>
      <c r="O18" s="71" t="s">
        <v>418</v>
      </c>
      <c r="P18" s="71"/>
    </row>
    <row r="19" spans="1:16" s="15" customFormat="1" ht="54" x14ac:dyDescent="0.3">
      <c r="A19" s="42"/>
      <c r="B19" s="42"/>
      <c r="C19" s="42"/>
      <c r="D19" s="43" t="s">
        <v>199</v>
      </c>
      <c r="E19" s="44">
        <f t="shared" si="4"/>
        <v>5474801</v>
      </c>
      <c r="F19" s="59">
        <v>5474800</v>
      </c>
      <c r="G19" s="59">
        <v>1</v>
      </c>
      <c r="H19" s="59"/>
      <c r="I19" s="59">
        <f t="shared" si="6"/>
        <v>1998834.19</v>
      </c>
      <c r="J19" s="59">
        <v>1998214.27</v>
      </c>
      <c r="K19" s="59">
        <v>619.91999999999996</v>
      </c>
      <c r="L19" s="59"/>
      <c r="M19" s="27">
        <f t="shared" si="9"/>
        <v>0.36509714051707082</v>
      </c>
      <c r="N19" s="27">
        <f t="shared" si="10"/>
        <v>0.36498397567034413</v>
      </c>
      <c r="O19" s="71" t="s">
        <v>418</v>
      </c>
      <c r="P19" s="71"/>
    </row>
    <row r="20" spans="1:16" s="15" customFormat="1" ht="54" x14ac:dyDescent="0.3">
      <c r="A20" s="42"/>
      <c r="B20" s="42"/>
      <c r="C20" s="42"/>
      <c r="D20" s="43" t="s">
        <v>201</v>
      </c>
      <c r="E20" s="44">
        <f t="shared" si="4"/>
        <v>3000100</v>
      </c>
      <c r="F20" s="59">
        <v>3000100</v>
      </c>
      <c r="G20" s="59">
        <v>0</v>
      </c>
      <c r="H20" s="59"/>
      <c r="I20" s="59">
        <f t="shared" si="6"/>
        <v>1605100.01</v>
      </c>
      <c r="J20" s="59">
        <v>1605100.01</v>
      </c>
      <c r="K20" s="59"/>
      <c r="L20" s="59"/>
      <c r="M20" s="27">
        <f t="shared" si="9"/>
        <v>0.53501550281657273</v>
      </c>
      <c r="N20" s="27">
        <f t="shared" si="10"/>
        <v>0.53501550281657273</v>
      </c>
      <c r="O20" s="71"/>
      <c r="P20" s="71"/>
    </row>
    <row r="21" spans="1:16" s="15" customFormat="1" ht="54" x14ac:dyDescent="0.3">
      <c r="A21" s="42"/>
      <c r="B21" s="42"/>
      <c r="C21" s="42"/>
      <c r="D21" s="43" t="s">
        <v>200</v>
      </c>
      <c r="E21" s="44">
        <f t="shared" si="4"/>
        <v>4281401</v>
      </c>
      <c r="F21" s="59">
        <v>4281400</v>
      </c>
      <c r="G21" s="59">
        <v>1</v>
      </c>
      <c r="H21" s="59"/>
      <c r="I21" s="59">
        <f t="shared" si="6"/>
        <v>1750370.76</v>
      </c>
      <c r="J21" s="59">
        <v>1750370.76</v>
      </c>
      <c r="K21" s="59"/>
      <c r="L21" s="59"/>
      <c r="M21" s="27">
        <f t="shared" si="9"/>
        <v>0.40883130545351859</v>
      </c>
      <c r="N21" s="27">
        <f t="shared" si="10"/>
        <v>0.40883140094361659</v>
      </c>
      <c r="O21" s="71">
        <f t="shared" si="11"/>
        <v>0</v>
      </c>
      <c r="P21" s="71"/>
    </row>
    <row r="22" spans="1:16" s="15" customFormat="1" ht="54" x14ac:dyDescent="0.3">
      <c r="A22" s="39" t="s">
        <v>101</v>
      </c>
      <c r="B22" s="39" t="s">
        <v>102</v>
      </c>
      <c r="C22" s="39" t="s">
        <v>103</v>
      </c>
      <c r="D22" s="40" t="s">
        <v>104</v>
      </c>
      <c r="E22" s="41">
        <f t="shared" si="4"/>
        <v>79300</v>
      </c>
      <c r="F22" s="58">
        <v>79300</v>
      </c>
      <c r="G22" s="58">
        <v>0</v>
      </c>
      <c r="H22" s="58">
        <v>0</v>
      </c>
      <c r="I22" s="58">
        <f t="shared" si="6"/>
        <v>28400</v>
      </c>
      <c r="J22" s="58">
        <v>28400</v>
      </c>
      <c r="K22" s="58">
        <v>0</v>
      </c>
      <c r="L22" s="58">
        <v>0</v>
      </c>
      <c r="M22" s="27">
        <f t="shared" si="9"/>
        <v>0.35813366960907944</v>
      </c>
      <c r="N22" s="27">
        <f t="shared" si="10"/>
        <v>0.35813366960907944</v>
      </c>
      <c r="O22" s="71"/>
      <c r="P22" s="71"/>
    </row>
    <row r="23" spans="1:16" s="16" customFormat="1" ht="18" x14ac:dyDescent="0.3">
      <c r="A23" s="39" t="s">
        <v>108</v>
      </c>
      <c r="B23" s="39" t="s">
        <v>9</v>
      </c>
      <c r="C23" s="39" t="s">
        <v>5</v>
      </c>
      <c r="D23" s="40" t="s">
        <v>98</v>
      </c>
      <c r="E23" s="41">
        <f t="shared" si="4"/>
        <v>2371200</v>
      </c>
      <c r="F23" s="58">
        <v>2371200</v>
      </c>
      <c r="G23" s="58">
        <v>0</v>
      </c>
      <c r="H23" s="58">
        <v>0</v>
      </c>
      <c r="I23" s="58">
        <f t="shared" si="6"/>
        <v>938612.55</v>
      </c>
      <c r="J23" s="58">
        <v>938612.55</v>
      </c>
      <c r="K23" s="58">
        <v>0</v>
      </c>
      <c r="L23" s="58">
        <v>0</v>
      </c>
      <c r="M23" s="27">
        <f t="shared" si="9"/>
        <v>0.39583862601214576</v>
      </c>
      <c r="N23" s="27">
        <f t="shared" si="10"/>
        <v>0.39583862601214576</v>
      </c>
      <c r="O23" s="71"/>
      <c r="P23" s="71"/>
    </row>
    <row r="24" spans="1:16" s="16" customFormat="1" ht="36" x14ac:dyDescent="0.3">
      <c r="A24" s="39" t="s">
        <v>61</v>
      </c>
      <c r="B24" s="39" t="s">
        <v>29</v>
      </c>
      <c r="C24" s="39" t="s">
        <v>30</v>
      </c>
      <c r="D24" s="40" t="s">
        <v>144</v>
      </c>
      <c r="E24" s="41">
        <f t="shared" si="4"/>
        <v>47587782</v>
      </c>
      <c r="F24" s="58">
        <v>47587782</v>
      </c>
      <c r="G24" s="58">
        <v>0</v>
      </c>
      <c r="H24" s="58">
        <v>0</v>
      </c>
      <c r="I24" s="58">
        <f t="shared" si="6"/>
        <v>16326708.880000001</v>
      </c>
      <c r="J24" s="58">
        <v>16326708.880000001</v>
      </c>
      <c r="K24" s="58">
        <v>0</v>
      </c>
      <c r="L24" s="58">
        <v>0</v>
      </c>
      <c r="M24" s="27">
        <f t="shared" si="9"/>
        <v>0.34308614929773362</v>
      </c>
      <c r="N24" s="27">
        <f t="shared" si="10"/>
        <v>0.34308614929773362</v>
      </c>
      <c r="O24" s="71"/>
      <c r="P24" s="71"/>
    </row>
    <row r="25" spans="1:16" s="16" customFormat="1" ht="18" x14ac:dyDescent="0.3">
      <c r="A25" s="39" t="s">
        <v>62</v>
      </c>
      <c r="B25" s="39" t="s">
        <v>50</v>
      </c>
      <c r="C25" s="39" t="s">
        <v>31</v>
      </c>
      <c r="D25" s="40" t="s">
        <v>221</v>
      </c>
      <c r="E25" s="41">
        <f t="shared" si="4"/>
        <v>9215600</v>
      </c>
      <c r="F25" s="58">
        <v>9215600</v>
      </c>
      <c r="G25" s="58">
        <v>0</v>
      </c>
      <c r="H25" s="58">
        <v>0</v>
      </c>
      <c r="I25" s="58">
        <f t="shared" si="6"/>
        <v>4657222.6399999997</v>
      </c>
      <c r="J25" s="58">
        <v>4657222.6399999997</v>
      </c>
      <c r="K25" s="58">
        <v>0</v>
      </c>
      <c r="L25" s="58">
        <v>0</v>
      </c>
      <c r="M25" s="27">
        <f t="shared" si="9"/>
        <v>0.50536293241894181</v>
      </c>
      <c r="N25" s="27">
        <f t="shared" si="10"/>
        <v>0.50536293241894181</v>
      </c>
      <c r="O25" s="71"/>
      <c r="P25" s="71"/>
    </row>
    <row r="26" spans="1:16" s="16" customFormat="1" ht="54" x14ac:dyDescent="0.3">
      <c r="A26" s="39" t="s">
        <v>222</v>
      </c>
      <c r="B26" s="39" t="s">
        <v>295</v>
      </c>
      <c r="C26" s="39" t="s">
        <v>223</v>
      </c>
      <c r="D26" s="40" t="s">
        <v>224</v>
      </c>
      <c r="E26" s="41">
        <f t="shared" si="4"/>
        <v>4832200</v>
      </c>
      <c r="F26" s="58">
        <v>4832200</v>
      </c>
      <c r="G26" s="58">
        <v>0</v>
      </c>
      <c r="H26" s="58">
        <v>0</v>
      </c>
      <c r="I26" s="58">
        <f t="shared" si="6"/>
        <v>2261084.75</v>
      </c>
      <c r="J26" s="58">
        <v>2261084.75</v>
      </c>
      <c r="K26" s="58">
        <v>0</v>
      </c>
      <c r="L26" s="58">
        <v>0</v>
      </c>
      <c r="M26" s="27">
        <f t="shared" si="9"/>
        <v>0.46792035718720254</v>
      </c>
      <c r="N26" s="27">
        <f t="shared" si="10"/>
        <v>0.46792035718720254</v>
      </c>
      <c r="O26" s="71"/>
      <c r="P26" s="71"/>
    </row>
    <row r="27" spans="1:16" s="16" customFormat="1" ht="36" x14ac:dyDescent="0.3">
      <c r="A27" s="39" t="s">
        <v>225</v>
      </c>
      <c r="B27" s="39" t="s">
        <v>174</v>
      </c>
      <c r="C27" s="39" t="s">
        <v>119</v>
      </c>
      <c r="D27" s="40" t="s">
        <v>226</v>
      </c>
      <c r="E27" s="41">
        <f t="shared" si="4"/>
        <v>11049704</v>
      </c>
      <c r="F27" s="58">
        <f>SUM(F28:F30)</f>
        <v>11049704</v>
      </c>
      <c r="G27" s="58">
        <f t="shared" ref="G27:H27" si="16">SUM(G28:G30)</f>
        <v>0</v>
      </c>
      <c r="H27" s="58">
        <f t="shared" si="16"/>
        <v>0</v>
      </c>
      <c r="I27" s="58">
        <f t="shared" si="6"/>
        <v>5498664.8600000003</v>
      </c>
      <c r="J27" s="58">
        <f>SUM(J28:J30)</f>
        <v>5498664.8600000003</v>
      </c>
      <c r="K27" s="58">
        <f t="shared" ref="K27" si="17">SUM(K28:K30)</f>
        <v>0</v>
      </c>
      <c r="L27" s="58">
        <f t="shared" ref="L27" si="18">SUM(L28:L30)</f>
        <v>0</v>
      </c>
      <c r="M27" s="27">
        <f t="shared" si="9"/>
        <v>0.49763005959254658</v>
      </c>
      <c r="N27" s="27">
        <f t="shared" si="10"/>
        <v>0.49763005959254658</v>
      </c>
      <c r="O27" s="71"/>
      <c r="P27" s="71"/>
    </row>
    <row r="28" spans="1:16" s="15" customFormat="1" ht="54" x14ac:dyDescent="0.3">
      <c r="A28" s="42"/>
      <c r="B28" s="42"/>
      <c r="C28" s="42"/>
      <c r="D28" s="43" t="s">
        <v>296</v>
      </c>
      <c r="E28" s="44">
        <f t="shared" si="4"/>
        <v>1049704</v>
      </c>
      <c r="F28" s="59">
        <v>1049704</v>
      </c>
      <c r="G28" s="59"/>
      <c r="H28" s="59"/>
      <c r="I28" s="59">
        <f t="shared" si="6"/>
        <v>689034.43</v>
      </c>
      <c r="J28" s="59">
        <v>689034.43</v>
      </c>
      <c r="K28" s="59"/>
      <c r="L28" s="59"/>
      <c r="M28" s="27">
        <f t="shared" si="9"/>
        <v>0.65640831129537469</v>
      </c>
      <c r="N28" s="27">
        <f t="shared" si="10"/>
        <v>0.65640831129537469</v>
      </c>
      <c r="O28" s="71"/>
      <c r="P28" s="71"/>
    </row>
    <row r="29" spans="1:16" s="15" customFormat="1" ht="72" x14ac:dyDescent="0.3">
      <c r="A29" s="42"/>
      <c r="B29" s="42"/>
      <c r="C29" s="42"/>
      <c r="D29" s="43" t="s">
        <v>297</v>
      </c>
      <c r="E29" s="44">
        <f t="shared" si="4"/>
        <v>7000000</v>
      </c>
      <c r="F29" s="59">
        <v>7000000</v>
      </c>
      <c r="G29" s="59"/>
      <c r="H29" s="59"/>
      <c r="I29" s="59">
        <f t="shared" si="6"/>
        <v>3286196.43</v>
      </c>
      <c r="J29" s="59">
        <v>3286196.43</v>
      </c>
      <c r="K29" s="59"/>
      <c r="L29" s="59"/>
      <c r="M29" s="27">
        <f t="shared" si="9"/>
        <v>0.4694566328571429</v>
      </c>
      <c r="N29" s="27">
        <f t="shared" si="10"/>
        <v>0.4694566328571429</v>
      </c>
      <c r="O29" s="71"/>
      <c r="P29" s="71"/>
    </row>
    <row r="30" spans="1:16" s="15" customFormat="1" ht="54" x14ac:dyDescent="0.3">
      <c r="A30" s="42"/>
      <c r="B30" s="42"/>
      <c r="C30" s="42"/>
      <c r="D30" s="43" t="s">
        <v>298</v>
      </c>
      <c r="E30" s="44">
        <f t="shared" si="4"/>
        <v>3000000</v>
      </c>
      <c r="F30" s="59">
        <v>3000000</v>
      </c>
      <c r="G30" s="59"/>
      <c r="H30" s="59"/>
      <c r="I30" s="59">
        <f t="shared" si="6"/>
        <v>1523434</v>
      </c>
      <c r="J30" s="59">
        <v>1523434</v>
      </c>
      <c r="K30" s="59"/>
      <c r="L30" s="59"/>
      <c r="M30" s="27">
        <f t="shared" si="9"/>
        <v>0.50781133333333328</v>
      </c>
      <c r="N30" s="27">
        <f t="shared" si="10"/>
        <v>0.50781133333333328</v>
      </c>
      <c r="O30" s="71"/>
      <c r="P30" s="71"/>
    </row>
    <row r="31" spans="1:16" s="16" customFormat="1" ht="72" x14ac:dyDescent="0.3">
      <c r="A31" s="45" t="s">
        <v>357</v>
      </c>
      <c r="B31" s="45" t="s">
        <v>358</v>
      </c>
      <c r="C31" s="45" t="s">
        <v>119</v>
      </c>
      <c r="D31" s="40" t="s">
        <v>359</v>
      </c>
      <c r="E31" s="41">
        <f t="shared" si="4"/>
        <v>2333054</v>
      </c>
      <c r="F31" s="58">
        <v>0</v>
      </c>
      <c r="G31" s="58">
        <v>2333054</v>
      </c>
      <c r="H31" s="58">
        <v>2333054</v>
      </c>
      <c r="I31" s="58">
        <f t="shared" si="6"/>
        <v>0</v>
      </c>
      <c r="J31" s="58">
        <v>0</v>
      </c>
      <c r="K31" s="58"/>
      <c r="L31" s="58"/>
      <c r="M31" s="27">
        <f t="shared" si="9"/>
        <v>0</v>
      </c>
      <c r="N31" s="27"/>
      <c r="O31" s="71">
        <f t="shared" si="11"/>
        <v>0</v>
      </c>
      <c r="P31" s="71">
        <f t="shared" si="12"/>
        <v>0</v>
      </c>
    </row>
    <row r="32" spans="1:16" s="15" customFormat="1" ht="36" x14ac:dyDescent="0.3">
      <c r="A32" s="39" t="s">
        <v>137</v>
      </c>
      <c r="B32" s="39" t="s">
        <v>136</v>
      </c>
      <c r="C32" s="39" t="s">
        <v>3</v>
      </c>
      <c r="D32" s="40" t="s">
        <v>360</v>
      </c>
      <c r="E32" s="41">
        <f t="shared" si="4"/>
        <v>3500000</v>
      </c>
      <c r="F32" s="58">
        <v>3500000</v>
      </c>
      <c r="G32" s="58">
        <v>0</v>
      </c>
      <c r="H32" s="58">
        <v>0</v>
      </c>
      <c r="I32" s="58">
        <f t="shared" si="6"/>
        <v>1064500</v>
      </c>
      <c r="J32" s="58">
        <v>1064500</v>
      </c>
      <c r="K32" s="58">
        <v>0</v>
      </c>
      <c r="L32" s="58">
        <v>0</v>
      </c>
      <c r="M32" s="27">
        <f t="shared" si="9"/>
        <v>0.30414285714285716</v>
      </c>
      <c r="N32" s="27">
        <f t="shared" si="10"/>
        <v>0.30414285714285716</v>
      </c>
      <c r="O32" s="71"/>
      <c r="P32" s="71"/>
    </row>
    <row r="33" spans="1:18" s="15" customFormat="1" ht="18" x14ac:dyDescent="0.3">
      <c r="A33" s="39" t="s">
        <v>63</v>
      </c>
      <c r="B33" s="39" t="s">
        <v>38</v>
      </c>
      <c r="C33" s="39" t="s">
        <v>8</v>
      </c>
      <c r="D33" s="40" t="s">
        <v>227</v>
      </c>
      <c r="E33" s="41">
        <f t="shared" si="4"/>
        <v>18283900</v>
      </c>
      <c r="F33" s="58">
        <f>SUM(F34:F36)</f>
        <v>18283900</v>
      </c>
      <c r="G33" s="58">
        <f t="shared" ref="G33:H33" si="19">SUM(G34:G36)</f>
        <v>0</v>
      </c>
      <c r="H33" s="58">
        <f t="shared" si="19"/>
        <v>0</v>
      </c>
      <c r="I33" s="58">
        <f t="shared" si="6"/>
        <v>7924017.4199999999</v>
      </c>
      <c r="J33" s="58">
        <f>SUM(J34:J36)</f>
        <v>7924017.4199999999</v>
      </c>
      <c r="K33" s="58">
        <f t="shared" ref="K33" si="20">SUM(K34:K36)</f>
        <v>0</v>
      </c>
      <c r="L33" s="58">
        <f t="shared" ref="L33" si="21">SUM(L34:L36)</f>
        <v>0</v>
      </c>
      <c r="M33" s="27">
        <f t="shared" si="9"/>
        <v>0.43338770284239136</v>
      </c>
      <c r="N33" s="27">
        <f t="shared" si="10"/>
        <v>0.43338770284239136</v>
      </c>
      <c r="O33" s="71"/>
      <c r="P33" s="71"/>
    </row>
    <row r="34" spans="1:18" s="15" customFormat="1" ht="54" x14ac:dyDescent="0.3">
      <c r="A34" s="42"/>
      <c r="B34" s="42"/>
      <c r="C34" s="42"/>
      <c r="D34" s="43" t="s">
        <v>199</v>
      </c>
      <c r="E34" s="44">
        <f t="shared" si="4"/>
        <v>10327400</v>
      </c>
      <c r="F34" s="59">
        <v>10327400</v>
      </c>
      <c r="G34" s="59">
        <v>0</v>
      </c>
      <c r="H34" s="59"/>
      <c r="I34" s="59">
        <f t="shared" si="6"/>
        <v>4438337.13</v>
      </c>
      <c r="J34" s="59">
        <v>4438337.13</v>
      </c>
      <c r="K34" s="59">
        <v>0</v>
      </c>
      <c r="L34" s="59"/>
      <c r="M34" s="27">
        <f t="shared" si="9"/>
        <v>0.42976326374498902</v>
      </c>
      <c r="N34" s="27">
        <f t="shared" si="10"/>
        <v>0.42976326374498902</v>
      </c>
      <c r="O34" s="71"/>
      <c r="P34" s="71"/>
    </row>
    <row r="35" spans="1:18" s="15" customFormat="1" ht="54" x14ac:dyDescent="0.3">
      <c r="A35" s="42"/>
      <c r="B35" s="42"/>
      <c r="C35" s="42"/>
      <c r="D35" s="43" t="s">
        <v>201</v>
      </c>
      <c r="E35" s="44">
        <f t="shared" si="4"/>
        <v>3011900</v>
      </c>
      <c r="F35" s="59">
        <v>3011900</v>
      </c>
      <c r="G35" s="59">
        <v>0</v>
      </c>
      <c r="H35" s="59"/>
      <c r="I35" s="59">
        <f t="shared" si="6"/>
        <v>1188934.8999999999</v>
      </c>
      <c r="J35" s="59">
        <v>1188934.8999999999</v>
      </c>
      <c r="K35" s="59">
        <v>0</v>
      </c>
      <c r="L35" s="59"/>
      <c r="M35" s="27">
        <f t="shared" si="9"/>
        <v>0.39474580829376804</v>
      </c>
      <c r="N35" s="27">
        <f t="shared" si="10"/>
        <v>0.39474580829376804</v>
      </c>
      <c r="O35" s="71"/>
      <c r="P35" s="71"/>
    </row>
    <row r="36" spans="1:18" s="15" customFormat="1" ht="54" x14ac:dyDescent="0.3">
      <c r="A36" s="42"/>
      <c r="B36" s="42"/>
      <c r="C36" s="42"/>
      <c r="D36" s="43" t="s">
        <v>200</v>
      </c>
      <c r="E36" s="44">
        <f t="shared" si="4"/>
        <v>4944600</v>
      </c>
      <c r="F36" s="59">
        <v>4944600</v>
      </c>
      <c r="G36" s="59">
        <v>0</v>
      </c>
      <c r="H36" s="59"/>
      <c r="I36" s="59">
        <f t="shared" si="6"/>
        <v>2296745.39</v>
      </c>
      <c r="J36" s="59">
        <v>2296745.39</v>
      </c>
      <c r="K36" s="59">
        <v>0</v>
      </c>
      <c r="L36" s="59"/>
      <c r="M36" s="27">
        <f t="shared" si="9"/>
        <v>0.46449569024794729</v>
      </c>
      <c r="N36" s="27">
        <f t="shared" si="10"/>
        <v>0.46449569024794729</v>
      </c>
      <c r="O36" s="71"/>
      <c r="P36" s="71"/>
    </row>
    <row r="37" spans="1:18" s="16" customFormat="1" ht="54" x14ac:dyDescent="0.3">
      <c r="A37" s="45" t="s">
        <v>361</v>
      </c>
      <c r="B37" s="45" t="s">
        <v>362</v>
      </c>
      <c r="C37" s="45" t="s">
        <v>117</v>
      </c>
      <c r="D37" s="40" t="s">
        <v>363</v>
      </c>
      <c r="E37" s="41">
        <f t="shared" si="4"/>
        <v>1424067</v>
      </c>
      <c r="F37" s="58">
        <v>80000</v>
      </c>
      <c r="G37" s="58">
        <v>1344067</v>
      </c>
      <c r="H37" s="58">
        <v>1344067</v>
      </c>
      <c r="I37" s="58">
        <f t="shared" si="6"/>
        <v>0</v>
      </c>
      <c r="J37" s="58"/>
      <c r="K37" s="58"/>
      <c r="L37" s="58"/>
      <c r="M37" s="27">
        <f t="shared" si="9"/>
        <v>0</v>
      </c>
      <c r="N37" s="27">
        <f t="shared" si="10"/>
        <v>0</v>
      </c>
      <c r="O37" s="71">
        <f t="shared" si="11"/>
        <v>0</v>
      </c>
      <c r="P37" s="71">
        <f t="shared" si="12"/>
        <v>0</v>
      </c>
      <c r="Q37" s="17"/>
    </row>
    <row r="38" spans="1:18" s="15" customFormat="1" ht="36" x14ac:dyDescent="0.3">
      <c r="A38" s="45" t="s">
        <v>299</v>
      </c>
      <c r="B38" s="45" t="s">
        <v>300</v>
      </c>
      <c r="C38" s="45" t="s">
        <v>301</v>
      </c>
      <c r="D38" s="40" t="s">
        <v>302</v>
      </c>
      <c r="E38" s="41">
        <f t="shared" si="4"/>
        <v>1722200</v>
      </c>
      <c r="F38" s="58">
        <f>SUM(F39:F44)</f>
        <v>1722200</v>
      </c>
      <c r="G38" s="58">
        <f t="shared" ref="G38:H38" si="22">SUM(G39:G44)</f>
        <v>0</v>
      </c>
      <c r="H38" s="58">
        <f t="shared" si="22"/>
        <v>0</v>
      </c>
      <c r="I38" s="58">
        <f t="shared" si="6"/>
        <v>638199.4</v>
      </c>
      <c r="J38" s="58">
        <f>SUM(J39:J44)</f>
        <v>638199.4</v>
      </c>
      <c r="K38" s="58">
        <f t="shared" ref="K38" si="23">SUM(K39:K44)</f>
        <v>0</v>
      </c>
      <c r="L38" s="58">
        <f t="shared" ref="L38" si="24">SUM(L39:L44)</f>
        <v>0</v>
      </c>
      <c r="M38" s="27">
        <f t="shared" si="9"/>
        <v>0.37057217512484031</v>
      </c>
      <c r="N38" s="27">
        <f t="shared" si="10"/>
        <v>0.37057217512484031</v>
      </c>
      <c r="O38" s="71"/>
      <c r="P38" s="71"/>
      <c r="Q38" s="29"/>
    </row>
    <row r="39" spans="1:18" s="15" customFormat="1" ht="36" x14ac:dyDescent="0.3">
      <c r="A39" s="46"/>
      <c r="B39" s="46"/>
      <c r="C39" s="46"/>
      <c r="D39" s="43" t="s">
        <v>219</v>
      </c>
      <c r="E39" s="44">
        <f t="shared" si="4"/>
        <v>1359700</v>
      </c>
      <c r="F39" s="59">
        <v>1359700</v>
      </c>
      <c r="G39" s="59">
        <v>0</v>
      </c>
      <c r="H39" s="59"/>
      <c r="I39" s="59">
        <f t="shared" si="6"/>
        <v>457582.8</v>
      </c>
      <c r="J39" s="59">
        <v>457582.8</v>
      </c>
      <c r="K39" s="59">
        <v>0</v>
      </c>
      <c r="L39" s="59"/>
      <c r="M39" s="27">
        <f t="shared" si="9"/>
        <v>0.33653217621534159</v>
      </c>
      <c r="N39" s="27">
        <f t="shared" si="10"/>
        <v>0.33653217621534159</v>
      </c>
      <c r="O39" s="71"/>
      <c r="P39" s="71"/>
      <c r="Q39" s="29"/>
    </row>
    <row r="40" spans="1:18" s="15" customFormat="1" ht="54" x14ac:dyDescent="0.3">
      <c r="A40" s="46"/>
      <c r="B40" s="46"/>
      <c r="C40" s="46"/>
      <c r="D40" s="43" t="s">
        <v>199</v>
      </c>
      <c r="E40" s="44">
        <f t="shared" si="4"/>
        <v>71300</v>
      </c>
      <c r="F40" s="59">
        <v>71300</v>
      </c>
      <c r="G40" s="59">
        <v>0</v>
      </c>
      <c r="H40" s="59"/>
      <c r="I40" s="59">
        <f t="shared" si="6"/>
        <v>1008</v>
      </c>
      <c r="J40" s="59">
        <v>1008</v>
      </c>
      <c r="K40" s="59">
        <v>0</v>
      </c>
      <c r="L40" s="59"/>
      <c r="M40" s="27">
        <f t="shared" si="9"/>
        <v>1.4137447405329594E-2</v>
      </c>
      <c r="N40" s="27">
        <f t="shared" si="10"/>
        <v>1.4137447405329594E-2</v>
      </c>
      <c r="O40" s="71"/>
      <c r="P40" s="71"/>
      <c r="Q40" s="29"/>
    </row>
    <row r="41" spans="1:18" s="15" customFormat="1" ht="54" x14ac:dyDescent="0.3">
      <c r="A41" s="46"/>
      <c r="B41" s="46"/>
      <c r="C41" s="46"/>
      <c r="D41" s="43" t="s">
        <v>201</v>
      </c>
      <c r="E41" s="44">
        <f t="shared" si="4"/>
        <v>20900</v>
      </c>
      <c r="F41" s="59">
        <v>20900</v>
      </c>
      <c r="G41" s="59"/>
      <c r="H41" s="59"/>
      <c r="I41" s="59">
        <f t="shared" si="6"/>
        <v>4000</v>
      </c>
      <c r="J41" s="59">
        <v>4000</v>
      </c>
      <c r="K41" s="59"/>
      <c r="L41" s="59"/>
      <c r="M41" s="27">
        <f t="shared" si="9"/>
        <v>0.19138755980861244</v>
      </c>
      <c r="N41" s="27">
        <f t="shared" si="10"/>
        <v>0.19138755980861244</v>
      </c>
      <c r="O41" s="71"/>
      <c r="P41" s="71"/>
      <c r="R41" s="30"/>
    </row>
    <row r="42" spans="1:18" s="15" customFormat="1" ht="54" x14ac:dyDescent="0.3">
      <c r="A42" s="46"/>
      <c r="B42" s="46"/>
      <c r="C42" s="46"/>
      <c r="D42" s="43" t="s">
        <v>200</v>
      </c>
      <c r="E42" s="44">
        <f t="shared" si="4"/>
        <v>11500</v>
      </c>
      <c r="F42" s="59">
        <v>11500</v>
      </c>
      <c r="G42" s="59">
        <v>0</v>
      </c>
      <c r="H42" s="59"/>
      <c r="I42" s="59">
        <f t="shared" si="6"/>
        <v>450</v>
      </c>
      <c r="J42" s="59">
        <v>450</v>
      </c>
      <c r="K42" s="59">
        <v>0</v>
      </c>
      <c r="L42" s="59"/>
      <c r="M42" s="27">
        <f t="shared" si="9"/>
        <v>3.9130434782608699E-2</v>
      </c>
      <c r="N42" s="27">
        <f t="shared" si="10"/>
        <v>3.9130434782608699E-2</v>
      </c>
      <c r="O42" s="71"/>
      <c r="P42" s="71"/>
      <c r="R42" s="30"/>
    </row>
    <row r="43" spans="1:18" s="15" customFormat="1" ht="72" x14ac:dyDescent="0.3">
      <c r="A43" s="46"/>
      <c r="B43" s="46"/>
      <c r="C43" s="46"/>
      <c r="D43" s="43" t="s">
        <v>297</v>
      </c>
      <c r="E43" s="44">
        <f t="shared" si="4"/>
        <v>132900</v>
      </c>
      <c r="F43" s="59">
        <v>132900</v>
      </c>
      <c r="G43" s="59">
        <v>0</v>
      </c>
      <c r="H43" s="59"/>
      <c r="I43" s="59">
        <f t="shared" si="6"/>
        <v>114789</v>
      </c>
      <c r="J43" s="59">
        <v>114789</v>
      </c>
      <c r="K43" s="59">
        <v>0</v>
      </c>
      <c r="L43" s="59"/>
      <c r="M43" s="27">
        <f t="shared" si="9"/>
        <v>0.86372460496614001</v>
      </c>
      <c r="N43" s="27">
        <f t="shared" si="10"/>
        <v>0.86372460496614001</v>
      </c>
      <c r="O43" s="71"/>
      <c r="P43" s="71"/>
    </row>
    <row r="44" spans="1:18" s="15" customFormat="1" ht="54" x14ac:dyDescent="0.3">
      <c r="A44" s="46"/>
      <c r="B44" s="46"/>
      <c r="C44" s="46"/>
      <c r="D44" s="43" t="s">
        <v>303</v>
      </c>
      <c r="E44" s="44">
        <f t="shared" si="4"/>
        <v>125900</v>
      </c>
      <c r="F44" s="59">
        <v>125900</v>
      </c>
      <c r="G44" s="59">
        <v>0</v>
      </c>
      <c r="H44" s="59"/>
      <c r="I44" s="59">
        <f t="shared" si="6"/>
        <v>60369.599999999999</v>
      </c>
      <c r="J44" s="59">
        <v>60369.599999999999</v>
      </c>
      <c r="K44" s="59">
        <v>0</v>
      </c>
      <c r="L44" s="59"/>
      <c r="M44" s="27">
        <f t="shared" si="9"/>
        <v>0.47950436854646544</v>
      </c>
      <c r="N44" s="27">
        <f t="shared" si="10"/>
        <v>0.47950436854646544</v>
      </c>
      <c r="O44" s="71"/>
      <c r="P44" s="71"/>
    </row>
    <row r="45" spans="1:18" s="16" customFormat="1" ht="36" x14ac:dyDescent="0.3">
      <c r="A45" s="45" t="s">
        <v>364</v>
      </c>
      <c r="B45" s="45" t="s">
        <v>365</v>
      </c>
      <c r="C45" s="45" t="s">
        <v>366</v>
      </c>
      <c r="D45" s="40" t="s">
        <v>367</v>
      </c>
      <c r="E45" s="41">
        <f t="shared" si="4"/>
        <v>500000</v>
      </c>
      <c r="F45" s="58">
        <v>500000</v>
      </c>
      <c r="G45" s="58">
        <v>0</v>
      </c>
      <c r="H45" s="58"/>
      <c r="I45" s="58">
        <f t="shared" si="6"/>
        <v>0</v>
      </c>
      <c r="J45" s="58"/>
      <c r="K45" s="58">
        <v>0</v>
      </c>
      <c r="L45" s="58"/>
      <c r="M45" s="27">
        <f t="shared" si="9"/>
        <v>0</v>
      </c>
      <c r="N45" s="27">
        <f t="shared" si="10"/>
        <v>0</v>
      </c>
      <c r="O45" s="71"/>
      <c r="P45" s="71"/>
    </row>
    <row r="46" spans="1:18" s="16" customFormat="1" ht="18" x14ac:dyDescent="0.3">
      <c r="A46" s="45" t="s">
        <v>291</v>
      </c>
      <c r="B46" s="45" t="s">
        <v>304</v>
      </c>
      <c r="C46" s="45" t="s">
        <v>6</v>
      </c>
      <c r="D46" s="40" t="s">
        <v>7</v>
      </c>
      <c r="E46" s="41">
        <f t="shared" si="4"/>
        <v>374197</v>
      </c>
      <c r="F46" s="58">
        <v>374197</v>
      </c>
      <c r="G46" s="58">
        <v>0</v>
      </c>
      <c r="H46" s="58"/>
      <c r="I46" s="58">
        <f t="shared" si="6"/>
        <v>374196.75</v>
      </c>
      <c r="J46" s="58">
        <v>374196.75</v>
      </c>
      <c r="K46" s="58">
        <v>0</v>
      </c>
      <c r="L46" s="58"/>
      <c r="M46" s="27">
        <f t="shared" si="9"/>
        <v>0.99999933190271439</v>
      </c>
      <c r="N46" s="27">
        <f t="shared" si="10"/>
        <v>0.99999933190271439</v>
      </c>
      <c r="O46" s="71"/>
      <c r="P46" s="71"/>
    </row>
    <row r="47" spans="1:18" s="16" customFormat="1" ht="36" x14ac:dyDescent="0.3">
      <c r="A47" s="39" t="s">
        <v>106</v>
      </c>
      <c r="B47" s="39" t="s">
        <v>105</v>
      </c>
      <c r="C47" s="39" t="s">
        <v>21</v>
      </c>
      <c r="D47" s="40" t="s">
        <v>107</v>
      </c>
      <c r="E47" s="41">
        <f t="shared" si="4"/>
        <v>232000</v>
      </c>
      <c r="F47" s="58">
        <v>232000</v>
      </c>
      <c r="G47" s="58">
        <v>0</v>
      </c>
      <c r="H47" s="58">
        <v>0</v>
      </c>
      <c r="I47" s="58">
        <f t="shared" si="6"/>
        <v>111259</v>
      </c>
      <c r="J47" s="58">
        <v>111259</v>
      </c>
      <c r="K47" s="58">
        <v>0</v>
      </c>
      <c r="L47" s="58">
        <v>0</v>
      </c>
      <c r="M47" s="27">
        <f t="shared" si="9"/>
        <v>0.47956465517241381</v>
      </c>
      <c r="N47" s="27">
        <f t="shared" si="10"/>
        <v>0.47956465517241381</v>
      </c>
      <c r="O47" s="71"/>
      <c r="P47" s="71"/>
    </row>
    <row r="48" spans="1:18" s="16" customFormat="1" ht="36" x14ac:dyDescent="0.3">
      <c r="A48" s="45" t="s">
        <v>368</v>
      </c>
      <c r="B48" s="39">
        <v>7693</v>
      </c>
      <c r="C48" s="45" t="s">
        <v>21</v>
      </c>
      <c r="D48" s="40" t="s">
        <v>369</v>
      </c>
      <c r="E48" s="41">
        <f t="shared" si="4"/>
        <v>4728045</v>
      </c>
      <c r="F48" s="58">
        <v>4728045</v>
      </c>
      <c r="G48" s="58">
        <v>0</v>
      </c>
      <c r="H48" s="58">
        <v>0</v>
      </c>
      <c r="I48" s="58">
        <f t="shared" si="6"/>
        <v>0</v>
      </c>
      <c r="J48" s="58"/>
      <c r="K48" s="58">
        <v>0</v>
      </c>
      <c r="L48" s="58">
        <v>0</v>
      </c>
      <c r="M48" s="27">
        <f t="shared" si="9"/>
        <v>0</v>
      </c>
      <c r="N48" s="27">
        <f t="shared" si="10"/>
        <v>0</v>
      </c>
      <c r="O48" s="71"/>
      <c r="P48" s="71"/>
    </row>
    <row r="49" spans="1:16" s="16" customFormat="1" ht="54" x14ac:dyDescent="0.3">
      <c r="A49" s="45" t="s">
        <v>305</v>
      </c>
      <c r="B49" s="45">
        <v>8110</v>
      </c>
      <c r="C49" s="45" t="s">
        <v>4</v>
      </c>
      <c r="D49" s="40" t="s">
        <v>127</v>
      </c>
      <c r="E49" s="41">
        <f t="shared" si="4"/>
        <v>1811450</v>
      </c>
      <c r="F49" s="58">
        <f>SUM(F50:F56)</f>
        <v>1811450</v>
      </c>
      <c r="G49" s="58">
        <f t="shared" ref="G49:H49" si="25">SUM(G50:G56)</f>
        <v>0</v>
      </c>
      <c r="H49" s="58">
        <f t="shared" si="25"/>
        <v>0</v>
      </c>
      <c r="I49" s="58">
        <f t="shared" si="6"/>
        <v>1320420.8799999999</v>
      </c>
      <c r="J49" s="58">
        <f>SUM(J50:J56)</f>
        <v>1320420.8799999999</v>
      </c>
      <c r="K49" s="58">
        <f t="shared" ref="K49" si="26">SUM(K50:K56)</f>
        <v>0</v>
      </c>
      <c r="L49" s="58">
        <f t="shared" ref="L49" si="27">SUM(L50:L56)</f>
        <v>0</v>
      </c>
      <c r="M49" s="27">
        <f t="shared" si="9"/>
        <v>0.72893034861574979</v>
      </c>
      <c r="N49" s="27">
        <f t="shared" si="10"/>
        <v>0.72893034861574979</v>
      </c>
      <c r="O49" s="71"/>
      <c r="P49" s="71"/>
    </row>
    <row r="50" spans="1:16" s="15" customFormat="1" ht="36" x14ac:dyDescent="0.3">
      <c r="A50" s="46"/>
      <c r="B50" s="46"/>
      <c r="C50" s="46"/>
      <c r="D50" s="43" t="s">
        <v>219</v>
      </c>
      <c r="E50" s="44">
        <f t="shared" si="4"/>
        <v>353850</v>
      </c>
      <c r="F50" s="59">
        <v>353850</v>
      </c>
      <c r="G50" s="59"/>
      <c r="H50" s="59"/>
      <c r="I50" s="59">
        <f t="shared" si="6"/>
        <v>199314.48</v>
      </c>
      <c r="J50" s="59">
        <v>199314.48</v>
      </c>
      <c r="K50" s="59"/>
      <c r="L50" s="59"/>
      <c r="M50" s="27">
        <f t="shared" si="9"/>
        <v>0.56327392963119971</v>
      </c>
      <c r="N50" s="27">
        <f t="shared" si="10"/>
        <v>0.56327392963119971</v>
      </c>
      <c r="O50" s="71"/>
      <c r="P50" s="71"/>
    </row>
    <row r="51" spans="1:16" s="15" customFormat="1" ht="54" x14ac:dyDescent="0.3">
      <c r="A51" s="46"/>
      <c r="B51" s="46"/>
      <c r="C51" s="46"/>
      <c r="D51" s="43" t="s">
        <v>199</v>
      </c>
      <c r="E51" s="44">
        <f t="shared" si="4"/>
        <v>116500</v>
      </c>
      <c r="F51" s="59">
        <v>116500</v>
      </c>
      <c r="G51" s="59"/>
      <c r="H51" s="59"/>
      <c r="I51" s="59">
        <f t="shared" si="6"/>
        <v>114871.2</v>
      </c>
      <c r="J51" s="59">
        <v>114871.2</v>
      </c>
      <c r="K51" s="59"/>
      <c r="L51" s="59"/>
      <c r="M51" s="27">
        <f t="shared" si="9"/>
        <v>0.98601888412017169</v>
      </c>
      <c r="N51" s="27">
        <f t="shared" si="10"/>
        <v>0.98601888412017169</v>
      </c>
      <c r="O51" s="71"/>
      <c r="P51" s="71"/>
    </row>
    <row r="52" spans="1:16" s="15" customFormat="1" ht="54" x14ac:dyDescent="0.3">
      <c r="A52" s="46"/>
      <c r="B52" s="46"/>
      <c r="C52" s="46"/>
      <c r="D52" s="43" t="s">
        <v>201</v>
      </c>
      <c r="E52" s="44">
        <f t="shared" si="4"/>
        <v>13000</v>
      </c>
      <c r="F52" s="59">
        <v>13000</v>
      </c>
      <c r="G52" s="59"/>
      <c r="H52" s="59"/>
      <c r="I52" s="59">
        <f t="shared" si="6"/>
        <v>0</v>
      </c>
      <c r="J52" s="59"/>
      <c r="K52" s="59"/>
      <c r="L52" s="59"/>
      <c r="M52" s="27">
        <f t="shared" si="9"/>
        <v>0</v>
      </c>
      <c r="N52" s="27">
        <f t="shared" si="10"/>
        <v>0</v>
      </c>
      <c r="O52" s="71"/>
      <c r="P52" s="71"/>
    </row>
    <row r="53" spans="1:16" s="15" customFormat="1" ht="54" x14ac:dyDescent="0.3">
      <c r="A53" s="46"/>
      <c r="B53" s="46"/>
      <c r="C53" s="46"/>
      <c r="D53" s="43" t="s">
        <v>200</v>
      </c>
      <c r="E53" s="44">
        <f t="shared" si="4"/>
        <v>13000</v>
      </c>
      <c r="F53" s="59">
        <v>13000</v>
      </c>
      <c r="G53" s="59"/>
      <c r="H53" s="59"/>
      <c r="I53" s="59">
        <f t="shared" si="6"/>
        <v>13000</v>
      </c>
      <c r="J53" s="59">
        <v>13000</v>
      </c>
      <c r="K53" s="59"/>
      <c r="L53" s="59"/>
      <c r="M53" s="27">
        <f t="shared" si="9"/>
        <v>1</v>
      </c>
      <c r="N53" s="27">
        <f t="shared" si="10"/>
        <v>1</v>
      </c>
      <c r="O53" s="71"/>
      <c r="P53" s="71"/>
    </row>
    <row r="54" spans="1:16" s="15" customFormat="1" ht="54" x14ac:dyDescent="0.3">
      <c r="A54" s="46"/>
      <c r="B54" s="46"/>
      <c r="C54" s="46"/>
      <c r="D54" s="43" t="s">
        <v>296</v>
      </c>
      <c r="E54" s="44">
        <f t="shared" si="4"/>
        <v>994500</v>
      </c>
      <c r="F54" s="59">
        <v>994500</v>
      </c>
      <c r="G54" s="59"/>
      <c r="H54" s="59"/>
      <c r="I54" s="59">
        <f t="shared" si="6"/>
        <v>993235.2</v>
      </c>
      <c r="J54" s="59">
        <v>993235.2</v>
      </c>
      <c r="K54" s="59"/>
      <c r="L54" s="59"/>
      <c r="M54" s="27">
        <f t="shared" si="9"/>
        <v>0.99872820512820504</v>
      </c>
      <c r="N54" s="27">
        <f t="shared" si="10"/>
        <v>0.99872820512820504</v>
      </c>
      <c r="O54" s="71"/>
      <c r="P54" s="71"/>
    </row>
    <row r="55" spans="1:16" s="15" customFormat="1" ht="72" x14ac:dyDescent="0.3">
      <c r="A55" s="46"/>
      <c r="B55" s="46"/>
      <c r="C55" s="46"/>
      <c r="D55" s="43" t="s">
        <v>297</v>
      </c>
      <c r="E55" s="44">
        <f t="shared" si="4"/>
        <v>267100</v>
      </c>
      <c r="F55" s="59">
        <v>267100</v>
      </c>
      <c r="G55" s="59"/>
      <c r="H55" s="59"/>
      <c r="I55" s="59">
        <f t="shared" si="6"/>
        <v>0</v>
      </c>
      <c r="J55" s="59"/>
      <c r="K55" s="59"/>
      <c r="L55" s="59"/>
      <c r="M55" s="27">
        <f t="shared" si="9"/>
        <v>0</v>
      </c>
      <c r="N55" s="27">
        <f t="shared" si="10"/>
        <v>0</v>
      </c>
      <c r="O55" s="71"/>
      <c r="P55" s="71"/>
    </row>
    <row r="56" spans="1:16" s="15" customFormat="1" ht="54" x14ac:dyDescent="0.3">
      <c r="A56" s="46"/>
      <c r="B56" s="46"/>
      <c r="C56" s="46"/>
      <c r="D56" s="43" t="s">
        <v>298</v>
      </c>
      <c r="E56" s="44">
        <f t="shared" si="4"/>
        <v>53500</v>
      </c>
      <c r="F56" s="59">
        <v>53500</v>
      </c>
      <c r="G56" s="59"/>
      <c r="H56" s="59"/>
      <c r="I56" s="59">
        <f t="shared" si="6"/>
        <v>0</v>
      </c>
      <c r="J56" s="59">
        <v>0</v>
      </c>
      <c r="K56" s="59"/>
      <c r="L56" s="59"/>
      <c r="M56" s="27">
        <f t="shared" si="9"/>
        <v>0</v>
      </c>
      <c r="N56" s="27">
        <f t="shared" si="10"/>
        <v>0</v>
      </c>
      <c r="O56" s="71"/>
      <c r="P56" s="71"/>
    </row>
    <row r="57" spans="1:16" s="16" customFormat="1" ht="36" x14ac:dyDescent="0.3">
      <c r="A57" s="39" t="s">
        <v>170</v>
      </c>
      <c r="B57" s="39" t="s">
        <v>171</v>
      </c>
      <c r="C57" s="39" t="s">
        <v>148</v>
      </c>
      <c r="D57" s="40" t="s">
        <v>172</v>
      </c>
      <c r="E57" s="41">
        <f t="shared" si="4"/>
        <v>28734000</v>
      </c>
      <c r="F57" s="58">
        <v>28734000</v>
      </c>
      <c r="G57" s="58">
        <v>0</v>
      </c>
      <c r="H57" s="58">
        <v>0</v>
      </c>
      <c r="I57" s="58">
        <f t="shared" si="6"/>
        <v>14358931.01</v>
      </c>
      <c r="J57" s="58">
        <v>14358931.01</v>
      </c>
      <c r="K57" s="58"/>
      <c r="L57" s="58">
        <v>0</v>
      </c>
      <c r="M57" s="27">
        <f t="shared" si="9"/>
        <v>0.49971918319760561</v>
      </c>
      <c r="N57" s="27">
        <f t="shared" si="10"/>
        <v>0.49971918319760561</v>
      </c>
      <c r="O57" s="71"/>
      <c r="P57" s="71"/>
    </row>
    <row r="58" spans="1:16" s="15" customFormat="1" ht="36" x14ac:dyDescent="0.3">
      <c r="A58" s="39" t="s">
        <v>228</v>
      </c>
      <c r="B58" s="39" t="s">
        <v>306</v>
      </c>
      <c r="C58" s="39" t="s">
        <v>148</v>
      </c>
      <c r="D58" s="40" t="s">
        <v>229</v>
      </c>
      <c r="E58" s="41">
        <f t="shared" si="4"/>
        <v>873900</v>
      </c>
      <c r="F58" s="58">
        <v>873900</v>
      </c>
      <c r="G58" s="58">
        <v>0</v>
      </c>
      <c r="H58" s="58">
        <v>0</v>
      </c>
      <c r="I58" s="58">
        <f t="shared" si="6"/>
        <v>135255</v>
      </c>
      <c r="J58" s="58">
        <v>135255</v>
      </c>
      <c r="K58" s="58"/>
      <c r="L58" s="58">
        <v>0</v>
      </c>
      <c r="M58" s="27">
        <f t="shared" si="9"/>
        <v>0.15477171301064194</v>
      </c>
      <c r="N58" s="27">
        <f t="shared" si="10"/>
        <v>0.15477171301064194</v>
      </c>
      <c r="O58" s="71"/>
      <c r="P58" s="71"/>
    </row>
    <row r="59" spans="1:16" s="16" customFormat="1" ht="18" x14ac:dyDescent="0.3">
      <c r="A59" s="39" t="s">
        <v>230</v>
      </c>
      <c r="B59" s="39" t="s">
        <v>231</v>
      </c>
      <c r="C59" s="39" t="s">
        <v>148</v>
      </c>
      <c r="D59" s="40" t="s">
        <v>232</v>
      </c>
      <c r="E59" s="41">
        <f t="shared" si="4"/>
        <v>4096305</v>
      </c>
      <c r="F59" s="58">
        <v>4096305</v>
      </c>
      <c r="G59" s="58">
        <v>0</v>
      </c>
      <c r="H59" s="58">
        <v>0</v>
      </c>
      <c r="I59" s="58">
        <f t="shared" si="6"/>
        <v>1789839.8</v>
      </c>
      <c r="J59" s="58">
        <v>1789839.8</v>
      </c>
      <c r="K59" s="58"/>
      <c r="L59" s="58">
        <v>0</v>
      </c>
      <c r="M59" s="27">
        <f t="shared" si="9"/>
        <v>0.4369400716011137</v>
      </c>
      <c r="N59" s="27">
        <f t="shared" si="10"/>
        <v>0.4369400716011137</v>
      </c>
      <c r="O59" s="71"/>
      <c r="P59" s="71"/>
    </row>
    <row r="60" spans="1:16" s="15" customFormat="1" ht="18" x14ac:dyDescent="0.3">
      <c r="A60" s="45" t="s">
        <v>290</v>
      </c>
      <c r="B60" s="45" t="s">
        <v>233</v>
      </c>
      <c r="C60" s="45" t="s">
        <v>148</v>
      </c>
      <c r="D60" s="40" t="s">
        <v>370</v>
      </c>
      <c r="E60" s="41">
        <f t="shared" si="4"/>
        <v>285480</v>
      </c>
      <c r="F60" s="58">
        <v>285480</v>
      </c>
      <c r="G60" s="58">
        <v>0</v>
      </c>
      <c r="H60" s="58"/>
      <c r="I60" s="58">
        <f t="shared" si="6"/>
        <v>234000</v>
      </c>
      <c r="J60" s="58">
        <v>234000</v>
      </c>
      <c r="K60" s="58"/>
      <c r="L60" s="58"/>
      <c r="M60" s="27">
        <f t="shared" si="9"/>
        <v>0.81967213114754101</v>
      </c>
      <c r="N60" s="27">
        <f t="shared" si="10"/>
        <v>0.81967213114754101</v>
      </c>
      <c r="O60" s="71"/>
      <c r="P60" s="71"/>
    </row>
    <row r="61" spans="1:16" s="15" customFormat="1" ht="36" x14ac:dyDescent="0.3">
      <c r="A61" s="45" t="s">
        <v>118</v>
      </c>
      <c r="B61" s="39">
        <v>8340</v>
      </c>
      <c r="C61" s="39" t="s">
        <v>40</v>
      </c>
      <c r="D61" s="40" t="s">
        <v>125</v>
      </c>
      <c r="E61" s="41">
        <f t="shared" si="4"/>
        <v>100000</v>
      </c>
      <c r="F61" s="58">
        <v>0</v>
      </c>
      <c r="G61" s="58">
        <v>100000</v>
      </c>
      <c r="H61" s="58"/>
      <c r="I61" s="58">
        <f t="shared" si="6"/>
        <v>0</v>
      </c>
      <c r="J61" s="58"/>
      <c r="K61" s="58"/>
      <c r="L61" s="58"/>
      <c r="M61" s="27">
        <f t="shared" si="9"/>
        <v>0</v>
      </c>
      <c r="N61" s="27"/>
      <c r="O61" s="71"/>
      <c r="P61" s="71"/>
    </row>
    <row r="62" spans="1:16" s="25" customFormat="1" ht="34.799999999999997" x14ac:dyDescent="0.3">
      <c r="A62" s="36" t="s">
        <v>51</v>
      </c>
      <c r="B62" s="36" t="s">
        <v>218</v>
      </c>
      <c r="C62" s="36" t="s">
        <v>218</v>
      </c>
      <c r="D62" s="37" t="s">
        <v>307</v>
      </c>
      <c r="E62" s="38">
        <f t="shared" si="4"/>
        <v>562397517</v>
      </c>
      <c r="F62" s="57">
        <f>F63</f>
        <v>534396559</v>
      </c>
      <c r="G62" s="57">
        <f t="shared" ref="G62:H62" si="28">G63</f>
        <v>28000958</v>
      </c>
      <c r="H62" s="57">
        <f t="shared" si="28"/>
        <v>10179528</v>
      </c>
      <c r="I62" s="57">
        <f t="shared" si="6"/>
        <v>336181149.62999994</v>
      </c>
      <c r="J62" s="57">
        <f>J63</f>
        <v>326827366.62999994</v>
      </c>
      <c r="K62" s="57">
        <f t="shared" ref="K62" si="29">K63</f>
        <v>9353783</v>
      </c>
      <c r="L62" s="57">
        <f t="shared" ref="L62" si="30">L63</f>
        <v>13680</v>
      </c>
      <c r="M62" s="26">
        <f t="shared" si="9"/>
        <v>0.59776428499061085</v>
      </c>
      <c r="N62" s="26">
        <f t="shared" si="10"/>
        <v>0.61158209409428466</v>
      </c>
      <c r="O62" s="70">
        <f t="shared" si="11"/>
        <v>0.33405224921233051</v>
      </c>
      <c r="P62" s="70">
        <f t="shared" si="12"/>
        <v>1.3438737041638865E-3</v>
      </c>
    </row>
    <row r="63" spans="1:16" s="16" customFormat="1" ht="34.799999999999997" x14ac:dyDescent="0.3">
      <c r="A63" s="36" t="s">
        <v>52</v>
      </c>
      <c r="B63" s="36" t="s">
        <v>218</v>
      </c>
      <c r="C63" s="36" t="s">
        <v>218</v>
      </c>
      <c r="D63" s="37" t="s">
        <v>307</v>
      </c>
      <c r="E63" s="38">
        <f t="shared" si="4"/>
        <v>562397517</v>
      </c>
      <c r="F63" s="57">
        <f>SUM(F64:F92)-F69</f>
        <v>534396559</v>
      </c>
      <c r="G63" s="57">
        <f t="shared" ref="G63:H63" si="31">SUM(G64:G92)-G69</f>
        <v>28000958</v>
      </c>
      <c r="H63" s="57">
        <f t="shared" si="31"/>
        <v>10179528</v>
      </c>
      <c r="I63" s="57">
        <f t="shared" si="6"/>
        <v>336181149.62999994</v>
      </c>
      <c r="J63" s="57">
        <f>SUM(J64:J92)-J69</f>
        <v>326827366.62999994</v>
      </c>
      <c r="K63" s="57">
        <f t="shared" ref="K63" si="32">SUM(K64:K92)-K69</f>
        <v>9353783</v>
      </c>
      <c r="L63" s="57">
        <f t="shared" ref="L63" si="33">SUM(L64:L92)-L69</f>
        <v>13680</v>
      </c>
      <c r="M63" s="26">
        <f t="shared" si="9"/>
        <v>0.59776428499061085</v>
      </c>
      <c r="N63" s="26">
        <f t="shared" si="10"/>
        <v>0.61158209409428466</v>
      </c>
      <c r="O63" s="70">
        <f t="shared" si="11"/>
        <v>0.33405224921233051</v>
      </c>
      <c r="P63" s="70">
        <f t="shared" si="12"/>
        <v>1.3438737041638865E-3</v>
      </c>
    </row>
    <row r="64" spans="1:16" s="16" customFormat="1" ht="54" x14ac:dyDescent="0.3">
      <c r="A64" s="39" t="s">
        <v>54</v>
      </c>
      <c r="B64" s="39" t="s">
        <v>53</v>
      </c>
      <c r="C64" s="39" t="s">
        <v>2</v>
      </c>
      <c r="D64" s="40" t="s">
        <v>235</v>
      </c>
      <c r="E64" s="41">
        <f t="shared" si="4"/>
        <v>6513630.8399999999</v>
      </c>
      <c r="F64" s="58">
        <v>6513630.8399999999</v>
      </c>
      <c r="G64" s="58">
        <v>0</v>
      </c>
      <c r="H64" s="58">
        <v>0</v>
      </c>
      <c r="I64" s="58">
        <f t="shared" si="6"/>
        <v>3260159.08</v>
      </c>
      <c r="J64" s="58">
        <v>3260159.08</v>
      </c>
      <c r="K64" s="58"/>
      <c r="L64" s="58">
        <v>0</v>
      </c>
      <c r="M64" s="27">
        <f t="shared" si="9"/>
        <v>0.50051333274515142</v>
      </c>
      <c r="N64" s="27">
        <f t="shared" si="10"/>
        <v>0.50051333274515142</v>
      </c>
      <c r="O64" s="71"/>
      <c r="P64" s="71"/>
    </row>
    <row r="65" spans="1:16" s="16" customFormat="1" ht="54" x14ac:dyDescent="0.3">
      <c r="A65" s="45" t="s">
        <v>371</v>
      </c>
      <c r="B65" s="39" t="s">
        <v>102</v>
      </c>
      <c r="C65" s="39" t="s">
        <v>103</v>
      </c>
      <c r="D65" s="40" t="s">
        <v>104</v>
      </c>
      <c r="E65" s="41">
        <f t="shared" si="4"/>
        <v>2700</v>
      </c>
      <c r="F65" s="58">
        <v>2700</v>
      </c>
      <c r="G65" s="58">
        <v>0</v>
      </c>
      <c r="H65" s="58">
        <v>0</v>
      </c>
      <c r="I65" s="58">
        <f t="shared" si="6"/>
        <v>0</v>
      </c>
      <c r="J65" s="58"/>
      <c r="K65" s="58"/>
      <c r="L65" s="58">
        <v>0</v>
      </c>
      <c r="M65" s="27">
        <f t="shared" si="9"/>
        <v>0</v>
      </c>
      <c r="N65" s="27">
        <f t="shared" si="10"/>
        <v>0</v>
      </c>
      <c r="O65" s="71"/>
      <c r="P65" s="71"/>
    </row>
    <row r="66" spans="1:16" s="16" customFormat="1" ht="18" x14ac:dyDescent="0.3">
      <c r="A66" s="39" t="s">
        <v>55</v>
      </c>
      <c r="B66" s="39" t="s">
        <v>10</v>
      </c>
      <c r="C66" s="39" t="s">
        <v>11</v>
      </c>
      <c r="D66" s="40" t="s">
        <v>56</v>
      </c>
      <c r="E66" s="41">
        <f t="shared" si="4"/>
        <v>121620461.25</v>
      </c>
      <c r="F66" s="58">
        <v>111333961.25</v>
      </c>
      <c r="G66" s="58">
        <v>10286500</v>
      </c>
      <c r="H66" s="58">
        <v>0</v>
      </c>
      <c r="I66" s="58">
        <f t="shared" si="6"/>
        <v>56825096.829999998</v>
      </c>
      <c r="J66" s="58">
        <v>54450777.719999999</v>
      </c>
      <c r="K66" s="58">
        <f>112588.82+2261730.29</f>
        <v>2374319.11</v>
      </c>
      <c r="L66" s="58">
        <v>0</v>
      </c>
      <c r="M66" s="27">
        <f t="shared" si="9"/>
        <v>0.46723303172803909</v>
      </c>
      <c r="N66" s="27">
        <f t="shared" si="10"/>
        <v>0.48907608342193964</v>
      </c>
      <c r="O66" s="71">
        <f t="shared" si="11"/>
        <v>0.23081894813590628</v>
      </c>
      <c r="P66" s="71"/>
    </row>
    <row r="67" spans="1:16" s="16" customFormat="1" ht="54" x14ac:dyDescent="0.3">
      <c r="A67" s="39" t="s">
        <v>176</v>
      </c>
      <c r="B67" s="39" t="s">
        <v>177</v>
      </c>
      <c r="C67" s="39" t="s">
        <v>13</v>
      </c>
      <c r="D67" s="40" t="s">
        <v>279</v>
      </c>
      <c r="E67" s="41">
        <f t="shared" si="4"/>
        <v>131245031.18000001</v>
      </c>
      <c r="F67" s="58">
        <v>130931532.18000001</v>
      </c>
      <c r="G67" s="58">
        <v>313499</v>
      </c>
      <c r="H67" s="58">
        <v>0</v>
      </c>
      <c r="I67" s="58">
        <f t="shared" si="6"/>
        <v>70662999.969999999</v>
      </c>
      <c r="J67" s="58">
        <v>68457501.959999993</v>
      </c>
      <c r="K67" s="58">
        <f>1802957.37+402540.64</f>
        <v>2205498.0100000002</v>
      </c>
      <c r="L67" s="58">
        <v>0</v>
      </c>
      <c r="M67" s="27">
        <f t="shared" si="9"/>
        <v>0.53840514444380805</v>
      </c>
      <c r="N67" s="27">
        <f t="shared" si="10"/>
        <v>0.52284962086815767</v>
      </c>
      <c r="O67" s="71" t="s">
        <v>419</v>
      </c>
      <c r="P67" s="71"/>
    </row>
    <row r="68" spans="1:16" s="16" customFormat="1" ht="90" x14ac:dyDescent="0.3">
      <c r="A68" s="39" t="s">
        <v>178</v>
      </c>
      <c r="B68" s="39" t="s">
        <v>179</v>
      </c>
      <c r="C68" s="39" t="s">
        <v>15</v>
      </c>
      <c r="D68" s="40" t="s">
        <v>280</v>
      </c>
      <c r="E68" s="41">
        <f t="shared" si="4"/>
        <v>14747038.359999999</v>
      </c>
      <c r="F68" s="58">
        <v>14747038.359999999</v>
      </c>
      <c r="G68" s="58">
        <v>0</v>
      </c>
      <c r="H68" s="58">
        <v>0</v>
      </c>
      <c r="I68" s="58">
        <f t="shared" si="6"/>
        <v>7531660.6500000004</v>
      </c>
      <c r="J68" s="58">
        <v>7471442.6500000004</v>
      </c>
      <c r="K68" s="58">
        <f>60218</f>
        <v>60218</v>
      </c>
      <c r="L68" s="58">
        <v>0</v>
      </c>
      <c r="M68" s="27">
        <f t="shared" si="9"/>
        <v>0.51072360877753897</v>
      </c>
      <c r="N68" s="27">
        <f t="shared" si="10"/>
        <v>0.50664021260469549</v>
      </c>
      <c r="O68" s="71"/>
      <c r="P68" s="71"/>
    </row>
    <row r="69" spans="1:16" s="16" customFormat="1" ht="54" x14ac:dyDescent="0.3">
      <c r="A69" s="39" t="s">
        <v>180</v>
      </c>
      <c r="B69" s="39" t="s">
        <v>181</v>
      </c>
      <c r="C69" s="39" t="s">
        <v>13</v>
      </c>
      <c r="D69" s="40" t="s">
        <v>281</v>
      </c>
      <c r="E69" s="41">
        <f t="shared" si="4"/>
        <v>124892200</v>
      </c>
      <c r="F69" s="58">
        <f>SUM(F71:F72)</f>
        <v>124892200</v>
      </c>
      <c r="G69" s="58">
        <v>0</v>
      </c>
      <c r="H69" s="58">
        <v>0</v>
      </c>
      <c r="I69" s="58">
        <f t="shared" si="6"/>
        <v>111793774.48999999</v>
      </c>
      <c r="J69" s="58">
        <f>SUM(J71:J72)</f>
        <v>111793774.48999999</v>
      </c>
      <c r="K69" s="58">
        <v>0</v>
      </c>
      <c r="L69" s="58">
        <v>0</v>
      </c>
      <c r="M69" s="27">
        <f t="shared" si="9"/>
        <v>0.89512214926152311</v>
      </c>
      <c r="N69" s="27">
        <f t="shared" si="10"/>
        <v>0.89512214926152311</v>
      </c>
      <c r="O69" s="71"/>
      <c r="P69" s="71"/>
    </row>
    <row r="70" spans="1:16" s="16" customFormat="1" ht="18" x14ac:dyDescent="0.3">
      <c r="A70" s="42"/>
      <c r="B70" s="42"/>
      <c r="C70" s="42"/>
      <c r="D70" s="43" t="s">
        <v>308</v>
      </c>
      <c r="E70" s="41">
        <f t="shared" si="4"/>
        <v>0</v>
      </c>
      <c r="F70" s="59"/>
      <c r="G70" s="59"/>
      <c r="H70" s="59"/>
      <c r="I70" s="58">
        <f t="shared" si="6"/>
        <v>0</v>
      </c>
      <c r="J70" s="59"/>
      <c r="K70" s="59"/>
      <c r="L70" s="59"/>
      <c r="M70" s="27"/>
      <c r="N70" s="27"/>
      <c r="O70" s="71"/>
      <c r="P70" s="71"/>
    </row>
    <row r="71" spans="1:16" s="16" customFormat="1" ht="18" x14ac:dyDescent="0.3">
      <c r="A71" s="42"/>
      <c r="B71" s="42"/>
      <c r="C71" s="42"/>
      <c r="D71" s="43" t="s">
        <v>309</v>
      </c>
      <c r="E71" s="41">
        <f t="shared" si="4"/>
        <v>124668900</v>
      </c>
      <c r="F71" s="59">
        <v>124668900</v>
      </c>
      <c r="G71" s="59"/>
      <c r="H71" s="59"/>
      <c r="I71" s="58">
        <f t="shared" si="6"/>
        <v>111603500</v>
      </c>
      <c r="J71" s="59">
        <v>111603500</v>
      </c>
      <c r="K71" s="59"/>
      <c r="L71" s="59"/>
      <c r="M71" s="27">
        <f t="shared" si="9"/>
        <v>0.89519920365062977</v>
      </c>
      <c r="N71" s="27">
        <f t="shared" si="10"/>
        <v>0.89519920365062977</v>
      </c>
      <c r="O71" s="71"/>
      <c r="P71" s="71"/>
    </row>
    <row r="72" spans="1:16" s="16" customFormat="1" ht="18" x14ac:dyDescent="0.3">
      <c r="A72" s="42"/>
      <c r="B72" s="42"/>
      <c r="C72" s="42"/>
      <c r="D72" s="43" t="s">
        <v>372</v>
      </c>
      <c r="E72" s="41">
        <f t="shared" si="4"/>
        <v>223300</v>
      </c>
      <c r="F72" s="59">
        <v>223300</v>
      </c>
      <c r="G72" s="59"/>
      <c r="H72" s="59"/>
      <c r="I72" s="58">
        <f t="shared" si="6"/>
        <v>190274.49</v>
      </c>
      <c r="J72" s="59">
        <v>190274.49</v>
      </c>
      <c r="K72" s="59"/>
      <c r="L72" s="59"/>
      <c r="M72" s="27">
        <f t="shared" si="9"/>
        <v>0.8521025078369906</v>
      </c>
      <c r="N72" s="27">
        <f t="shared" si="10"/>
        <v>0.8521025078369906</v>
      </c>
      <c r="O72" s="71"/>
      <c r="P72" s="71"/>
    </row>
    <row r="73" spans="1:16" s="16" customFormat="1" ht="90" x14ac:dyDescent="0.3">
      <c r="A73" s="39" t="s">
        <v>182</v>
      </c>
      <c r="B73" s="39" t="s">
        <v>183</v>
      </c>
      <c r="C73" s="39" t="s">
        <v>15</v>
      </c>
      <c r="D73" s="40" t="s">
        <v>282</v>
      </c>
      <c r="E73" s="41">
        <f t="shared" si="4"/>
        <v>12500000</v>
      </c>
      <c r="F73" s="58">
        <v>12500000</v>
      </c>
      <c r="G73" s="58">
        <v>0</v>
      </c>
      <c r="H73" s="58">
        <v>0</v>
      </c>
      <c r="I73" s="58">
        <f t="shared" si="6"/>
        <v>11190000</v>
      </c>
      <c r="J73" s="58">
        <v>11190000</v>
      </c>
      <c r="K73" s="58"/>
      <c r="L73" s="58">
        <v>0</v>
      </c>
      <c r="M73" s="27">
        <f t="shared" si="9"/>
        <v>0.8952</v>
      </c>
      <c r="N73" s="27">
        <f t="shared" si="10"/>
        <v>0.8952</v>
      </c>
      <c r="O73" s="71"/>
      <c r="P73" s="71"/>
    </row>
    <row r="74" spans="1:16" s="16" customFormat="1" ht="54" x14ac:dyDescent="0.3">
      <c r="A74" s="39" t="s">
        <v>57</v>
      </c>
      <c r="B74" s="39" t="s">
        <v>32</v>
      </c>
      <c r="C74" s="39" t="s">
        <v>16</v>
      </c>
      <c r="D74" s="40" t="s">
        <v>184</v>
      </c>
      <c r="E74" s="41">
        <f t="shared" si="4"/>
        <v>23821259.100000001</v>
      </c>
      <c r="F74" s="58">
        <v>23621259.100000001</v>
      </c>
      <c r="G74" s="58">
        <v>200000</v>
      </c>
      <c r="H74" s="58">
        <v>0</v>
      </c>
      <c r="I74" s="58">
        <f t="shared" si="6"/>
        <v>13250775.279999999</v>
      </c>
      <c r="J74" s="58">
        <v>13038975.279999999</v>
      </c>
      <c r="K74" s="58">
        <f>211800</f>
        <v>211800</v>
      </c>
      <c r="L74" s="58">
        <v>0</v>
      </c>
      <c r="M74" s="27">
        <f t="shared" si="9"/>
        <v>0.55625839190003179</v>
      </c>
      <c r="N74" s="27">
        <f t="shared" si="10"/>
        <v>0.55200170426139561</v>
      </c>
      <c r="O74" s="71">
        <f t="shared" si="11"/>
        <v>1.0589999999999999</v>
      </c>
      <c r="P74" s="71"/>
    </row>
    <row r="75" spans="1:16" s="16" customFormat="1" ht="36" x14ac:dyDescent="0.3">
      <c r="A75" s="39" t="s">
        <v>185</v>
      </c>
      <c r="B75" s="39" t="s">
        <v>186</v>
      </c>
      <c r="C75" s="39" t="s">
        <v>17</v>
      </c>
      <c r="D75" s="40" t="s">
        <v>187</v>
      </c>
      <c r="E75" s="41">
        <f t="shared" si="4"/>
        <v>16500</v>
      </c>
      <c r="F75" s="58">
        <v>16500</v>
      </c>
      <c r="G75" s="58">
        <v>0</v>
      </c>
      <c r="H75" s="58">
        <v>0</v>
      </c>
      <c r="I75" s="58">
        <f t="shared" si="6"/>
        <v>1030</v>
      </c>
      <c r="J75" s="58">
        <v>1030</v>
      </c>
      <c r="K75" s="58"/>
      <c r="L75" s="58">
        <v>0</v>
      </c>
      <c r="M75" s="27">
        <f t="shared" si="9"/>
        <v>6.2424242424242424E-2</v>
      </c>
      <c r="N75" s="27">
        <f t="shared" si="10"/>
        <v>6.2424242424242424E-2</v>
      </c>
      <c r="O75" s="71"/>
      <c r="P75" s="71"/>
    </row>
    <row r="76" spans="1:16" s="16" customFormat="1" ht="36" x14ac:dyDescent="0.3">
      <c r="A76" s="39" t="s">
        <v>188</v>
      </c>
      <c r="B76" s="39" t="s">
        <v>189</v>
      </c>
      <c r="C76" s="39" t="s">
        <v>18</v>
      </c>
      <c r="D76" s="40" t="s">
        <v>141</v>
      </c>
      <c r="E76" s="41">
        <f t="shared" si="4"/>
        <v>21395572.73</v>
      </c>
      <c r="F76" s="58">
        <v>21395571.73</v>
      </c>
      <c r="G76" s="58">
        <v>1</v>
      </c>
      <c r="H76" s="58">
        <v>0</v>
      </c>
      <c r="I76" s="58">
        <f t="shared" si="6"/>
        <v>12691283.539999999</v>
      </c>
      <c r="J76" s="58">
        <v>12691283.539999999</v>
      </c>
      <c r="K76" s="58"/>
      <c r="L76" s="58">
        <v>0</v>
      </c>
      <c r="M76" s="27">
        <f t="shared" si="9"/>
        <v>0.59317334946611633</v>
      </c>
      <c r="N76" s="27">
        <f t="shared" si="10"/>
        <v>0.59317337719023411</v>
      </c>
      <c r="O76" s="71">
        <f t="shared" si="11"/>
        <v>0</v>
      </c>
      <c r="P76" s="71"/>
    </row>
    <row r="77" spans="1:16" s="16" customFormat="1" ht="36" x14ac:dyDescent="0.3">
      <c r="A77" s="39" t="s">
        <v>190</v>
      </c>
      <c r="B77" s="39" t="s">
        <v>191</v>
      </c>
      <c r="C77" s="39" t="s">
        <v>18</v>
      </c>
      <c r="D77" s="40" t="s">
        <v>192</v>
      </c>
      <c r="E77" s="41">
        <f t="shared" si="4"/>
        <v>737402.88</v>
      </c>
      <c r="F77" s="58">
        <v>737402.88</v>
      </c>
      <c r="G77" s="58">
        <v>0</v>
      </c>
      <c r="H77" s="58">
        <v>0</v>
      </c>
      <c r="I77" s="58">
        <f t="shared" si="6"/>
        <v>312925.13</v>
      </c>
      <c r="J77" s="58">
        <v>312925.13</v>
      </c>
      <c r="K77" s="58"/>
      <c r="L77" s="58">
        <v>0</v>
      </c>
      <c r="M77" s="27">
        <f t="shared" si="9"/>
        <v>0.42436114434486616</v>
      </c>
      <c r="N77" s="27">
        <f t="shared" si="10"/>
        <v>0.42436114434486616</v>
      </c>
      <c r="O77" s="71"/>
      <c r="P77" s="71"/>
    </row>
    <row r="78" spans="1:16" s="16" customFormat="1" ht="36" x14ac:dyDescent="0.3">
      <c r="A78" s="45" t="s">
        <v>193</v>
      </c>
      <c r="B78" s="45" t="s">
        <v>373</v>
      </c>
      <c r="C78" s="45" t="s">
        <v>18</v>
      </c>
      <c r="D78" s="40" t="s">
        <v>194</v>
      </c>
      <c r="E78" s="41">
        <f t="shared" si="4"/>
        <v>1234759</v>
      </c>
      <c r="F78" s="58">
        <v>1234759</v>
      </c>
      <c r="G78" s="58">
        <v>0</v>
      </c>
      <c r="H78" s="58"/>
      <c r="I78" s="58">
        <f t="shared" si="6"/>
        <v>953020.05</v>
      </c>
      <c r="J78" s="58">
        <v>953020.05</v>
      </c>
      <c r="K78" s="58"/>
      <c r="L78" s="58"/>
      <c r="M78" s="27">
        <f t="shared" si="9"/>
        <v>0.77182676943435924</v>
      </c>
      <c r="N78" s="27">
        <f t="shared" si="10"/>
        <v>0.77182676943435924</v>
      </c>
      <c r="O78" s="71"/>
      <c r="P78" s="71"/>
    </row>
    <row r="79" spans="1:16" s="16" customFormat="1" ht="36" x14ac:dyDescent="0.3">
      <c r="A79" s="39" t="s">
        <v>263</v>
      </c>
      <c r="B79" s="39" t="s">
        <v>264</v>
      </c>
      <c r="C79" s="39" t="s">
        <v>18</v>
      </c>
      <c r="D79" s="40" t="s">
        <v>265</v>
      </c>
      <c r="E79" s="41">
        <f t="shared" si="4"/>
        <v>4598469.4800000004</v>
      </c>
      <c r="F79" s="58">
        <v>4598469.4800000004</v>
      </c>
      <c r="G79" s="58">
        <v>0</v>
      </c>
      <c r="H79" s="58">
        <v>0</v>
      </c>
      <c r="I79" s="58">
        <f t="shared" si="6"/>
        <v>2337554.9500000002</v>
      </c>
      <c r="J79" s="58">
        <v>2337554.9500000002</v>
      </c>
      <c r="K79" s="58"/>
      <c r="L79" s="58">
        <v>0</v>
      </c>
      <c r="M79" s="27">
        <f t="shared" si="9"/>
        <v>0.50833325308924304</v>
      </c>
      <c r="N79" s="27">
        <f t="shared" si="10"/>
        <v>0.50833325308924304</v>
      </c>
      <c r="O79" s="71"/>
      <c r="P79" s="71"/>
    </row>
    <row r="80" spans="1:16" s="16" customFormat="1" ht="108" x14ac:dyDescent="0.3">
      <c r="A80" s="45" t="s">
        <v>310</v>
      </c>
      <c r="B80" s="45" t="s">
        <v>311</v>
      </c>
      <c r="C80" s="45" t="s">
        <v>18</v>
      </c>
      <c r="D80" s="40" t="s">
        <v>312</v>
      </c>
      <c r="E80" s="41">
        <f t="shared" ref="E80:E143" si="34">F80+G80</f>
        <v>685800</v>
      </c>
      <c r="F80" s="58">
        <v>0</v>
      </c>
      <c r="G80" s="58">
        <v>685800</v>
      </c>
      <c r="H80" s="58">
        <v>685800</v>
      </c>
      <c r="I80" s="58">
        <f t="shared" ref="I80:I143" si="35">J80+K80</f>
        <v>13680</v>
      </c>
      <c r="J80" s="58">
        <v>0</v>
      </c>
      <c r="K80" s="58">
        <v>13680</v>
      </c>
      <c r="L80" s="58">
        <v>13680</v>
      </c>
      <c r="M80" s="27">
        <f t="shared" ref="M80:M143" si="36">I80/E80</f>
        <v>1.994750656167979E-2</v>
      </c>
      <c r="N80" s="27"/>
      <c r="O80" s="71">
        <f t="shared" ref="O80:O143" si="37">K80/G80</f>
        <v>1.994750656167979E-2</v>
      </c>
      <c r="P80" s="71">
        <f t="shared" ref="P80:P113" si="38">L80/H80</f>
        <v>1.994750656167979E-2</v>
      </c>
    </row>
    <row r="81" spans="1:16" s="16" customFormat="1" ht="108" x14ac:dyDescent="0.3">
      <c r="A81" s="45" t="s">
        <v>313</v>
      </c>
      <c r="B81" s="45" t="s">
        <v>314</v>
      </c>
      <c r="C81" s="45" t="s">
        <v>18</v>
      </c>
      <c r="D81" s="40" t="s">
        <v>315</v>
      </c>
      <c r="E81" s="41">
        <f t="shared" si="34"/>
        <v>1600100</v>
      </c>
      <c r="F81" s="58">
        <v>0</v>
      </c>
      <c r="G81" s="58">
        <v>1600100</v>
      </c>
      <c r="H81" s="58">
        <v>1600100</v>
      </c>
      <c r="I81" s="58">
        <f t="shared" si="35"/>
        <v>0</v>
      </c>
      <c r="J81" s="58">
        <v>0</v>
      </c>
      <c r="K81" s="58"/>
      <c r="L81" s="58"/>
      <c r="M81" s="27">
        <f t="shared" si="36"/>
        <v>0</v>
      </c>
      <c r="N81" s="27"/>
      <c r="O81" s="71">
        <f t="shared" si="37"/>
        <v>0</v>
      </c>
      <c r="P81" s="71">
        <f t="shared" si="38"/>
        <v>0</v>
      </c>
    </row>
    <row r="82" spans="1:16" s="16" customFormat="1" ht="108" x14ac:dyDescent="0.3">
      <c r="A82" s="45" t="s">
        <v>316</v>
      </c>
      <c r="B82" s="39">
        <v>1200</v>
      </c>
      <c r="C82" s="45" t="s">
        <v>18</v>
      </c>
      <c r="D82" s="40" t="s">
        <v>317</v>
      </c>
      <c r="E82" s="41">
        <f t="shared" si="34"/>
        <v>327700</v>
      </c>
      <c r="F82" s="58">
        <v>327700</v>
      </c>
      <c r="G82" s="58">
        <v>0</v>
      </c>
      <c r="H82" s="58"/>
      <c r="I82" s="58">
        <f t="shared" si="35"/>
        <v>327700</v>
      </c>
      <c r="J82" s="58">
        <v>327700</v>
      </c>
      <c r="K82" s="58"/>
      <c r="L82" s="58"/>
      <c r="M82" s="27">
        <f t="shared" si="36"/>
        <v>1</v>
      </c>
      <c r="N82" s="27">
        <f t="shared" ref="N82:N143" si="39">J82/F82</f>
        <v>1</v>
      </c>
      <c r="O82" s="71"/>
      <c r="P82" s="71"/>
    </row>
    <row r="83" spans="1:16" s="16" customFormat="1" ht="90" x14ac:dyDescent="0.3">
      <c r="A83" s="45" t="s">
        <v>374</v>
      </c>
      <c r="B83" s="45" t="s">
        <v>375</v>
      </c>
      <c r="C83" s="45" t="s">
        <v>18</v>
      </c>
      <c r="D83" s="40" t="s">
        <v>376</v>
      </c>
      <c r="E83" s="41">
        <f t="shared" si="34"/>
        <v>4508100</v>
      </c>
      <c r="F83" s="58">
        <v>0</v>
      </c>
      <c r="G83" s="58">
        <v>4508100</v>
      </c>
      <c r="H83" s="58"/>
      <c r="I83" s="58">
        <f t="shared" si="35"/>
        <v>2963566.36</v>
      </c>
      <c r="J83" s="58"/>
      <c r="K83" s="58">
        <v>2963566.36</v>
      </c>
      <c r="L83" s="58"/>
      <c r="M83" s="27">
        <f t="shared" si="36"/>
        <v>0.65738700561212038</v>
      </c>
      <c r="N83" s="27"/>
      <c r="O83" s="71">
        <f t="shared" si="37"/>
        <v>0.65738700561212038</v>
      </c>
      <c r="P83" s="71"/>
    </row>
    <row r="84" spans="1:16" s="16" customFormat="1" ht="72" x14ac:dyDescent="0.3">
      <c r="A84" s="45" t="s">
        <v>377</v>
      </c>
      <c r="B84" s="45" t="s">
        <v>347</v>
      </c>
      <c r="C84" s="45" t="s">
        <v>18</v>
      </c>
      <c r="D84" s="40" t="s">
        <v>378</v>
      </c>
      <c r="E84" s="41">
        <f t="shared" si="34"/>
        <v>7893628</v>
      </c>
      <c r="F84" s="58">
        <v>0</v>
      </c>
      <c r="G84" s="58">
        <v>7893628</v>
      </c>
      <c r="H84" s="58">
        <v>7893628</v>
      </c>
      <c r="I84" s="58">
        <f t="shared" si="35"/>
        <v>0</v>
      </c>
      <c r="J84" s="58"/>
      <c r="K84" s="58"/>
      <c r="L84" s="58"/>
      <c r="M84" s="27">
        <f t="shared" si="36"/>
        <v>0</v>
      </c>
      <c r="N84" s="27"/>
      <c r="O84" s="71">
        <f t="shared" si="37"/>
        <v>0</v>
      </c>
      <c r="P84" s="71">
        <f t="shared" si="38"/>
        <v>0</v>
      </c>
    </row>
    <row r="85" spans="1:16" s="16" customFormat="1" ht="72" x14ac:dyDescent="0.3">
      <c r="A85" s="45" t="s">
        <v>318</v>
      </c>
      <c r="B85" s="45" t="s">
        <v>319</v>
      </c>
      <c r="C85" s="45" t="s">
        <v>18</v>
      </c>
      <c r="D85" s="40" t="s">
        <v>320</v>
      </c>
      <c r="E85" s="41">
        <f t="shared" si="34"/>
        <v>15857800</v>
      </c>
      <c r="F85" s="58">
        <v>15857800</v>
      </c>
      <c r="G85" s="58">
        <v>0</v>
      </c>
      <c r="H85" s="58"/>
      <c r="I85" s="58">
        <f t="shared" si="35"/>
        <v>13984759</v>
      </c>
      <c r="J85" s="58">
        <v>13984759</v>
      </c>
      <c r="K85" s="58"/>
      <c r="L85" s="58"/>
      <c r="M85" s="27">
        <f t="shared" si="36"/>
        <v>0.88188519214519034</v>
      </c>
      <c r="N85" s="27">
        <f t="shared" si="39"/>
        <v>0.88188519214519034</v>
      </c>
      <c r="O85" s="71"/>
      <c r="P85" s="71"/>
    </row>
    <row r="86" spans="1:16" s="16" customFormat="1" ht="90" x14ac:dyDescent="0.3">
      <c r="A86" s="45" t="s">
        <v>379</v>
      </c>
      <c r="B86" s="45" t="s">
        <v>380</v>
      </c>
      <c r="C86" s="45" t="s">
        <v>18</v>
      </c>
      <c r="D86" s="40" t="s">
        <v>381</v>
      </c>
      <c r="E86" s="41">
        <f t="shared" si="34"/>
        <v>2513330</v>
      </c>
      <c r="F86" s="58">
        <v>0</v>
      </c>
      <c r="G86" s="58">
        <v>2513330</v>
      </c>
      <c r="H86" s="58"/>
      <c r="I86" s="58">
        <f t="shared" si="35"/>
        <v>1524701.52</v>
      </c>
      <c r="J86" s="58"/>
      <c r="K86" s="58">
        <v>1524701.52</v>
      </c>
      <c r="L86" s="58"/>
      <c r="M86" s="27">
        <f t="shared" si="36"/>
        <v>0.60664597167900758</v>
      </c>
      <c r="N86" s="27"/>
      <c r="O86" s="71">
        <f t="shared" si="37"/>
        <v>0.60664597167900758</v>
      </c>
      <c r="P86" s="71"/>
    </row>
    <row r="87" spans="1:16" s="16" customFormat="1" ht="54" x14ac:dyDescent="0.3">
      <c r="A87" s="45" t="s">
        <v>382</v>
      </c>
      <c r="B87" s="45" t="s">
        <v>383</v>
      </c>
      <c r="C87" s="45" t="s">
        <v>18</v>
      </c>
      <c r="D87" s="40" t="s">
        <v>384</v>
      </c>
      <c r="E87" s="41">
        <f t="shared" si="34"/>
        <v>29075900</v>
      </c>
      <c r="F87" s="58">
        <v>29075900</v>
      </c>
      <c r="G87" s="58">
        <v>0</v>
      </c>
      <c r="H87" s="58"/>
      <c r="I87" s="58">
        <f t="shared" si="35"/>
        <v>17201822.260000002</v>
      </c>
      <c r="J87" s="58">
        <v>17201822.260000002</v>
      </c>
      <c r="K87" s="58"/>
      <c r="L87" s="58"/>
      <c r="M87" s="27">
        <f t="shared" si="36"/>
        <v>0.5916178780364495</v>
      </c>
      <c r="N87" s="27">
        <f t="shared" si="39"/>
        <v>0.5916178780364495</v>
      </c>
      <c r="O87" s="71"/>
      <c r="P87" s="71"/>
    </row>
    <row r="88" spans="1:16" s="16" customFormat="1" ht="90" x14ac:dyDescent="0.3">
      <c r="A88" s="39" t="s">
        <v>266</v>
      </c>
      <c r="B88" s="39" t="s">
        <v>267</v>
      </c>
      <c r="C88" s="39" t="s">
        <v>19</v>
      </c>
      <c r="D88" s="40" t="s">
        <v>268</v>
      </c>
      <c r="E88" s="41">
        <f t="shared" si="34"/>
        <v>3140700</v>
      </c>
      <c r="F88" s="58">
        <v>3140700</v>
      </c>
      <c r="G88" s="58">
        <v>0</v>
      </c>
      <c r="H88" s="58">
        <v>0</v>
      </c>
      <c r="I88" s="58">
        <f t="shared" si="35"/>
        <v>1104566.32</v>
      </c>
      <c r="J88" s="58">
        <v>1104566.32</v>
      </c>
      <c r="K88" s="58"/>
      <c r="L88" s="58"/>
      <c r="M88" s="27">
        <f t="shared" si="36"/>
        <v>0.35169431018562741</v>
      </c>
      <c r="N88" s="27">
        <f t="shared" si="39"/>
        <v>0.35169431018562741</v>
      </c>
      <c r="O88" s="71"/>
      <c r="P88" s="71"/>
    </row>
    <row r="89" spans="1:16" s="16" customFormat="1" ht="36" x14ac:dyDescent="0.3">
      <c r="A89" s="39" t="s">
        <v>138</v>
      </c>
      <c r="B89" s="39" t="s">
        <v>136</v>
      </c>
      <c r="C89" s="39" t="s">
        <v>3</v>
      </c>
      <c r="D89" s="40" t="s">
        <v>360</v>
      </c>
      <c r="E89" s="41">
        <f t="shared" si="34"/>
        <v>723100</v>
      </c>
      <c r="F89" s="58">
        <v>723100</v>
      </c>
      <c r="G89" s="58">
        <v>0</v>
      </c>
      <c r="H89" s="58">
        <v>0</v>
      </c>
      <c r="I89" s="58">
        <f t="shared" si="35"/>
        <v>156657.49</v>
      </c>
      <c r="J89" s="58">
        <v>156657.49</v>
      </c>
      <c r="K89" s="58"/>
      <c r="L89" s="58"/>
      <c r="M89" s="27">
        <f t="shared" si="36"/>
        <v>0.21664706126400221</v>
      </c>
      <c r="N89" s="27">
        <f t="shared" si="39"/>
        <v>0.21664706126400221</v>
      </c>
      <c r="O89" s="71"/>
      <c r="P89" s="71"/>
    </row>
    <row r="90" spans="1:16" s="16" customFormat="1" ht="54" x14ac:dyDescent="0.3">
      <c r="A90" s="39" t="s">
        <v>64</v>
      </c>
      <c r="B90" s="39" t="s">
        <v>46</v>
      </c>
      <c r="C90" s="39" t="s">
        <v>20</v>
      </c>
      <c r="D90" s="40" t="s">
        <v>321</v>
      </c>
      <c r="E90" s="41">
        <f t="shared" si="34"/>
        <v>14665634.18</v>
      </c>
      <c r="F90" s="58">
        <v>14665634.18</v>
      </c>
      <c r="G90" s="58">
        <v>0</v>
      </c>
      <c r="H90" s="58">
        <v>0</v>
      </c>
      <c r="I90" s="58">
        <f t="shared" si="35"/>
        <v>6043111.96</v>
      </c>
      <c r="J90" s="58">
        <v>6043111.96</v>
      </c>
      <c r="K90" s="58"/>
      <c r="L90" s="58"/>
      <c r="M90" s="27">
        <f t="shared" si="36"/>
        <v>0.41205936857754077</v>
      </c>
      <c r="N90" s="27">
        <f t="shared" si="39"/>
        <v>0.41205936857754077</v>
      </c>
      <c r="O90" s="71"/>
      <c r="P90" s="71"/>
    </row>
    <row r="91" spans="1:16" s="16" customFormat="1" ht="36" x14ac:dyDescent="0.3">
      <c r="A91" s="45" t="s">
        <v>322</v>
      </c>
      <c r="B91" s="45" t="s">
        <v>300</v>
      </c>
      <c r="C91" s="45" t="s">
        <v>301</v>
      </c>
      <c r="D91" s="40" t="s">
        <v>302</v>
      </c>
      <c r="E91" s="41">
        <f t="shared" si="34"/>
        <v>2429900</v>
      </c>
      <c r="F91" s="58">
        <v>2429900</v>
      </c>
      <c r="G91" s="58">
        <v>0</v>
      </c>
      <c r="H91" s="58"/>
      <c r="I91" s="58">
        <f t="shared" si="35"/>
        <v>719260</v>
      </c>
      <c r="J91" s="58">
        <v>719260</v>
      </c>
      <c r="K91" s="58">
        <v>0</v>
      </c>
      <c r="L91" s="58"/>
      <c r="M91" s="27">
        <f t="shared" si="36"/>
        <v>0.29600395077986746</v>
      </c>
      <c r="N91" s="27">
        <f t="shared" si="39"/>
        <v>0.29600395077986746</v>
      </c>
      <c r="O91" s="71"/>
      <c r="P91" s="71"/>
    </row>
    <row r="92" spans="1:16" s="16" customFormat="1" ht="54" x14ac:dyDescent="0.3">
      <c r="A92" s="45" t="s">
        <v>261</v>
      </c>
      <c r="B92" s="45">
        <v>8110</v>
      </c>
      <c r="C92" s="45" t="s">
        <v>4</v>
      </c>
      <c r="D92" s="40" t="s">
        <v>127</v>
      </c>
      <c r="E92" s="41">
        <f t="shared" si="34"/>
        <v>15650800</v>
      </c>
      <c r="F92" s="58">
        <v>15650800</v>
      </c>
      <c r="G92" s="58">
        <v>0</v>
      </c>
      <c r="H92" s="58">
        <v>0</v>
      </c>
      <c r="I92" s="58">
        <f t="shared" si="35"/>
        <v>1331044.75</v>
      </c>
      <c r="J92" s="58">
        <v>1331044.75</v>
      </c>
      <c r="K92" s="58">
        <v>0</v>
      </c>
      <c r="L92" s="58">
        <v>0</v>
      </c>
      <c r="M92" s="27">
        <f t="shared" si="36"/>
        <v>8.5046435325989725E-2</v>
      </c>
      <c r="N92" s="27">
        <f t="shared" si="39"/>
        <v>8.5046435325989725E-2</v>
      </c>
      <c r="O92" s="71"/>
      <c r="P92" s="71"/>
    </row>
    <row r="93" spans="1:16" s="16" customFormat="1" ht="52.2" x14ac:dyDescent="0.3">
      <c r="A93" s="36" t="s">
        <v>65</v>
      </c>
      <c r="B93" s="36" t="s">
        <v>218</v>
      </c>
      <c r="C93" s="36" t="s">
        <v>218</v>
      </c>
      <c r="D93" s="37" t="s">
        <v>236</v>
      </c>
      <c r="E93" s="38">
        <f t="shared" si="34"/>
        <v>152428359</v>
      </c>
      <c r="F93" s="57">
        <f>F94</f>
        <v>152248359</v>
      </c>
      <c r="G93" s="57">
        <f t="shared" ref="G93:H93" si="40">G94</f>
        <v>180000</v>
      </c>
      <c r="H93" s="57">
        <f t="shared" si="40"/>
        <v>0</v>
      </c>
      <c r="I93" s="57">
        <f t="shared" si="35"/>
        <v>65458414.619999997</v>
      </c>
      <c r="J93" s="57">
        <f>J94</f>
        <v>65450627.82</v>
      </c>
      <c r="K93" s="57">
        <f t="shared" ref="K93" si="41">K94</f>
        <v>7786.8</v>
      </c>
      <c r="L93" s="57">
        <f t="shared" ref="L93" si="42">L94</f>
        <v>0</v>
      </c>
      <c r="M93" s="26">
        <f t="shared" si="36"/>
        <v>0.4294372454669016</v>
      </c>
      <c r="N93" s="26">
        <f t="shared" si="39"/>
        <v>0.42989381461904624</v>
      </c>
      <c r="O93" s="70">
        <f t="shared" si="37"/>
        <v>4.326E-2</v>
      </c>
      <c r="P93" s="70"/>
    </row>
    <row r="94" spans="1:16" s="16" customFormat="1" ht="52.2" x14ac:dyDescent="0.3">
      <c r="A94" s="36" t="s">
        <v>66</v>
      </c>
      <c r="B94" s="36" t="s">
        <v>218</v>
      </c>
      <c r="C94" s="36" t="s">
        <v>218</v>
      </c>
      <c r="D94" s="37" t="s">
        <v>236</v>
      </c>
      <c r="E94" s="38">
        <f t="shared" si="34"/>
        <v>152428359</v>
      </c>
      <c r="F94" s="57">
        <f>SUM(F95:F116)+F120</f>
        <v>152248359</v>
      </c>
      <c r="G94" s="57">
        <f t="shared" ref="G94:H94" si="43">SUM(G95:G116)+G120</f>
        <v>180000</v>
      </c>
      <c r="H94" s="57">
        <f t="shared" si="43"/>
        <v>0</v>
      </c>
      <c r="I94" s="57">
        <f t="shared" si="35"/>
        <v>65458414.619999997</v>
      </c>
      <c r="J94" s="57">
        <f>SUM(J95:J116)+J120</f>
        <v>65450627.82</v>
      </c>
      <c r="K94" s="57">
        <f t="shared" ref="K94" si="44">SUM(K95:K116)+K120</f>
        <v>7786.8</v>
      </c>
      <c r="L94" s="57">
        <f t="shared" ref="L94" si="45">SUM(L95:L116)+L120</f>
        <v>0</v>
      </c>
      <c r="M94" s="26">
        <f t="shared" si="36"/>
        <v>0.4294372454669016</v>
      </c>
      <c r="N94" s="26">
        <f t="shared" si="39"/>
        <v>0.42989381461904624</v>
      </c>
      <c r="O94" s="70">
        <f t="shared" si="37"/>
        <v>4.326E-2</v>
      </c>
      <c r="P94" s="70"/>
    </row>
    <row r="95" spans="1:16" s="16" customFormat="1" ht="54" x14ac:dyDescent="0.3">
      <c r="A95" s="39" t="s">
        <v>67</v>
      </c>
      <c r="B95" s="39" t="s">
        <v>53</v>
      </c>
      <c r="C95" s="39" t="s">
        <v>2</v>
      </c>
      <c r="D95" s="40" t="s">
        <v>235</v>
      </c>
      <c r="E95" s="41">
        <f t="shared" si="34"/>
        <v>23512500</v>
      </c>
      <c r="F95" s="58">
        <v>23512500</v>
      </c>
      <c r="G95" s="58">
        <v>0</v>
      </c>
      <c r="H95" s="58">
        <v>0</v>
      </c>
      <c r="I95" s="58">
        <f t="shared" si="35"/>
        <v>9925658.2100000009</v>
      </c>
      <c r="J95" s="58">
        <v>9925658.2100000009</v>
      </c>
      <c r="K95" s="58">
        <v>0</v>
      </c>
      <c r="L95" s="58">
        <v>0</v>
      </c>
      <c r="M95" s="27">
        <f t="shared" si="36"/>
        <v>0.42214388984582674</v>
      </c>
      <c r="N95" s="27">
        <f t="shared" si="39"/>
        <v>0.42214388984582674</v>
      </c>
      <c r="O95" s="71"/>
      <c r="P95" s="71"/>
    </row>
    <row r="96" spans="1:16" s="16" customFormat="1" ht="54" x14ac:dyDescent="0.3">
      <c r="A96" s="45" t="s">
        <v>385</v>
      </c>
      <c r="B96" s="39" t="s">
        <v>102</v>
      </c>
      <c r="C96" s="39" t="s">
        <v>103</v>
      </c>
      <c r="D96" s="40" t="s">
        <v>104</v>
      </c>
      <c r="E96" s="41">
        <f t="shared" si="34"/>
        <v>9000</v>
      </c>
      <c r="F96" s="58">
        <v>9000</v>
      </c>
      <c r="G96" s="58">
        <v>0</v>
      </c>
      <c r="H96" s="58">
        <v>0</v>
      </c>
      <c r="I96" s="58">
        <f t="shared" si="35"/>
        <v>2880</v>
      </c>
      <c r="J96" s="58">
        <v>2880</v>
      </c>
      <c r="K96" s="58">
        <v>0</v>
      </c>
      <c r="L96" s="58">
        <v>0</v>
      </c>
      <c r="M96" s="27">
        <f t="shared" si="36"/>
        <v>0.32</v>
      </c>
      <c r="N96" s="27">
        <f t="shared" si="39"/>
        <v>0.32</v>
      </c>
      <c r="O96" s="71"/>
      <c r="P96" s="71"/>
    </row>
    <row r="97" spans="1:16" s="16" customFormat="1" ht="18" x14ac:dyDescent="0.3">
      <c r="A97" s="39" t="s">
        <v>147</v>
      </c>
      <c r="B97" s="39" t="s">
        <v>9</v>
      </c>
      <c r="C97" s="39" t="s">
        <v>5</v>
      </c>
      <c r="D97" s="40" t="s">
        <v>98</v>
      </c>
      <c r="E97" s="41">
        <f t="shared" si="34"/>
        <v>162700</v>
      </c>
      <c r="F97" s="58">
        <v>162700</v>
      </c>
      <c r="G97" s="58">
        <v>0</v>
      </c>
      <c r="H97" s="58">
        <v>0</v>
      </c>
      <c r="I97" s="58">
        <f t="shared" si="35"/>
        <v>3328</v>
      </c>
      <c r="J97" s="58">
        <v>3328</v>
      </c>
      <c r="K97" s="58">
        <v>0</v>
      </c>
      <c r="L97" s="58">
        <v>0</v>
      </c>
      <c r="M97" s="27">
        <f t="shared" si="36"/>
        <v>2.0454824830977259E-2</v>
      </c>
      <c r="N97" s="27">
        <f t="shared" si="39"/>
        <v>2.0454824830977259E-2</v>
      </c>
      <c r="O97" s="71"/>
      <c r="P97" s="71"/>
    </row>
    <row r="98" spans="1:16" s="16" customFormat="1" ht="36" x14ac:dyDescent="0.3">
      <c r="A98" s="39" t="s">
        <v>99</v>
      </c>
      <c r="B98" s="39" t="s">
        <v>100</v>
      </c>
      <c r="C98" s="39" t="s">
        <v>32</v>
      </c>
      <c r="D98" s="40" t="s">
        <v>237</v>
      </c>
      <c r="E98" s="41">
        <f t="shared" si="34"/>
        <v>3400</v>
      </c>
      <c r="F98" s="58">
        <v>3400</v>
      </c>
      <c r="G98" s="58">
        <v>0</v>
      </c>
      <c r="H98" s="58">
        <v>0</v>
      </c>
      <c r="I98" s="58">
        <f t="shared" si="35"/>
        <v>1674.92</v>
      </c>
      <c r="J98" s="58">
        <v>1674.92</v>
      </c>
      <c r="K98" s="58">
        <v>0</v>
      </c>
      <c r="L98" s="58">
        <v>0</v>
      </c>
      <c r="M98" s="27">
        <f t="shared" si="36"/>
        <v>0.49262352941176474</v>
      </c>
      <c r="N98" s="27">
        <f t="shared" si="39"/>
        <v>0.49262352941176474</v>
      </c>
      <c r="O98" s="71"/>
      <c r="P98" s="71"/>
    </row>
    <row r="99" spans="1:16" s="16" customFormat="1" ht="54" x14ac:dyDescent="0.3">
      <c r="A99" s="45" t="s">
        <v>386</v>
      </c>
      <c r="B99" s="45" t="s">
        <v>387</v>
      </c>
      <c r="C99" s="45" t="s">
        <v>32</v>
      </c>
      <c r="D99" s="40" t="s">
        <v>388</v>
      </c>
      <c r="E99" s="41">
        <f t="shared" si="34"/>
        <v>161000</v>
      </c>
      <c r="F99" s="58">
        <v>161000</v>
      </c>
      <c r="G99" s="58">
        <v>0</v>
      </c>
      <c r="H99" s="58"/>
      <c r="I99" s="58">
        <f t="shared" si="35"/>
        <v>0</v>
      </c>
      <c r="J99" s="58"/>
      <c r="K99" s="58">
        <v>0</v>
      </c>
      <c r="L99" s="58"/>
      <c r="M99" s="27">
        <f t="shared" si="36"/>
        <v>0</v>
      </c>
      <c r="N99" s="27">
        <f t="shared" si="39"/>
        <v>0</v>
      </c>
      <c r="O99" s="71"/>
      <c r="P99" s="71"/>
    </row>
    <row r="100" spans="1:16" s="15" customFormat="1" ht="54" x14ac:dyDescent="0.3">
      <c r="A100" s="39" t="s">
        <v>155</v>
      </c>
      <c r="B100" s="39" t="s">
        <v>153</v>
      </c>
      <c r="C100" s="39" t="s">
        <v>32</v>
      </c>
      <c r="D100" s="40" t="s">
        <v>154</v>
      </c>
      <c r="E100" s="41">
        <f t="shared" si="34"/>
        <v>482313</v>
      </c>
      <c r="F100" s="58">
        <v>482313</v>
      </c>
      <c r="G100" s="58">
        <v>0</v>
      </c>
      <c r="H100" s="58">
        <v>0</v>
      </c>
      <c r="I100" s="58">
        <f t="shared" si="35"/>
        <v>237529.85</v>
      </c>
      <c r="J100" s="58">
        <v>237529.85</v>
      </c>
      <c r="K100" s="58">
        <v>0</v>
      </c>
      <c r="L100" s="58">
        <v>0</v>
      </c>
      <c r="M100" s="27">
        <f t="shared" si="36"/>
        <v>0.49248071273218846</v>
      </c>
      <c r="N100" s="27">
        <f t="shared" si="39"/>
        <v>0.49248071273218846</v>
      </c>
      <c r="O100" s="71"/>
      <c r="P100" s="71"/>
    </row>
    <row r="101" spans="1:16" s="15" customFormat="1" ht="36" x14ac:dyDescent="0.3">
      <c r="A101" s="39" t="s">
        <v>156</v>
      </c>
      <c r="B101" s="39" t="s">
        <v>157</v>
      </c>
      <c r="C101" s="39" t="s">
        <v>14</v>
      </c>
      <c r="D101" s="40" t="s">
        <v>158</v>
      </c>
      <c r="E101" s="41">
        <f t="shared" si="34"/>
        <v>151514</v>
      </c>
      <c r="F101" s="58">
        <v>151514</v>
      </c>
      <c r="G101" s="58">
        <v>0</v>
      </c>
      <c r="H101" s="58">
        <v>0</v>
      </c>
      <c r="I101" s="58">
        <f t="shared" si="35"/>
        <v>54691</v>
      </c>
      <c r="J101" s="58">
        <v>54691</v>
      </c>
      <c r="K101" s="58">
        <v>0</v>
      </c>
      <c r="L101" s="58">
        <v>0</v>
      </c>
      <c r="M101" s="27">
        <f t="shared" si="36"/>
        <v>0.36096334332140922</v>
      </c>
      <c r="N101" s="27">
        <f t="shared" si="39"/>
        <v>0.36096334332140922</v>
      </c>
      <c r="O101" s="71"/>
      <c r="P101" s="71"/>
    </row>
    <row r="102" spans="1:16" s="15" customFormat="1" ht="72" x14ac:dyDescent="0.3">
      <c r="A102" s="39" t="s">
        <v>110</v>
      </c>
      <c r="B102" s="39" t="s">
        <v>109</v>
      </c>
      <c r="C102" s="39" t="s">
        <v>12</v>
      </c>
      <c r="D102" s="40" t="s">
        <v>238</v>
      </c>
      <c r="E102" s="41">
        <f t="shared" si="34"/>
        <v>23603800</v>
      </c>
      <c r="F102" s="58">
        <v>23423800</v>
      </c>
      <c r="G102" s="58">
        <v>180000</v>
      </c>
      <c r="H102" s="58">
        <v>0</v>
      </c>
      <c r="I102" s="58">
        <f t="shared" si="35"/>
        <v>10159247.9</v>
      </c>
      <c r="J102" s="58">
        <v>10159247.9</v>
      </c>
      <c r="K102" s="58"/>
      <c r="L102" s="58">
        <v>0</v>
      </c>
      <c r="M102" s="27">
        <f t="shared" si="36"/>
        <v>0.43040730306137148</v>
      </c>
      <c r="N102" s="27">
        <f t="shared" si="39"/>
        <v>0.43371476447032509</v>
      </c>
      <c r="O102" s="71"/>
      <c r="P102" s="71"/>
    </row>
    <row r="103" spans="1:16" s="16" customFormat="1" ht="108" x14ac:dyDescent="0.3">
      <c r="A103" s="39" t="s">
        <v>69</v>
      </c>
      <c r="B103" s="39" t="s">
        <v>68</v>
      </c>
      <c r="C103" s="39" t="s">
        <v>19</v>
      </c>
      <c r="D103" s="40" t="s">
        <v>323</v>
      </c>
      <c r="E103" s="41">
        <f t="shared" si="34"/>
        <v>13049300</v>
      </c>
      <c r="F103" s="58">
        <v>13049300</v>
      </c>
      <c r="G103" s="58">
        <v>0</v>
      </c>
      <c r="H103" s="58">
        <v>0</v>
      </c>
      <c r="I103" s="58">
        <f t="shared" si="35"/>
        <v>6187247.6399999997</v>
      </c>
      <c r="J103" s="58">
        <v>6187247.6399999997</v>
      </c>
      <c r="K103" s="58"/>
      <c r="L103" s="58">
        <v>0</v>
      </c>
      <c r="M103" s="27">
        <f t="shared" si="36"/>
        <v>0.47414402611634338</v>
      </c>
      <c r="N103" s="27">
        <f t="shared" si="39"/>
        <v>0.47414402611634338</v>
      </c>
      <c r="O103" s="71"/>
      <c r="P103" s="71"/>
    </row>
    <row r="104" spans="1:16" s="16" customFormat="1" ht="18" x14ac:dyDescent="0.3">
      <c r="A104" s="39" t="s">
        <v>239</v>
      </c>
      <c r="B104" s="39" t="s">
        <v>80</v>
      </c>
      <c r="C104" s="39" t="s">
        <v>19</v>
      </c>
      <c r="D104" s="40" t="s">
        <v>240</v>
      </c>
      <c r="E104" s="41">
        <f t="shared" si="34"/>
        <v>507500</v>
      </c>
      <c r="F104" s="58">
        <v>507500</v>
      </c>
      <c r="G104" s="58">
        <v>0</v>
      </c>
      <c r="H104" s="58">
        <v>0</v>
      </c>
      <c r="I104" s="58">
        <f t="shared" si="35"/>
        <v>0</v>
      </c>
      <c r="J104" s="58"/>
      <c r="K104" s="58">
        <v>0</v>
      </c>
      <c r="L104" s="58">
        <v>0</v>
      </c>
      <c r="M104" s="27">
        <f t="shared" si="36"/>
        <v>0</v>
      </c>
      <c r="N104" s="27">
        <f t="shared" si="39"/>
        <v>0</v>
      </c>
      <c r="O104" s="71"/>
      <c r="P104" s="71"/>
    </row>
    <row r="105" spans="1:16" s="16" customFormat="1" ht="90" x14ac:dyDescent="0.3">
      <c r="A105" s="45" t="s">
        <v>324</v>
      </c>
      <c r="B105" s="39" t="s">
        <v>267</v>
      </c>
      <c r="C105" s="39" t="s">
        <v>19</v>
      </c>
      <c r="D105" s="40" t="s">
        <v>268</v>
      </c>
      <c r="E105" s="41">
        <f t="shared" si="34"/>
        <v>1300000</v>
      </c>
      <c r="F105" s="58">
        <v>1300000</v>
      </c>
      <c r="G105" s="58">
        <v>0</v>
      </c>
      <c r="H105" s="58">
        <v>0</v>
      </c>
      <c r="I105" s="58">
        <f t="shared" si="35"/>
        <v>0</v>
      </c>
      <c r="J105" s="58"/>
      <c r="K105" s="58">
        <v>0</v>
      </c>
      <c r="L105" s="58">
        <v>0</v>
      </c>
      <c r="M105" s="27">
        <f t="shared" si="36"/>
        <v>0</v>
      </c>
      <c r="N105" s="27">
        <f t="shared" si="39"/>
        <v>0</v>
      </c>
      <c r="O105" s="71"/>
      <c r="P105" s="71"/>
    </row>
    <row r="106" spans="1:16" s="16" customFormat="1" ht="108" x14ac:dyDescent="0.3">
      <c r="A106" s="39" t="s">
        <v>130</v>
      </c>
      <c r="B106" s="39" t="s">
        <v>131</v>
      </c>
      <c r="C106" s="39" t="s">
        <v>10</v>
      </c>
      <c r="D106" s="40" t="s">
        <v>241</v>
      </c>
      <c r="E106" s="41">
        <f t="shared" si="34"/>
        <v>2900000</v>
      </c>
      <c r="F106" s="58">
        <v>2900000</v>
      </c>
      <c r="G106" s="58">
        <v>0</v>
      </c>
      <c r="H106" s="58">
        <v>0</v>
      </c>
      <c r="I106" s="58">
        <f t="shared" si="35"/>
        <v>1014684.38</v>
      </c>
      <c r="J106" s="58">
        <v>1014684.38</v>
      </c>
      <c r="K106" s="58">
        <v>0</v>
      </c>
      <c r="L106" s="58">
        <v>0</v>
      </c>
      <c r="M106" s="27">
        <f t="shared" si="36"/>
        <v>0.34989116551724136</v>
      </c>
      <c r="N106" s="27">
        <f t="shared" si="39"/>
        <v>0.34989116551724136</v>
      </c>
      <c r="O106" s="71"/>
      <c r="P106" s="71"/>
    </row>
    <row r="107" spans="1:16" s="16" customFormat="1" ht="72" x14ac:dyDescent="0.3">
      <c r="A107" s="39" t="s">
        <v>159</v>
      </c>
      <c r="B107" s="39" t="s">
        <v>160</v>
      </c>
      <c r="C107" s="39" t="s">
        <v>10</v>
      </c>
      <c r="D107" s="40" t="s">
        <v>161</v>
      </c>
      <c r="E107" s="41">
        <f t="shared" si="34"/>
        <v>31190</v>
      </c>
      <c r="F107" s="58">
        <v>31190</v>
      </c>
      <c r="G107" s="58">
        <v>0</v>
      </c>
      <c r="H107" s="58">
        <v>0</v>
      </c>
      <c r="I107" s="58">
        <f t="shared" si="35"/>
        <v>8014.3</v>
      </c>
      <c r="J107" s="58">
        <v>8014.3</v>
      </c>
      <c r="K107" s="58">
        <v>0</v>
      </c>
      <c r="L107" s="58">
        <v>0</v>
      </c>
      <c r="M107" s="27">
        <f t="shared" si="36"/>
        <v>0.25695094581596667</v>
      </c>
      <c r="N107" s="27">
        <f t="shared" si="39"/>
        <v>0.25695094581596667</v>
      </c>
      <c r="O107" s="71"/>
      <c r="P107" s="71"/>
    </row>
    <row r="108" spans="1:16" s="16" customFormat="1" ht="90" x14ac:dyDescent="0.3">
      <c r="A108" s="39" t="s">
        <v>132</v>
      </c>
      <c r="B108" s="39" t="s">
        <v>133</v>
      </c>
      <c r="C108" s="39" t="s">
        <v>28</v>
      </c>
      <c r="D108" s="40" t="s">
        <v>242</v>
      </c>
      <c r="E108" s="41">
        <f t="shared" si="34"/>
        <v>1120000</v>
      </c>
      <c r="F108" s="58">
        <v>1120000</v>
      </c>
      <c r="G108" s="58">
        <v>0</v>
      </c>
      <c r="H108" s="58">
        <v>0</v>
      </c>
      <c r="I108" s="58">
        <f t="shared" si="35"/>
        <v>401625.5</v>
      </c>
      <c r="J108" s="58">
        <v>401625.5</v>
      </c>
      <c r="K108" s="58">
        <v>0</v>
      </c>
      <c r="L108" s="58">
        <v>0</v>
      </c>
      <c r="M108" s="27">
        <f t="shared" si="36"/>
        <v>0.35859419642857143</v>
      </c>
      <c r="N108" s="27">
        <f t="shared" si="39"/>
        <v>0.35859419642857143</v>
      </c>
      <c r="O108" s="71"/>
      <c r="P108" s="71"/>
    </row>
    <row r="109" spans="1:16" s="16" customFormat="1" ht="36" x14ac:dyDescent="0.3">
      <c r="A109" s="45" t="s">
        <v>389</v>
      </c>
      <c r="B109" s="45">
        <v>3191</v>
      </c>
      <c r="C109" s="45" t="s">
        <v>14</v>
      </c>
      <c r="D109" s="40" t="s">
        <v>390</v>
      </c>
      <c r="E109" s="41">
        <f t="shared" si="34"/>
        <v>24713400</v>
      </c>
      <c r="F109" s="58">
        <v>24713400</v>
      </c>
      <c r="G109" s="58">
        <v>0</v>
      </c>
      <c r="H109" s="58"/>
      <c r="I109" s="58">
        <f t="shared" si="35"/>
        <v>11210636</v>
      </c>
      <c r="J109" s="58">
        <v>11210636</v>
      </c>
      <c r="K109" s="58">
        <v>0</v>
      </c>
      <c r="L109" s="58"/>
      <c r="M109" s="27">
        <f t="shared" si="36"/>
        <v>0.4536258062427671</v>
      </c>
      <c r="N109" s="27">
        <f t="shared" si="39"/>
        <v>0.4536258062427671</v>
      </c>
      <c r="O109" s="71"/>
      <c r="P109" s="71"/>
    </row>
    <row r="110" spans="1:16" s="16" customFormat="1" ht="54" x14ac:dyDescent="0.3">
      <c r="A110" s="39" t="s">
        <v>134</v>
      </c>
      <c r="B110" s="39" t="s">
        <v>135</v>
      </c>
      <c r="C110" s="39" t="s">
        <v>14</v>
      </c>
      <c r="D110" s="40" t="s">
        <v>243</v>
      </c>
      <c r="E110" s="41">
        <f t="shared" si="34"/>
        <v>71000</v>
      </c>
      <c r="F110" s="58">
        <v>71000</v>
      </c>
      <c r="G110" s="58">
        <v>0</v>
      </c>
      <c r="H110" s="58">
        <v>0</v>
      </c>
      <c r="I110" s="58">
        <f t="shared" si="35"/>
        <v>24673.21</v>
      </c>
      <c r="J110" s="58">
        <v>24673.21</v>
      </c>
      <c r="K110" s="58">
        <v>0</v>
      </c>
      <c r="L110" s="58">
        <v>0</v>
      </c>
      <c r="M110" s="27">
        <f t="shared" si="36"/>
        <v>0.34750999999999999</v>
      </c>
      <c r="N110" s="27">
        <f t="shared" si="39"/>
        <v>0.34750999999999999</v>
      </c>
      <c r="O110" s="71"/>
      <c r="P110" s="71"/>
    </row>
    <row r="111" spans="1:16" s="16" customFormat="1" ht="90" x14ac:dyDescent="0.3">
      <c r="A111" s="45" t="s">
        <v>325</v>
      </c>
      <c r="B111" s="45" t="s">
        <v>391</v>
      </c>
      <c r="C111" s="45" t="s">
        <v>14</v>
      </c>
      <c r="D111" s="40" t="s">
        <v>326</v>
      </c>
      <c r="E111" s="41">
        <f t="shared" si="34"/>
        <v>2072420</v>
      </c>
      <c r="F111" s="58">
        <v>2072420</v>
      </c>
      <c r="G111" s="58"/>
      <c r="H111" s="58"/>
      <c r="I111" s="58">
        <f t="shared" si="35"/>
        <v>848270.25</v>
      </c>
      <c r="J111" s="58">
        <v>848270.25</v>
      </c>
      <c r="K111" s="58"/>
      <c r="L111" s="58"/>
      <c r="M111" s="27">
        <f t="shared" si="36"/>
        <v>0.4093138697754316</v>
      </c>
      <c r="N111" s="27">
        <f t="shared" si="39"/>
        <v>0.4093138697754316</v>
      </c>
      <c r="O111" s="71"/>
      <c r="P111" s="71"/>
    </row>
    <row r="112" spans="1:16" s="16" customFormat="1" ht="409.6" x14ac:dyDescent="0.3">
      <c r="A112" s="45" t="s">
        <v>409</v>
      </c>
      <c r="B112" s="45" t="s">
        <v>410</v>
      </c>
      <c r="C112" s="45" t="s">
        <v>28</v>
      </c>
      <c r="D112" s="40" t="s">
        <v>411</v>
      </c>
      <c r="E112" s="41">
        <f t="shared" si="34"/>
        <v>16808022</v>
      </c>
      <c r="F112" s="58">
        <v>16808022</v>
      </c>
      <c r="G112" s="58"/>
      <c r="H112" s="58"/>
      <c r="I112" s="58">
        <f t="shared" si="35"/>
        <v>11851100.84</v>
      </c>
      <c r="J112" s="58">
        <v>11851100.84</v>
      </c>
      <c r="K112" s="58"/>
      <c r="L112" s="58"/>
      <c r="M112" s="27">
        <f t="shared" si="36"/>
        <v>0.70508599048716147</v>
      </c>
      <c r="N112" s="27">
        <f t="shared" si="39"/>
        <v>0.70508599048716147</v>
      </c>
      <c r="O112" s="71"/>
      <c r="P112" s="71"/>
    </row>
    <row r="113" spans="1:18" s="16" customFormat="1" ht="54" x14ac:dyDescent="0.3">
      <c r="A113" s="39" t="s">
        <v>257</v>
      </c>
      <c r="B113" s="39" t="s">
        <v>327</v>
      </c>
      <c r="C113" s="39" t="s">
        <v>32</v>
      </c>
      <c r="D113" s="40" t="s">
        <v>328</v>
      </c>
      <c r="E113" s="41">
        <f t="shared" si="34"/>
        <v>1097600</v>
      </c>
      <c r="F113" s="58">
        <v>1097600</v>
      </c>
      <c r="G113" s="58">
        <v>0</v>
      </c>
      <c r="H113" s="58">
        <v>0</v>
      </c>
      <c r="I113" s="58">
        <f t="shared" si="35"/>
        <v>0</v>
      </c>
      <c r="J113" s="58"/>
      <c r="K113" s="58">
        <v>0</v>
      </c>
      <c r="L113" s="58">
        <v>0</v>
      </c>
      <c r="M113" s="27">
        <f t="shared" si="36"/>
        <v>0</v>
      </c>
      <c r="N113" s="27">
        <f t="shared" si="39"/>
        <v>0</v>
      </c>
      <c r="O113" s="71" t="e">
        <f t="shared" si="37"/>
        <v>#DIV/0!</v>
      </c>
      <c r="P113" s="71" t="e">
        <f t="shared" si="38"/>
        <v>#DIV/0!</v>
      </c>
    </row>
    <row r="114" spans="1:18" s="16" customFormat="1" ht="36" x14ac:dyDescent="0.3">
      <c r="A114" s="39" t="s">
        <v>139</v>
      </c>
      <c r="B114" s="39" t="s">
        <v>136</v>
      </c>
      <c r="C114" s="39" t="s">
        <v>3</v>
      </c>
      <c r="D114" s="40" t="s">
        <v>360</v>
      </c>
      <c r="E114" s="41">
        <f t="shared" si="34"/>
        <v>37789600</v>
      </c>
      <c r="F114" s="58">
        <v>37789600</v>
      </c>
      <c r="G114" s="58">
        <v>0</v>
      </c>
      <c r="H114" s="58">
        <v>0</v>
      </c>
      <c r="I114" s="58">
        <f t="shared" si="35"/>
        <v>12817801.9</v>
      </c>
      <c r="J114" s="58">
        <f>12430097.2+379917.9</f>
        <v>12810015.1</v>
      </c>
      <c r="K114" s="58">
        <f>7786.8</f>
        <v>7786.8</v>
      </c>
      <c r="L114" s="58">
        <v>0</v>
      </c>
      <c r="M114" s="27">
        <f t="shared" si="36"/>
        <v>0.33918861009378243</v>
      </c>
      <c r="N114" s="27">
        <f t="shared" si="39"/>
        <v>0.33898255340093569</v>
      </c>
      <c r="O114" s="71"/>
      <c r="P114" s="71"/>
    </row>
    <row r="115" spans="1:18" s="16" customFormat="1" ht="36" x14ac:dyDescent="0.3">
      <c r="A115" s="45" t="s">
        <v>392</v>
      </c>
      <c r="B115" s="45" t="s">
        <v>393</v>
      </c>
      <c r="C115" s="45" t="s">
        <v>3</v>
      </c>
      <c r="D115" s="40" t="s">
        <v>394</v>
      </c>
      <c r="E115" s="41">
        <f t="shared" si="34"/>
        <v>1832800</v>
      </c>
      <c r="F115" s="58">
        <v>1832800</v>
      </c>
      <c r="G115" s="58">
        <v>0</v>
      </c>
      <c r="H115" s="58"/>
      <c r="I115" s="58">
        <f t="shared" si="35"/>
        <v>628244.72</v>
      </c>
      <c r="J115" s="58">
        <f>628244.72</f>
        <v>628244.72</v>
      </c>
      <c r="K115" s="58">
        <v>0</v>
      </c>
      <c r="L115" s="58"/>
      <c r="M115" s="27">
        <f t="shared" si="36"/>
        <v>0.34277865560890441</v>
      </c>
      <c r="N115" s="27">
        <f t="shared" si="39"/>
        <v>0.34277865560890441</v>
      </c>
      <c r="O115" s="71"/>
      <c r="P115" s="71"/>
    </row>
    <row r="116" spans="1:18" s="16" customFormat="1" ht="36" x14ac:dyDescent="0.3">
      <c r="A116" s="45" t="s">
        <v>329</v>
      </c>
      <c r="B116" s="45" t="s">
        <v>300</v>
      </c>
      <c r="C116" s="45" t="s">
        <v>301</v>
      </c>
      <c r="D116" s="40" t="s">
        <v>302</v>
      </c>
      <c r="E116" s="41">
        <f t="shared" si="34"/>
        <v>989300</v>
      </c>
      <c r="F116" s="58">
        <f>SUM(F117:F119)</f>
        <v>989300</v>
      </c>
      <c r="G116" s="58">
        <v>0</v>
      </c>
      <c r="H116" s="58"/>
      <c r="I116" s="58">
        <f t="shared" si="35"/>
        <v>81106</v>
      </c>
      <c r="J116" s="58">
        <f>SUM(J117:J119)</f>
        <v>81106</v>
      </c>
      <c r="K116" s="58">
        <v>0</v>
      </c>
      <c r="L116" s="58"/>
      <c r="M116" s="27">
        <f t="shared" si="36"/>
        <v>8.1983220458910336E-2</v>
      </c>
      <c r="N116" s="27">
        <f t="shared" si="39"/>
        <v>8.1983220458910336E-2</v>
      </c>
      <c r="O116" s="71"/>
      <c r="P116" s="71"/>
    </row>
    <row r="117" spans="1:18" s="16" customFormat="1" ht="54" x14ac:dyDescent="0.3">
      <c r="A117" s="46"/>
      <c r="B117" s="46"/>
      <c r="C117" s="46"/>
      <c r="D117" s="43" t="s">
        <v>330</v>
      </c>
      <c r="E117" s="41">
        <f t="shared" si="34"/>
        <v>168100</v>
      </c>
      <c r="F117" s="59">
        <v>168100</v>
      </c>
      <c r="G117" s="59"/>
      <c r="H117" s="59"/>
      <c r="I117" s="58">
        <f t="shared" si="35"/>
        <v>32650</v>
      </c>
      <c r="J117" s="59">
        <v>32650</v>
      </c>
      <c r="K117" s="59"/>
      <c r="L117" s="59"/>
      <c r="M117" s="27">
        <f t="shared" si="36"/>
        <v>0.19422962522308149</v>
      </c>
      <c r="N117" s="27">
        <f t="shared" si="39"/>
        <v>0.19422962522308149</v>
      </c>
      <c r="O117" s="71"/>
      <c r="P117" s="71"/>
    </row>
    <row r="118" spans="1:18" s="16" customFormat="1" ht="54" x14ac:dyDescent="0.3">
      <c r="A118" s="46"/>
      <c r="B118" s="46"/>
      <c r="C118" s="46"/>
      <c r="D118" s="43" t="s">
        <v>331</v>
      </c>
      <c r="E118" s="41">
        <f t="shared" si="34"/>
        <v>757300</v>
      </c>
      <c r="F118" s="59">
        <v>757300</v>
      </c>
      <c r="G118" s="59"/>
      <c r="H118" s="59"/>
      <c r="I118" s="58">
        <f t="shared" si="35"/>
        <v>43398</v>
      </c>
      <c r="J118" s="59">
        <v>43398</v>
      </c>
      <c r="K118" s="59"/>
      <c r="L118" s="59"/>
      <c r="M118" s="27">
        <f t="shared" si="36"/>
        <v>5.7306219463884853E-2</v>
      </c>
      <c r="N118" s="27">
        <f t="shared" si="39"/>
        <v>5.7306219463884853E-2</v>
      </c>
      <c r="O118" s="71"/>
      <c r="P118" s="71"/>
    </row>
    <row r="119" spans="1:18" s="16" customFormat="1" ht="72" x14ac:dyDescent="0.3">
      <c r="A119" s="46"/>
      <c r="B119" s="46"/>
      <c r="C119" s="46"/>
      <c r="D119" s="43" t="s">
        <v>332</v>
      </c>
      <c r="E119" s="41">
        <f t="shared" si="34"/>
        <v>63900</v>
      </c>
      <c r="F119" s="59">
        <v>63900</v>
      </c>
      <c r="G119" s="59"/>
      <c r="H119" s="59"/>
      <c r="I119" s="58">
        <f t="shared" si="35"/>
        <v>5058</v>
      </c>
      <c r="J119" s="59">
        <v>5058</v>
      </c>
      <c r="K119" s="59"/>
      <c r="L119" s="59"/>
      <c r="M119" s="27">
        <f t="shared" si="36"/>
        <v>7.9154929577464783E-2</v>
      </c>
      <c r="N119" s="27">
        <f t="shared" si="39"/>
        <v>7.9154929577464783E-2</v>
      </c>
      <c r="O119" s="71"/>
      <c r="P119" s="71"/>
      <c r="R119" s="54"/>
    </row>
    <row r="120" spans="1:18" s="16" customFormat="1" ht="54" x14ac:dyDescent="0.3">
      <c r="A120" s="45" t="s">
        <v>395</v>
      </c>
      <c r="B120" s="45">
        <v>8110</v>
      </c>
      <c r="C120" s="45" t="s">
        <v>4</v>
      </c>
      <c r="D120" s="40" t="s">
        <v>127</v>
      </c>
      <c r="E120" s="41">
        <f t="shared" si="34"/>
        <v>60000</v>
      </c>
      <c r="F120" s="58">
        <f>SUM(F121)</f>
        <v>60000</v>
      </c>
      <c r="G120" s="58">
        <v>0</v>
      </c>
      <c r="H120" s="58">
        <v>0</v>
      </c>
      <c r="I120" s="58">
        <f t="shared" si="35"/>
        <v>0</v>
      </c>
      <c r="J120" s="58">
        <f>SUM(J121)</f>
        <v>0</v>
      </c>
      <c r="K120" s="58">
        <v>0</v>
      </c>
      <c r="L120" s="58">
        <v>0</v>
      </c>
      <c r="M120" s="27">
        <f t="shared" si="36"/>
        <v>0</v>
      </c>
      <c r="N120" s="27">
        <f t="shared" si="39"/>
        <v>0</v>
      </c>
      <c r="O120" s="71"/>
      <c r="P120" s="71"/>
      <c r="R120" s="54"/>
    </row>
    <row r="121" spans="1:18" s="16" customFormat="1" ht="72" x14ac:dyDescent="0.3">
      <c r="A121" s="46"/>
      <c r="B121" s="46"/>
      <c r="C121" s="46"/>
      <c r="D121" s="43" t="s">
        <v>332</v>
      </c>
      <c r="E121" s="41">
        <f t="shared" si="34"/>
        <v>60000</v>
      </c>
      <c r="F121" s="59">
        <v>60000</v>
      </c>
      <c r="G121" s="59"/>
      <c r="H121" s="59"/>
      <c r="I121" s="58">
        <f t="shared" si="35"/>
        <v>0</v>
      </c>
      <c r="J121" s="59"/>
      <c r="K121" s="59"/>
      <c r="L121" s="59"/>
      <c r="M121" s="27">
        <f t="shared" si="36"/>
        <v>0</v>
      </c>
      <c r="N121" s="27">
        <f t="shared" si="39"/>
        <v>0</v>
      </c>
      <c r="O121" s="71"/>
      <c r="P121" s="71"/>
      <c r="R121" s="54"/>
    </row>
    <row r="122" spans="1:18" s="16" customFormat="1" ht="52.2" x14ac:dyDescent="0.3">
      <c r="A122" s="36" t="s">
        <v>285</v>
      </c>
      <c r="B122" s="36" t="s">
        <v>218</v>
      </c>
      <c r="C122" s="36" t="s">
        <v>218</v>
      </c>
      <c r="D122" s="37" t="s">
        <v>333</v>
      </c>
      <c r="E122" s="38">
        <f t="shared" si="34"/>
        <v>3818800</v>
      </c>
      <c r="F122" s="57">
        <f>F123</f>
        <v>3818800</v>
      </c>
      <c r="G122" s="57">
        <f t="shared" ref="G122:H122" si="46">G123</f>
        <v>0</v>
      </c>
      <c r="H122" s="57">
        <f t="shared" si="46"/>
        <v>0</v>
      </c>
      <c r="I122" s="57">
        <f t="shared" si="35"/>
        <v>1711016.45</v>
      </c>
      <c r="J122" s="57">
        <f>J123</f>
        <v>1711016.45</v>
      </c>
      <c r="K122" s="57">
        <f t="shared" ref="K122" si="47">K123</f>
        <v>0</v>
      </c>
      <c r="L122" s="57">
        <f t="shared" ref="L122" si="48">L123</f>
        <v>0</v>
      </c>
      <c r="M122" s="26">
        <f t="shared" si="36"/>
        <v>0.4480508143919556</v>
      </c>
      <c r="N122" s="26">
        <f t="shared" si="39"/>
        <v>0.4480508143919556</v>
      </c>
      <c r="O122" s="70"/>
      <c r="P122" s="70"/>
      <c r="Q122" s="18"/>
      <c r="R122" s="19"/>
    </row>
    <row r="123" spans="1:18" s="16" customFormat="1" ht="52.2" x14ac:dyDescent="0.3">
      <c r="A123" s="36" t="s">
        <v>286</v>
      </c>
      <c r="B123" s="36" t="s">
        <v>218</v>
      </c>
      <c r="C123" s="36" t="s">
        <v>218</v>
      </c>
      <c r="D123" s="37" t="s">
        <v>333</v>
      </c>
      <c r="E123" s="38">
        <f t="shared" si="34"/>
        <v>3818800</v>
      </c>
      <c r="F123" s="57">
        <f>SUM(F124:F127)</f>
        <v>3818800</v>
      </c>
      <c r="G123" s="57">
        <f t="shared" ref="G123:H123" si="49">SUM(G124:G127)</f>
        <v>0</v>
      </c>
      <c r="H123" s="57">
        <f t="shared" si="49"/>
        <v>0</v>
      </c>
      <c r="I123" s="57">
        <f t="shared" si="35"/>
        <v>1711016.45</v>
      </c>
      <c r="J123" s="57">
        <f>SUM(J124:J127)</f>
        <v>1711016.45</v>
      </c>
      <c r="K123" s="57">
        <f t="shared" ref="K123" si="50">SUM(K124:K127)</f>
        <v>0</v>
      </c>
      <c r="L123" s="57">
        <f t="shared" ref="L123" si="51">SUM(L124:L127)</f>
        <v>0</v>
      </c>
      <c r="M123" s="26">
        <f t="shared" si="36"/>
        <v>0.4480508143919556</v>
      </c>
      <c r="N123" s="26">
        <f t="shared" si="39"/>
        <v>0.4480508143919556</v>
      </c>
      <c r="O123" s="70"/>
      <c r="P123" s="70"/>
      <c r="Q123" s="18"/>
      <c r="R123" s="19"/>
    </row>
    <row r="124" spans="1:18" s="16" customFormat="1" ht="54" x14ac:dyDescent="0.3">
      <c r="A124" s="39" t="s">
        <v>287</v>
      </c>
      <c r="B124" s="39" t="s">
        <v>53</v>
      </c>
      <c r="C124" s="39" t="s">
        <v>2</v>
      </c>
      <c r="D124" s="40" t="s">
        <v>235</v>
      </c>
      <c r="E124" s="41">
        <f t="shared" si="34"/>
        <v>3465300</v>
      </c>
      <c r="F124" s="58">
        <v>3465300</v>
      </c>
      <c r="G124" s="58">
        <v>0</v>
      </c>
      <c r="H124" s="58">
        <v>0</v>
      </c>
      <c r="I124" s="58">
        <f t="shared" si="35"/>
        <v>1602684.65</v>
      </c>
      <c r="J124" s="58">
        <v>1602684.65</v>
      </c>
      <c r="K124" s="58">
        <v>0</v>
      </c>
      <c r="L124" s="58">
        <v>0</v>
      </c>
      <c r="M124" s="27">
        <f t="shared" si="36"/>
        <v>0.46249520964995811</v>
      </c>
      <c r="N124" s="27">
        <f t="shared" si="39"/>
        <v>0.46249520964995811</v>
      </c>
      <c r="O124" s="71"/>
      <c r="P124" s="71"/>
      <c r="R124" s="54"/>
    </row>
    <row r="125" spans="1:18" s="16" customFormat="1" ht="54" x14ac:dyDescent="0.3">
      <c r="A125" s="45" t="s">
        <v>396</v>
      </c>
      <c r="B125" s="39" t="s">
        <v>102</v>
      </c>
      <c r="C125" s="39" t="s">
        <v>103</v>
      </c>
      <c r="D125" s="40" t="s">
        <v>104</v>
      </c>
      <c r="E125" s="41">
        <f t="shared" si="34"/>
        <v>6500</v>
      </c>
      <c r="F125" s="58">
        <v>6500</v>
      </c>
      <c r="G125" s="58">
        <v>0</v>
      </c>
      <c r="H125" s="58">
        <v>0</v>
      </c>
      <c r="I125" s="58">
        <f t="shared" si="35"/>
        <v>0</v>
      </c>
      <c r="J125" s="58"/>
      <c r="K125" s="58">
        <v>0</v>
      </c>
      <c r="L125" s="58">
        <v>0</v>
      </c>
      <c r="M125" s="27">
        <f t="shared" si="36"/>
        <v>0</v>
      </c>
      <c r="N125" s="27">
        <f t="shared" si="39"/>
        <v>0</v>
      </c>
      <c r="O125" s="71"/>
      <c r="P125" s="71"/>
      <c r="R125" s="54"/>
    </row>
    <row r="126" spans="1:18" s="16" customFormat="1" ht="36" x14ac:dyDescent="0.3">
      <c r="A126" s="39" t="s">
        <v>288</v>
      </c>
      <c r="B126" s="39" t="s">
        <v>33</v>
      </c>
      <c r="C126" s="39" t="s">
        <v>19</v>
      </c>
      <c r="D126" s="40" t="s">
        <v>42</v>
      </c>
      <c r="E126" s="41">
        <f t="shared" si="34"/>
        <v>328000</v>
      </c>
      <c r="F126" s="58">
        <v>328000</v>
      </c>
      <c r="G126" s="58">
        <v>0</v>
      </c>
      <c r="H126" s="58">
        <v>0</v>
      </c>
      <c r="I126" s="58">
        <f t="shared" si="35"/>
        <v>103997.8</v>
      </c>
      <c r="J126" s="58">
        <v>103997.8</v>
      </c>
      <c r="K126" s="58">
        <v>0</v>
      </c>
      <c r="L126" s="58">
        <v>0</v>
      </c>
      <c r="M126" s="27">
        <f t="shared" si="36"/>
        <v>0.31706646341463418</v>
      </c>
      <c r="N126" s="27">
        <f t="shared" si="39"/>
        <v>0.31706646341463418</v>
      </c>
      <c r="O126" s="71"/>
      <c r="P126" s="71"/>
      <c r="R126" s="54"/>
    </row>
    <row r="127" spans="1:18" s="16" customFormat="1" ht="36" x14ac:dyDescent="0.3">
      <c r="A127" s="45" t="s">
        <v>334</v>
      </c>
      <c r="B127" s="45" t="s">
        <v>300</v>
      </c>
      <c r="C127" s="45" t="s">
        <v>301</v>
      </c>
      <c r="D127" s="40" t="s">
        <v>302</v>
      </c>
      <c r="E127" s="41">
        <f t="shared" si="34"/>
        <v>19000</v>
      </c>
      <c r="F127" s="58">
        <v>19000</v>
      </c>
      <c r="G127" s="58">
        <v>0</v>
      </c>
      <c r="H127" s="58"/>
      <c r="I127" s="58">
        <f t="shared" si="35"/>
        <v>4334</v>
      </c>
      <c r="J127" s="58">
        <v>4334</v>
      </c>
      <c r="K127" s="58">
        <v>0</v>
      </c>
      <c r="L127" s="58"/>
      <c r="M127" s="27">
        <f t="shared" si="36"/>
        <v>0.22810526315789473</v>
      </c>
      <c r="N127" s="27">
        <f t="shared" si="39"/>
        <v>0.22810526315789473</v>
      </c>
      <c r="O127" s="71"/>
      <c r="P127" s="71"/>
      <c r="R127" s="54"/>
    </row>
    <row r="128" spans="1:18" s="18" customFormat="1" ht="34.799999999999997" x14ac:dyDescent="0.3">
      <c r="A128" s="36" t="s">
        <v>70</v>
      </c>
      <c r="B128" s="36" t="s">
        <v>218</v>
      </c>
      <c r="C128" s="36" t="s">
        <v>218</v>
      </c>
      <c r="D128" s="37" t="s">
        <v>244</v>
      </c>
      <c r="E128" s="38">
        <f t="shared" si="34"/>
        <v>71877374</v>
      </c>
      <c r="F128" s="57">
        <f>F129</f>
        <v>70477374</v>
      </c>
      <c r="G128" s="57">
        <f t="shared" ref="G128:H128" si="52">G129</f>
        <v>1400000</v>
      </c>
      <c r="H128" s="57">
        <f t="shared" si="52"/>
        <v>0</v>
      </c>
      <c r="I128" s="57">
        <f t="shared" si="35"/>
        <v>37666924.219999999</v>
      </c>
      <c r="J128" s="57">
        <f>J129</f>
        <v>36541370.060000002</v>
      </c>
      <c r="K128" s="57">
        <f t="shared" ref="K128" si="53">K129</f>
        <v>1125554.1599999999</v>
      </c>
      <c r="L128" s="57">
        <f t="shared" ref="L128" si="54">L129</f>
        <v>0</v>
      </c>
      <c r="M128" s="26">
        <f t="shared" si="36"/>
        <v>0.52404424541163674</v>
      </c>
      <c r="N128" s="26">
        <f t="shared" si="39"/>
        <v>0.51848370599052118</v>
      </c>
      <c r="O128" s="70">
        <f t="shared" si="37"/>
        <v>0.80396725714285711</v>
      </c>
      <c r="P128" s="70"/>
      <c r="R128" s="19"/>
    </row>
    <row r="129" spans="1:18" s="16" customFormat="1" ht="34.799999999999997" x14ac:dyDescent="0.3">
      <c r="A129" s="36" t="s">
        <v>71</v>
      </c>
      <c r="B129" s="36" t="s">
        <v>218</v>
      </c>
      <c r="C129" s="36" t="s">
        <v>218</v>
      </c>
      <c r="D129" s="37" t="s">
        <v>244</v>
      </c>
      <c r="E129" s="38">
        <f t="shared" si="34"/>
        <v>71877374</v>
      </c>
      <c r="F129" s="57">
        <f>SUM(F130:F141)</f>
        <v>70477374</v>
      </c>
      <c r="G129" s="57">
        <f t="shared" ref="G129:H129" si="55">SUM(G130:G141)</f>
        <v>1400000</v>
      </c>
      <c r="H129" s="57">
        <f t="shared" si="55"/>
        <v>0</v>
      </c>
      <c r="I129" s="57">
        <f t="shared" si="35"/>
        <v>37666924.219999999</v>
      </c>
      <c r="J129" s="57">
        <f>SUM(J130:J141)</f>
        <v>36541370.060000002</v>
      </c>
      <c r="K129" s="57">
        <f t="shared" ref="K129" si="56">SUM(K130:K141)</f>
        <v>1125554.1599999999</v>
      </c>
      <c r="L129" s="57">
        <f t="shared" ref="L129" si="57">SUM(L130:L141)</f>
        <v>0</v>
      </c>
      <c r="M129" s="26">
        <f t="shared" si="36"/>
        <v>0.52404424541163674</v>
      </c>
      <c r="N129" s="26">
        <f t="shared" si="39"/>
        <v>0.51848370599052118</v>
      </c>
      <c r="O129" s="70">
        <f t="shared" si="37"/>
        <v>0.80396725714285711</v>
      </c>
      <c r="P129" s="70"/>
      <c r="Q129" s="18"/>
      <c r="R129" s="19"/>
    </row>
    <row r="130" spans="1:18" s="16" customFormat="1" ht="54" x14ac:dyDescent="0.3">
      <c r="A130" s="39" t="s">
        <v>72</v>
      </c>
      <c r="B130" s="39" t="s">
        <v>53</v>
      </c>
      <c r="C130" s="39" t="s">
        <v>2</v>
      </c>
      <c r="D130" s="40" t="s">
        <v>235</v>
      </c>
      <c r="E130" s="41">
        <f t="shared" si="34"/>
        <v>1373800</v>
      </c>
      <c r="F130" s="58">
        <v>1373800</v>
      </c>
      <c r="G130" s="58">
        <v>0</v>
      </c>
      <c r="H130" s="58">
        <v>0</v>
      </c>
      <c r="I130" s="58">
        <f t="shared" si="35"/>
        <v>662780.75</v>
      </c>
      <c r="J130" s="58">
        <v>662780.75</v>
      </c>
      <c r="K130" s="58"/>
      <c r="L130" s="58"/>
      <c r="M130" s="27">
        <f t="shared" si="36"/>
        <v>0.48244340515358858</v>
      </c>
      <c r="N130" s="27">
        <f t="shared" si="39"/>
        <v>0.48244340515358858</v>
      </c>
      <c r="O130" s="71"/>
      <c r="P130" s="71"/>
      <c r="R130" s="54"/>
    </row>
    <row r="131" spans="1:18" s="16" customFormat="1" ht="54" x14ac:dyDescent="0.3">
      <c r="A131" s="45" t="s">
        <v>397</v>
      </c>
      <c r="B131" s="39" t="s">
        <v>102</v>
      </c>
      <c r="C131" s="39" t="s">
        <v>103</v>
      </c>
      <c r="D131" s="40" t="s">
        <v>104</v>
      </c>
      <c r="E131" s="41">
        <f t="shared" si="34"/>
        <v>4000</v>
      </c>
      <c r="F131" s="58">
        <v>4000</v>
      </c>
      <c r="G131" s="58">
        <v>0</v>
      </c>
      <c r="H131" s="58">
        <v>0</v>
      </c>
      <c r="I131" s="58">
        <f t="shared" si="35"/>
        <v>3300</v>
      </c>
      <c r="J131" s="58">
        <v>3300</v>
      </c>
      <c r="K131" s="58"/>
      <c r="L131" s="58"/>
      <c r="M131" s="27">
        <f t="shared" si="36"/>
        <v>0.82499999999999996</v>
      </c>
      <c r="N131" s="27">
        <f t="shared" si="39"/>
        <v>0.82499999999999996</v>
      </c>
      <c r="O131" s="71"/>
      <c r="P131" s="71"/>
      <c r="R131" s="54"/>
    </row>
    <row r="132" spans="1:18" s="16" customFormat="1" ht="36" x14ac:dyDescent="0.3">
      <c r="A132" s="39" t="s">
        <v>195</v>
      </c>
      <c r="B132" s="39" t="s">
        <v>196</v>
      </c>
      <c r="C132" s="39" t="s">
        <v>16</v>
      </c>
      <c r="D132" s="40" t="s">
        <v>245</v>
      </c>
      <c r="E132" s="41">
        <f t="shared" si="34"/>
        <v>33278400</v>
      </c>
      <c r="F132" s="58">
        <v>32188400</v>
      </c>
      <c r="G132" s="58">
        <v>1090000</v>
      </c>
      <c r="H132" s="58">
        <v>0</v>
      </c>
      <c r="I132" s="58">
        <f t="shared" si="35"/>
        <v>20070953.699999999</v>
      </c>
      <c r="J132" s="58">
        <v>19600652.969999999</v>
      </c>
      <c r="K132" s="58">
        <v>470300.73</v>
      </c>
      <c r="L132" s="58"/>
      <c r="M132" s="27">
        <f t="shared" si="36"/>
        <v>0.60312255697389294</v>
      </c>
      <c r="N132" s="27">
        <f t="shared" si="39"/>
        <v>0.60893529874116137</v>
      </c>
      <c r="O132" s="71">
        <f t="shared" si="37"/>
        <v>0.43146855963302749</v>
      </c>
      <c r="P132" s="71"/>
      <c r="R132" s="54"/>
    </row>
    <row r="133" spans="1:18" s="16" customFormat="1" ht="90" x14ac:dyDescent="0.3">
      <c r="A133" s="39" t="s">
        <v>335</v>
      </c>
      <c r="B133" s="39" t="s">
        <v>267</v>
      </c>
      <c r="C133" s="39" t="s">
        <v>19</v>
      </c>
      <c r="D133" s="40" t="s">
        <v>268</v>
      </c>
      <c r="E133" s="41">
        <f t="shared" si="34"/>
        <v>170000</v>
      </c>
      <c r="F133" s="58">
        <v>170000</v>
      </c>
      <c r="G133" s="58">
        <v>0</v>
      </c>
      <c r="H133" s="58">
        <v>0</v>
      </c>
      <c r="I133" s="58">
        <f t="shared" si="35"/>
        <v>170000</v>
      </c>
      <c r="J133" s="58">
        <v>170000</v>
      </c>
      <c r="K133" s="58"/>
      <c r="L133" s="58"/>
      <c r="M133" s="27">
        <f t="shared" si="36"/>
        <v>1</v>
      </c>
      <c r="N133" s="27">
        <f t="shared" si="39"/>
        <v>1</v>
      </c>
      <c r="O133" s="71"/>
      <c r="P133" s="71"/>
    </row>
    <row r="134" spans="1:18" s="16" customFormat="1" ht="36" x14ac:dyDescent="0.3">
      <c r="A134" s="39">
        <v>1013242</v>
      </c>
      <c r="B134" s="39">
        <v>3242</v>
      </c>
      <c r="C134" s="39">
        <v>1090</v>
      </c>
      <c r="D134" s="40" t="s">
        <v>360</v>
      </c>
      <c r="E134" s="41">
        <f t="shared" si="34"/>
        <v>48000</v>
      </c>
      <c r="F134" s="58">
        <v>48000</v>
      </c>
      <c r="G134" s="58"/>
      <c r="H134" s="58"/>
      <c r="I134" s="58">
        <f t="shared" si="35"/>
        <v>24000</v>
      </c>
      <c r="J134" s="58">
        <v>24000</v>
      </c>
      <c r="K134" s="58"/>
      <c r="L134" s="58"/>
      <c r="M134" s="27">
        <f t="shared" si="36"/>
        <v>0.5</v>
      </c>
      <c r="N134" s="27">
        <f t="shared" si="39"/>
        <v>0.5</v>
      </c>
      <c r="O134" s="71"/>
      <c r="P134" s="71"/>
    </row>
    <row r="135" spans="1:18" s="16" customFormat="1" ht="18" x14ac:dyDescent="0.3">
      <c r="A135" s="39" t="s">
        <v>74</v>
      </c>
      <c r="B135" s="39" t="s">
        <v>73</v>
      </c>
      <c r="C135" s="39" t="s">
        <v>35</v>
      </c>
      <c r="D135" s="40" t="s">
        <v>75</v>
      </c>
      <c r="E135" s="41">
        <f t="shared" si="34"/>
        <v>11424475</v>
      </c>
      <c r="F135" s="58">
        <v>11344475</v>
      </c>
      <c r="G135" s="58">
        <v>80000</v>
      </c>
      <c r="H135" s="58">
        <v>0</v>
      </c>
      <c r="I135" s="58">
        <f t="shared" si="35"/>
        <v>4991669.8099999996</v>
      </c>
      <c r="J135" s="58">
        <v>4830486.8099999996</v>
      </c>
      <c r="K135" s="58">
        <f>133524+27659</f>
        <v>161183</v>
      </c>
      <c r="L135" s="58"/>
      <c r="M135" s="27">
        <f t="shared" si="36"/>
        <v>0.4369277196545136</v>
      </c>
      <c r="N135" s="27">
        <f t="shared" si="39"/>
        <v>0.4258008246304919</v>
      </c>
      <c r="O135" s="71" t="s">
        <v>420</v>
      </c>
      <c r="P135" s="71"/>
    </row>
    <row r="136" spans="1:18" s="16" customFormat="1" ht="18" x14ac:dyDescent="0.3">
      <c r="A136" s="39" t="s">
        <v>77</v>
      </c>
      <c r="B136" s="39" t="s">
        <v>76</v>
      </c>
      <c r="C136" s="39" t="s">
        <v>35</v>
      </c>
      <c r="D136" s="40" t="s">
        <v>246</v>
      </c>
      <c r="E136" s="41">
        <f t="shared" si="34"/>
        <v>5069900</v>
      </c>
      <c r="F136" s="58">
        <v>5029900</v>
      </c>
      <c r="G136" s="58">
        <v>40000</v>
      </c>
      <c r="H136" s="58">
        <v>0</v>
      </c>
      <c r="I136" s="58">
        <f t="shared" si="35"/>
        <v>2477036.38</v>
      </c>
      <c r="J136" s="58">
        <v>2464253.38</v>
      </c>
      <c r="K136" s="58">
        <f>12783</f>
        <v>12783</v>
      </c>
      <c r="L136" s="58"/>
      <c r="M136" s="27">
        <f t="shared" si="36"/>
        <v>0.48857696995995975</v>
      </c>
      <c r="N136" s="27">
        <f t="shared" si="39"/>
        <v>0.48992094872661485</v>
      </c>
      <c r="O136" s="71">
        <f t="shared" si="37"/>
        <v>0.319575</v>
      </c>
      <c r="P136" s="71"/>
    </row>
    <row r="137" spans="1:18" s="16" customFormat="1" ht="54" x14ac:dyDescent="0.3">
      <c r="A137" s="39" t="s">
        <v>78</v>
      </c>
      <c r="B137" s="39" t="s">
        <v>34</v>
      </c>
      <c r="C137" s="39" t="s">
        <v>36</v>
      </c>
      <c r="D137" s="40" t="s">
        <v>247</v>
      </c>
      <c r="E137" s="41">
        <f t="shared" si="34"/>
        <v>16280199</v>
      </c>
      <c r="F137" s="58">
        <v>16090199</v>
      </c>
      <c r="G137" s="58">
        <v>190000</v>
      </c>
      <c r="H137" s="58">
        <v>0</v>
      </c>
      <c r="I137" s="58">
        <f t="shared" si="35"/>
        <v>7456443.9899999993</v>
      </c>
      <c r="J137" s="58">
        <v>6975156.5599999996</v>
      </c>
      <c r="K137" s="58">
        <f>313977.88+167309.55</f>
        <v>481287.43</v>
      </c>
      <c r="L137" s="58"/>
      <c r="M137" s="27">
        <f t="shared" si="36"/>
        <v>0.45800693161060252</v>
      </c>
      <c r="N137" s="27">
        <f t="shared" si="39"/>
        <v>0.43350343647086026</v>
      </c>
      <c r="O137" s="71" t="s">
        <v>421</v>
      </c>
      <c r="P137" s="71"/>
    </row>
    <row r="138" spans="1:18" s="16" customFormat="1" ht="36" x14ac:dyDescent="0.3">
      <c r="A138" s="39" t="s">
        <v>140</v>
      </c>
      <c r="B138" s="39" t="s">
        <v>122</v>
      </c>
      <c r="C138" s="39" t="s">
        <v>37</v>
      </c>
      <c r="D138" s="40" t="s">
        <v>123</v>
      </c>
      <c r="E138" s="41">
        <f t="shared" si="34"/>
        <v>2999300</v>
      </c>
      <c r="F138" s="58">
        <v>2999300</v>
      </c>
      <c r="G138" s="58">
        <v>0</v>
      </c>
      <c r="H138" s="58">
        <v>0</v>
      </c>
      <c r="I138" s="58">
        <f t="shared" si="35"/>
        <v>1452013.59</v>
      </c>
      <c r="J138" s="58">
        <v>1452013.59</v>
      </c>
      <c r="K138" s="58"/>
      <c r="L138" s="58"/>
      <c r="M138" s="27">
        <f t="shared" si="36"/>
        <v>0.48411749074784122</v>
      </c>
      <c r="N138" s="27">
        <f t="shared" si="39"/>
        <v>0.48411749074784122</v>
      </c>
      <c r="O138" s="71"/>
      <c r="P138" s="71"/>
    </row>
    <row r="139" spans="1:18" s="16" customFormat="1" ht="18" x14ac:dyDescent="0.3">
      <c r="A139" s="39" t="s">
        <v>120</v>
      </c>
      <c r="B139" s="39" t="s">
        <v>121</v>
      </c>
      <c r="C139" s="39" t="s">
        <v>37</v>
      </c>
      <c r="D139" s="40" t="s">
        <v>124</v>
      </c>
      <c r="E139" s="41">
        <f t="shared" si="34"/>
        <v>879000</v>
      </c>
      <c r="F139" s="58">
        <v>879000</v>
      </c>
      <c r="G139" s="58">
        <v>0</v>
      </c>
      <c r="H139" s="58">
        <v>0</v>
      </c>
      <c r="I139" s="58">
        <f t="shared" si="35"/>
        <v>204662</v>
      </c>
      <c r="J139" s="58">
        <v>204662</v>
      </c>
      <c r="K139" s="58"/>
      <c r="L139" s="58"/>
      <c r="M139" s="27">
        <f t="shared" si="36"/>
        <v>0.23283503981797496</v>
      </c>
      <c r="N139" s="27">
        <f t="shared" si="39"/>
        <v>0.23283503981797496</v>
      </c>
      <c r="O139" s="71"/>
      <c r="P139" s="71"/>
    </row>
    <row r="140" spans="1:18" s="16" customFormat="1" ht="36" x14ac:dyDescent="0.3">
      <c r="A140" s="45" t="s">
        <v>336</v>
      </c>
      <c r="B140" s="45" t="s">
        <v>300</v>
      </c>
      <c r="C140" s="45" t="s">
        <v>301</v>
      </c>
      <c r="D140" s="40" t="s">
        <v>302</v>
      </c>
      <c r="E140" s="41">
        <f t="shared" si="34"/>
        <v>285300</v>
      </c>
      <c r="F140" s="58">
        <v>285300</v>
      </c>
      <c r="G140" s="58">
        <v>0</v>
      </c>
      <c r="H140" s="58">
        <v>0</v>
      </c>
      <c r="I140" s="58">
        <f t="shared" si="35"/>
        <v>100964</v>
      </c>
      <c r="J140" s="58">
        <v>100964</v>
      </c>
      <c r="K140" s="58"/>
      <c r="L140" s="58"/>
      <c r="M140" s="27">
        <f t="shared" si="36"/>
        <v>0.35388713634770419</v>
      </c>
      <c r="N140" s="27">
        <f t="shared" si="39"/>
        <v>0.35388713634770419</v>
      </c>
      <c r="O140" s="71"/>
      <c r="P140" s="71"/>
    </row>
    <row r="141" spans="1:18" s="15" customFormat="1" ht="54" x14ac:dyDescent="0.3">
      <c r="A141" s="45" t="s">
        <v>398</v>
      </c>
      <c r="B141" s="45">
        <v>8110</v>
      </c>
      <c r="C141" s="45" t="s">
        <v>4</v>
      </c>
      <c r="D141" s="40" t="s">
        <v>127</v>
      </c>
      <c r="E141" s="41">
        <f t="shared" si="34"/>
        <v>65000</v>
      </c>
      <c r="F141" s="58">
        <v>65000</v>
      </c>
      <c r="G141" s="58">
        <v>0</v>
      </c>
      <c r="H141" s="58">
        <v>0</v>
      </c>
      <c r="I141" s="58">
        <f t="shared" si="35"/>
        <v>53100</v>
      </c>
      <c r="J141" s="58">
        <v>53100</v>
      </c>
      <c r="K141" s="58"/>
      <c r="L141" s="58"/>
      <c r="M141" s="27">
        <f t="shared" si="36"/>
        <v>0.81692307692307697</v>
      </c>
      <c r="N141" s="27">
        <f t="shared" si="39"/>
        <v>0.81692307692307697</v>
      </c>
      <c r="O141" s="71"/>
      <c r="P141" s="71"/>
    </row>
    <row r="142" spans="1:18" s="15" customFormat="1" ht="52.2" x14ac:dyDescent="0.3">
      <c r="A142" s="36" t="s">
        <v>22</v>
      </c>
      <c r="B142" s="36" t="s">
        <v>218</v>
      </c>
      <c r="C142" s="36" t="s">
        <v>218</v>
      </c>
      <c r="D142" s="37" t="s">
        <v>337</v>
      </c>
      <c r="E142" s="38">
        <f t="shared" si="34"/>
        <v>25278145.859999999</v>
      </c>
      <c r="F142" s="57">
        <f>F143</f>
        <v>20937150</v>
      </c>
      <c r="G142" s="57">
        <f t="shared" ref="G142:H142" si="58">G143</f>
        <v>4340995.8600000003</v>
      </c>
      <c r="H142" s="57">
        <f t="shared" si="58"/>
        <v>0</v>
      </c>
      <c r="I142" s="57">
        <f t="shared" si="35"/>
        <v>4611489.0799999991</v>
      </c>
      <c r="J142" s="57">
        <f>J143</f>
        <v>4611489.0799999991</v>
      </c>
      <c r="K142" s="57">
        <f t="shared" ref="K142" si="59">K143</f>
        <v>0</v>
      </c>
      <c r="L142" s="57">
        <f t="shared" ref="L142" si="60">L143</f>
        <v>0</v>
      </c>
      <c r="M142" s="26">
        <f t="shared" si="36"/>
        <v>0.18242987858129239</v>
      </c>
      <c r="N142" s="26">
        <f t="shared" si="39"/>
        <v>0.22025390657276656</v>
      </c>
      <c r="O142" s="70">
        <f t="shared" si="37"/>
        <v>0</v>
      </c>
      <c r="P142" s="70"/>
    </row>
    <row r="143" spans="1:18" s="15" customFormat="1" ht="52.2" x14ac:dyDescent="0.3">
      <c r="A143" s="36" t="s">
        <v>23</v>
      </c>
      <c r="B143" s="36" t="s">
        <v>218</v>
      </c>
      <c r="C143" s="36" t="s">
        <v>218</v>
      </c>
      <c r="D143" s="37" t="s">
        <v>337</v>
      </c>
      <c r="E143" s="38">
        <f t="shared" si="34"/>
        <v>25278145.859999999</v>
      </c>
      <c r="F143" s="57">
        <f>SUM(F144:F153)</f>
        <v>20937150</v>
      </c>
      <c r="G143" s="57">
        <f t="shared" ref="G143:H143" si="61">SUM(G144:G153)</f>
        <v>4340995.8600000003</v>
      </c>
      <c r="H143" s="57">
        <f t="shared" si="61"/>
        <v>0</v>
      </c>
      <c r="I143" s="57">
        <f t="shared" si="35"/>
        <v>4611489.0799999991</v>
      </c>
      <c r="J143" s="57">
        <f>SUM(J144:J153)</f>
        <v>4611489.0799999991</v>
      </c>
      <c r="K143" s="57">
        <f t="shared" ref="K143" si="62">SUM(K144:K153)</f>
        <v>0</v>
      </c>
      <c r="L143" s="57">
        <f t="shared" ref="L143" si="63">SUM(L144:L153)</f>
        <v>0</v>
      </c>
      <c r="M143" s="26">
        <f t="shared" si="36"/>
        <v>0.18242987858129239</v>
      </c>
      <c r="N143" s="26">
        <f t="shared" si="39"/>
        <v>0.22025390657276656</v>
      </c>
      <c r="O143" s="70">
        <f t="shared" si="37"/>
        <v>0</v>
      </c>
      <c r="P143" s="70"/>
    </row>
    <row r="144" spans="1:18" s="15" customFormat="1" ht="54" x14ac:dyDescent="0.3">
      <c r="A144" s="39" t="s">
        <v>79</v>
      </c>
      <c r="B144" s="39" t="s">
        <v>53</v>
      </c>
      <c r="C144" s="39" t="s">
        <v>2</v>
      </c>
      <c r="D144" s="40" t="s">
        <v>235</v>
      </c>
      <c r="E144" s="41">
        <f t="shared" ref="E144:E207" si="64">F144+G144</f>
        <v>3006000</v>
      </c>
      <c r="F144" s="58">
        <v>3006000</v>
      </c>
      <c r="G144" s="58">
        <v>0</v>
      </c>
      <c r="H144" s="58">
        <v>0</v>
      </c>
      <c r="I144" s="58">
        <f t="shared" ref="I144:I181" si="65">J144+K144</f>
        <v>1518506.6</v>
      </c>
      <c r="J144" s="58">
        <v>1518506.6</v>
      </c>
      <c r="K144" s="58"/>
      <c r="L144" s="58"/>
      <c r="M144" s="27">
        <f t="shared" ref="M144:M207" si="66">I144/E144</f>
        <v>0.50515854956753159</v>
      </c>
      <c r="N144" s="27">
        <f t="shared" ref="N144:N207" si="67">J144/F144</f>
        <v>0.50515854956753159</v>
      </c>
      <c r="O144" s="71"/>
      <c r="P144" s="71"/>
    </row>
    <row r="145" spans="1:17" s="16" customFormat="1" ht="54" x14ac:dyDescent="0.3">
      <c r="A145" s="45" t="s">
        <v>399</v>
      </c>
      <c r="B145" s="39" t="s">
        <v>102</v>
      </c>
      <c r="C145" s="39" t="s">
        <v>103</v>
      </c>
      <c r="D145" s="40" t="s">
        <v>104</v>
      </c>
      <c r="E145" s="41">
        <f t="shared" si="64"/>
        <v>9000</v>
      </c>
      <c r="F145" s="58">
        <v>9000</v>
      </c>
      <c r="G145" s="58">
        <v>0</v>
      </c>
      <c r="H145" s="58">
        <v>0</v>
      </c>
      <c r="I145" s="58">
        <f t="shared" si="65"/>
        <v>4380</v>
      </c>
      <c r="J145" s="58">
        <v>4380</v>
      </c>
      <c r="K145" s="58"/>
      <c r="L145" s="58"/>
      <c r="M145" s="27">
        <f t="shared" si="66"/>
        <v>0.48666666666666669</v>
      </c>
      <c r="N145" s="27">
        <f t="shared" si="67"/>
        <v>0.48666666666666669</v>
      </c>
      <c r="O145" s="71"/>
      <c r="P145" s="71"/>
    </row>
    <row r="146" spans="1:17" s="16" customFormat="1" ht="54" x14ac:dyDescent="0.3">
      <c r="A146" s="39" t="s">
        <v>82</v>
      </c>
      <c r="B146" s="39" t="s">
        <v>81</v>
      </c>
      <c r="C146" s="39" t="s">
        <v>19</v>
      </c>
      <c r="D146" s="40" t="s">
        <v>338</v>
      </c>
      <c r="E146" s="41">
        <f t="shared" si="64"/>
        <v>2429000</v>
      </c>
      <c r="F146" s="58">
        <v>2429000</v>
      </c>
      <c r="G146" s="58">
        <v>0</v>
      </c>
      <c r="H146" s="58">
        <v>0</v>
      </c>
      <c r="I146" s="58">
        <f t="shared" si="65"/>
        <v>624183.82000000007</v>
      </c>
      <c r="J146" s="58">
        <f>253501+370682.82</f>
        <v>624183.82000000007</v>
      </c>
      <c r="K146" s="58"/>
      <c r="L146" s="58"/>
      <c r="M146" s="27">
        <f t="shared" si="66"/>
        <v>0.25697151914368055</v>
      </c>
      <c r="N146" s="27">
        <f t="shared" si="67"/>
        <v>0.25697151914368055</v>
      </c>
      <c r="O146" s="71"/>
      <c r="P146" s="71"/>
      <c r="Q146" s="31"/>
    </row>
    <row r="147" spans="1:17" s="16" customFormat="1" ht="36" x14ac:dyDescent="0.3">
      <c r="A147" s="39" t="s">
        <v>25</v>
      </c>
      <c r="B147" s="39" t="s">
        <v>24</v>
      </c>
      <c r="C147" s="39" t="s">
        <v>20</v>
      </c>
      <c r="D147" s="40" t="s">
        <v>41</v>
      </c>
      <c r="E147" s="41">
        <f t="shared" si="64"/>
        <v>1514500</v>
      </c>
      <c r="F147" s="58">
        <v>1514500</v>
      </c>
      <c r="G147" s="58">
        <v>0</v>
      </c>
      <c r="H147" s="58">
        <v>0</v>
      </c>
      <c r="I147" s="58">
        <f t="shared" si="65"/>
        <v>301321.76</v>
      </c>
      <c r="J147" s="58">
        <v>301321.76</v>
      </c>
      <c r="K147" s="58"/>
      <c r="L147" s="58"/>
      <c r="M147" s="27">
        <f t="shared" si="66"/>
        <v>0.1989579135028062</v>
      </c>
      <c r="N147" s="27">
        <f t="shared" si="67"/>
        <v>0.1989579135028062</v>
      </c>
      <c r="O147" s="71"/>
      <c r="P147" s="71"/>
      <c r="Q147" s="31"/>
    </row>
    <row r="148" spans="1:17" s="16" customFormat="1" ht="36" x14ac:dyDescent="0.3">
      <c r="A148" s="39" t="s">
        <v>43</v>
      </c>
      <c r="B148" s="39" t="s">
        <v>44</v>
      </c>
      <c r="C148" s="39" t="s">
        <v>20</v>
      </c>
      <c r="D148" s="40" t="s">
        <v>45</v>
      </c>
      <c r="E148" s="41">
        <f t="shared" si="64"/>
        <v>965738</v>
      </c>
      <c r="F148" s="58">
        <v>965738</v>
      </c>
      <c r="G148" s="58">
        <v>0</v>
      </c>
      <c r="H148" s="58">
        <v>0</v>
      </c>
      <c r="I148" s="58">
        <f t="shared" si="65"/>
        <v>291160.76</v>
      </c>
      <c r="J148" s="58">
        <v>291160.76</v>
      </c>
      <c r="K148" s="58"/>
      <c r="L148" s="58"/>
      <c r="M148" s="27">
        <f t="shared" si="66"/>
        <v>0.30149042493926925</v>
      </c>
      <c r="N148" s="27">
        <f t="shared" si="67"/>
        <v>0.30149042493926925</v>
      </c>
      <c r="O148" s="71"/>
      <c r="P148" s="71"/>
    </row>
    <row r="149" spans="1:17" s="15" customFormat="1" ht="18" x14ac:dyDescent="0.3">
      <c r="A149" s="39">
        <v>1115048</v>
      </c>
      <c r="B149" s="39">
        <v>5048</v>
      </c>
      <c r="C149" s="45" t="s">
        <v>20</v>
      </c>
      <c r="D149" s="40" t="s">
        <v>400</v>
      </c>
      <c r="E149" s="41">
        <f t="shared" si="64"/>
        <v>8435850</v>
      </c>
      <c r="F149" s="58">
        <v>8435850</v>
      </c>
      <c r="G149" s="58">
        <v>0</v>
      </c>
      <c r="H149" s="58"/>
      <c r="I149" s="58">
        <f t="shared" si="65"/>
        <v>0</v>
      </c>
      <c r="J149" s="58"/>
      <c r="K149" s="58"/>
      <c r="L149" s="58"/>
      <c r="M149" s="27">
        <f t="shared" si="66"/>
        <v>0</v>
      </c>
      <c r="N149" s="27">
        <f t="shared" si="67"/>
        <v>0</v>
      </c>
      <c r="O149" s="71"/>
      <c r="P149" s="71"/>
    </row>
    <row r="150" spans="1:17" s="15" customFormat="1" ht="72" x14ac:dyDescent="0.3">
      <c r="A150" s="39" t="s">
        <v>47</v>
      </c>
      <c r="B150" s="39" t="s">
        <v>48</v>
      </c>
      <c r="C150" s="39" t="s">
        <v>20</v>
      </c>
      <c r="D150" s="40" t="s">
        <v>401</v>
      </c>
      <c r="E150" s="41">
        <f t="shared" si="64"/>
        <v>4200462</v>
      </c>
      <c r="F150" s="58">
        <v>4200462</v>
      </c>
      <c r="G150" s="58">
        <v>0</v>
      </c>
      <c r="H150" s="58">
        <v>0</v>
      </c>
      <c r="I150" s="58">
        <f t="shared" si="65"/>
        <v>1834550.14</v>
      </c>
      <c r="J150" s="58">
        <v>1834550.14</v>
      </c>
      <c r="K150" s="58"/>
      <c r="L150" s="58"/>
      <c r="M150" s="27">
        <f t="shared" si="66"/>
        <v>0.43674960992386075</v>
      </c>
      <c r="N150" s="27">
        <f t="shared" si="67"/>
        <v>0.43674960992386075</v>
      </c>
      <c r="O150" s="71"/>
      <c r="P150" s="71"/>
    </row>
    <row r="151" spans="1:17" s="23" customFormat="1" ht="54" x14ac:dyDescent="0.3">
      <c r="A151" s="39">
        <v>1115062</v>
      </c>
      <c r="B151" s="39">
        <v>5062</v>
      </c>
      <c r="C151" s="45" t="s">
        <v>20</v>
      </c>
      <c r="D151" s="40" t="s">
        <v>412</v>
      </c>
      <c r="E151" s="41">
        <f t="shared" si="64"/>
        <v>300000</v>
      </c>
      <c r="F151" s="58">
        <v>300000</v>
      </c>
      <c r="G151" s="58"/>
      <c r="H151" s="58"/>
      <c r="I151" s="58">
        <f t="shared" si="65"/>
        <v>0</v>
      </c>
      <c r="J151" s="58"/>
      <c r="K151" s="58"/>
      <c r="L151" s="58"/>
      <c r="M151" s="27">
        <f t="shared" si="66"/>
        <v>0</v>
      </c>
      <c r="N151" s="27">
        <f t="shared" si="67"/>
        <v>0</v>
      </c>
      <c r="O151" s="71"/>
      <c r="P151" s="71"/>
    </row>
    <row r="152" spans="1:17" s="23" customFormat="1" ht="36" x14ac:dyDescent="0.3">
      <c r="A152" s="45" t="s">
        <v>339</v>
      </c>
      <c r="B152" s="45" t="s">
        <v>300</v>
      </c>
      <c r="C152" s="45" t="s">
        <v>301</v>
      </c>
      <c r="D152" s="40" t="s">
        <v>302</v>
      </c>
      <c r="E152" s="41">
        <f t="shared" si="64"/>
        <v>76600</v>
      </c>
      <c r="F152" s="58">
        <v>76600</v>
      </c>
      <c r="G152" s="58">
        <v>0</v>
      </c>
      <c r="H152" s="58"/>
      <c r="I152" s="58">
        <f t="shared" si="65"/>
        <v>37386</v>
      </c>
      <c r="J152" s="58">
        <f>11874+25512</f>
        <v>37386</v>
      </c>
      <c r="K152" s="58"/>
      <c r="L152" s="58"/>
      <c r="M152" s="27">
        <f t="shared" si="66"/>
        <v>0.48806788511749349</v>
      </c>
      <c r="N152" s="27">
        <f t="shared" si="67"/>
        <v>0.48806788511749349</v>
      </c>
      <c r="O152" s="71"/>
      <c r="P152" s="71"/>
    </row>
    <row r="153" spans="1:17" s="23" customFormat="1" ht="144" x14ac:dyDescent="0.3">
      <c r="A153" s="45" t="s">
        <v>402</v>
      </c>
      <c r="B153" s="45" t="s">
        <v>343</v>
      </c>
      <c r="C153" s="45" t="s">
        <v>21</v>
      </c>
      <c r="D153" s="40" t="s">
        <v>145</v>
      </c>
      <c r="E153" s="41">
        <f t="shared" si="64"/>
        <v>4340995.8600000003</v>
      </c>
      <c r="F153" s="58">
        <v>0</v>
      </c>
      <c r="G153" s="58">
        <v>4340995.8600000003</v>
      </c>
      <c r="H153" s="58"/>
      <c r="I153" s="58">
        <f t="shared" si="65"/>
        <v>0</v>
      </c>
      <c r="J153" s="58"/>
      <c r="K153" s="58"/>
      <c r="L153" s="58"/>
      <c r="M153" s="27">
        <f t="shared" si="66"/>
        <v>0</v>
      </c>
      <c r="N153" s="27"/>
      <c r="O153" s="71">
        <f t="shared" ref="O153:O205" si="68">K153/G153</f>
        <v>0</v>
      </c>
      <c r="P153" s="71"/>
    </row>
    <row r="154" spans="1:17" s="23" customFormat="1" ht="52.2" x14ac:dyDescent="0.3">
      <c r="A154" s="36" t="s">
        <v>83</v>
      </c>
      <c r="B154" s="36" t="s">
        <v>218</v>
      </c>
      <c r="C154" s="36" t="s">
        <v>218</v>
      </c>
      <c r="D154" s="37" t="s">
        <v>248</v>
      </c>
      <c r="E154" s="38">
        <f t="shared" si="64"/>
        <v>252402680.66999999</v>
      </c>
      <c r="F154" s="57">
        <f>F155</f>
        <v>240955590</v>
      </c>
      <c r="G154" s="57">
        <f t="shared" ref="G154:H154" si="69">G155</f>
        <v>11447090.67</v>
      </c>
      <c r="H154" s="57">
        <f t="shared" si="69"/>
        <v>4777000</v>
      </c>
      <c r="I154" s="57">
        <f t="shared" si="65"/>
        <v>146293069.07000002</v>
      </c>
      <c r="J154" s="57">
        <f>J155</f>
        <v>144743842.41000003</v>
      </c>
      <c r="K154" s="57">
        <f t="shared" ref="K154" si="70">K155</f>
        <v>1549226.6600000001</v>
      </c>
      <c r="L154" s="57">
        <f t="shared" ref="L154" si="71">L155</f>
        <v>1543335.6</v>
      </c>
      <c r="M154" s="26">
        <f t="shared" si="66"/>
        <v>0.57960188331465723</v>
      </c>
      <c r="N154" s="26">
        <f t="shared" si="67"/>
        <v>0.6007075511715666</v>
      </c>
      <c r="O154" s="70">
        <f t="shared" si="68"/>
        <v>0.13533802646118118</v>
      </c>
      <c r="P154" s="70">
        <f t="shared" ref="P154:P205" si="72">L154/H154</f>
        <v>0.32307632405275277</v>
      </c>
    </row>
    <row r="155" spans="1:17" s="23" customFormat="1" ht="52.2" x14ac:dyDescent="0.3">
      <c r="A155" s="36" t="s">
        <v>84</v>
      </c>
      <c r="B155" s="36" t="s">
        <v>218</v>
      </c>
      <c r="C155" s="36" t="s">
        <v>218</v>
      </c>
      <c r="D155" s="37" t="s">
        <v>248</v>
      </c>
      <c r="E155" s="38">
        <f t="shared" si="64"/>
        <v>252402680.66999999</v>
      </c>
      <c r="F155" s="57">
        <f>SUM(F156:F171)</f>
        <v>240955590</v>
      </c>
      <c r="G155" s="57">
        <f t="shared" ref="G155:H155" si="73">SUM(G156:G171)</f>
        <v>11447090.67</v>
      </c>
      <c r="H155" s="57">
        <f t="shared" si="73"/>
        <v>4777000</v>
      </c>
      <c r="I155" s="57">
        <f t="shared" si="65"/>
        <v>146293069.07000002</v>
      </c>
      <c r="J155" s="57">
        <f>SUM(J156:J171)</f>
        <v>144743842.41000003</v>
      </c>
      <c r="K155" s="57">
        <f t="shared" ref="K155" si="74">SUM(K156:K171)</f>
        <v>1549226.6600000001</v>
      </c>
      <c r="L155" s="57">
        <f t="shared" ref="L155" si="75">SUM(L156:L171)</f>
        <v>1543335.6</v>
      </c>
      <c r="M155" s="26">
        <f t="shared" si="66"/>
        <v>0.57960188331465723</v>
      </c>
      <c r="N155" s="26">
        <f t="shared" si="67"/>
        <v>0.6007075511715666</v>
      </c>
      <c r="O155" s="70">
        <f t="shared" si="68"/>
        <v>0.13533802646118118</v>
      </c>
      <c r="P155" s="70">
        <f t="shared" si="72"/>
        <v>0.32307632405275277</v>
      </c>
    </row>
    <row r="156" spans="1:17" s="23" customFormat="1" ht="54" x14ac:dyDescent="0.3">
      <c r="A156" s="39" t="s">
        <v>85</v>
      </c>
      <c r="B156" s="39" t="s">
        <v>53</v>
      </c>
      <c r="C156" s="39" t="s">
        <v>2</v>
      </c>
      <c r="D156" s="40" t="s">
        <v>235</v>
      </c>
      <c r="E156" s="41">
        <f t="shared" si="64"/>
        <v>6165580</v>
      </c>
      <c r="F156" s="58">
        <v>6165580</v>
      </c>
      <c r="G156" s="58">
        <v>0</v>
      </c>
      <c r="H156" s="58">
        <v>0</v>
      </c>
      <c r="I156" s="58">
        <f t="shared" si="65"/>
        <v>2763680.7</v>
      </c>
      <c r="J156" s="58">
        <v>2763680.7</v>
      </c>
      <c r="K156" s="58"/>
      <c r="L156" s="58"/>
      <c r="M156" s="27">
        <f t="shared" si="66"/>
        <v>0.4482434255982406</v>
      </c>
      <c r="N156" s="27">
        <f t="shared" si="67"/>
        <v>0.4482434255982406</v>
      </c>
      <c r="O156" s="71"/>
      <c r="P156" s="71"/>
    </row>
    <row r="157" spans="1:17" s="24" customFormat="1" ht="54" x14ac:dyDescent="0.3">
      <c r="A157" s="39" t="s">
        <v>175</v>
      </c>
      <c r="B157" s="39" t="s">
        <v>102</v>
      </c>
      <c r="C157" s="39" t="s">
        <v>103</v>
      </c>
      <c r="D157" s="40" t="s">
        <v>104</v>
      </c>
      <c r="E157" s="41">
        <f t="shared" si="64"/>
        <v>10000</v>
      </c>
      <c r="F157" s="58">
        <v>10000</v>
      </c>
      <c r="G157" s="58">
        <v>0</v>
      </c>
      <c r="H157" s="58">
        <v>0</v>
      </c>
      <c r="I157" s="58">
        <f t="shared" si="65"/>
        <v>0</v>
      </c>
      <c r="J157" s="58"/>
      <c r="K157" s="58"/>
      <c r="L157" s="58"/>
      <c r="M157" s="27">
        <f t="shared" si="66"/>
        <v>0</v>
      </c>
      <c r="N157" s="27">
        <f t="shared" si="67"/>
        <v>0</v>
      </c>
      <c r="O157" s="71"/>
      <c r="P157" s="71"/>
    </row>
    <row r="158" spans="1:17" s="24" customFormat="1" ht="18" x14ac:dyDescent="0.3">
      <c r="A158" s="39" t="s">
        <v>129</v>
      </c>
      <c r="B158" s="39" t="s">
        <v>128</v>
      </c>
      <c r="C158" s="39" t="s">
        <v>111</v>
      </c>
      <c r="D158" s="40" t="s">
        <v>112</v>
      </c>
      <c r="E158" s="41">
        <f t="shared" si="64"/>
        <v>30000</v>
      </c>
      <c r="F158" s="58">
        <v>30000</v>
      </c>
      <c r="G158" s="58">
        <v>0</v>
      </c>
      <c r="H158" s="58">
        <v>0</v>
      </c>
      <c r="I158" s="58">
        <f t="shared" si="65"/>
        <v>0</v>
      </c>
      <c r="J158" s="58"/>
      <c r="K158" s="58"/>
      <c r="L158" s="58"/>
      <c r="M158" s="27">
        <f t="shared" si="66"/>
        <v>0</v>
      </c>
      <c r="N158" s="27">
        <f t="shared" si="67"/>
        <v>0</v>
      </c>
      <c r="O158" s="71"/>
      <c r="P158" s="71"/>
    </row>
    <row r="159" spans="1:17" s="24" customFormat="1" ht="36" x14ac:dyDescent="0.3">
      <c r="A159" s="39">
        <v>1216011</v>
      </c>
      <c r="B159" s="39">
        <v>6011</v>
      </c>
      <c r="C159" s="45" t="s">
        <v>262</v>
      </c>
      <c r="D159" s="40" t="s">
        <v>96</v>
      </c>
      <c r="E159" s="41">
        <f t="shared" si="64"/>
        <v>3910472</v>
      </c>
      <c r="F159" s="58">
        <v>3910472</v>
      </c>
      <c r="G159" s="58">
        <v>0</v>
      </c>
      <c r="H159" s="58"/>
      <c r="I159" s="58">
        <f t="shared" si="65"/>
        <v>0</v>
      </c>
      <c r="J159" s="58"/>
      <c r="K159" s="58"/>
      <c r="L159" s="58"/>
      <c r="M159" s="27">
        <f t="shared" si="66"/>
        <v>0</v>
      </c>
      <c r="N159" s="27">
        <f t="shared" si="67"/>
        <v>0</v>
      </c>
      <c r="O159" s="71"/>
      <c r="P159" s="71"/>
    </row>
    <row r="160" spans="1:17" s="24" customFormat="1" ht="36" x14ac:dyDescent="0.3">
      <c r="A160" s="39">
        <v>1216013</v>
      </c>
      <c r="B160" s="39">
        <v>6013</v>
      </c>
      <c r="C160" s="45" t="s">
        <v>8</v>
      </c>
      <c r="D160" s="40" t="s">
        <v>403</v>
      </c>
      <c r="E160" s="41">
        <f t="shared" si="64"/>
        <v>4343800</v>
      </c>
      <c r="F160" s="58">
        <v>4343800</v>
      </c>
      <c r="G160" s="58">
        <v>0</v>
      </c>
      <c r="H160" s="58"/>
      <c r="I160" s="58">
        <f t="shared" si="65"/>
        <v>0</v>
      </c>
      <c r="J160" s="58"/>
      <c r="K160" s="58"/>
      <c r="L160" s="58"/>
      <c r="M160" s="27">
        <f t="shared" si="66"/>
        <v>0</v>
      </c>
      <c r="N160" s="27">
        <f t="shared" si="67"/>
        <v>0</v>
      </c>
      <c r="O160" s="71"/>
      <c r="P160" s="71"/>
    </row>
    <row r="161" spans="1:16" s="24" customFormat="1" ht="36" x14ac:dyDescent="0.3">
      <c r="A161" s="39" t="s">
        <v>114</v>
      </c>
      <c r="B161" s="39" t="s">
        <v>113</v>
      </c>
      <c r="C161" s="39" t="s">
        <v>8</v>
      </c>
      <c r="D161" s="40" t="s">
        <v>115</v>
      </c>
      <c r="E161" s="41">
        <f t="shared" si="64"/>
        <v>300000</v>
      </c>
      <c r="F161" s="58">
        <v>300000</v>
      </c>
      <c r="G161" s="58">
        <v>0</v>
      </c>
      <c r="H161" s="58">
        <v>0</v>
      </c>
      <c r="I161" s="58">
        <f t="shared" si="65"/>
        <v>159900</v>
      </c>
      <c r="J161" s="58">
        <v>159900</v>
      </c>
      <c r="K161" s="58"/>
      <c r="L161" s="58"/>
      <c r="M161" s="27">
        <f t="shared" si="66"/>
        <v>0.53300000000000003</v>
      </c>
      <c r="N161" s="27">
        <f t="shared" si="67"/>
        <v>0.53300000000000003</v>
      </c>
      <c r="O161" s="71"/>
      <c r="P161" s="71"/>
    </row>
    <row r="162" spans="1:16" s="24" customFormat="1" ht="36" x14ac:dyDescent="0.3">
      <c r="A162" s="39" t="s">
        <v>142</v>
      </c>
      <c r="B162" s="39" t="s">
        <v>143</v>
      </c>
      <c r="C162" s="39" t="s">
        <v>8</v>
      </c>
      <c r="D162" s="40" t="s">
        <v>249</v>
      </c>
      <c r="E162" s="41">
        <f t="shared" si="64"/>
        <v>2940200</v>
      </c>
      <c r="F162" s="58">
        <v>2940200</v>
      </c>
      <c r="G162" s="58">
        <v>0</v>
      </c>
      <c r="H162" s="58">
        <v>0</v>
      </c>
      <c r="I162" s="58">
        <f t="shared" si="65"/>
        <v>940139.31</v>
      </c>
      <c r="J162" s="58">
        <v>940139.31</v>
      </c>
      <c r="K162" s="58"/>
      <c r="L162" s="58"/>
      <c r="M162" s="27">
        <f t="shared" si="66"/>
        <v>0.31975352356982523</v>
      </c>
      <c r="N162" s="27">
        <f t="shared" si="67"/>
        <v>0.31975352356982523</v>
      </c>
      <c r="O162" s="71"/>
      <c r="P162" s="71"/>
    </row>
    <row r="163" spans="1:16" s="24" customFormat="1" ht="18" x14ac:dyDescent="0.3">
      <c r="A163" s="39" t="s">
        <v>86</v>
      </c>
      <c r="B163" s="39" t="s">
        <v>38</v>
      </c>
      <c r="C163" s="39" t="s">
        <v>8</v>
      </c>
      <c r="D163" s="40" t="s">
        <v>227</v>
      </c>
      <c r="E163" s="41">
        <f t="shared" si="64"/>
        <v>102146832</v>
      </c>
      <c r="F163" s="58">
        <v>102146832</v>
      </c>
      <c r="G163" s="58">
        <v>0</v>
      </c>
      <c r="H163" s="58">
        <v>0</v>
      </c>
      <c r="I163" s="58">
        <f t="shared" si="65"/>
        <v>44525322.990000002</v>
      </c>
      <c r="J163" s="58">
        <f>30756293.53+9047485.79+4721543.67</f>
        <v>44525322.990000002</v>
      </c>
      <c r="K163" s="58"/>
      <c r="L163" s="58"/>
      <c r="M163" s="27">
        <f t="shared" si="66"/>
        <v>0.43589529032089808</v>
      </c>
      <c r="N163" s="27">
        <f t="shared" si="67"/>
        <v>0.43589529032089808</v>
      </c>
      <c r="O163" s="71"/>
      <c r="P163" s="71"/>
    </row>
    <row r="164" spans="1:16" s="24" customFormat="1" ht="90" x14ac:dyDescent="0.3">
      <c r="A164" s="39">
        <v>1216091</v>
      </c>
      <c r="B164" s="39">
        <v>6091</v>
      </c>
      <c r="C164" s="45" t="s">
        <v>340</v>
      </c>
      <c r="D164" s="40" t="s">
        <v>404</v>
      </c>
      <c r="E164" s="41">
        <f t="shared" si="64"/>
        <v>4777000</v>
      </c>
      <c r="F164" s="58">
        <v>0</v>
      </c>
      <c r="G164" s="58">
        <v>4777000</v>
      </c>
      <c r="H164" s="58">
        <v>4777000</v>
      </c>
      <c r="I164" s="58">
        <f t="shared" si="65"/>
        <v>1543335.6</v>
      </c>
      <c r="J164" s="58"/>
      <c r="K164" s="58">
        <v>1543335.6</v>
      </c>
      <c r="L164" s="58">
        <v>1543335.6</v>
      </c>
      <c r="M164" s="27">
        <f t="shared" si="66"/>
        <v>0.32307632405275277</v>
      </c>
      <c r="N164" s="27"/>
      <c r="O164" s="71">
        <f t="shared" si="68"/>
        <v>0.32307632405275277</v>
      </c>
      <c r="P164" s="71">
        <f t="shared" si="72"/>
        <v>0.32307632405275277</v>
      </c>
    </row>
    <row r="165" spans="1:16" s="24" customFormat="1" ht="54" x14ac:dyDescent="0.3">
      <c r="A165" s="39" t="s">
        <v>116</v>
      </c>
      <c r="B165" s="39" t="s">
        <v>94</v>
      </c>
      <c r="C165" s="39" t="s">
        <v>39</v>
      </c>
      <c r="D165" s="40" t="s">
        <v>95</v>
      </c>
      <c r="E165" s="41">
        <f t="shared" si="64"/>
        <v>32000000</v>
      </c>
      <c r="F165" s="58">
        <v>32000000</v>
      </c>
      <c r="G165" s="58">
        <v>0</v>
      </c>
      <c r="H165" s="58">
        <v>0</v>
      </c>
      <c r="I165" s="58">
        <f t="shared" si="65"/>
        <v>16079503.199999999</v>
      </c>
      <c r="J165" s="58">
        <v>16079503.199999999</v>
      </c>
      <c r="K165" s="58"/>
      <c r="L165" s="58"/>
      <c r="M165" s="27">
        <f t="shared" si="66"/>
        <v>0.50248447499999993</v>
      </c>
      <c r="N165" s="27">
        <f t="shared" si="67"/>
        <v>0.50248447499999993</v>
      </c>
      <c r="O165" s="71"/>
      <c r="P165" s="71"/>
    </row>
    <row r="166" spans="1:16" s="24" customFormat="1" ht="36" x14ac:dyDescent="0.3">
      <c r="A166" s="45" t="s">
        <v>341</v>
      </c>
      <c r="B166" s="45" t="s">
        <v>300</v>
      </c>
      <c r="C166" s="45" t="s">
        <v>301</v>
      </c>
      <c r="D166" s="40" t="s">
        <v>302</v>
      </c>
      <c r="E166" s="41">
        <f t="shared" si="64"/>
        <v>86420</v>
      </c>
      <c r="F166" s="58">
        <v>86420</v>
      </c>
      <c r="G166" s="58">
        <v>0</v>
      </c>
      <c r="H166" s="58">
        <v>0</v>
      </c>
      <c r="I166" s="58">
        <f t="shared" si="65"/>
        <v>5402</v>
      </c>
      <c r="J166" s="58">
        <v>5402</v>
      </c>
      <c r="K166" s="58"/>
      <c r="L166" s="58"/>
      <c r="M166" s="27">
        <f t="shared" si="66"/>
        <v>6.2508678546632723E-2</v>
      </c>
      <c r="N166" s="27">
        <f t="shared" si="67"/>
        <v>6.2508678546632723E-2</v>
      </c>
      <c r="O166" s="71"/>
      <c r="P166" s="71"/>
    </row>
    <row r="167" spans="1:16" s="24" customFormat="1" ht="18" x14ac:dyDescent="0.3">
      <c r="A167" s="45" t="s">
        <v>405</v>
      </c>
      <c r="B167" s="45" t="s">
        <v>304</v>
      </c>
      <c r="C167" s="45" t="s">
        <v>6</v>
      </c>
      <c r="D167" s="40" t="s">
        <v>7</v>
      </c>
      <c r="E167" s="41">
        <f t="shared" si="64"/>
        <v>97505</v>
      </c>
      <c r="F167" s="58">
        <v>97505</v>
      </c>
      <c r="G167" s="58">
        <v>0</v>
      </c>
      <c r="H167" s="58"/>
      <c r="I167" s="58">
        <f t="shared" si="65"/>
        <v>77725.320000000007</v>
      </c>
      <c r="J167" s="58">
        <v>77725.320000000007</v>
      </c>
      <c r="K167" s="58"/>
      <c r="L167" s="58"/>
      <c r="M167" s="27">
        <f t="shared" si="66"/>
        <v>0.79714189015947912</v>
      </c>
      <c r="N167" s="27">
        <f t="shared" si="67"/>
        <v>0.79714189015947912</v>
      </c>
      <c r="O167" s="71"/>
      <c r="P167" s="71"/>
    </row>
    <row r="168" spans="1:16" s="24" customFormat="1" ht="144" x14ac:dyDescent="0.3">
      <c r="A168" s="45" t="s">
        <v>342</v>
      </c>
      <c r="B168" s="45" t="s">
        <v>343</v>
      </c>
      <c r="C168" s="45" t="s">
        <v>21</v>
      </c>
      <c r="D168" s="40" t="s">
        <v>145</v>
      </c>
      <c r="E168" s="41">
        <f t="shared" si="64"/>
        <v>5580906.6699999999</v>
      </c>
      <c r="F168" s="58">
        <v>0</v>
      </c>
      <c r="G168" s="58">
        <v>5580906.6699999999</v>
      </c>
      <c r="H168" s="58"/>
      <c r="I168" s="58">
        <f t="shared" si="65"/>
        <v>5891.06</v>
      </c>
      <c r="J168" s="58"/>
      <c r="K168" s="58">
        <v>5891.06</v>
      </c>
      <c r="L168" s="58"/>
      <c r="M168" s="27">
        <f t="shared" si="66"/>
        <v>1.0555740040712777E-3</v>
      </c>
      <c r="N168" s="27"/>
      <c r="O168" s="71">
        <f t="shared" si="68"/>
        <v>1.0555740040712777E-3</v>
      </c>
      <c r="P168" s="71"/>
    </row>
    <row r="169" spans="1:16" s="24" customFormat="1" ht="36" x14ac:dyDescent="0.3">
      <c r="A169" s="39" t="s">
        <v>344</v>
      </c>
      <c r="B169" s="39" t="s">
        <v>126</v>
      </c>
      <c r="C169" s="39" t="s">
        <v>21</v>
      </c>
      <c r="D169" s="40" t="s">
        <v>250</v>
      </c>
      <c r="E169" s="41">
        <f t="shared" si="64"/>
        <v>85934781</v>
      </c>
      <c r="F169" s="58">
        <v>85934781</v>
      </c>
      <c r="G169" s="58">
        <v>0</v>
      </c>
      <c r="H169" s="58">
        <v>0</v>
      </c>
      <c r="I169" s="58">
        <f t="shared" si="65"/>
        <v>78374235.680000007</v>
      </c>
      <c r="J169" s="58">
        <f>11907454.68+39266781+27200000</f>
        <v>78374235.680000007</v>
      </c>
      <c r="K169" s="58"/>
      <c r="L169" s="58"/>
      <c r="M169" s="27">
        <f t="shared" si="66"/>
        <v>0.91201996174284783</v>
      </c>
      <c r="N169" s="27">
        <f t="shared" si="67"/>
        <v>0.91201996174284783</v>
      </c>
      <c r="O169" s="71"/>
      <c r="P169" s="71"/>
    </row>
    <row r="170" spans="1:16" s="24" customFormat="1" ht="54" x14ac:dyDescent="0.3">
      <c r="A170" s="39" t="s">
        <v>345</v>
      </c>
      <c r="B170" s="39" t="s">
        <v>346</v>
      </c>
      <c r="C170" s="39" t="s">
        <v>4</v>
      </c>
      <c r="D170" s="40" t="s">
        <v>127</v>
      </c>
      <c r="E170" s="41">
        <f t="shared" si="64"/>
        <v>2990000</v>
      </c>
      <c r="F170" s="58">
        <v>2990000</v>
      </c>
      <c r="G170" s="58">
        <v>0</v>
      </c>
      <c r="H170" s="58">
        <v>0</v>
      </c>
      <c r="I170" s="58">
        <f t="shared" si="65"/>
        <v>1817933.21</v>
      </c>
      <c r="J170" s="58">
        <f>1663192.24+154740.97</f>
        <v>1817933.21</v>
      </c>
      <c r="K170" s="58"/>
      <c r="L170" s="58"/>
      <c r="M170" s="27">
        <f t="shared" si="66"/>
        <v>0.60800441806020067</v>
      </c>
      <c r="N170" s="27">
        <f t="shared" si="67"/>
        <v>0.60800441806020067</v>
      </c>
      <c r="O170" s="71"/>
      <c r="P170" s="71"/>
    </row>
    <row r="171" spans="1:16" s="24" customFormat="1" ht="36" x14ac:dyDescent="0.3">
      <c r="A171" s="45" t="s">
        <v>406</v>
      </c>
      <c r="B171" s="39">
        <v>8340</v>
      </c>
      <c r="C171" s="39" t="s">
        <v>40</v>
      </c>
      <c r="D171" s="40" t="s">
        <v>125</v>
      </c>
      <c r="E171" s="41">
        <f t="shared" si="64"/>
        <v>1089184</v>
      </c>
      <c r="F171" s="58">
        <v>0</v>
      </c>
      <c r="G171" s="58">
        <v>1089184</v>
      </c>
      <c r="H171" s="58"/>
      <c r="I171" s="58">
        <f t="shared" si="65"/>
        <v>0</v>
      </c>
      <c r="J171" s="58"/>
      <c r="K171" s="58"/>
      <c r="L171" s="58"/>
      <c r="M171" s="27">
        <f t="shared" si="66"/>
        <v>0</v>
      </c>
      <c r="N171" s="27"/>
      <c r="O171" s="71"/>
      <c r="P171" s="71"/>
    </row>
    <row r="172" spans="1:16" s="16" customFormat="1" ht="52.2" x14ac:dyDescent="0.3">
      <c r="A172" s="36" t="s">
        <v>26</v>
      </c>
      <c r="B172" s="36" t="s">
        <v>218</v>
      </c>
      <c r="C172" s="36" t="s">
        <v>218</v>
      </c>
      <c r="D172" s="37" t="s">
        <v>251</v>
      </c>
      <c r="E172" s="38">
        <f t="shared" si="64"/>
        <v>131340084.20999999</v>
      </c>
      <c r="F172" s="57">
        <f>F173</f>
        <v>25280251</v>
      </c>
      <c r="G172" s="57">
        <f t="shared" ref="G172:H172" si="76">G173</f>
        <v>106059833.20999999</v>
      </c>
      <c r="H172" s="57">
        <f t="shared" si="76"/>
        <v>104425542.5</v>
      </c>
      <c r="I172" s="57">
        <f t="shared" si="65"/>
        <v>31245373.890000001</v>
      </c>
      <c r="J172" s="57">
        <f>J173</f>
        <v>3813506.8899999997</v>
      </c>
      <c r="K172" s="57">
        <f t="shared" ref="K172" si="77">K173</f>
        <v>27431867</v>
      </c>
      <c r="L172" s="57">
        <f t="shared" ref="L172" si="78">L173</f>
        <v>25797576.289999999</v>
      </c>
      <c r="M172" s="26">
        <f t="shared" si="66"/>
        <v>0.23789670973593782</v>
      </c>
      <c r="N172" s="26">
        <f t="shared" si="67"/>
        <v>0.15084924947936632</v>
      </c>
      <c r="O172" s="70">
        <f t="shared" si="68"/>
        <v>0.25864520214438308</v>
      </c>
      <c r="P172" s="70">
        <f t="shared" si="72"/>
        <v>0.24704277969156826</v>
      </c>
    </row>
    <row r="173" spans="1:16" s="16" customFormat="1" ht="52.2" x14ac:dyDescent="0.3">
      <c r="A173" s="36" t="s">
        <v>27</v>
      </c>
      <c r="B173" s="36" t="s">
        <v>218</v>
      </c>
      <c r="C173" s="36" t="s">
        <v>218</v>
      </c>
      <c r="D173" s="37" t="s">
        <v>251</v>
      </c>
      <c r="E173" s="38">
        <f t="shared" si="64"/>
        <v>131340084.20999999</v>
      </c>
      <c r="F173" s="57">
        <f>SUM(F174:F186)</f>
        <v>25280251</v>
      </c>
      <c r="G173" s="57">
        <f t="shared" ref="G173:H173" si="79">SUM(G174:G186)</f>
        <v>106059833.20999999</v>
      </c>
      <c r="H173" s="57">
        <f t="shared" si="79"/>
        <v>104425542.5</v>
      </c>
      <c r="I173" s="57">
        <f t="shared" si="65"/>
        <v>31245373.890000001</v>
      </c>
      <c r="J173" s="57">
        <f>SUM(J174:J186)</f>
        <v>3813506.8899999997</v>
      </c>
      <c r="K173" s="57">
        <f t="shared" ref="K173" si="80">SUM(K174:K186)</f>
        <v>27431867</v>
      </c>
      <c r="L173" s="57">
        <f t="shared" ref="L173" si="81">SUM(L174:L186)</f>
        <v>25797576.289999999</v>
      </c>
      <c r="M173" s="26">
        <f t="shared" si="66"/>
        <v>0.23789670973593782</v>
      </c>
      <c r="N173" s="26">
        <f t="shared" si="67"/>
        <v>0.15084924947936632</v>
      </c>
      <c r="O173" s="70">
        <f t="shared" si="68"/>
        <v>0.25864520214438308</v>
      </c>
      <c r="P173" s="70">
        <f t="shared" si="72"/>
        <v>0.24704277969156826</v>
      </c>
    </row>
    <row r="174" spans="1:16" s="16" customFormat="1" ht="90" x14ac:dyDescent="0.3">
      <c r="A174" s="45">
        <v>1510150</v>
      </c>
      <c r="B174" s="45" t="s">
        <v>49</v>
      </c>
      <c r="C174" s="45" t="s">
        <v>2</v>
      </c>
      <c r="D174" s="40" t="s">
        <v>220</v>
      </c>
      <c r="E174" s="41">
        <f t="shared" si="64"/>
        <v>541176</v>
      </c>
      <c r="F174" s="58">
        <v>541176</v>
      </c>
      <c r="G174" s="58"/>
      <c r="H174" s="58"/>
      <c r="I174" s="58">
        <f t="shared" si="65"/>
        <v>478997.13</v>
      </c>
      <c r="J174" s="58">
        <v>478997.13</v>
      </c>
      <c r="K174" s="58"/>
      <c r="L174" s="58"/>
      <c r="M174" s="27">
        <f t="shared" si="66"/>
        <v>0.88510416204709741</v>
      </c>
      <c r="N174" s="27">
        <f t="shared" si="67"/>
        <v>0.88510416204709741</v>
      </c>
      <c r="O174" s="71"/>
      <c r="P174" s="71"/>
    </row>
    <row r="175" spans="1:16" s="28" customFormat="1" ht="54" x14ac:dyDescent="0.3">
      <c r="A175" s="39" t="s">
        <v>87</v>
      </c>
      <c r="B175" s="39" t="s">
        <v>53</v>
      </c>
      <c r="C175" s="39" t="s">
        <v>2</v>
      </c>
      <c r="D175" s="40" t="s">
        <v>235</v>
      </c>
      <c r="E175" s="41">
        <f t="shared" si="64"/>
        <v>7164900</v>
      </c>
      <c r="F175" s="58">
        <v>7164900</v>
      </c>
      <c r="G175" s="58">
        <v>0</v>
      </c>
      <c r="H175" s="58">
        <v>0</v>
      </c>
      <c r="I175" s="58">
        <f t="shared" si="65"/>
        <v>3037109.81</v>
      </c>
      <c r="J175" s="58">
        <v>3037109.81</v>
      </c>
      <c r="K175" s="58"/>
      <c r="L175" s="58"/>
      <c r="M175" s="27">
        <f t="shared" si="66"/>
        <v>0.42388725732389848</v>
      </c>
      <c r="N175" s="27">
        <f t="shared" si="67"/>
        <v>0.42388725732389848</v>
      </c>
      <c r="O175" s="71"/>
      <c r="P175" s="71"/>
    </row>
    <row r="176" spans="1:16" s="16" customFormat="1" ht="54" x14ac:dyDescent="0.3">
      <c r="A176" s="39">
        <v>1510170</v>
      </c>
      <c r="B176" s="39" t="s">
        <v>102</v>
      </c>
      <c r="C176" s="39" t="s">
        <v>103</v>
      </c>
      <c r="D176" s="40" t="s">
        <v>104</v>
      </c>
      <c r="E176" s="41">
        <f t="shared" si="64"/>
        <v>15000</v>
      </c>
      <c r="F176" s="58">
        <v>15000</v>
      </c>
      <c r="G176" s="58">
        <v>0</v>
      </c>
      <c r="H176" s="58">
        <v>0</v>
      </c>
      <c r="I176" s="58">
        <f t="shared" si="65"/>
        <v>0</v>
      </c>
      <c r="J176" s="58"/>
      <c r="K176" s="58"/>
      <c r="L176" s="58"/>
      <c r="M176" s="27">
        <f t="shared" si="66"/>
        <v>0</v>
      </c>
      <c r="N176" s="27">
        <f t="shared" si="67"/>
        <v>0</v>
      </c>
      <c r="O176" s="71"/>
      <c r="P176" s="71"/>
    </row>
    <row r="177" spans="1:16" s="15" customFormat="1" ht="18" x14ac:dyDescent="0.3">
      <c r="A177" s="39">
        <v>1510180</v>
      </c>
      <c r="B177" s="39" t="s">
        <v>9</v>
      </c>
      <c r="C177" s="39" t="s">
        <v>5</v>
      </c>
      <c r="D177" s="40" t="s">
        <v>98</v>
      </c>
      <c r="E177" s="41">
        <f t="shared" si="64"/>
        <v>100000</v>
      </c>
      <c r="F177" s="58">
        <v>100000</v>
      </c>
      <c r="G177" s="58">
        <v>0</v>
      </c>
      <c r="H177" s="58">
        <v>0</v>
      </c>
      <c r="I177" s="58">
        <f t="shared" si="65"/>
        <v>2662.4</v>
      </c>
      <c r="J177" s="58">
        <v>2662.4</v>
      </c>
      <c r="K177" s="58"/>
      <c r="L177" s="58"/>
      <c r="M177" s="27">
        <f t="shared" si="66"/>
        <v>2.6624000000000002E-2</v>
      </c>
      <c r="N177" s="27">
        <f t="shared" si="67"/>
        <v>2.6624000000000002E-2</v>
      </c>
      <c r="O177" s="71"/>
      <c r="P177" s="71"/>
    </row>
    <row r="178" spans="1:16" s="15" customFormat="1" ht="72" x14ac:dyDescent="0.3">
      <c r="A178" s="39">
        <v>1511300</v>
      </c>
      <c r="B178" s="39">
        <v>1300</v>
      </c>
      <c r="C178" s="45" t="s">
        <v>18</v>
      </c>
      <c r="D178" s="40" t="s">
        <v>378</v>
      </c>
      <c r="E178" s="41">
        <f t="shared" si="64"/>
        <v>67371232.5</v>
      </c>
      <c r="F178" s="58">
        <v>0</v>
      </c>
      <c r="G178" s="58">
        <v>67371232.5</v>
      </c>
      <c r="H178" s="58">
        <v>67371232.5</v>
      </c>
      <c r="I178" s="58">
        <f t="shared" si="65"/>
        <v>7883087.5099999998</v>
      </c>
      <c r="J178" s="58"/>
      <c r="K178" s="58">
        <v>7883087.5099999998</v>
      </c>
      <c r="L178" s="58">
        <v>7883087.5099999998</v>
      </c>
      <c r="M178" s="27">
        <f t="shared" si="66"/>
        <v>0.11700969712851847</v>
      </c>
      <c r="N178" s="27"/>
      <c r="O178" s="71">
        <f t="shared" si="68"/>
        <v>0.11700969712851847</v>
      </c>
      <c r="P178" s="71">
        <f t="shared" si="72"/>
        <v>0.11700969712851847</v>
      </c>
    </row>
    <row r="179" spans="1:16" s="15" customFormat="1" ht="72" x14ac:dyDescent="0.3">
      <c r="A179" s="39">
        <v>1512171</v>
      </c>
      <c r="B179" s="39">
        <v>2171</v>
      </c>
      <c r="C179" s="45" t="s">
        <v>119</v>
      </c>
      <c r="D179" s="40" t="s">
        <v>348</v>
      </c>
      <c r="E179" s="41">
        <f t="shared" si="64"/>
        <v>7050730</v>
      </c>
      <c r="F179" s="58">
        <v>2050730</v>
      </c>
      <c r="G179" s="58">
        <v>5000000</v>
      </c>
      <c r="H179" s="58">
        <v>5000000</v>
      </c>
      <c r="I179" s="58">
        <f t="shared" si="65"/>
        <v>212334.26</v>
      </c>
      <c r="J179" s="58">
        <v>212334.26</v>
      </c>
      <c r="K179" s="58"/>
      <c r="L179" s="58"/>
      <c r="M179" s="27">
        <f t="shared" si="66"/>
        <v>3.0115216438581539E-2</v>
      </c>
      <c r="N179" s="27">
        <f t="shared" si="67"/>
        <v>0.10354081717242153</v>
      </c>
      <c r="O179" s="71">
        <f t="shared" si="68"/>
        <v>0</v>
      </c>
      <c r="P179" s="71">
        <f t="shared" si="72"/>
        <v>0</v>
      </c>
    </row>
    <row r="180" spans="1:16" s="16" customFormat="1" ht="36" x14ac:dyDescent="0.3">
      <c r="A180" s="39">
        <v>1516012</v>
      </c>
      <c r="B180" s="39">
        <v>6012</v>
      </c>
      <c r="C180" s="45" t="s">
        <v>8</v>
      </c>
      <c r="D180" s="40" t="s">
        <v>413</v>
      </c>
      <c r="E180" s="41">
        <f t="shared" si="64"/>
        <v>5280000</v>
      </c>
      <c r="F180" s="58">
        <v>5280000</v>
      </c>
      <c r="G180" s="58"/>
      <c r="H180" s="58"/>
      <c r="I180" s="58">
        <f t="shared" si="65"/>
        <v>0</v>
      </c>
      <c r="J180" s="58"/>
      <c r="K180" s="58"/>
      <c r="L180" s="58"/>
      <c r="M180" s="27">
        <f t="shared" si="66"/>
        <v>0</v>
      </c>
      <c r="N180" s="27">
        <f t="shared" si="67"/>
        <v>0</v>
      </c>
      <c r="O180" s="71"/>
      <c r="P180" s="71"/>
    </row>
    <row r="181" spans="1:16" s="15" customFormat="1" ht="36" x14ac:dyDescent="0.3">
      <c r="A181" s="39">
        <v>1516015</v>
      </c>
      <c r="B181" s="39">
        <v>6015</v>
      </c>
      <c r="C181" s="45" t="s">
        <v>8</v>
      </c>
      <c r="D181" s="40" t="s">
        <v>115</v>
      </c>
      <c r="E181" s="41">
        <f t="shared" si="64"/>
        <v>402000</v>
      </c>
      <c r="F181" s="58">
        <v>402000</v>
      </c>
      <c r="G181" s="58"/>
      <c r="H181" s="58"/>
      <c r="I181" s="58">
        <f t="shared" si="65"/>
        <v>0</v>
      </c>
      <c r="J181" s="58"/>
      <c r="K181" s="58"/>
      <c r="L181" s="58"/>
      <c r="M181" s="27">
        <f t="shared" si="66"/>
        <v>0</v>
      </c>
      <c r="N181" s="27">
        <f t="shared" si="67"/>
        <v>0</v>
      </c>
      <c r="O181" s="71"/>
      <c r="P181" s="71"/>
    </row>
    <row r="182" spans="1:16" s="15" customFormat="1" ht="90" x14ac:dyDescent="0.3">
      <c r="A182" s="39">
        <v>1516091</v>
      </c>
      <c r="B182" s="39">
        <v>6091</v>
      </c>
      <c r="C182" s="45" t="s">
        <v>340</v>
      </c>
      <c r="D182" s="40" t="s">
        <v>404</v>
      </c>
      <c r="E182" s="41">
        <f>F182+G182</f>
        <v>32054310</v>
      </c>
      <c r="F182" s="58">
        <v>0</v>
      </c>
      <c r="G182" s="58">
        <f>27054310+5000000</f>
        <v>32054310</v>
      </c>
      <c r="H182" s="58">
        <f>27054310+5000000</f>
        <v>32054310</v>
      </c>
      <c r="I182" s="58">
        <f>J182+K182</f>
        <v>17914488.780000001</v>
      </c>
      <c r="J182" s="58"/>
      <c r="K182" s="58">
        <v>17914488.780000001</v>
      </c>
      <c r="L182" s="58">
        <v>17914488.780000001</v>
      </c>
      <c r="M182" s="27">
        <f t="shared" si="66"/>
        <v>0.55887925149535278</v>
      </c>
      <c r="N182" s="27"/>
      <c r="O182" s="71">
        <f t="shared" si="68"/>
        <v>0.55887925149535278</v>
      </c>
      <c r="P182" s="71">
        <f t="shared" si="72"/>
        <v>0.55887925149535278</v>
      </c>
    </row>
    <row r="183" spans="1:16" s="15" customFormat="1" ht="36" x14ac:dyDescent="0.3">
      <c r="A183" s="39">
        <v>1517370</v>
      </c>
      <c r="B183" s="39">
        <v>7370</v>
      </c>
      <c r="C183" s="45" t="s">
        <v>21</v>
      </c>
      <c r="D183" s="40" t="s">
        <v>414</v>
      </c>
      <c r="E183" s="41">
        <f t="shared" si="64"/>
        <v>8972445</v>
      </c>
      <c r="F183" s="58">
        <v>8972445</v>
      </c>
      <c r="G183" s="58"/>
      <c r="H183" s="58"/>
      <c r="I183" s="58">
        <f t="shared" ref="I183:I204" si="82">J183+K183</f>
        <v>0</v>
      </c>
      <c r="J183" s="58"/>
      <c r="K183" s="58"/>
      <c r="L183" s="58"/>
      <c r="M183" s="27">
        <f t="shared" si="66"/>
        <v>0</v>
      </c>
      <c r="N183" s="27">
        <f t="shared" si="67"/>
        <v>0</v>
      </c>
      <c r="O183" s="71"/>
      <c r="P183" s="71"/>
    </row>
    <row r="184" spans="1:16" s="15" customFormat="1" ht="36" x14ac:dyDescent="0.3">
      <c r="A184" s="45" t="s">
        <v>349</v>
      </c>
      <c r="B184" s="45" t="s">
        <v>300</v>
      </c>
      <c r="C184" s="45" t="s">
        <v>301</v>
      </c>
      <c r="D184" s="40" t="s">
        <v>302</v>
      </c>
      <c r="E184" s="41">
        <f t="shared" si="64"/>
        <v>84000</v>
      </c>
      <c r="F184" s="58">
        <v>84000</v>
      </c>
      <c r="G184" s="58">
        <v>0</v>
      </c>
      <c r="H184" s="58"/>
      <c r="I184" s="58">
        <f t="shared" si="82"/>
        <v>17694</v>
      </c>
      <c r="J184" s="58">
        <v>17694</v>
      </c>
      <c r="K184" s="58"/>
      <c r="L184" s="58"/>
      <c r="M184" s="27">
        <f t="shared" si="66"/>
        <v>0.21064285714285713</v>
      </c>
      <c r="N184" s="27">
        <f t="shared" si="67"/>
        <v>0.21064285714285713</v>
      </c>
      <c r="O184" s="71"/>
      <c r="P184" s="71"/>
    </row>
    <row r="185" spans="1:16" s="15" customFormat="1" ht="144" x14ac:dyDescent="0.3">
      <c r="A185" s="45" t="s">
        <v>407</v>
      </c>
      <c r="B185" s="45" t="s">
        <v>343</v>
      </c>
      <c r="C185" s="45" t="s">
        <v>21</v>
      </c>
      <c r="D185" s="40" t="s">
        <v>145</v>
      </c>
      <c r="E185" s="41">
        <f t="shared" si="64"/>
        <v>1634290.71</v>
      </c>
      <c r="F185" s="58">
        <v>0</v>
      </c>
      <c r="G185" s="58">
        <v>1634290.71</v>
      </c>
      <c r="H185" s="58"/>
      <c r="I185" s="58">
        <f t="shared" si="82"/>
        <v>1634290.71</v>
      </c>
      <c r="J185" s="58"/>
      <c r="K185" s="58">
        <v>1634290.71</v>
      </c>
      <c r="L185" s="58"/>
      <c r="M185" s="27">
        <f t="shared" si="66"/>
        <v>1</v>
      </c>
      <c r="N185" s="27"/>
      <c r="O185" s="71">
        <f t="shared" si="68"/>
        <v>1</v>
      </c>
      <c r="P185" s="71"/>
    </row>
    <row r="186" spans="1:16" s="16" customFormat="1" ht="54" x14ac:dyDescent="0.3">
      <c r="A186" s="39">
        <v>1518110</v>
      </c>
      <c r="B186" s="39" t="s">
        <v>346</v>
      </c>
      <c r="C186" s="39" t="s">
        <v>4</v>
      </c>
      <c r="D186" s="40" t="s">
        <v>127</v>
      </c>
      <c r="E186" s="41">
        <f t="shared" si="64"/>
        <v>670000</v>
      </c>
      <c r="F186" s="58">
        <v>670000</v>
      </c>
      <c r="G186" s="58">
        <v>0</v>
      </c>
      <c r="H186" s="58">
        <v>0</v>
      </c>
      <c r="I186" s="58">
        <f t="shared" si="82"/>
        <v>64709.29</v>
      </c>
      <c r="J186" s="58">
        <v>64709.29</v>
      </c>
      <c r="K186" s="58"/>
      <c r="L186" s="58"/>
      <c r="M186" s="27">
        <f t="shared" si="66"/>
        <v>9.6581029850746264E-2</v>
      </c>
      <c r="N186" s="27">
        <f t="shared" si="67"/>
        <v>9.6581029850746264E-2</v>
      </c>
      <c r="O186" s="71"/>
      <c r="P186" s="71"/>
    </row>
    <row r="187" spans="1:16" s="16" customFormat="1" ht="52.2" x14ac:dyDescent="0.3">
      <c r="A187" s="36" t="s">
        <v>88</v>
      </c>
      <c r="B187" s="36" t="s">
        <v>218</v>
      </c>
      <c r="C187" s="36" t="s">
        <v>218</v>
      </c>
      <c r="D187" s="37" t="s">
        <v>252</v>
      </c>
      <c r="E187" s="38">
        <f t="shared" si="64"/>
        <v>32429071</v>
      </c>
      <c r="F187" s="57">
        <f>F188</f>
        <v>32429071</v>
      </c>
      <c r="G187" s="57">
        <f t="shared" ref="G187:H187" si="83">G188</f>
        <v>0</v>
      </c>
      <c r="H187" s="57">
        <f t="shared" si="83"/>
        <v>0</v>
      </c>
      <c r="I187" s="57">
        <f t="shared" si="82"/>
        <v>15083290.059999999</v>
      </c>
      <c r="J187" s="57">
        <f>J188</f>
        <v>15083290.059999999</v>
      </c>
      <c r="K187" s="57">
        <f t="shared" ref="K187" si="84">K188</f>
        <v>0</v>
      </c>
      <c r="L187" s="57">
        <f t="shared" ref="L187" si="85">L188</f>
        <v>0</v>
      </c>
      <c r="M187" s="26">
        <f t="shared" si="66"/>
        <v>0.46511631677638865</v>
      </c>
      <c r="N187" s="26">
        <f t="shared" si="67"/>
        <v>0.46511631677638865</v>
      </c>
      <c r="O187" s="70" t="e">
        <f t="shared" si="68"/>
        <v>#DIV/0!</v>
      </c>
      <c r="P187" s="70" t="e">
        <f t="shared" si="72"/>
        <v>#DIV/0!</v>
      </c>
    </row>
    <row r="188" spans="1:16" s="16" customFormat="1" ht="52.2" x14ac:dyDescent="0.3">
      <c r="A188" s="36" t="s">
        <v>89</v>
      </c>
      <c r="B188" s="36" t="s">
        <v>218</v>
      </c>
      <c r="C188" s="36" t="s">
        <v>218</v>
      </c>
      <c r="D188" s="37" t="s">
        <v>252</v>
      </c>
      <c r="E188" s="38">
        <f t="shared" si="64"/>
        <v>32429071</v>
      </c>
      <c r="F188" s="57">
        <f>SUM(F189:F198)</f>
        <v>32429071</v>
      </c>
      <c r="G188" s="57">
        <f t="shared" ref="G188:H188" si="86">SUM(G189:G198)</f>
        <v>0</v>
      </c>
      <c r="H188" s="57">
        <f t="shared" si="86"/>
        <v>0</v>
      </c>
      <c r="I188" s="57">
        <f t="shared" si="82"/>
        <v>15083290.059999999</v>
      </c>
      <c r="J188" s="57">
        <f>SUM(J189:J198)</f>
        <v>15083290.059999999</v>
      </c>
      <c r="K188" s="57">
        <f t="shared" ref="K188" si="87">SUM(K189:K198)</f>
        <v>0</v>
      </c>
      <c r="L188" s="57">
        <f t="shared" ref="L188" si="88">SUM(L189:L198)</f>
        <v>0</v>
      </c>
      <c r="M188" s="26">
        <f t="shared" si="66"/>
        <v>0.46511631677638865</v>
      </c>
      <c r="N188" s="26">
        <f t="shared" si="67"/>
        <v>0.46511631677638865</v>
      </c>
      <c r="O188" s="70" t="e">
        <f t="shared" si="68"/>
        <v>#DIV/0!</v>
      </c>
      <c r="P188" s="70" t="e">
        <f t="shared" si="72"/>
        <v>#DIV/0!</v>
      </c>
    </row>
    <row r="189" spans="1:16" s="16" customFormat="1" ht="54" x14ac:dyDescent="0.3">
      <c r="A189" s="39" t="s">
        <v>90</v>
      </c>
      <c r="B189" s="39" t="s">
        <v>53</v>
      </c>
      <c r="C189" s="39" t="s">
        <v>2</v>
      </c>
      <c r="D189" s="40" t="s">
        <v>235</v>
      </c>
      <c r="E189" s="41">
        <f t="shared" si="64"/>
        <v>6006000</v>
      </c>
      <c r="F189" s="58">
        <v>6006000</v>
      </c>
      <c r="G189" s="58">
        <v>0</v>
      </c>
      <c r="H189" s="58">
        <v>0</v>
      </c>
      <c r="I189" s="58">
        <f t="shared" si="82"/>
        <v>2492463.3199999998</v>
      </c>
      <c r="J189" s="58">
        <v>2492463.3199999998</v>
      </c>
      <c r="K189" s="58"/>
      <c r="L189" s="58"/>
      <c r="M189" s="27">
        <f t="shared" si="66"/>
        <v>0.41499555777555774</v>
      </c>
      <c r="N189" s="27">
        <f t="shared" si="67"/>
        <v>0.41499555777555774</v>
      </c>
      <c r="O189" s="71"/>
      <c r="P189" s="71"/>
    </row>
    <row r="190" spans="1:16" s="16" customFormat="1" ht="54" x14ac:dyDescent="0.3">
      <c r="A190" s="39">
        <v>3110170</v>
      </c>
      <c r="B190" s="39" t="s">
        <v>102</v>
      </c>
      <c r="C190" s="39" t="s">
        <v>103</v>
      </c>
      <c r="D190" s="40" t="s">
        <v>104</v>
      </c>
      <c r="E190" s="41">
        <f t="shared" si="64"/>
        <v>4500</v>
      </c>
      <c r="F190" s="58">
        <v>4500</v>
      </c>
      <c r="G190" s="58">
        <v>0</v>
      </c>
      <c r="H190" s="58">
        <v>0</v>
      </c>
      <c r="I190" s="58">
        <f t="shared" si="82"/>
        <v>0</v>
      </c>
      <c r="J190" s="58"/>
      <c r="K190" s="58"/>
      <c r="L190" s="58"/>
      <c r="M190" s="27">
        <f t="shared" si="66"/>
        <v>0</v>
      </c>
      <c r="N190" s="27">
        <f t="shared" si="67"/>
        <v>0</v>
      </c>
      <c r="O190" s="71"/>
      <c r="P190" s="71"/>
    </row>
    <row r="191" spans="1:16" s="16" customFormat="1" ht="18" x14ac:dyDescent="0.3">
      <c r="A191" s="39" t="s">
        <v>97</v>
      </c>
      <c r="B191" s="39" t="s">
        <v>9</v>
      </c>
      <c r="C191" s="39" t="s">
        <v>5</v>
      </c>
      <c r="D191" s="40" t="s">
        <v>98</v>
      </c>
      <c r="E191" s="41">
        <f t="shared" si="64"/>
        <v>65000</v>
      </c>
      <c r="F191" s="58">
        <v>65000</v>
      </c>
      <c r="G191" s="58">
        <v>0</v>
      </c>
      <c r="H191" s="58">
        <v>0</v>
      </c>
      <c r="I191" s="58">
        <f t="shared" si="82"/>
        <v>0</v>
      </c>
      <c r="J191" s="58"/>
      <c r="K191" s="58"/>
      <c r="L191" s="58"/>
      <c r="M191" s="27">
        <f t="shared" si="66"/>
        <v>0</v>
      </c>
      <c r="N191" s="27">
        <f t="shared" si="67"/>
        <v>0</v>
      </c>
      <c r="O191" s="71"/>
      <c r="P191" s="71"/>
    </row>
    <row r="192" spans="1:16" s="16" customFormat="1" ht="36" x14ac:dyDescent="0.3">
      <c r="A192" s="39" t="s">
        <v>173</v>
      </c>
      <c r="B192" s="39" t="s">
        <v>143</v>
      </c>
      <c r="C192" s="39" t="s">
        <v>8</v>
      </c>
      <c r="D192" s="40" t="s">
        <v>249</v>
      </c>
      <c r="E192" s="41">
        <f t="shared" si="64"/>
        <v>232200</v>
      </c>
      <c r="F192" s="58">
        <v>232200</v>
      </c>
      <c r="G192" s="58">
        <v>0</v>
      </c>
      <c r="H192" s="58">
        <v>0</v>
      </c>
      <c r="I192" s="58">
        <f t="shared" si="82"/>
        <v>140423.35</v>
      </c>
      <c r="J192" s="58">
        <v>140423.35</v>
      </c>
      <c r="K192" s="58"/>
      <c r="L192" s="58"/>
      <c r="M192" s="27">
        <f t="shared" si="66"/>
        <v>0.60475172265288546</v>
      </c>
      <c r="N192" s="27">
        <f t="shared" si="67"/>
        <v>0.60475172265288546</v>
      </c>
      <c r="O192" s="71"/>
      <c r="P192" s="71"/>
    </row>
    <row r="193" spans="1:16" s="16" customFormat="1" ht="36" x14ac:dyDescent="0.3">
      <c r="A193" s="45" t="s">
        <v>350</v>
      </c>
      <c r="B193" s="39">
        <v>6090</v>
      </c>
      <c r="C193" s="45" t="s">
        <v>340</v>
      </c>
      <c r="D193" s="40" t="s">
        <v>351</v>
      </c>
      <c r="E193" s="41">
        <f t="shared" si="64"/>
        <v>1150000</v>
      </c>
      <c r="F193" s="58">
        <v>1150000</v>
      </c>
      <c r="G193" s="58">
        <v>0</v>
      </c>
      <c r="H193" s="58">
        <v>0</v>
      </c>
      <c r="I193" s="58">
        <f t="shared" si="82"/>
        <v>574800</v>
      </c>
      <c r="J193" s="58">
        <v>574800</v>
      </c>
      <c r="K193" s="58"/>
      <c r="L193" s="58"/>
      <c r="M193" s="27">
        <f t="shared" si="66"/>
        <v>0.49982608695652175</v>
      </c>
      <c r="N193" s="27">
        <f t="shared" si="67"/>
        <v>0.49982608695652175</v>
      </c>
      <c r="O193" s="71"/>
      <c r="P193" s="71"/>
    </row>
    <row r="194" spans="1:16" s="16" customFormat="1" ht="18" x14ac:dyDescent="0.3">
      <c r="A194" s="39" t="s">
        <v>269</v>
      </c>
      <c r="B194" s="39" t="s">
        <v>270</v>
      </c>
      <c r="C194" s="39" t="s">
        <v>271</v>
      </c>
      <c r="D194" s="40" t="s">
        <v>272</v>
      </c>
      <c r="E194" s="41">
        <f t="shared" si="64"/>
        <v>1197000</v>
      </c>
      <c r="F194" s="58">
        <v>1197000</v>
      </c>
      <c r="G194" s="58">
        <v>0</v>
      </c>
      <c r="H194" s="58">
        <v>0</v>
      </c>
      <c r="I194" s="58">
        <f t="shared" si="82"/>
        <v>172000</v>
      </c>
      <c r="J194" s="58">
        <v>172000</v>
      </c>
      <c r="K194" s="58"/>
      <c r="L194" s="58"/>
      <c r="M194" s="27">
        <f t="shared" si="66"/>
        <v>0.14369256474519632</v>
      </c>
      <c r="N194" s="27">
        <f t="shared" si="67"/>
        <v>0.14369256474519632</v>
      </c>
      <c r="O194" s="71"/>
      <c r="P194" s="71"/>
    </row>
    <row r="195" spans="1:16" s="16" customFormat="1" ht="36" x14ac:dyDescent="0.3">
      <c r="A195" s="45" t="s">
        <v>352</v>
      </c>
      <c r="B195" s="45" t="s">
        <v>300</v>
      </c>
      <c r="C195" s="45" t="s">
        <v>301</v>
      </c>
      <c r="D195" s="40" t="s">
        <v>302</v>
      </c>
      <c r="E195" s="41">
        <f t="shared" si="64"/>
        <v>23100</v>
      </c>
      <c r="F195" s="58">
        <v>23100</v>
      </c>
      <c r="G195" s="58">
        <v>0</v>
      </c>
      <c r="H195" s="58"/>
      <c r="I195" s="58">
        <f t="shared" si="82"/>
        <v>0</v>
      </c>
      <c r="J195" s="58"/>
      <c r="K195" s="58"/>
      <c r="L195" s="58"/>
      <c r="M195" s="27">
        <f t="shared" si="66"/>
        <v>0</v>
      </c>
      <c r="N195" s="27">
        <f t="shared" si="67"/>
        <v>0</v>
      </c>
      <c r="O195" s="71"/>
      <c r="P195" s="71"/>
    </row>
    <row r="196" spans="1:16" s="16" customFormat="1" ht="36" x14ac:dyDescent="0.3">
      <c r="A196" s="39" t="s">
        <v>162</v>
      </c>
      <c r="B196" s="39" t="s">
        <v>126</v>
      </c>
      <c r="C196" s="39" t="s">
        <v>21</v>
      </c>
      <c r="D196" s="40" t="s">
        <v>250</v>
      </c>
      <c r="E196" s="41">
        <f t="shared" si="64"/>
        <v>23285271</v>
      </c>
      <c r="F196" s="58">
        <v>23285271</v>
      </c>
      <c r="G196" s="58">
        <v>0</v>
      </c>
      <c r="H196" s="58">
        <v>0</v>
      </c>
      <c r="I196" s="58">
        <f t="shared" si="82"/>
        <v>11577419.27</v>
      </c>
      <c r="J196" s="58">
        <f>2243935.65+9333483.62</f>
        <v>11577419.27</v>
      </c>
      <c r="K196" s="58"/>
      <c r="L196" s="58"/>
      <c r="M196" s="27">
        <f t="shared" si="66"/>
        <v>0.49719924968878393</v>
      </c>
      <c r="N196" s="27">
        <f t="shared" si="67"/>
        <v>0.49719924968878393</v>
      </c>
      <c r="O196" s="71"/>
      <c r="P196" s="71"/>
    </row>
    <row r="197" spans="1:16" s="16" customFormat="1" ht="54" x14ac:dyDescent="0.3">
      <c r="A197" s="39">
        <v>3118110</v>
      </c>
      <c r="B197" s="39">
        <v>8110</v>
      </c>
      <c r="C197" s="39" t="s">
        <v>4</v>
      </c>
      <c r="D197" s="40" t="s">
        <v>127</v>
      </c>
      <c r="E197" s="41">
        <f t="shared" si="64"/>
        <v>300000</v>
      </c>
      <c r="F197" s="58">
        <v>300000</v>
      </c>
      <c r="G197" s="58">
        <v>0</v>
      </c>
      <c r="H197" s="58"/>
      <c r="I197" s="58">
        <f t="shared" si="82"/>
        <v>0</v>
      </c>
      <c r="J197" s="58"/>
      <c r="K197" s="58"/>
      <c r="L197" s="58"/>
      <c r="M197" s="27">
        <f t="shared" si="66"/>
        <v>0</v>
      </c>
      <c r="N197" s="27">
        <f t="shared" si="67"/>
        <v>0</v>
      </c>
      <c r="O197" s="71"/>
      <c r="P197" s="71"/>
    </row>
    <row r="198" spans="1:16" s="16" customFormat="1" ht="18" x14ac:dyDescent="0.3">
      <c r="A198" s="39" t="s">
        <v>258</v>
      </c>
      <c r="B198" s="39" t="s">
        <v>233</v>
      </c>
      <c r="C198" s="39" t="s">
        <v>148</v>
      </c>
      <c r="D198" s="40" t="s">
        <v>234</v>
      </c>
      <c r="E198" s="41">
        <f t="shared" si="64"/>
        <v>166000</v>
      </c>
      <c r="F198" s="58">
        <v>166000</v>
      </c>
      <c r="G198" s="58">
        <v>0</v>
      </c>
      <c r="H198" s="58">
        <v>0</v>
      </c>
      <c r="I198" s="58">
        <f t="shared" si="82"/>
        <v>126184.12</v>
      </c>
      <c r="J198" s="58">
        <v>126184.12</v>
      </c>
      <c r="K198" s="58"/>
      <c r="L198" s="58"/>
      <c r="M198" s="27">
        <f t="shared" si="66"/>
        <v>0.76014530120481927</v>
      </c>
      <c r="N198" s="27">
        <f t="shared" si="67"/>
        <v>0.76014530120481927</v>
      </c>
      <c r="O198" s="71"/>
      <c r="P198" s="71"/>
    </row>
    <row r="199" spans="1:16" s="2" customFormat="1" ht="52.2" x14ac:dyDescent="0.35">
      <c r="A199" s="36" t="s">
        <v>91</v>
      </c>
      <c r="B199" s="36" t="s">
        <v>218</v>
      </c>
      <c r="C199" s="36" t="s">
        <v>218</v>
      </c>
      <c r="D199" s="37" t="s">
        <v>253</v>
      </c>
      <c r="E199" s="38">
        <f t="shared" si="64"/>
        <v>175187712</v>
      </c>
      <c r="F199" s="57">
        <f>F200</f>
        <v>173507712</v>
      </c>
      <c r="G199" s="57">
        <f t="shared" ref="G199:H199" si="89">G200</f>
        <v>1680000</v>
      </c>
      <c r="H199" s="57">
        <f t="shared" si="89"/>
        <v>1680000</v>
      </c>
      <c r="I199" s="57">
        <f t="shared" si="82"/>
        <v>91914156.159999996</v>
      </c>
      <c r="J199" s="57">
        <f>J200</f>
        <v>91914156.159999996</v>
      </c>
      <c r="K199" s="57">
        <f t="shared" ref="K199" si="90">K200</f>
        <v>0</v>
      </c>
      <c r="L199" s="57">
        <f t="shared" ref="L199" si="91">L200</f>
        <v>0</v>
      </c>
      <c r="M199" s="26">
        <f t="shared" si="66"/>
        <v>0.52466097713519999</v>
      </c>
      <c r="N199" s="26">
        <f t="shared" si="67"/>
        <v>0.529741042058119</v>
      </c>
      <c r="O199" s="70">
        <f t="shared" si="68"/>
        <v>0</v>
      </c>
      <c r="P199" s="70">
        <f t="shared" si="72"/>
        <v>0</v>
      </c>
    </row>
    <row r="200" spans="1:16" s="2" customFormat="1" ht="52.2" x14ac:dyDescent="0.35">
      <c r="A200" s="36" t="s">
        <v>92</v>
      </c>
      <c r="B200" s="36" t="s">
        <v>218</v>
      </c>
      <c r="C200" s="36" t="s">
        <v>218</v>
      </c>
      <c r="D200" s="37" t="s">
        <v>253</v>
      </c>
      <c r="E200" s="38">
        <f t="shared" si="64"/>
        <v>175187712</v>
      </c>
      <c r="F200" s="57">
        <f>SUM(F201:F207)</f>
        <v>173507712</v>
      </c>
      <c r="G200" s="57">
        <f t="shared" ref="G200:H200" si="92">SUM(G201:G207)</f>
        <v>1680000</v>
      </c>
      <c r="H200" s="57">
        <f t="shared" si="92"/>
        <v>1680000</v>
      </c>
      <c r="I200" s="57">
        <f t="shared" si="82"/>
        <v>91914156.159999996</v>
      </c>
      <c r="J200" s="57">
        <f>SUM(J201:J207)</f>
        <v>91914156.159999996</v>
      </c>
      <c r="K200" s="57">
        <f t="shared" ref="K200" si="93">SUM(K201:K207)</f>
        <v>0</v>
      </c>
      <c r="L200" s="57">
        <f t="shared" ref="L200" si="94">SUM(L201:L207)</f>
        <v>0</v>
      </c>
      <c r="M200" s="26">
        <f t="shared" si="66"/>
        <v>0.52466097713519999</v>
      </c>
      <c r="N200" s="26">
        <f t="shared" si="67"/>
        <v>0.529741042058119</v>
      </c>
      <c r="O200" s="70">
        <f t="shared" si="68"/>
        <v>0</v>
      </c>
      <c r="P200" s="70">
        <f t="shared" si="72"/>
        <v>0</v>
      </c>
    </row>
    <row r="201" spans="1:16" ht="54" x14ac:dyDescent="0.3">
      <c r="A201" s="39" t="s">
        <v>93</v>
      </c>
      <c r="B201" s="39" t="s">
        <v>53</v>
      </c>
      <c r="C201" s="39" t="s">
        <v>2</v>
      </c>
      <c r="D201" s="40" t="s">
        <v>235</v>
      </c>
      <c r="E201" s="41">
        <f t="shared" si="64"/>
        <v>8517700</v>
      </c>
      <c r="F201" s="58">
        <v>8517700</v>
      </c>
      <c r="G201" s="58">
        <v>0</v>
      </c>
      <c r="H201" s="58"/>
      <c r="I201" s="58">
        <f t="shared" si="82"/>
        <v>4312094.3600000003</v>
      </c>
      <c r="J201" s="58">
        <v>4312094.3600000003</v>
      </c>
      <c r="K201" s="58"/>
      <c r="L201" s="58"/>
      <c r="M201" s="27">
        <f t="shared" si="66"/>
        <v>0.50625102551158185</v>
      </c>
      <c r="N201" s="27">
        <f t="shared" si="67"/>
        <v>0.50625102551158185</v>
      </c>
      <c r="O201" s="71"/>
      <c r="P201" s="71"/>
    </row>
    <row r="202" spans="1:16" ht="36" x14ac:dyDescent="0.3">
      <c r="A202" s="45" t="s">
        <v>353</v>
      </c>
      <c r="B202" s="45" t="s">
        <v>300</v>
      </c>
      <c r="C202" s="45" t="s">
        <v>301</v>
      </c>
      <c r="D202" s="40" t="s">
        <v>302</v>
      </c>
      <c r="E202" s="41">
        <f t="shared" si="64"/>
        <v>169100</v>
      </c>
      <c r="F202" s="58">
        <v>169100</v>
      </c>
      <c r="G202" s="58">
        <v>0</v>
      </c>
      <c r="H202" s="58">
        <v>0</v>
      </c>
      <c r="I202" s="58">
        <f t="shared" si="82"/>
        <v>87249.8</v>
      </c>
      <c r="J202" s="58">
        <v>87249.8</v>
      </c>
      <c r="K202" s="58"/>
      <c r="L202" s="58"/>
      <c r="M202" s="27">
        <f t="shared" si="66"/>
        <v>0.5159657007687759</v>
      </c>
      <c r="N202" s="27">
        <f t="shared" si="67"/>
        <v>0.5159657007687759</v>
      </c>
      <c r="O202" s="71"/>
      <c r="P202" s="71"/>
    </row>
    <row r="203" spans="1:16" ht="18" x14ac:dyDescent="0.3">
      <c r="A203" s="39" t="s">
        <v>197</v>
      </c>
      <c r="B203" s="39" t="s">
        <v>198</v>
      </c>
      <c r="C203" s="39" t="s">
        <v>5</v>
      </c>
      <c r="D203" s="40" t="s">
        <v>254</v>
      </c>
      <c r="E203" s="41">
        <f t="shared" si="64"/>
        <v>9200000</v>
      </c>
      <c r="F203" s="58">
        <v>9200000</v>
      </c>
      <c r="G203" s="58">
        <v>0</v>
      </c>
      <c r="H203" s="58">
        <v>0</v>
      </c>
      <c r="I203" s="58">
        <f t="shared" si="82"/>
        <v>0</v>
      </c>
      <c r="J203" s="58"/>
      <c r="K203" s="58"/>
      <c r="L203" s="58"/>
      <c r="M203" s="27">
        <f t="shared" si="66"/>
        <v>0</v>
      </c>
      <c r="N203" s="27">
        <f t="shared" si="67"/>
        <v>0</v>
      </c>
      <c r="O203" s="71"/>
      <c r="P203" s="71"/>
    </row>
    <row r="204" spans="1:16" ht="18" x14ac:dyDescent="0.3">
      <c r="A204" s="39">
        <v>3719110</v>
      </c>
      <c r="B204" s="39">
        <v>9110</v>
      </c>
      <c r="C204" s="45" t="s">
        <v>9</v>
      </c>
      <c r="D204" s="40" t="s">
        <v>354</v>
      </c>
      <c r="E204" s="41">
        <f t="shared" si="64"/>
        <v>79482900</v>
      </c>
      <c r="F204" s="58">
        <v>79482900</v>
      </c>
      <c r="G204" s="58">
        <v>0</v>
      </c>
      <c r="H204" s="58"/>
      <c r="I204" s="58">
        <f t="shared" si="82"/>
        <v>39741600</v>
      </c>
      <c r="J204" s="58">
        <v>39741600</v>
      </c>
      <c r="K204" s="58"/>
      <c r="L204" s="58"/>
      <c r="M204" s="27">
        <f t="shared" si="66"/>
        <v>0.50000188719837857</v>
      </c>
      <c r="N204" s="27">
        <f t="shared" si="67"/>
        <v>0.50000188719837857</v>
      </c>
      <c r="O204" s="71"/>
      <c r="P204" s="71"/>
    </row>
    <row r="205" spans="1:16" ht="54" x14ac:dyDescent="0.3">
      <c r="A205" s="39">
        <v>3719720</v>
      </c>
      <c r="B205" s="39">
        <v>9720</v>
      </c>
      <c r="C205" s="45" t="s">
        <v>9</v>
      </c>
      <c r="D205" s="40" t="s">
        <v>415</v>
      </c>
      <c r="E205" s="41">
        <f>F205+G205</f>
        <v>1680000</v>
      </c>
      <c r="F205" s="58">
        <v>0</v>
      </c>
      <c r="G205" s="58">
        <v>1680000</v>
      </c>
      <c r="H205" s="58">
        <v>1680000</v>
      </c>
      <c r="I205" s="58">
        <f>J205+K205</f>
        <v>0</v>
      </c>
      <c r="J205" s="58"/>
      <c r="K205" s="58"/>
      <c r="L205" s="58"/>
      <c r="M205" s="27">
        <f t="shared" si="66"/>
        <v>0</v>
      </c>
      <c r="N205" s="27"/>
      <c r="O205" s="71">
        <f t="shared" si="68"/>
        <v>0</v>
      </c>
      <c r="P205" s="71">
        <f t="shared" si="72"/>
        <v>0</v>
      </c>
    </row>
    <row r="206" spans="1:16" ht="18" x14ac:dyDescent="0.3">
      <c r="A206" s="39" t="s">
        <v>355</v>
      </c>
      <c r="B206" s="39" t="s">
        <v>356</v>
      </c>
      <c r="C206" s="39" t="s">
        <v>9</v>
      </c>
      <c r="D206" s="40" t="s">
        <v>146</v>
      </c>
      <c r="E206" s="41">
        <f t="shared" si="64"/>
        <v>5402800</v>
      </c>
      <c r="F206" s="58">
        <v>5402800</v>
      </c>
      <c r="G206" s="58"/>
      <c r="H206" s="58"/>
      <c r="I206" s="58">
        <f t="shared" ref="I206:I209" si="95">J206+K206</f>
        <v>3853000</v>
      </c>
      <c r="J206" s="58">
        <v>3853000</v>
      </c>
      <c r="K206" s="58"/>
      <c r="L206" s="58"/>
      <c r="M206" s="27">
        <f t="shared" si="66"/>
        <v>0.71314873769156728</v>
      </c>
      <c r="N206" s="27">
        <f t="shared" si="67"/>
        <v>0.71314873769156728</v>
      </c>
      <c r="O206" s="71"/>
      <c r="P206" s="71"/>
    </row>
    <row r="207" spans="1:16" ht="54" x14ac:dyDescent="0.3">
      <c r="A207" s="39">
        <v>3719800</v>
      </c>
      <c r="B207" s="39">
        <v>9800</v>
      </c>
      <c r="C207" s="45" t="s">
        <v>9</v>
      </c>
      <c r="D207" s="47" t="s">
        <v>217</v>
      </c>
      <c r="E207" s="41">
        <f t="shared" si="64"/>
        <v>70735212</v>
      </c>
      <c r="F207" s="58">
        <v>70735212</v>
      </c>
      <c r="G207" s="58"/>
      <c r="H207" s="58"/>
      <c r="I207" s="58">
        <f t="shared" si="95"/>
        <v>43920212</v>
      </c>
      <c r="J207" s="58">
        <v>43920212</v>
      </c>
      <c r="K207" s="58"/>
      <c r="L207" s="58"/>
      <c r="M207" s="27">
        <f t="shared" si="66"/>
        <v>0.6209101628196152</v>
      </c>
      <c r="N207" s="27">
        <f t="shared" si="67"/>
        <v>0.6209101628196152</v>
      </c>
      <c r="O207" s="71"/>
      <c r="P207" s="71"/>
    </row>
    <row r="208" spans="1:16" ht="17.399999999999999" x14ac:dyDescent="0.3">
      <c r="A208" s="36" t="s">
        <v>255</v>
      </c>
      <c r="B208" s="36" t="s">
        <v>255</v>
      </c>
      <c r="C208" s="36" t="s">
        <v>255</v>
      </c>
      <c r="D208" s="48" t="s">
        <v>256</v>
      </c>
      <c r="E208" s="38">
        <f t="shared" ref="E208:E209" si="96">F208+G208</f>
        <v>1665637227.74</v>
      </c>
      <c r="F208" s="57">
        <f>F15+F62+F93+F122+F128+F142+F154+F172+F187+F199</f>
        <v>1508631229</v>
      </c>
      <c r="G208" s="57">
        <f t="shared" ref="G208:H208" si="97">G15+G62+G93+G122+G128+G142+G154+G172+G187+G199</f>
        <v>157005998.74000001</v>
      </c>
      <c r="H208" s="57">
        <f t="shared" si="97"/>
        <v>124739191.5</v>
      </c>
      <c r="I208" s="57">
        <f t="shared" si="95"/>
        <v>843105563.37999988</v>
      </c>
      <c r="J208" s="57">
        <f>J15+J62+J93+J122+J128+J142+J154+J172+J187+J199</f>
        <v>797972895.6099999</v>
      </c>
      <c r="K208" s="57">
        <f t="shared" ref="K208:L208" si="98">K15+K62+K93+K122+K128+K142+K154+K172+K187+K199</f>
        <v>45132667.770000003</v>
      </c>
      <c r="L208" s="57">
        <f t="shared" si="98"/>
        <v>27354591.890000001</v>
      </c>
      <c r="M208" s="26">
        <f t="shared" ref="M208:M220" si="99">I208/E208</f>
        <v>0.50617598438524192</v>
      </c>
      <c r="N208" s="26">
        <f t="shared" ref="N208:N220" si="100">J208/F208</f>
        <v>0.52893833845593807</v>
      </c>
      <c r="O208" s="70">
        <f t="shared" ref="O208:O220" si="101">K208/G208</f>
        <v>0.28745823810680726</v>
      </c>
      <c r="P208" s="70">
        <f t="shared" ref="P208:P220" si="102">L208/H208</f>
        <v>0.21929428562954892</v>
      </c>
    </row>
    <row r="209" spans="1:16" ht="17.399999999999999" x14ac:dyDescent="0.3">
      <c r="A209" s="49"/>
      <c r="B209" s="49"/>
      <c r="C209" s="49"/>
      <c r="D209" s="50"/>
      <c r="E209" s="38">
        <f t="shared" si="96"/>
        <v>0</v>
      </c>
      <c r="F209" s="60"/>
      <c r="G209" s="60"/>
      <c r="H209" s="60"/>
      <c r="I209" s="57">
        <f t="shared" si="95"/>
        <v>0</v>
      </c>
      <c r="J209" s="60"/>
      <c r="K209" s="60"/>
      <c r="L209" s="60"/>
      <c r="M209" s="26"/>
      <c r="N209" s="26"/>
      <c r="O209" s="70"/>
      <c r="P209" s="70"/>
    </row>
    <row r="210" spans="1:16" ht="18" x14ac:dyDescent="0.35">
      <c r="A210" s="34"/>
      <c r="B210" s="34"/>
      <c r="C210" s="35" t="s">
        <v>203</v>
      </c>
      <c r="D210" s="51" t="s">
        <v>204</v>
      </c>
      <c r="E210" s="52">
        <f t="shared" ref="E210:H210" si="103">E17+E22+E23+E64+E65+E95+E96+E97+E124+E125+E130+E131+E144+E145+E156+E157+E174+E175+E176+E177+E189+E190+E191+E201</f>
        <v>183448586.84</v>
      </c>
      <c r="F210" s="61">
        <f t="shared" si="103"/>
        <v>183328586.84</v>
      </c>
      <c r="G210" s="61">
        <f t="shared" si="103"/>
        <v>120000</v>
      </c>
      <c r="H210" s="61">
        <f t="shared" si="103"/>
        <v>0</v>
      </c>
      <c r="I210" s="61">
        <f t="shared" ref="I210:L210" si="104">I17+I22+I23+I64+I65+I95+I96+I97+I124+I125+I130+I131+I144+I145+I156+I157+I174+I175+I176+I177+I189+I190+I191+I201</f>
        <v>86317064.819999993</v>
      </c>
      <c r="J210" s="61">
        <f t="shared" si="104"/>
        <v>80652614.669999987</v>
      </c>
      <c r="K210" s="61">
        <f t="shared" si="104"/>
        <v>5664450.1500000004</v>
      </c>
      <c r="L210" s="61">
        <f t="shared" si="104"/>
        <v>0</v>
      </c>
      <c r="M210" s="27">
        <f t="shared" si="99"/>
        <v>0.47052455571807661</v>
      </c>
      <c r="N210" s="27">
        <f t="shared" si="100"/>
        <v>0.43993474263994381</v>
      </c>
      <c r="O210" s="72" t="s">
        <v>423</v>
      </c>
      <c r="P210" s="71"/>
    </row>
    <row r="211" spans="1:16" ht="18" x14ac:dyDescent="0.35">
      <c r="A211" s="34"/>
      <c r="B211" s="34"/>
      <c r="C211" s="35" t="s">
        <v>205</v>
      </c>
      <c r="D211" s="51" t="s">
        <v>206</v>
      </c>
      <c r="E211" s="52">
        <f t="shared" ref="E211:H211" si="105">E66+E67+E68+E69+E73+E74+E75+E76+E77+E78+E79+E80+E81+E82+E83+E84+E85+E86+E87+E132+E178</f>
        <v>619920684.48000002</v>
      </c>
      <c r="F211" s="61">
        <f t="shared" si="105"/>
        <v>523458493.98000008</v>
      </c>
      <c r="G211" s="61">
        <f t="shared" si="105"/>
        <v>96462190.5</v>
      </c>
      <c r="H211" s="61">
        <f t="shared" si="105"/>
        <v>77550760.5</v>
      </c>
      <c r="I211" s="61">
        <f t="shared" ref="I211:L211" si="106">I66+I67+I68+I69+I73+I74+I75+I76+I77+I78+I79+I80+I81+I82+I83+I84+I85+I86+I87+I132+I178</f>
        <v>351520391.23999995</v>
      </c>
      <c r="J211" s="61">
        <f t="shared" si="106"/>
        <v>333813220</v>
      </c>
      <c r="K211" s="61">
        <f t="shared" si="106"/>
        <v>17707171.240000002</v>
      </c>
      <c r="L211" s="61">
        <f t="shared" si="106"/>
        <v>7896767.5099999998</v>
      </c>
      <c r="M211" s="27">
        <f t="shared" si="99"/>
        <v>0.56704091352406027</v>
      </c>
      <c r="N211" s="27">
        <f t="shared" si="100"/>
        <v>0.63770714171036857</v>
      </c>
      <c r="O211" s="71">
        <f t="shared" si="101"/>
        <v>0.18356592513830589</v>
      </c>
      <c r="P211" s="71">
        <f t="shared" si="102"/>
        <v>0.10182708021283685</v>
      </c>
    </row>
    <row r="212" spans="1:16" ht="18" x14ac:dyDescent="0.35">
      <c r="A212" s="34"/>
      <c r="B212" s="34"/>
      <c r="C212" s="35" t="s">
        <v>207</v>
      </c>
      <c r="D212" s="51" t="s">
        <v>208</v>
      </c>
      <c r="E212" s="52">
        <f t="shared" ref="E212:H212" si="107">E24+E25+E26+E27+E31+E179</f>
        <v>82069070</v>
      </c>
      <c r="F212" s="61">
        <f t="shared" si="107"/>
        <v>74736016</v>
      </c>
      <c r="G212" s="61">
        <f t="shared" si="107"/>
        <v>7333054</v>
      </c>
      <c r="H212" s="61">
        <f t="shared" si="107"/>
        <v>7333054</v>
      </c>
      <c r="I212" s="61">
        <f t="shared" ref="I212:L212" si="108">I24+I25+I26+I27+I31+I179</f>
        <v>28956015.390000001</v>
      </c>
      <c r="J212" s="61">
        <f t="shared" si="108"/>
        <v>28956015.390000001</v>
      </c>
      <c r="K212" s="61">
        <f t="shared" si="108"/>
        <v>0</v>
      </c>
      <c r="L212" s="61">
        <f t="shared" si="108"/>
        <v>0</v>
      </c>
      <c r="M212" s="27">
        <f t="shared" si="99"/>
        <v>0.35282494842454049</v>
      </c>
      <c r="N212" s="27">
        <f t="shared" si="100"/>
        <v>0.38744392516186577</v>
      </c>
      <c r="O212" s="71">
        <f t="shared" si="101"/>
        <v>0</v>
      </c>
      <c r="P212" s="71">
        <f t="shared" si="102"/>
        <v>0</v>
      </c>
    </row>
    <row r="213" spans="1:16" ht="18" x14ac:dyDescent="0.35">
      <c r="A213" s="34"/>
      <c r="B213" s="34"/>
      <c r="C213" s="35" t="s">
        <v>209</v>
      </c>
      <c r="D213" s="51" t="s">
        <v>210</v>
      </c>
      <c r="E213" s="52">
        <f t="shared" ref="E213:H213" si="109">E32+E88+E89+E98+E99+E100+E101+E102+E103+E104+E105+E106+E107+E108+E109+E110+E111+E112+E113+E114+E115+E126+E133+E134+E146+E158</f>
        <v>138063659</v>
      </c>
      <c r="F213" s="61">
        <f t="shared" si="109"/>
        <v>137883659</v>
      </c>
      <c r="G213" s="61">
        <f t="shared" si="109"/>
        <v>180000</v>
      </c>
      <c r="H213" s="61">
        <f t="shared" si="109"/>
        <v>0</v>
      </c>
      <c r="I213" s="61">
        <f t="shared" ref="I213:L213" si="110">I32+I88+I89+I98+I99+I100+I101+I102+I103+I104+I105+I106+I107+I108+I109+I110+I111+I112+I113+I114+I115+I126+I133+I134+I146+I158</f>
        <v>58693347.839999996</v>
      </c>
      <c r="J213" s="61">
        <f t="shared" si="110"/>
        <v>58685561.039999999</v>
      </c>
      <c r="K213" s="61">
        <f t="shared" si="110"/>
        <v>7786.8</v>
      </c>
      <c r="L213" s="61">
        <f t="shared" si="110"/>
        <v>0</v>
      </c>
      <c r="M213" s="27">
        <f t="shared" si="99"/>
        <v>0.42511800907724745</v>
      </c>
      <c r="N213" s="27">
        <f t="shared" si="100"/>
        <v>0.42561650499860898</v>
      </c>
      <c r="O213" s="71">
        <f t="shared" si="101"/>
        <v>4.326E-2</v>
      </c>
      <c r="P213" s="71"/>
    </row>
    <row r="214" spans="1:16" ht="18" x14ac:dyDescent="0.35">
      <c r="A214" s="34"/>
      <c r="B214" s="34"/>
      <c r="C214" s="35" t="s">
        <v>211</v>
      </c>
      <c r="D214" s="51" t="s">
        <v>212</v>
      </c>
      <c r="E214" s="52">
        <f t="shared" ref="E214:H214" si="111">E135+E136+E137+E138+E139</f>
        <v>36652874</v>
      </c>
      <c r="F214" s="61">
        <f t="shared" si="111"/>
        <v>36342874</v>
      </c>
      <c r="G214" s="61">
        <f t="shared" si="111"/>
        <v>310000</v>
      </c>
      <c r="H214" s="61">
        <f t="shared" si="111"/>
        <v>0</v>
      </c>
      <c r="I214" s="61">
        <f t="shared" ref="I214:L214" si="112">I135+I136+I137+I138+I139</f>
        <v>16581825.77</v>
      </c>
      <c r="J214" s="61">
        <f t="shared" si="112"/>
        <v>15926572.34</v>
      </c>
      <c r="K214" s="61">
        <f t="shared" si="112"/>
        <v>655253.42999999993</v>
      </c>
      <c r="L214" s="61">
        <f t="shared" si="112"/>
        <v>0</v>
      </c>
      <c r="M214" s="27">
        <f t="shared" si="99"/>
        <v>0.45240178901114275</v>
      </c>
      <c r="N214" s="27">
        <f t="shared" si="100"/>
        <v>0.43823095388658584</v>
      </c>
      <c r="O214" s="71" t="s">
        <v>422</v>
      </c>
      <c r="P214" s="71"/>
    </row>
    <row r="215" spans="1:16" ht="18" x14ac:dyDescent="0.35">
      <c r="A215" s="34"/>
      <c r="B215" s="34"/>
      <c r="C215" s="35" t="s">
        <v>213</v>
      </c>
      <c r="D215" s="51" t="s">
        <v>214</v>
      </c>
      <c r="E215" s="52">
        <f t="shared" ref="E215:H215" si="113">E90+E147+E148+E150+E149+E151</f>
        <v>30082184.18</v>
      </c>
      <c r="F215" s="61">
        <f t="shared" si="113"/>
        <v>30082184.18</v>
      </c>
      <c r="G215" s="61">
        <f t="shared" si="113"/>
        <v>0</v>
      </c>
      <c r="H215" s="61">
        <f t="shared" si="113"/>
        <v>0</v>
      </c>
      <c r="I215" s="61">
        <f t="shared" ref="I215:L215" si="114">I90+I147+I148+I150+I149+I151</f>
        <v>8470144.6199999992</v>
      </c>
      <c r="J215" s="61">
        <f t="shared" si="114"/>
        <v>8470144.6199999992</v>
      </c>
      <c r="K215" s="61">
        <f t="shared" si="114"/>
        <v>0</v>
      </c>
      <c r="L215" s="61">
        <f t="shared" si="114"/>
        <v>0</v>
      </c>
      <c r="M215" s="27">
        <f t="shared" si="99"/>
        <v>0.28156680942174855</v>
      </c>
      <c r="N215" s="27">
        <f t="shared" si="100"/>
        <v>0.28156680942174855</v>
      </c>
      <c r="O215" s="71"/>
      <c r="P215" s="71"/>
    </row>
    <row r="216" spans="1:16" s="2" customFormat="1" ht="18" x14ac:dyDescent="0.35">
      <c r="A216" s="34"/>
      <c r="B216" s="34"/>
      <c r="C216" s="35" t="s">
        <v>215</v>
      </c>
      <c r="D216" s="51" t="s">
        <v>216</v>
      </c>
      <c r="E216" s="52">
        <f t="shared" ref="E216:H216" si="115">E33+E159+E160+E164+E161+E162+E163+E180+E181+E182+E192+E193</f>
        <v>175820714</v>
      </c>
      <c r="F216" s="61">
        <f t="shared" si="115"/>
        <v>138989404</v>
      </c>
      <c r="G216" s="61">
        <f t="shared" si="115"/>
        <v>36831310</v>
      </c>
      <c r="H216" s="61">
        <f t="shared" si="115"/>
        <v>36831310</v>
      </c>
      <c r="I216" s="61">
        <f t="shared" ref="I216:L216" si="116">I33+I159+I160+I164+I161+I162+I163+I180+I181+I182+I192+I193</f>
        <v>73722427.449999988</v>
      </c>
      <c r="J216" s="61">
        <f t="shared" si="116"/>
        <v>54264603.07</v>
      </c>
      <c r="K216" s="61">
        <f t="shared" si="116"/>
        <v>19457824.380000003</v>
      </c>
      <c r="L216" s="61">
        <f t="shared" si="116"/>
        <v>19457824.380000003</v>
      </c>
      <c r="M216" s="27">
        <f t="shared" si="99"/>
        <v>0.41930456186180648</v>
      </c>
      <c r="N216" s="27">
        <f t="shared" si="100"/>
        <v>0.39042258984001399</v>
      </c>
      <c r="O216" s="71">
        <f t="shared" si="101"/>
        <v>0.52829574565770276</v>
      </c>
      <c r="P216" s="71">
        <f t="shared" si="102"/>
        <v>0.52829574565770276</v>
      </c>
    </row>
    <row r="217" spans="1:16" ht="18" x14ac:dyDescent="0.35">
      <c r="A217" s="34"/>
      <c r="B217" s="34"/>
      <c r="C217" s="35" t="s">
        <v>273</v>
      </c>
      <c r="D217" s="51" t="s">
        <v>274</v>
      </c>
      <c r="E217" s="52">
        <f>E37+E38+E45+E46+E47+E48+E91+E116+E127+E140+E152+E153+E165+E166+E167+E168+E169+E183+E184+E185+E194+E195+E196+E202</f>
        <v>176186424.24000001</v>
      </c>
      <c r="F217" s="61">
        <f t="shared" ref="F217:H217" si="117">F37+F38+F45+F46+F47+F48+F91+F116+F127+F140+F152+F153+F165+F166+F167+F168+F169+F183+F184+F185+F194+F195+F196+F202</f>
        <v>163286164</v>
      </c>
      <c r="G217" s="61">
        <f t="shared" si="117"/>
        <v>12900260.240000002</v>
      </c>
      <c r="H217" s="61">
        <f t="shared" si="117"/>
        <v>1344067</v>
      </c>
      <c r="I217" s="61">
        <f>I37+I38+I45+I46+I47+I48+I91+I116+I127+I140+I152+I153+I165+I166+I167+I168+I169+I183+I184+I185+I194+I195+I196+I202</f>
        <v>110098116.18999998</v>
      </c>
      <c r="J217" s="61">
        <f t="shared" ref="J217:L217" si="118">J37+J38+J45+J46+J47+J48+J91+J116+J127+J140+J152+J153+J165+J166+J167+J168+J169+J183+J184+J185+J194+J195+J196+J202</f>
        <v>108457934.42</v>
      </c>
      <c r="K217" s="61">
        <f t="shared" si="118"/>
        <v>1640181.77</v>
      </c>
      <c r="L217" s="61">
        <f t="shared" si="118"/>
        <v>0</v>
      </c>
      <c r="M217" s="27">
        <f t="shared" si="99"/>
        <v>0.62489557106865989</v>
      </c>
      <c r="N217" s="27">
        <f t="shared" si="100"/>
        <v>0.66421999122963049</v>
      </c>
      <c r="O217" s="71">
        <f t="shared" si="101"/>
        <v>0.12714330869963905</v>
      </c>
      <c r="P217" s="71">
        <f t="shared" si="102"/>
        <v>0</v>
      </c>
    </row>
    <row r="218" spans="1:16" ht="18" x14ac:dyDescent="0.35">
      <c r="A218" s="34"/>
      <c r="B218" s="34"/>
      <c r="C218" s="35" t="s">
        <v>276</v>
      </c>
      <c r="D218" s="51" t="s">
        <v>275</v>
      </c>
      <c r="E218" s="52">
        <f t="shared" ref="E218:H218" si="119">E49+E57+E58+E59+E60+E61+E92+E120+E141+E170+E171+E186+E197+E198+E203</f>
        <v>66092119</v>
      </c>
      <c r="F218" s="61">
        <f t="shared" si="119"/>
        <v>64902935</v>
      </c>
      <c r="G218" s="61">
        <f t="shared" si="119"/>
        <v>1189184</v>
      </c>
      <c r="H218" s="61">
        <f t="shared" si="119"/>
        <v>0</v>
      </c>
      <c r="I218" s="61">
        <f t="shared" ref="I218:L218" si="120">I49+I57+I58+I59+I60+I61+I92+I120+I141+I170+I171+I186+I197+I198+I203</f>
        <v>21231418.060000002</v>
      </c>
      <c r="J218" s="61">
        <f t="shared" si="120"/>
        <v>21231418.060000002</v>
      </c>
      <c r="K218" s="61">
        <f t="shared" si="120"/>
        <v>0</v>
      </c>
      <c r="L218" s="61">
        <f t="shared" si="120"/>
        <v>0</v>
      </c>
      <c r="M218" s="27">
        <f t="shared" si="99"/>
        <v>0.32123978442876072</v>
      </c>
      <c r="N218" s="27">
        <f t="shared" si="100"/>
        <v>0.32712570024760823</v>
      </c>
      <c r="O218" s="71">
        <f t="shared" si="101"/>
        <v>0</v>
      </c>
      <c r="P218" s="71"/>
    </row>
    <row r="219" spans="1:16" ht="18" x14ac:dyDescent="0.35">
      <c r="A219" s="34"/>
      <c r="B219" s="34"/>
      <c r="C219" s="35" t="s">
        <v>277</v>
      </c>
      <c r="D219" s="51" t="s">
        <v>278</v>
      </c>
      <c r="E219" s="52">
        <f>E204+E205+E206+E207</f>
        <v>157300912</v>
      </c>
      <c r="F219" s="61">
        <f t="shared" ref="F219:H219" si="121">F204+F205+F206+F207</f>
        <v>155620912</v>
      </c>
      <c r="G219" s="61">
        <f t="shared" si="121"/>
        <v>1680000</v>
      </c>
      <c r="H219" s="61">
        <f t="shared" si="121"/>
        <v>1680000</v>
      </c>
      <c r="I219" s="61">
        <f>I204+I205+I206+I207</f>
        <v>87514812</v>
      </c>
      <c r="J219" s="61">
        <f t="shared" ref="J219:L219" si="122">J204+J205+J206+J207</f>
        <v>87514812</v>
      </c>
      <c r="K219" s="61">
        <f t="shared" si="122"/>
        <v>0</v>
      </c>
      <c r="L219" s="61">
        <f t="shared" si="122"/>
        <v>0</v>
      </c>
      <c r="M219" s="27">
        <f t="shared" si="99"/>
        <v>0.55635285827204872</v>
      </c>
      <c r="N219" s="27">
        <f t="shared" si="100"/>
        <v>0.56235894569233724</v>
      </c>
      <c r="O219" s="71">
        <f t="shared" si="101"/>
        <v>0</v>
      </c>
      <c r="P219" s="71">
        <f t="shared" si="102"/>
        <v>0</v>
      </c>
    </row>
    <row r="220" spans="1:16" ht="17.399999999999999" x14ac:dyDescent="0.3">
      <c r="A220" s="53"/>
      <c r="B220" s="53"/>
      <c r="C220" s="53"/>
      <c r="D220" s="53" t="s">
        <v>1</v>
      </c>
      <c r="E220" s="38">
        <f>F220+G220</f>
        <v>1665637227.74</v>
      </c>
      <c r="F220" s="62">
        <f>SUM(F210:F219)</f>
        <v>1508631229</v>
      </c>
      <c r="G220" s="62">
        <f t="shared" ref="G220:H220" si="123">SUM(G210:G219)</f>
        <v>157005998.74000001</v>
      </c>
      <c r="H220" s="62">
        <f t="shared" si="123"/>
        <v>124739191.5</v>
      </c>
      <c r="I220" s="57">
        <f>J220+K220</f>
        <v>843105563.37999988</v>
      </c>
      <c r="J220" s="62">
        <f>SUM(J210:J219)</f>
        <v>797972895.6099999</v>
      </c>
      <c r="K220" s="62">
        <f t="shared" ref="K220" si="124">SUM(K210:K219)</f>
        <v>45132667.770000003</v>
      </c>
      <c r="L220" s="62">
        <f t="shared" ref="L220" si="125">SUM(L210:L219)</f>
        <v>27354591.890000001</v>
      </c>
      <c r="M220" s="26">
        <f t="shared" si="99"/>
        <v>0.50617598438524192</v>
      </c>
      <c r="N220" s="26">
        <f t="shared" si="100"/>
        <v>0.52893833845593807</v>
      </c>
      <c r="O220" s="70">
        <f t="shared" si="101"/>
        <v>0.28745823810680726</v>
      </c>
      <c r="P220" s="70">
        <f t="shared" si="102"/>
        <v>0.21929428562954892</v>
      </c>
    </row>
    <row r="221" spans="1:16" s="2" customFormat="1" ht="18" x14ac:dyDescent="0.35">
      <c r="A221" s="55"/>
      <c r="B221" s="55"/>
      <c r="C221" s="55"/>
      <c r="E221" s="33"/>
      <c r="F221" s="33"/>
      <c r="G221" s="33"/>
      <c r="H221" s="33"/>
      <c r="I221" s="33"/>
      <c r="J221" s="33"/>
      <c r="K221" s="33"/>
      <c r="L221" s="33"/>
      <c r="M221" s="56"/>
      <c r="N221" s="56"/>
      <c r="O221" s="73"/>
      <c r="P221" s="73"/>
    </row>
    <row r="222" spans="1:16" s="2" customFormat="1" ht="18" x14ac:dyDescent="0.35">
      <c r="A222" s="55"/>
      <c r="B222" s="55"/>
      <c r="C222" s="55"/>
      <c r="D222" s="2" t="s">
        <v>416</v>
      </c>
      <c r="E222" s="33"/>
      <c r="F222" s="33"/>
      <c r="G222" s="33"/>
      <c r="H222" s="33"/>
      <c r="I222" s="33" t="s">
        <v>417</v>
      </c>
      <c r="J222" s="33"/>
      <c r="K222" s="33"/>
      <c r="L222" s="33"/>
      <c r="M222" s="56"/>
      <c r="N222" s="56"/>
      <c r="O222" s="73"/>
      <c r="P222" s="73"/>
    </row>
    <row r="223" spans="1:16" s="2" customFormat="1" ht="18" x14ac:dyDescent="0.35">
      <c r="A223" s="55"/>
      <c r="B223" s="55"/>
      <c r="C223" s="55"/>
      <c r="E223" s="33"/>
      <c r="F223" s="33"/>
      <c r="G223" s="33"/>
      <c r="H223" s="33"/>
      <c r="I223" s="33"/>
      <c r="J223" s="33"/>
      <c r="K223" s="33"/>
      <c r="L223" s="33"/>
      <c r="M223" s="56"/>
      <c r="N223" s="56"/>
      <c r="O223" s="73"/>
      <c r="P223" s="73"/>
    </row>
    <row r="224" spans="1:16" s="2" customFormat="1" ht="18" x14ac:dyDescent="0.35">
      <c r="A224" s="55"/>
      <c r="B224" s="55"/>
      <c r="C224" s="55"/>
      <c r="E224" s="33"/>
      <c r="F224" s="33"/>
      <c r="G224" s="33"/>
      <c r="H224" s="33"/>
      <c r="I224" s="33"/>
      <c r="J224" s="33"/>
      <c r="K224" s="33"/>
      <c r="L224" s="33"/>
      <c r="M224" s="56"/>
      <c r="N224" s="56"/>
      <c r="O224" s="73"/>
      <c r="P224" s="73"/>
    </row>
  </sheetData>
  <customSheetViews>
    <customSheetView guid="{22648713-93C4-4BCC-9593-E6D578C36006}" scale="72" showPageBreaks="1" fitToPage="1" printArea="1" hiddenRows="1" view="pageBreakPreview">
      <pane xSplit="4" ySplit="12" topLeftCell="E91" activePane="bottomRight" state="frozen"/>
      <selection pane="bottomRight" activeCell="E99" sqref="E99"/>
      <rowBreaks count="2" manualBreakCount="2">
        <brk id="70" max="15" man="1"/>
        <brk id="98" max="15" man="1"/>
      </rowBreaks>
      <pageMargins left="0.39370078740157483" right="0.15748031496062992" top="0.15748031496062992" bottom="0.11811023622047245" header="0.15748031496062992" footer="0.11811023622047245"/>
      <pageSetup paperSize="9" scale="45" fitToHeight="15" orientation="landscape" r:id="rId1"/>
    </customSheetView>
  </customSheetViews>
  <mergeCells count="27">
    <mergeCell ref="M1:O1"/>
    <mergeCell ref="B9:B13"/>
    <mergeCell ref="C9:C13"/>
    <mergeCell ref="D9:D13"/>
    <mergeCell ref="F11:F13"/>
    <mergeCell ref="K11:L11"/>
    <mergeCell ref="J10:L10"/>
    <mergeCell ref="I9:L9"/>
    <mergeCell ref="I10:I13"/>
    <mergeCell ref="N11:N13"/>
    <mergeCell ref="O11:P11"/>
    <mergeCell ref="K12:K13"/>
    <mergeCell ref="A4:P4"/>
    <mergeCell ref="M2:P2"/>
    <mergeCell ref="M3:P3"/>
    <mergeCell ref="A5:P5"/>
    <mergeCell ref="G12:G13"/>
    <mergeCell ref="O12:O13"/>
    <mergeCell ref="G11:H11"/>
    <mergeCell ref="J11:J13"/>
    <mergeCell ref="A9:A13"/>
    <mergeCell ref="M9:P9"/>
    <mergeCell ref="M10:M13"/>
    <mergeCell ref="N10:P10"/>
    <mergeCell ref="F10:H10"/>
    <mergeCell ref="E10:E13"/>
    <mergeCell ref="E9:H9"/>
  </mergeCells>
  <pageMargins left="0.39370078740157483" right="0.19685039370078741" top="0.39370078740157483" bottom="0.19685039370078741" header="0.15748031496062992" footer="0.11811023622047245"/>
  <pageSetup paperSize="9" scale="42" fitToWidth="11" fitToHeight="11" orientation="landscape" r:id="rId2"/>
  <headerFooter differentFirst="1" alignWithMargins="0">
    <oddHeader>&amp;C&amp;P</oddHeader>
  </headerFooter>
  <rowBreaks count="1" manualBreakCount="1">
    <brk id="18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2026</vt:lpstr>
      <vt:lpstr>'2026'!Заголовки_для_друку</vt:lpstr>
      <vt:lpstr>'2026'!Область_друку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Tofan</cp:lastModifiedBy>
  <cp:lastPrinted>2026-04-16T07:08:55Z</cp:lastPrinted>
  <dcterms:created xsi:type="dcterms:W3CDTF">2012-12-15T07:44:03Z</dcterms:created>
  <dcterms:modified xsi:type="dcterms:W3CDTF">2026-07-27T06:35:09Z</dcterms:modified>
</cp:coreProperties>
</file>