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Z:\Оксана документы\1 ДОКУМЕНТИ\8 созыв\75 сесія 24.07.2026\№1146 Виконання І п\"/>
    </mc:Choice>
  </mc:AlternateContent>
  <xr:revisionPtr revIDLastSave="0" documentId="13_ncr:1_{ABDA0746-3357-42DF-B38A-48A8679104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12" r:id="rId1"/>
  </sheets>
  <definedNames>
    <definedName name="_xlnm.Print_Titles" localSheetId="0">'2026'!$9:$11</definedName>
    <definedName name="_xlnm.Print_Area" localSheetId="0">'2026'!$A$1:$R$161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2" i="12" l="1"/>
  <c r="K172" i="12" l="1"/>
  <c r="O172" i="12"/>
  <c r="P172" i="12"/>
  <c r="K171" i="12"/>
  <c r="L171" i="12"/>
  <c r="O171" i="12"/>
  <c r="P171" i="12"/>
  <c r="J171" i="12"/>
  <c r="K170" i="12"/>
  <c r="N170" i="12"/>
  <c r="O170" i="12"/>
  <c r="J170" i="12"/>
  <c r="K168" i="12"/>
  <c r="L168" i="12"/>
  <c r="O168" i="12"/>
  <c r="P168" i="12"/>
  <c r="J168" i="12"/>
  <c r="K165" i="12"/>
  <c r="L165" i="12"/>
  <c r="O165" i="12"/>
  <c r="P165" i="12"/>
  <c r="I67" i="12"/>
  <c r="M67" i="12"/>
  <c r="R67" i="12" s="1"/>
  <c r="L44" i="12"/>
  <c r="O14" i="12"/>
  <c r="P14" i="12"/>
  <c r="N14" i="12"/>
  <c r="K14" i="12"/>
  <c r="L14" i="12"/>
  <c r="J14" i="12"/>
  <c r="N157" i="12"/>
  <c r="M157" i="12" s="1"/>
  <c r="J157" i="12"/>
  <c r="I157" i="12" s="1"/>
  <c r="N155" i="12"/>
  <c r="M155" i="12" s="1"/>
  <c r="J155" i="12"/>
  <c r="I155" i="12" s="1"/>
  <c r="M158" i="12"/>
  <c r="I158" i="12"/>
  <c r="Q158" i="12" s="1"/>
  <c r="M156" i="12"/>
  <c r="I156" i="12"/>
  <c r="M154" i="12"/>
  <c r="R154" i="12" s="1"/>
  <c r="I154" i="12"/>
  <c r="N153" i="12"/>
  <c r="M153" i="12" s="1"/>
  <c r="J153" i="12"/>
  <c r="I153" i="12" s="1"/>
  <c r="I147" i="12"/>
  <c r="M147" i="12"/>
  <c r="Q147" i="12" s="1"/>
  <c r="L144" i="12"/>
  <c r="P143" i="12"/>
  <c r="N138" i="12"/>
  <c r="N132" i="12"/>
  <c r="J134" i="12"/>
  <c r="O104" i="12"/>
  <c r="K104" i="12"/>
  <c r="J104" i="12"/>
  <c r="L115" i="12"/>
  <c r="L104" i="12" s="1"/>
  <c r="I115" i="12"/>
  <c r="M115" i="12"/>
  <c r="R115" i="12" s="1"/>
  <c r="L113" i="12"/>
  <c r="P112" i="12"/>
  <c r="P104" i="12" s="1"/>
  <c r="L112" i="12"/>
  <c r="N111" i="12"/>
  <c r="N104" i="12" s="1"/>
  <c r="R147" i="12" l="1"/>
  <c r="R158" i="12"/>
  <c r="N172" i="12"/>
  <c r="L172" i="12"/>
  <c r="Q115" i="12"/>
  <c r="Q155" i="12"/>
  <c r="R155" i="12"/>
  <c r="Q67" i="12"/>
  <c r="R157" i="12"/>
  <c r="Q157" i="12"/>
  <c r="R156" i="12"/>
  <c r="Q156" i="12"/>
  <c r="Q153" i="12"/>
  <c r="R153" i="12"/>
  <c r="Q154" i="12"/>
  <c r="N92" i="12" l="1"/>
  <c r="N171" i="12" s="1"/>
  <c r="N91" i="12"/>
  <c r="L78" i="12" l="1"/>
  <c r="I71" i="12"/>
  <c r="M71" i="12"/>
  <c r="Q71" i="12"/>
  <c r="R71" i="12"/>
  <c r="L46" i="12" l="1"/>
  <c r="L43" i="12"/>
  <c r="L170" i="12" s="1"/>
  <c r="I43" i="12"/>
  <c r="M43" i="12"/>
  <c r="P39" i="12"/>
  <c r="L39" i="12"/>
  <c r="N38" i="12"/>
  <c r="Q43" i="12" l="1"/>
  <c r="R43" i="12"/>
  <c r="N34" i="12"/>
  <c r="N26" i="12"/>
  <c r="N168" i="12" s="1"/>
  <c r="N23" i="12"/>
  <c r="N165" i="12" s="1"/>
  <c r="N21" i="12"/>
  <c r="M15" i="12"/>
  <c r="I15" i="12"/>
  <c r="R15" i="12" l="1"/>
  <c r="Q15" i="12"/>
  <c r="P44" i="12" l="1"/>
  <c r="P170" i="12" s="1"/>
  <c r="P167" i="12" l="1"/>
  <c r="O167" i="12"/>
  <c r="P166" i="12"/>
  <c r="O166" i="12"/>
  <c r="P164" i="12"/>
  <c r="O164" i="12"/>
  <c r="P163" i="12"/>
  <c r="O163" i="12"/>
  <c r="M152" i="12"/>
  <c r="N151" i="12"/>
  <c r="M151" i="12" s="1"/>
  <c r="M150" i="12"/>
  <c r="P149" i="12"/>
  <c r="O149" i="12"/>
  <c r="N149" i="12"/>
  <c r="M149" i="12" s="1"/>
  <c r="M148" i="12"/>
  <c r="M146" i="12"/>
  <c r="M145" i="12"/>
  <c r="M144" i="12"/>
  <c r="M143" i="12"/>
  <c r="M142" i="12"/>
  <c r="M141" i="12"/>
  <c r="M140" i="12"/>
  <c r="M139" i="12"/>
  <c r="M138" i="12"/>
  <c r="P137" i="12"/>
  <c r="O137" i="12"/>
  <c r="M136" i="12"/>
  <c r="P135" i="12"/>
  <c r="O135" i="12"/>
  <c r="N135" i="12"/>
  <c r="M134" i="12"/>
  <c r="M133" i="12"/>
  <c r="M132" i="12"/>
  <c r="M131" i="12"/>
  <c r="M130" i="12"/>
  <c r="M129" i="12"/>
  <c r="M128" i="12"/>
  <c r="M127" i="12"/>
  <c r="M126" i="12"/>
  <c r="M125" i="12"/>
  <c r="M124" i="12"/>
  <c r="M123" i="12"/>
  <c r="P122" i="12"/>
  <c r="O122" i="12"/>
  <c r="M121" i="12"/>
  <c r="P120" i="12"/>
  <c r="O120" i="12"/>
  <c r="N120" i="12"/>
  <c r="M119" i="12"/>
  <c r="M118" i="12"/>
  <c r="M117" i="12"/>
  <c r="P116" i="12"/>
  <c r="O116" i="12"/>
  <c r="N116" i="12"/>
  <c r="M113" i="12"/>
  <c r="M112" i="12"/>
  <c r="M111" i="12"/>
  <c r="M110" i="12"/>
  <c r="M109" i="12"/>
  <c r="M108" i="12"/>
  <c r="M107" i="12"/>
  <c r="M106" i="12"/>
  <c r="M105" i="12"/>
  <c r="M103" i="12"/>
  <c r="M102" i="12"/>
  <c r="M101" i="12"/>
  <c r="M100" i="12"/>
  <c r="M99" i="12"/>
  <c r="M98" i="12"/>
  <c r="P97" i="12"/>
  <c r="O97" i="12"/>
  <c r="M96" i="12"/>
  <c r="P95" i="12"/>
  <c r="O95" i="12"/>
  <c r="N95" i="12"/>
  <c r="M94" i="12"/>
  <c r="N93" i="12"/>
  <c r="M93" i="12" s="1"/>
  <c r="M92" i="12"/>
  <c r="M91" i="12"/>
  <c r="M90" i="12"/>
  <c r="P89" i="12"/>
  <c r="O89" i="12"/>
  <c r="M88" i="12"/>
  <c r="P87" i="12"/>
  <c r="O87" i="12"/>
  <c r="M86" i="12"/>
  <c r="P85" i="12"/>
  <c r="O85" i="12"/>
  <c r="N85" i="12"/>
  <c r="M84" i="12"/>
  <c r="M83" i="12"/>
  <c r="M82" i="12"/>
  <c r="M81" i="12"/>
  <c r="P80" i="12"/>
  <c r="O80" i="12"/>
  <c r="N80" i="12"/>
  <c r="M79" i="12"/>
  <c r="M78" i="12"/>
  <c r="M77" i="12"/>
  <c r="N73" i="12"/>
  <c r="M75" i="12"/>
  <c r="M74" i="12"/>
  <c r="P73" i="12"/>
  <c r="O73" i="12"/>
  <c r="M72" i="12"/>
  <c r="M70" i="12"/>
  <c r="P69" i="12"/>
  <c r="O69" i="12"/>
  <c r="M68" i="12"/>
  <c r="M66" i="12"/>
  <c r="M65" i="12"/>
  <c r="M64" i="12"/>
  <c r="N62" i="12"/>
  <c r="P62" i="12"/>
  <c r="O62" i="12"/>
  <c r="M61" i="12"/>
  <c r="M60" i="12"/>
  <c r="P59" i="12"/>
  <c r="O59" i="12"/>
  <c r="N59" i="12"/>
  <c r="M58" i="12"/>
  <c r="P57" i="12"/>
  <c r="O57" i="12"/>
  <c r="N57" i="12"/>
  <c r="M57" i="12" s="1"/>
  <c r="M56" i="12"/>
  <c r="M55" i="12"/>
  <c r="M54" i="12"/>
  <c r="P53" i="12"/>
  <c r="O53" i="12"/>
  <c r="N53" i="12"/>
  <c r="M52" i="12"/>
  <c r="P51" i="12"/>
  <c r="O51" i="12"/>
  <c r="N51" i="12"/>
  <c r="M50" i="12"/>
  <c r="P49" i="12"/>
  <c r="O49" i="12"/>
  <c r="N49" i="12"/>
  <c r="M48" i="12"/>
  <c r="P47" i="12"/>
  <c r="O47" i="12"/>
  <c r="N47" i="12"/>
  <c r="M46" i="12"/>
  <c r="P45" i="12"/>
  <c r="O45" i="12"/>
  <c r="N45" i="12"/>
  <c r="M44" i="12"/>
  <c r="M42" i="12"/>
  <c r="M41" i="12"/>
  <c r="M40" i="12"/>
  <c r="M39" i="12"/>
  <c r="M38" i="12"/>
  <c r="M37" i="12"/>
  <c r="M36" i="12"/>
  <c r="N169" i="12"/>
  <c r="N33" i="12"/>
  <c r="M34" i="12"/>
  <c r="P33" i="12"/>
  <c r="O33" i="12"/>
  <c r="M32" i="12"/>
  <c r="N31" i="12"/>
  <c r="M31" i="12" s="1"/>
  <c r="M30" i="12"/>
  <c r="M29" i="12"/>
  <c r="M171" i="12" s="1"/>
  <c r="M28" i="12"/>
  <c r="P27" i="12"/>
  <c r="P20" i="12" s="1"/>
  <c r="O27" i="12"/>
  <c r="O169" i="12" s="1"/>
  <c r="M26" i="12"/>
  <c r="N167" i="12"/>
  <c r="M25" i="12"/>
  <c r="N166" i="12"/>
  <c r="M24" i="12"/>
  <c r="M23" i="12"/>
  <c r="M22" i="12"/>
  <c r="N163" i="12"/>
  <c r="M19" i="12"/>
  <c r="M18" i="12"/>
  <c r="P17" i="12"/>
  <c r="O17" i="12"/>
  <c r="M17" i="12" s="1"/>
  <c r="M16" i="12"/>
  <c r="M170" i="12" s="1"/>
  <c r="M13" i="12"/>
  <c r="N12" i="12"/>
  <c r="M12" i="12" s="1"/>
  <c r="L167" i="12"/>
  <c r="K167" i="12"/>
  <c r="L166" i="12"/>
  <c r="K166" i="12"/>
  <c r="L164" i="12"/>
  <c r="K164" i="12"/>
  <c r="L163" i="12"/>
  <c r="K163" i="12"/>
  <c r="I152" i="12"/>
  <c r="J151" i="12"/>
  <c r="I151" i="12" s="1"/>
  <c r="I150" i="12"/>
  <c r="L149" i="12"/>
  <c r="K149" i="12"/>
  <c r="J149" i="12"/>
  <c r="I149" i="12" s="1"/>
  <c r="I148" i="12"/>
  <c r="I146" i="12"/>
  <c r="I145" i="12"/>
  <c r="I144" i="12"/>
  <c r="I143" i="12"/>
  <c r="I142" i="12"/>
  <c r="J141" i="12"/>
  <c r="I141" i="12" s="1"/>
  <c r="I140" i="12"/>
  <c r="I139" i="12"/>
  <c r="I138" i="12"/>
  <c r="L137" i="12"/>
  <c r="K137" i="12"/>
  <c r="I136" i="12"/>
  <c r="L135" i="12"/>
  <c r="K135" i="12"/>
  <c r="J135" i="12"/>
  <c r="I134" i="12"/>
  <c r="I133" i="12"/>
  <c r="I132" i="12"/>
  <c r="I131" i="12"/>
  <c r="I130" i="12"/>
  <c r="I129" i="12"/>
  <c r="I128" i="12"/>
  <c r="J127" i="12"/>
  <c r="I126" i="12"/>
  <c r="I125" i="12"/>
  <c r="I124" i="12"/>
  <c r="I123" i="12"/>
  <c r="L122" i="12"/>
  <c r="K122" i="12"/>
  <c r="I121" i="12"/>
  <c r="L120" i="12"/>
  <c r="K120" i="12"/>
  <c r="J120" i="12"/>
  <c r="I119" i="12"/>
  <c r="I118" i="12"/>
  <c r="I117" i="12"/>
  <c r="L116" i="12"/>
  <c r="K116" i="12"/>
  <c r="J116" i="12"/>
  <c r="I116" i="12" s="1"/>
  <c r="I114" i="12"/>
  <c r="I113" i="12"/>
  <c r="I112" i="12"/>
  <c r="I111" i="12"/>
  <c r="I110" i="12"/>
  <c r="I109" i="12"/>
  <c r="I108" i="12"/>
  <c r="I107" i="12"/>
  <c r="I106" i="12"/>
  <c r="I103" i="12"/>
  <c r="I102" i="12"/>
  <c r="J101" i="12"/>
  <c r="I101" i="12" s="1"/>
  <c r="I100" i="12"/>
  <c r="I99" i="12"/>
  <c r="J98" i="12"/>
  <c r="I98" i="12" s="1"/>
  <c r="L97" i="12"/>
  <c r="K97" i="12"/>
  <c r="I96" i="12"/>
  <c r="L95" i="12"/>
  <c r="K95" i="12"/>
  <c r="J95" i="12"/>
  <c r="I94" i="12"/>
  <c r="J93" i="12"/>
  <c r="I93" i="12" s="1"/>
  <c r="I91" i="12"/>
  <c r="K90" i="12"/>
  <c r="K89" i="12" s="1"/>
  <c r="L89" i="12"/>
  <c r="J88" i="12"/>
  <c r="J172" i="12" s="1"/>
  <c r="L87" i="12"/>
  <c r="K87" i="12"/>
  <c r="I86" i="12"/>
  <c r="L85" i="12"/>
  <c r="K85" i="12"/>
  <c r="J85" i="12"/>
  <c r="I84" i="12"/>
  <c r="R84" i="12" s="1"/>
  <c r="I83" i="12"/>
  <c r="I82" i="12"/>
  <c r="I81" i="12"/>
  <c r="L80" i="12"/>
  <c r="K80" i="12"/>
  <c r="I79" i="12"/>
  <c r="I78" i="12"/>
  <c r="J77" i="12"/>
  <c r="I77" i="12" s="1"/>
  <c r="J76" i="12"/>
  <c r="I75" i="12"/>
  <c r="I74" i="12"/>
  <c r="L73" i="12"/>
  <c r="K73" i="12"/>
  <c r="I72" i="12"/>
  <c r="I70" i="12"/>
  <c r="L69" i="12"/>
  <c r="K69" i="12"/>
  <c r="J69" i="12"/>
  <c r="I68" i="12"/>
  <c r="I66" i="12"/>
  <c r="I65" i="12"/>
  <c r="I64" i="12"/>
  <c r="L62" i="12"/>
  <c r="K62" i="12"/>
  <c r="I61" i="12"/>
  <c r="I60" i="12"/>
  <c r="L59" i="12"/>
  <c r="K59" i="12"/>
  <c r="J59" i="12"/>
  <c r="I59" i="12" s="1"/>
  <c r="I58" i="12"/>
  <c r="L57" i="12"/>
  <c r="K57" i="12"/>
  <c r="J57" i="12"/>
  <c r="I57" i="12" s="1"/>
  <c r="I56" i="12"/>
  <c r="I55" i="12"/>
  <c r="I54" i="12"/>
  <c r="L53" i="12"/>
  <c r="J53" i="12"/>
  <c r="I52" i="12"/>
  <c r="L51" i="12"/>
  <c r="K51" i="12"/>
  <c r="J51" i="12"/>
  <c r="I50" i="12"/>
  <c r="L49" i="12"/>
  <c r="K49" i="12"/>
  <c r="J49" i="12"/>
  <c r="I48" i="12"/>
  <c r="L47" i="12"/>
  <c r="K47" i="12"/>
  <c r="J47" i="12"/>
  <c r="I46" i="12"/>
  <c r="L45" i="12"/>
  <c r="K45" i="12"/>
  <c r="J45" i="12"/>
  <c r="K42" i="12"/>
  <c r="I42" i="12" s="1"/>
  <c r="I41" i="12"/>
  <c r="I40" i="12"/>
  <c r="I39" i="12"/>
  <c r="I38" i="12"/>
  <c r="I37" i="12"/>
  <c r="I36" i="12"/>
  <c r="J35" i="12"/>
  <c r="I35" i="12"/>
  <c r="I34" i="12"/>
  <c r="L33" i="12"/>
  <c r="J33" i="12"/>
  <c r="I32" i="12"/>
  <c r="J31" i="12"/>
  <c r="I31" i="12" s="1"/>
  <c r="I30" i="12"/>
  <c r="I29" i="12"/>
  <c r="I28" i="12"/>
  <c r="L27" i="12"/>
  <c r="L169" i="12" s="1"/>
  <c r="K27" i="12"/>
  <c r="I27" i="12" s="1"/>
  <c r="I26" i="12"/>
  <c r="J24" i="12"/>
  <c r="J166" i="12" s="1"/>
  <c r="I23" i="12"/>
  <c r="I22" i="12"/>
  <c r="I21" i="12"/>
  <c r="K19" i="12"/>
  <c r="I19" i="12" s="1"/>
  <c r="I18" i="12"/>
  <c r="L17" i="12"/>
  <c r="I16" i="12"/>
  <c r="I14" i="12"/>
  <c r="I13" i="12"/>
  <c r="J12" i="12"/>
  <c r="I12" i="12" s="1"/>
  <c r="M59" i="12" l="1"/>
  <c r="M120" i="12"/>
  <c r="I45" i="12"/>
  <c r="I69" i="12"/>
  <c r="Q151" i="12"/>
  <c r="R18" i="12"/>
  <c r="I47" i="12"/>
  <c r="R47" i="12" s="1"/>
  <c r="Q19" i="12"/>
  <c r="O159" i="12"/>
  <c r="P159" i="12"/>
  <c r="M172" i="12"/>
  <c r="Q152" i="12"/>
  <c r="M165" i="12"/>
  <c r="I49" i="12"/>
  <c r="I127" i="12"/>
  <c r="Q127" i="12" s="1"/>
  <c r="J165" i="12"/>
  <c r="I172" i="12"/>
  <c r="I76" i="12"/>
  <c r="J163" i="12"/>
  <c r="R128" i="12"/>
  <c r="Q145" i="12"/>
  <c r="R131" i="12"/>
  <c r="R68" i="12"/>
  <c r="Q36" i="12"/>
  <c r="R34" i="12"/>
  <c r="I24" i="12"/>
  <c r="Q24" i="12" s="1"/>
  <c r="I44" i="12"/>
  <c r="I170" i="12" s="1"/>
  <c r="I95" i="12"/>
  <c r="M27" i="12"/>
  <c r="Q52" i="12"/>
  <c r="R96" i="12"/>
  <c r="Q106" i="12"/>
  <c r="M47" i="12"/>
  <c r="R60" i="12"/>
  <c r="R108" i="12"/>
  <c r="O20" i="12"/>
  <c r="R28" i="12"/>
  <c r="R61" i="12"/>
  <c r="Q81" i="12"/>
  <c r="Q98" i="12"/>
  <c r="R109" i="12"/>
  <c r="R129" i="12"/>
  <c r="Q138" i="12"/>
  <c r="Q26" i="12"/>
  <c r="Q39" i="12"/>
  <c r="Q48" i="12"/>
  <c r="R54" i="12"/>
  <c r="Q82" i="12"/>
  <c r="Q99" i="12"/>
  <c r="R110" i="12"/>
  <c r="Q139" i="12"/>
  <c r="Q150" i="12"/>
  <c r="Q149" i="12"/>
  <c r="R30" i="12"/>
  <c r="R40" i="12"/>
  <c r="Q55" i="12"/>
  <c r="Q83" i="12"/>
  <c r="R91" i="12"/>
  <c r="R100" i="12"/>
  <c r="R56" i="12"/>
  <c r="R152" i="12"/>
  <c r="J137" i="12"/>
  <c r="I137" i="12" s="1"/>
  <c r="Q57" i="12"/>
  <c r="Q75" i="12"/>
  <c r="Q113" i="12"/>
  <c r="Q133" i="12"/>
  <c r="Q142" i="12"/>
  <c r="P169" i="12"/>
  <c r="P174" i="12" s="1"/>
  <c r="R145" i="12"/>
  <c r="R50" i="12"/>
  <c r="Q65" i="12"/>
  <c r="R94" i="12"/>
  <c r="R103" i="12"/>
  <c r="R134" i="12"/>
  <c r="Q143" i="12"/>
  <c r="R66" i="12"/>
  <c r="Q144" i="12"/>
  <c r="R52" i="12"/>
  <c r="R106" i="12"/>
  <c r="Q134" i="12"/>
  <c r="R143" i="12"/>
  <c r="Q101" i="12"/>
  <c r="Q86" i="12"/>
  <c r="R13" i="12"/>
  <c r="Q54" i="12"/>
  <c r="R138" i="12"/>
  <c r="R22" i="12"/>
  <c r="Q130" i="12"/>
  <c r="I85" i="12"/>
  <c r="R23" i="12"/>
  <c r="R41" i="12"/>
  <c r="M49" i="12"/>
  <c r="R49" i="12" s="1"/>
  <c r="Q56" i="12"/>
  <c r="R111" i="12"/>
  <c r="R140" i="12"/>
  <c r="R151" i="12"/>
  <c r="M14" i="12"/>
  <c r="R32" i="12"/>
  <c r="R42" i="12"/>
  <c r="Q74" i="12"/>
  <c r="Q84" i="12"/>
  <c r="R101" i="12"/>
  <c r="Q112" i="12"/>
  <c r="Q121" i="12"/>
  <c r="Q132" i="12"/>
  <c r="Q141" i="12"/>
  <c r="R48" i="12"/>
  <c r="Q131" i="12"/>
  <c r="Q123" i="12"/>
  <c r="Q68" i="12"/>
  <c r="M135" i="12"/>
  <c r="R123" i="12"/>
  <c r="Q46" i="12"/>
  <c r="R79" i="12"/>
  <c r="R125" i="12"/>
  <c r="Q146" i="12"/>
  <c r="Q111" i="12"/>
  <c r="Q18" i="12"/>
  <c r="R121" i="12"/>
  <c r="R39" i="12"/>
  <c r="Q64" i="12"/>
  <c r="M33" i="12"/>
  <c r="R86" i="12"/>
  <c r="K20" i="12"/>
  <c r="I90" i="12"/>
  <c r="I169" i="12" s="1"/>
  <c r="R19" i="12"/>
  <c r="R36" i="12"/>
  <c r="M80" i="12"/>
  <c r="Q96" i="12"/>
  <c r="R117" i="12"/>
  <c r="Q126" i="12"/>
  <c r="Q136" i="12"/>
  <c r="R148" i="12"/>
  <c r="Q108" i="12"/>
  <c r="Q13" i="12"/>
  <c r="R113" i="12"/>
  <c r="Q77" i="12"/>
  <c r="Q129" i="12"/>
  <c r="Q58" i="12"/>
  <c r="M95" i="12"/>
  <c r="R124" i="12"/>
  <c r="R37" i="12"/>
  <c r="R70" i="12"/>
  <c r="Q107" i="12"/>
  <c r="R118" i="12"/>
  <c r="R127" i="12"/>
  <c r="R149" i="12"/>
  <c r="R112" i="12"/>
  <c r="J167" i="12"/>
  <c r="R102" i="12"/>
  <c r="I51" i="12"/>
  <c r="M73" i="12"/>
  <c r="R130" i="12"/>
  <c r="R26" i="12"/>
  <c r="R78" i="12"/>
  <c r="Q124" i="12"/>
  <c r="I120" i="12"/>
  <c r="Q120" i="12" s="1"/>
  <c r="Q28" i="12"/>
  <c r="R38" i="12"/>
  <c r="Q60" i="12"/>
  <c r="R72" i="12"/>
  <c r="R119" i="12"/>
  <c r="Q128" i="12"/>
  <c r="Q102" i="12"/>
  <c r="R146" i="12"/>
  <c r="R150" i="12"/>
  <c r="Q148" i="12"/>
  <c r="R144" i="12"/>
  <c r="R142" i="12"/>
  <c r="R141" i="12"/>
  <c r="R139" i="12"/>
  <c r="Q140" i="12"/>
  <c r="R136" i="12"/>
  <c r="R133" i="12"/>
  <c r="R132" i="12"/>
  <c r="R126" i="12"/>
  <c r="Q125" i="12"/>
  <c r="Q118" i="12"/>
  <c r="Q119" i="12"/>
  <c r="M116" i="12"/>
  <c r="Q117" i="12"/>
  <c r="M104" i="12"/>
  <c r="Q110" i="12"/>
  <c r="Q109" i="12"/>
  <c r="R107" i="12"/>
  <c r="Q103" i="12"/>
  <c r="Q100" i="12"/>
  <c r="R99" i="12"/>
  <c r="R98" i="12"/>
  <c r="R93" i="12"/>
  <c r="Q93" i="12"/>
  <c r="Q94" i="12"/>
  <c r="Q91" i="12"/>
  <c r="M85" i="12"/>
  <c r="R83" i="12"/>
  <c r="R82" i="12"/>
  <c r="R81" i="12"/>
  <c r="Q79" i="12"/>
  <c r="Q78" i="12"/>
  <c r="R77" i="12"/>
  <c r="R75" i="12"/>
  <c r="R74" i="12"/>
  <c r="Q72" i="12"/>
  <c r="Q70" i="12"/>
  <c r="M62" i="12"/>
  <c r="Q66" i="12"/>
  <c r="R65" i="12"/>
  <c r="R64" i="12"/>
  <c r="Q59" i="12"/>
  <c r="R59" i="12"/>
  <c r="Q61" i="12"/>
  <c r="R58" i="12"/>
  <c r="R57" i="12"/>
  <c r="M53" i="12"/>
  <c r="R55" i="12"/>
  <c r="M51" i="12"/>
  <c r="Q50" i="12"/>
  <c r="R46" i="12"/>
  <c r="M45" i="12"/>
  <c r="Q42" i="12"/>
  <c r="Q41" i="12"/>
  <c r="Q40" i="12"/>
  <c r="Q38" i="12"/>
  <c r="Q37" i="12"/>
  <c r="Q34" i="12"/>
  <c r="R31" i="12"/>
  <c r="Q31" i="12"/>
  <c r="Q32" i="12"/>
  <c r="M166" i="12"/>
  <c r="Q23" i="12"/>
  <c r="Q30" i="12"/>
  <c r="Q22" i="12"/>
  <c r="Q29" i="12"/>
  <c r="R29" i="12"/>
  <c r="R16" i="12"/>
  <c r="Q16" i="12"/>
  <c r="R12" i="12"/>
  <c r="Q12" i="12"/>
  <c r="M167" i="12"/>
  <c r="N122" i="12"/>
  <c r="M122" i="12" s="1"/>
  <c r="M21" i="12"/>
  <c r="M35" i="12"/>
  <c r="M63" i="12"/>
  <c r="M168" i="12" s="1"/>
  <c r="N69" i="12"/>
  <c r="M69" i="12" s="1"/>
  <c r="N89" i="12"/>
  <c r="M89" i="12" s="1"/>
  <c r="M114" i="12"/>
  <c r="N137" i="12"/>
  <c r="M137" i="12" s="1"/>
  <c r="O174" i="12"/>
  <c r="N164" i="12"/>
  <c r="N87" i="12"/>
  <c r="M87" i="12" s="1"/>
  <c r="N97" i="12"/>
  <c r="M97" i="12" s="1"/>
  <c r="N20" i="12"/>
  <c r="M76" i="12"/>
  <c r="I163" i="12"/>
  <c r="K33" i="12"/>
  <c r="I53" i="12"/>
  <c r="J87" i="12"/>
  <c r="I87" i="12" s="1"/>
  <c r="J89" i="12"/>
  <c r="I89" i="12" s="1"/>
  <c r="J97" i="12"/>
  <c r="I97" i="12" s="1"/>
  <c r="K53" i="12"/>
  <c r="I63" i="12"/>
  <c r="I168" i="12" s="1"/>
  <c r="I135" i="12"/>
  <c r="J164" i="12"/>
  <c r="I25" i="12"/>
  <c r="I167" i="12" s="1"/>
  <c r="J169" i="12"/>
  <c r="L174" i="12"/>
  <c r="J20" i="12"/>
  <c r="J62" i="12"/>
  <c r="I62" i="12" s="1"/>
  <c r="I88" i="12"/>
  <c r="J80" i="12"/>
  <c r="I80" i="12" s="1"/>
  <c r="I104" i="12"/>
  <c r="K169" i="12"/>
  <c r="K174" i="12" s="1"/>
  <c r="K17" i="12"/>
  <c r="I17" i="12" s="1"/>
  <c r="L20" i="12"/>
  <c r="L159" i="12" s="1"/>
  <c r="J73" i="12"/>
  <c r="I73" i="12" s="1"/>
  <c r="I92" i="12"/>
  <c r="I171" i="12" s="1"/>
  <c r="J122" i="12"/>
  <c r="I122" i="12" s="1"/>
  <c r="I105" i="12"/>
  <c r="I164" i="12" s="1"/>
  <c r="I165" i="12" l="1"/>
  <c r="Q47" i="12"/>
  <c r="N159" i="12"/>
  <c r="J159" i="12"/>
  <c r="I166" i="12"/>
  <c r="I33" i="12"/>
  <c r="I159" i="12" s="1"/>
  <c r="K159" i="12"/>
  <c r="K175" i="12" s="1"/>
  <c r="R14" i="12"/>
  <c r="Q14" i="12"/>
  <c r="R24" i="12"/>
  <c r="R44" i="12"/>
  <c r="Q44" i="12"/>
  <c r="R95" i="12"/>
  <c r="L175" i="12"/>
  <c r="R80" i="12"/>
  <c r="Q170" i="12"/>
  <c r="R27" i="12"/>
  <c r="Q27" i="12"/>
  <c r="M20" i="12"/>
  <c r="M159" i="12" s="1"/>
  <c r="R120" i="12"/>
  <c r="Q73" i="12"/>
  <c r="Q53" i="12"/>
  <c r="Q49" i="12"/>
  <c r="Q33" i="12"/>
  <c r="R105" i="12"/>
  <c r="Q80" i="12"/>
  <c r="Q92" i="12"/>
  <c r="R53" i="12"/>
  <c r="Q88" i="12"/>
  <c r="Q135" i="12"/>
  <c r="Q25" i="12"/>
  <c r="R90" i="12"/>
  <c r="Q105" i="12"/>
  <c r="R88" i="12"/>
  <c r="Q166" i="12"/>
  <c r="Q171" i="12"/>
  <c r="R92" i="12"/>
  <c r="Q95" i="12"/>
  <c r="I20" i="12"/>
  <c r="R17" i="12"/>
  <c r="R73" i="12"/>
  <c r="Q17" i="12"/>
  <c r="R135" i="12"/>
  <c r="R25" i="12"/>
  <c r="Q90" i="12"/>
  <c r="R137" i="12"/>
  <c r="Q137" i="12"/>
  <c r="R122" i="12"/>
  <c r="Q122" i="12"/>
  <c r="Q116" i="12"/>
  <c r="R116" i="12"/>
  <c r="M164" i="12"/>
  <c r="Q114" i="12"/>
  <c r="R114" i="12"/>
  <c r="R104" i="12"/>
  <c r="Q104" i="12"/>
  <c r="Q97" i="12"/>
  <c r="R97" i="12"/>
  <c r="Q89" i="12"/>
  <c r="R89" i="12"/>
  <c r="R87" i="12"/>
  <c r="Q87" i="12"/>
  <c r="R85" i="12"/>
  <c r="Q85" i="12"/>
  <c r="Q76" i="12"/>
  <c r="R76" i="12"/>
  <c r="R69" i="12"/>
  <c r="Q69" i="12"/>
  <c r="R62" i="12"/>
  <c r="Q62" i="12"/>
  <c r="R63" i="12"/>
  <c r="Q63" i="12"/>
  <c r="N174" i="12"/>
  <c r="R171" i="12"/>
  <c r="Q51" i="12"/>
  <c r="R51" i="12"/>
  <c r="Q45" i="12"/>
  <c r="R45" i="12"/>
  <c r="M169" i="12"/>
  <c r="Q169" i="12" s="1"/>
  <c r="Q35" i="12"/>
  <c r="R35" i="12"/>
  <c r="R166" i="12"/>
  <c r="Q172" i="12"/>
  <c r="R172" i="12"/>
  <c r="Q168" i="12"/>
  <c r="R168" i="12"/>
  <c r="R165" i="12"/>
  <c r="Q165" i="12"/>
  <c r="R170" i="12"/>
  <c r="Q167" i="12"/>
  <c r="R167" i="12"/>
  <c r="M163" i="12"/>
  <c r="Q163" i="12" s="1"/>
  <c r="R21" i="12"/>
  <c r="Q21" i="12"/>
  <c r="J174" i="12"/>
  <c r="I174" i="12"/>
  <c r="I175" i="12" l="1"/>
  <c r="R33" i="12"/>
  <c r="J175" i="12"/>
  <c r="R20" i="12"/>
  <c r="Q20" i="12"/>
  <c r="R164" i="12"/>
  <c r="R159" i="12"/>
  <c r="Q164" i="12"/>
  <c r="R169" i="12"/>
  <c r="M174" i="12"/>
  <c r="R174" i="12" s="1"/>
  <c r="Q159" i="12"/>
  <c r="R163" i="12"/>
  <c r="Q174" i="12" l="1"/>
</calcChain>
</file>

<file path=xl/sharedStrings.xml><?xml version="1.0" encoding="utf-8"?>
<sst xmlns="http://schemas.openxmlformats.org/spreadsheetml/2006/main" count="858" uniqueCount="360">
  <si>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</si>
  <si>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</si>
  <si>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</si>
  <si>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міської програми</t>
  </si>
  <si>
    <t>Дата і номер документа, яким затверджено міську програму</t>
  </si>
  <si>
    <t xml:space="preserve">%  виконання </t>
  </si>
  <si>
    <t>Загальний фонд</t>
  </si>
  <si>
    <t>Спеціальний фонд</t>
  </si>
  <si>
    <t>відхилення, грн</t>
  </si>
  <si>
    <t>усього</t>
  </si>
  <si>
    <t>у тому числі бюджет розвитку</t>
  </si>
  <si>
    <t>0212010</t>
  </si>
  <si>
    <t>2010</t>
  </si>
  <si>
    <t>0731</t>
  </si>
  <si>
    <t>Багатопрофільна стаціонарна медична допомога населенню</t>
  </si>
  <si>
    <t>0212100</t>
  </si>
  <si>
    <t>2100</t>
  </si>
  <si>
    <t>0722</t>
  </si>
  <si>
    <t>Стоматологічна допомога населенню</t>
  </si>
  <si>
    <t>0212111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</si>
  <si>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</si>
  <si>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</si>
  <si>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0212152</t>
  </si>
  <si>
    <t>2152</t>
  </si>
  <si>
    <t>0763</t>
  </si>
  <si>
    <t>Інші програми та заходи у сфері охорони здоров’я</t>
  </si>
  <si>
    <t>0213242</t>
  </si>
  <si>
    <t>3242</t>
  </si>
  <si>
    <t>1090</t>
  </si>
  <si>
    <t>0217640</t>
  </si>
  <si>
    <t>7640</t>
  </si>
  <si>
    <t>0470</t>
  </si>
  <si>
    <t>Заходи з енергозбереження</t>
  </si>
  <si>
    <t>0218220</t>
  </si>
  <si>
    <t>0380</t>
  </si>
  <si>
    <t>Заходи та роботи з мобілізаційної підготовки місцевого значення</t>
  </si>
  <si>
    <t>0218230</t>
  </si>
  <si>
    <t>8230</t>
  </si>
  <si>
    <t>Інші заходи громадського порядку та безпеки</t>
  </si>
  <si>
    <t>0218240</t>
  </si>
  <si>
    <t>8240</t>
  </si>
  <si>
    <t>Заходи та роботи з територіальної оборони</t>
  </si>
  <si>
    <t>0611010</t>
  </si>
  <si>
    <t>1010</t>
  </si>
  <si>
    <t>0910</t>
  </si>
  <si>
    <t>Надання дошкільної освіти</t>
  </si>
  <si>
    <t>0611021</t>
  </si>
  <si>
    <t>1021</t>
  </si>
  <si>
    <t>0921</t>
  </si>
  <si>
    <t>0611022</t>
  </si>
  <si>
    <t>1022</t>
  </si>
  <si>
    <t>0922</t>
  </si>
  <si>
    <t>0613140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</si>
  <si>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</si>
  <si>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</si>
  <si>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</si>
  <si>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0613242</t>
  </si>
  <si>
    <t xml:space="preserve">Інші заходи у сфері соціального захисту і соціального забезпечення </t>
  </si>
  <si>
    <t>Міська програма соціального захисту ветеранів педагогічної праці</t>
  </si>
  <si>
    <t>09.01.2006р. 
№ 511-IV 
(зі змінами)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</si>
  <si>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</si>
  <si>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</si>
  <si>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</si>
  <si>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Управління соціальної політики Чорноморської міської ради Одеського району Одеської області</t>
  </si>
  <si>
    <t>1030</t>
  </si>
  <si>
    <t>0813032</t>
  </si>
  <si>
    <t>3032</t>
  </si>
  <si>
    <t>Надання пільг окремим категоріям громадян з оплати послуг зв'язку</t>
  </si>
  <si>
    <t>0813121</t>
  </si>
  <si>
    <t>3121</t>
  </si>
  <si>
    <t xml:space="preserve">Утримання та забезпечення діяльності центрів соціальних служб </t>
  </si>
  <si>
    <t>0813123</t>
  </si>
  <si>
    <t>3123</t>
  </si>
  <si>
    <t>Заходи державної політики з питань сім'ї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</si>
  <si>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</si>
  <si>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</si>
  <si>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</si>
  <si>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0813180</t>
  </si>
  <si>
    <t>3180</t>
  </si>
  <si>
    <t>1060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</si>
  <si>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 </t>
  </si>
  <si>
    <t>0813192</t>
  </si>
  <si>
    <t>3192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</si>
  <si>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</si>
  <si>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0813230</t>
  </si>
  <si>
    <t>3230</t>
  </si>
  <si>
    <t>1070</t>
  </si>
  <si>
    <t>0813242</t>
  </si>
  <si>
    <t>0913112</t>
  </si>
  <si>
    <t>3112</t>
  </si>
  <si>
    <t>Заходи державної політики з питань дітей та їх соціального захисту</t>
  </si>
  <si>
    <t>Відділ культури Чорноморської міської ради Одеського району Одеської області</t>
  </si>
  <si>
    <t>0180</t>
  </si>
  <si>
    <t>0960</t>
  </si>
  <si>
    <t>Надання спеціалізованої освіти мистецькими школами</t>
  </si>
  <si>
    <t>1013140</t>
  </si>
  <si>
    <t>1014030</t>
  </si>
  <si>
    <t>0824</t>
  </si>
  <si>
    <t>Забезпечення діяльності бібліотек</t>
  </si>
  <si>
    <t>1014040</t>
  </si>
  <si>
    <t>Забезпечення діяльності музеїв і виставок</t>
  </si>
  <si>
    <t>1014060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</si>
  <si>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</si>
  <si>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</si>
  <si>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1014082</t>
  </si>
  <si>
    <t>0829</t>
  </si>
  <si>
    <t>Інші заходи в галузі культури і мистецтва</t>
  </si>
  <si>
    <t>Відділ молоді та спорту Чорноморської міської ради Одеського району Одеської області</t>
  </si>
  <si>
    <t>1113133</t>
  </si>
  <si>
    <t>3133</t>
  </si>
  <si>
    <t>Інші заходи та заклади молодіжної політики</t>
  </si>
  <si>
    <t>1115011</t>
  </si>
  <si>
    <t>5011</t>
  </si>
  <si>
    <t>0810</t>
  </si>
  <si>
    <t>Проведення навчально-тренувальних зборів і змагань з олімпійських видів спорту</t>
  </si>
  <si>
    <t>1115012</t>
  </si>
  <si>
    <t>5012</t>
  </si>
  <si>
    <t>Проведення навчально-тренувальних зборів і змагань з неолімпійських видів спорту</t>
  </si>
  <si>
    <t>1115061</t>
  </si>
  <si>
    <t>5061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</si>
  <si>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</si>
  <si>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0610</t>
  </si>
  <si>
    <t>Експлуатація та технічне обслуговування житлового фонду</t>
  </si>
  <si>
    <t>1216015</t>
  </si>
  <si>
    <t>6015</t>
  </si>
  <si>
    <t>0620</t>
  </si>
  <si>
    <t>Забезпечення надійної та безперебійної експлуатації ліфтів</t>
  </si>
  <si>
    <t>1216017</t>
  </si>
  <si>
    <t>6017</t>
  </si>
  <si>
    <t>Інша діяльність, пов'язана з експлуатацією об'єктів житлово - комунального господарства</t>
  </si>
  <si>
    <t>1216030</t>
  </si>
  <si>
    <t>6030</t>
  </si>
  <si>
    <t>Організація благоустрою  населених пунктів</t>
  </si>
  <si>
    <t>1217461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</si>
  <si>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</si>
  <si>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</si>
  <si>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</si>
  <si>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1217691</t>
  </si>
  <si>
    <t>7691</t>
  </si>
  <si>
    <t>0490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</si>
  <si>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</si>
  <si>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1217693</t>
  </si>
  <si>
    <t>7693</t>
  </si>
  <si>
    <t>Інші заходи, пов'язані в економічною діяльністю</t>
  </si>
  <si>
    <t>3117693</t>
  </si>
  <si>
    <t>3118240</t>
  </si>
  <si>
    <t>Фінансове управління Чорноморської міської ради Одеського району Одеської області</t>
  </si>
  <si>
    <t>Інші субвенції з місцевого бюджету</t>
  </si>
  <si>
    <t>Субвенція з місцевого бюджету державному бюджету на виконання програм соціально-економічного розвитку регіонів</t>
  </si>
  <si>
    <t>09.01.2006р. 
№ 511-IV
(зі змінами)</t>
  </si>
  <si>
    <t>УСЬОГО ЗА ПРОГРАМАМИ</t>
  </si>
  <si>
    <t>Додаток 6</t>
  </si>
  <si>
    <t>0216030</t>
  </si>
  <si>
    <t>Міська цільова програма розвитку житлово-комунального господарства Чорноморської міської територіальної громади на 2025-2027 роки</t>
  </si>
  <si>
    <t>23.12.2024р.
№ 741-VIII
(зі змінами)</t>
  </si>
  <si>
    <t>0217520</t>
  </si>
  <si>
    <t>7520</t>
  </si>
  <si>
    <t>0460</t>
  </si>
  <si>
    <t>Реалізація Національної програми інформатизації</t>
  </si>
  <si>
    <t xml:space="preserve">Міська цільова програма інформатизації Чорноморської міської ради Одеської області на 2024-2026 роки </t>
  </si>
  <si>
    <t>08.08.2024р.
 №649-VIII
(зі змінами)</t>
  </si>
  <si>
    <t>0218110</t>
  </si>
  <si>
    <t>0218340</t>
  </si>
  <si>
    <t>8340</t>
  </si>
  <si>
    <t>0540</t>
  </si>
  <si>
    <t>Природоохоронні заходи за рахунок цільових фондів</t>
  </si>
  <si>
    <t>Міська програма охорони довкілля, раціонального використання природних ресурсів та забезпечення  екологічної безпеки на  території Чорноморської міської територіальної громади Одеського району Одеської  області на 2024-2026 роки</t>
  </si>
  <si>
    <t>12.04.2024р.
 №562-VIII
(зі змінами)</t>
  </si>
  <si>
    <t>0611070</t>
  </si>
  <si>
    <t>Надання позашкільної освіти закладами позашкільної освіти, заходи із позашкільної роботи з дітьми</t>
  </si>
  <si>
    <t>0611151</t>
  </si>
  <si>
    <t>1151</t>
  </si>
  <si>
    <t>0990</t>
  </si>
  <si>
    <t>Забезпечення діяльності інклюзивно-ресурсних центрів за рахунок коштів місцевого бюджету</t>
  </si>
  <si>
    <t>0611160</t>
  </si>
  <si>
    <t>1160</t>
  </si>
  <si>
    <t>Забезпечення діяльності центрів професійного розвитку педагогічних працівників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</si>
  <si>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</si>
  <si>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</si>
  <si>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0615031</t>
  </si>
  <si>
    <t>5031</t>
  </si>
  <si>
    <t>Розвиток здібностей у дітей та молоді з фізичної культури та спорту комунальними дитячо-юнацькими спортивними школами</t>
  </si>
  <si>
    <t>0617520</t>
  </si>
  <si>
    <t>0813140</t>
  </si>
  <si>
    <t>0817520</t>
  </si>
  <si>
    <t>Міська цільова програма надання поворотної фінансової допомоги (резервних коштів) патронатному вихователю нп території Чорноморської міської територіальної громади на 2025-2027 роки</t>
  </si>
  <si>
    <t xml:space="preserve">23.12.2024р.  
№ 735-VIII </t>
  </si>
  <si>
    <t>0917520</t>
  </si>
  <si>
    <t>1017520</t>
  </si>
  <si>
    <t>1117520</t>
  </si>
  <si>
    <t>1216011</t>
  </si>
  <si>
    <t>0640</t>
  </si>
  <si>
    <t>1217520</t>
  </si>
  <si>
    <t>Реалізація проектів (заходів) з відновлення закладів охорони здоров'я, пошкоджених/знищених внаслідок збройної агресії, за рахунок коштів місцевих бюджетів</t>
  </si>
  <si>
    <t>6091</t>
  </si>
  <si>
    <t>1518110</t>
  </si>
  <si>
    <t>3116090</t>
  </si>
  <si>
    <t>Інша діяльність у сфері житлово-комунального господарства</t>
  </si>
  <si>
    <t>08.08.2024р.
 №649-VIII</t>
  </si>
  <si>
    <t>Міська цільова програма надання поворотної фінансової допомоги (резервних коштів) патронатному вихователю на території Чорноморської міської територіальної громади на 2025-2027 роки</t>
  </si>
  <si>
    <t xml:space="preserve">до рішення </t>
  </si>
  <si>
    <t>Чорноморської міської ради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</si>
  <si>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</si>
  <si>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головного розпорядника коштів міського бюджету / відповідального виконавця</t>
  </si>
  <si>
    <t>Усього</t>
  </si>
  <si>
    <t>4.1.</t>
  </si>
  <si>
    <t>4.2.</t>
  </si>
  <si>
    <t>Управління освіти Чорноморської міської ради Одеського району Одеської області</t>
  </si>
  <si>
    <t>Міська програма співфінансування заходів, направлених на доведення багатоквартирних житлових будинків 13-го мікрорайону м.Чорноморська до стану, придатного для проживання, на 2021 - 2026 роки</t>
  </si>
  <si>
    <t>12.04.2021р.
 №55-VIII
(зі змінами)</t>
  </si>
  <si>
    <t>Управління капітального будівництва Чорноморської міської ради Одеського району Одеської області</t>
  </si>
  <si>
    <t>Виконавчий комітет Чорноморської міської ради Одеського району Одеської області</t>
  </si>
  <si>
    <t>1218340</t>
  </si>
  <si>
    <t>Відділ комунального господарства та благоустрою Чорноморської міської ради Одеського району Одеської області</t>
  </si>
  <si>
    <t>Служба у справах дітей Чорноморської міської ради Одеського району Одеської області</t>
  </si>
  <si>
    <t>Управління комунальної власності та земельних відносин Чорноморської міської ради Одеського району Одеської області</t>
  </si>
  <si>
    <t>6011</t>
  </si>
  <si>
    <t>1216013</t>
  </si>
  <si>
    <t>6013</t>
  </si>
  <si>
    <t>Забезпечення діяльності водопровідно-каналізаційного господарства</t>
  </si>
  <si>
    <t>1216091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</si>
  <si>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</si>
  <si>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1217640</t>
  </si>
  <si>
    <t xml:space="preserve"> Заходи з енергозбереження</t>
  </si>
  <si>
    <t>1516091</t>
  </si>
  <si>
    <t>Міська цільова програма розроблення містобудівної документації населених пунктів Чорноморської міської  територіальної громади на 2025-2027 роки</t>
  </si>
  <si>
    <t>28.02.2025р.
№ 798-VIII</t>
  </si>
  <si>
    <t>0217351</t>
  </si>
  <si>
    <t>7351</t>
  </si>
  <si>
    <t>0443</t>
  </si>
  <si>
    <t>Розроблення комплексних планів просторового розвитку територій територіальних громад</t>
  </si>
  <si>
    <t>Міська цільова програма розвитку земельних відносин Чорноморської міської територіальної громади Одеського району Одеської області на 2025-2027 роки</t>
  </si>
  <si>
    <t>11.04.2025р.
№ 818-VIII
(зі змінами)</t>
  </si>
  <si>
    <t>3117130</t>
  </si>
  <si>
    <t>7130</t>
  </si>
  <si>
    <t>0421</t>
  </si>
  <si>
    <t>Здійснення заходів із землеустрою</t>
  </si>
  <si>
    <t>Міська цільова програма з функціонування інтегрованої системи відеоспостереження та відеоаналітики Чорноморської міської територальної громади на 2026-2030 роки</t>
  </si>
  <si>
    <t>05.12.2025р. 
№ 980-VIII</t>
  </si>
  <si>
    <t>05.12.2025
№980-VIII</t>
  </si>
  <si>
    <t>Міська цільова програма капітального ремонту (заміни) ліфтового господарства комунального підприємства "Міське управління житлово-комунального господарства" Чорноморської міської ради Одеського району Одеської області на 2026-2028 роки</t>
  </si>
  <si>
    <t>05.12.2025р. 
№ 986-VIII</t>
  </si>
  <si>
    <t>Міська цільова програма сприяння діяльності об'єднань співвласників багатоквартирних будинків, житлово-будівельних кооперативів у багатоквартирних будинках на території Чорноморської міської територіальної громади на 2026 - 2028 роки</t>
  </si>
  <si>
    <t>05.12.2025р. 
№ 987-VIII</t>
  </si>
  <si>
    <t>Міська цільова програма проведення технічної інвентаризації та виготовлення технічних паспортів багатоквартирних житлових будинків, які розташовані на території Чорноморської міської територіальної громади  та знаходяться в управлінні комунального підприємства «Міське управління житлово - комунального господарства», на 2026 – 2028 роки</t>
  </si>
  <si>
    <t>05.12.2025р. 
№ 988-VIII</t>
  </si>
  <si>
    <t>Міська цільова програма "Молодь Чорноморської міської територіальної громади" на 2026-2028 роки</t>
  </si>
  <si>
    <t>24.12.2025
№ 999-VIII</t>
  </si>
  <si>
    <t>24.12.2025         № 999-VIII</t>
  </si>
  <si>
    <t>Міська цільова програма розвитку фізичної культури і спорту на території Чорноморської міської територіальної громади на 2026-2028 роки</t>
  </si>
  <si>
    <t>24.12.2025         № 1000-VIII</t>
  </si>
  <si>
    <t>Розвиток спортивної інфраструктури</t>
  </si>
  <si>
    <t>1117691</t>
  </si>
  <si>
    <t>Міська цільова програма підтримки ветеранів війни, членів іх сімей, членів сімей загиблих (померлих) ветеранів війни, членів сімей загиблих (померлих) Захисників і Захисниць України Чорноморської міської територіальної громади на 2026-2028 роки</t>
  </si>
  <si>
    <t>24.12.2025         № 1001-VIII</t>
  </si>
  <si>
    <t>0813191</t>
  </si>
  <si>
    <t>3191</t>
  </si>
  <si>
    <t>Інші видатки на соціальний захист ветеранів війни та праці</t>
  </si>
  <si>
    <t>Міська цільова програма "Здоров’я населення Чорноморської  міської територіальної громади на 2026-2030 роки"</t>
  </si>
  <si>
    <t>24.12.2025         № 1003-VIII
(зі змінами)</t>
  </si>
  <si>
    <t>Міська цільова програма "Здоров’я населення Чорноморської  міської територіальної громади на 2026 - 2030 роки"</t>
  </si>
  <si>
    <t>0212170</t>
  </si>
  <si>
    <t>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</si>
  <si>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</si>
  <si>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Міська цільова програми підтримки Сил оборони і безпеки  України, а також  посилення  заходів громадської безпеки в умовах воєнного стану на території Чорноморської міської територіальної громади  на 2026 рік</t>
  </si>
  <si>
    <t>24.12.2025
№ 1006-VIII
(зі змінами)</t>
  </si>
  <si>
    <t>3719800</t>
  </si>
  <si>
    <t>9800</t>
  </si>
  <si>
    <t xml:space="preserve">Субвенція з місцевого бюджету державному бюджету на виконання програм соціально-економічного розвитку регіонів
</t>
  </si>
  <si>
    <t>Міська цільова програма забезпечення проведення заходів і робіт з мобілізаційної підготовки місцевого значення та мобілізації Чорноморської міської територіальної громади на 2026-2028 роки</t>
  </si>
  <si>
    <t>24.12.2025         № 1007-VIII</t>
  </si>
  <si>
    <t>Міська цільова програма протидії злочинності та посилення громадської безпеки  на території Чорноморської міської територіальної громади на 2026 рік</t>
  </si>
  <si>
    <t>24.12.2025         № 1008-VIII</t>
  </si>
  <si>
    <t>Міська цільова програма фінансової підтримки комунальних підприємств Чорноморської міської ради Одеського району Одеської області на 2026 рік</t>
  </si>
  <si>
    <t>24.12.2025         № 1009-VIII</t>
  </si>
  <si>
    <t>Міська цільова програма фінансової підтримки комунальних підприємств Чорноморської міської ради Одеського району Одеської області на 2026 рік.</t>
  </si>
  <si>
    <t>Міська цільова програма фінансової підтримки Чорноморського міського суду Одеської області на 2026 рік</t>
  </si>
  <si>
    <t>24.12.2025         № 1011-VIII</t>
  </si>
  <si>
    <t>Міська цільова програма підтримки здобуття професійної (професійно-технічної), фахової передвищої освіти на умовах регіонального замовлення у відповідних закладах освіти, що розташовані та діють на території Чорноморської міської  територіальної громади, на 2026 рік</t>
  </si>
  <si>
    <t>24.12.2025         № 1012-VIII</t>
  </si>
  <si>
    <t>Міська цільова програма розвитку культури та мистецтва Чорноморської міської територіальної громади на 2026-2030 роки</t>
  </si>
  <si>
    <t>06.02.2026
№ 1029-VIII</t>
  </si>
  <si>
    <t>Інші заходи та заклади у сфері соціального захисту і соціального забезпечення</t>
  </si>
  <si>
    <t>Міська цільова програма розвитку освіти Чорноморської міської територіальної громади на 2026-2030 роки</t>
  </si>
  <si>
    <t>06.02.2026
№ 1032-VIII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</si>
  <si>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</si>
  <si>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розвитку, за рахунок коштів місцевого бюджету</t>
  </si>
  <si>
    <t>0611120</t>
  </si>
  <si>
    <t>1120</t>
  </si>
  <si>
    <t>0950</t>
  </si>
  <si>
    <t>Підвищення кваліфікації, перепідготовка кадрів закладами післядипломної освіти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</si>
  <si>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</si>
  <si>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</si>
  <si>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Міська цільова програма відпочинку та оздоровлення дітей Чорноморської міської територіальної громади на 2026-2028 роки</t>
  </si>
  <si>
    <t>06.02.2026
№ 1034-VIII</t>
  </si>
  <si>
    <t>Міська цільова програма підтримки внутрішньо переміщених осіб на території Чорноморської міської територіальної громади на 2026-2028 роки</t>
  </si>
  <si>
    <t>06.02.2026
№ 1035-VIII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</si>
  <si>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</si>
  <si>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Міська цільова програма соціального захисту та надання соціальних послуг населенню Чорноморської міської територіальної громади на 2026-2028 роки</t>
  </si>
  <si>
    <t>06.02.2026
№ 1036-VIII</t>
  </si>
  <si>
    <t>95</t>
  </si>
  <si>
    <t>0813035</t>
  </si>
  <si>
    <t>3035</t>
  </si>
  <si>
    <t>Компенсаційні виплати за пільговий проїзд окремих категорій громадян на залізничному транспорті</t>
  </si>
  <si>
    <t>Міська цільова програма забезпечення жителів Чорноморської міської територіальної громади засобами для ендопротезування суглобів на 2026 рік</t>
  </si>
  <si>
    <t>06.02.2026
№ 1037-VIII</t>
  </si>
  <si>
    <t>96</t>
  </si>
  <si>
    <t>Міська цільова  програма цивільного захисту населення і територій від надзвичайних ситуацій техногенного, природного і воєнного характеру, забезпечення пожежної безпеки на території Чорноморської міської територіальної громади на 2026 – 2030 роки</t>
  </si>
  <si>
    <t>06.02.2026
№ 1042-VIII</t>
  </si>
  <si>
    <t>Міська цільова програма цивільного захисту населення і територій від надзвичайних ситуацій техногенного, природного і воєнного характеру, забезпечення пожежної безпеки на території Чорноморської міської територіальної громади на 2026 - 2030 роки</t>
  </si>
  <si>
    <t>0818110</t>
  </si>
  <si>
    <t>1018110</t>
  </si>
  <si>
    <t>1218110</t>
  </si>
  <si>
    <t>1511300</t>
  </si>
  <si>
    <t>1512171</t>
  </si>
  <si>
    <t>1517691</t>
  </si>
  <si>
    <t>Міська цільова програма часткової компенсації вартості закупівлі альтернативних джерел енергії для забезпечення потреб мешканців багатоквартирних житлових будинків на території Чорноморської міської територіальної громади на 2026-2027 роки</t>
  </si>
  <si>
    <t>06.02.2026
№ 1043-VIII</t>
  </si>
  <si>
    <t>Інша діяльність, пов'язана з експлуатацією об'єктів житлово-комунального господарства</t>
  </si>
  <si>
    <t>Міська цільова програма підтримки малого та середнього підприємництва на території Чорноморської міської територіальної громади на 2026-2028 роки</t>
  </si>
  <si>
    <t>13.03.2026
№ 1061-VIII</t>
  </si>
  <si>
    <t>0217610</t>
  </si>
  <si>
    <t>0411</t>
  </si>
  <si>
    <t>Сприяння розвитку малого та середнього підприємництва</t>
  </si>
  <si>
    <t>ВИКОНКОМ</t>
  </si>
  <si>
    <t>УПРАВЛІННЯ ОСВІТИ</t>
  </si>
  <si>
    <t>УСП</t>
  </si>
  <si>
    <t>ССД</t>
  </si>
  <si>
    <t>ВІДДІЛ КУЛЬТУРИ</t>
  </si>
  <si>
    <t>ВМС</t>
  </si>
  <si>
    <t>ВКГБ</t>
  </si>
  <si>
    <t>УКБ</t>
  </si>
  <si>
    <t>УКВЗВ</t>
  </si>
  <si>
    <t>ФІНУПРАВЛІННЯ</t>
  </si>
  <si>
    <t>РАЗОМ</t>
  </si>
  <si>
    <t>Затверджено розписом на звітний рік з урахуванням змін, грн</t>
  </si>
  <si>
    <t>Виконано за звітний період, грн</t>
  </si>
  <si>
    <t xml:space="preserve">Звіт про витрати бюджету Чорноморської міської територіальної громади  на реалізацію міських програм за 1  півріччя  2026 року </t>
  </si>
  <si>
    <t>1516015</t>
  </si>
  <si>
    <t>1517370</t>
  </si>
  <si>
    <t>Реалізація інших заходів щодо соціально-економічного розвитку територій</t>
  </si>
  <si>
    <t>1516012</t>
  </si>
  <si>
    <t>6012</t>
  </si>
  <si>
    <t>Забезпечення діяльності з виробництва, транспортування, постачання теплової енергії</t>
  </si>
  <si>
    <t>9720</t>
  </si>
  <si>
    <t>Субвенція з місцевого бюджету на підготовку та реалізацію публічних інвестиційних проектів/програм публічних інвестицій</t>
  </si>
  <si>
    <t>3118110</t>
  </si>
  <si>
    <t>Міська цільова програма підвищення ефективності виконання делегованих повноважень Чорноморською міською радою Одеського району Одеської області у взаємодії з органами виконавчої влади Одеського району Одеської області щодо реалізації державної регіональної  політики на 2026 рік</t>
  </si>
  <si>
    <t>13.04.2026
№  1075 -VIII</t>
  </si>
  <si>
    <t>13.04.2026
№ 1075 -VIII</t>
  </si>
  <si>
    <t xml:space="preserve">Міська цільова програма підтримки Головного управління ДПС в Одеській області у сфері обслуговування платників податків на території Чорноморської міської територіальної громади на 2026 рік </t>
  </si>
  <si>
    <t>19.06.2026
№ 1118-VIII</t>
  </si>
  <si>
    <t>Міська цільов програма підтримки Регіонального сервісного центру ГСЦ МВС в Одеській, Миколаївській та Херсонській  областях у сфері надання адміністративних послуг на 2026  рік</t>
  </si>
  <si>
    <t>19.06.2026
№ 1115-VIII</t>
  </si>
  <si>
    <t>1115062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</si>
  <si>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</si>
  <si>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</si>
  <si>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Світлана  ПЄРКОВА</t>
  </si>
  <si>
    <t>Заступник начальника фінансового управління - начальник бюджетного відділу</t>
  </si>
  <si>
    <t>від   24.07. 2026 № 1146 -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</si>
</sst>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8" fillId="0" borderId="0"/>
    <xf numFmtId="0" fontId="9" fillId="0" borderId="0"/>
    <xf numFmtId="0" fontId="1" fillId="0" borderId="0"/>
  </cellStyleXfs>
  <cellXfs count="69">
    <xf numFmtId="0" fontId="0" fillId="0" borderId="0" xfId="0"/>
    <xf numFmtId="0" fontId="2" fillId="2" borderId="0" xfId="7" applyFont="1" applyFill="1" applyAlignment="1">
      <alignment horizontal="center" vertical="center"/>
    </xf>
    <xf numFmtId="0" fontId="3" fillId="2" borderId="4" xfId="7" applyFont="1" applyFill="1" applyBorder="1" applyAlignment="1">
      <alignment horizontal="left" vertical="center" wrapText="1"/>
    </xf>
    <xf numFmtId="49" fontId="4" fillId="2" borderId="4" xfId="7" applyNumberFormat="1" applyFont="1" applyFill="1" applyBorder="1" applyAlignment="1">
      <alignment horizontal="center" vertical="center"/>
    </xf>
    <xf numFmtId="0" fontId="3" fillId="2" borderId="0" xfId="7" applyFont="1" applyFill="1" applyAlignment="1">
      <alignment horizontal="center"/>
    </xf>
    <xf numFmtId="0" fontId="3" fillId="2" borderId="0" xfId="7" applyFont="1" applyFill="1" applyAlignment="1">
      <alignment horizontal="left"/>
    </xf>
    <xf numFmtId="0" fontId="3" fillId="2" borderId="0" xfId="7" applyFont="1" applyFill="1" applyAlignment="1">
      <alignment horizontal="left" vertical="center" wrapText="1"/>
    </xf>
    <xf numFmtId="0" fontId="3" fillId="2" borderId="0" xfId="7" applyFont="1" applyFill="1"/>
    <xf numFmtId="164" fontId="2" fillId="2" borderId="4" xfId="7" applyNumberFormat="1" applyFont="1" applyFill="1" applyBorder="1" applyAlignment="1">
      <alignment horizontal="center" vertical="center"/>
    </xf>
    <xf numFmtId="0" fontId="2" fillId="2" borderId="4" xfId="7" applyFont="1" applyFill="1" applyBorder="1" applyAlignment="1">
      <alignment horizontal="center" vertical="center"/>
    </xf>
    <xf numFmtId="0" fontId="4" fillId="2" borderId="4" xfId="6" applyFont="1" applyFill="1" applyBorder="1" applyAlignment="1">
      <alignment horizontal="left" vertical="center" wrapText="1"/>
    </xf>
    <xf numFmtId="3" fontId="2" fillId="2" borderId="4" xfId="7" applyNumberFormat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left" vertical="center" wrapText="1"/>
    </xf>
    <xf numFmtId="4" fontId="3" fillId="2" borderId="0" xfId="7" applyNumberFormat="1" applyFont="1" applyFill="1"/>
    <xf numFmtId="0" fontId="3" fillId="2" borderId="4" xfId="7" applyFont="1" applyFill="1" applyBorder="1" applyAlignment="1">
      <alignment horizontal="center" vertical="center" wrapText="1"/>
    </xf>
    <xf numFmtId="14" fontId="2" fillId="2" borderId="4" xfId="7" applyNumberFormat="1" applyFont="1" applyFill="1" applyBorder="1" applyAlignment="1">
      <alignment horizontal="center" vertical="center" wrapText="1"/>
    </xf>
    <xf numFmtId="0" fontId="3" fillId="2" borderId="0" xfId="7" applyFont="1" applyFill="1" applyAlignment="1">
      <alignment horizontal="center" vertical="center"/>
    </xf>
    <xf numFmtId="4" fontId="2" fillId="2" borderId="4" xfId="7" applyNumberFormat="1" applyFont="1" applyFill="1" applyBorder="1" applyAlignment="1">
      <alignment horizontal="center" vertical="center"/>
    </xf>
    <xf numFmtId="4" fontId="3" fillId="2" borderId="4" xfId="7" applyNumberFormat="1" applyFont="1" applyFill="1" applyBorder="1" applyAlignment="1">
      <alignment horizontal="center" vertical="center"/>
    </xf>
    <xf numFmtId="14" fontId="3" fillId="2" borderId="4" xfId="7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5" xfId="7" applyFont="1" applyFill="1" applyBorder="1" applyAlignment="1">
      <alignment horizontal="center" vertical="center" wrapText="1"/>
    </xf>
    <xf numFmtId="0" fontId="2" fillId="2" borderId="4" xfId="7" applyFont="1" applyFill="1" applyBorder="1" applyAlignment="1">
      <alignment horizontal="center" vertical="center" wrapText="1"/>
    </xf>
    <xf numFmtId="0" fontId="2" fillId="2" borderId="4" xfId="7" quotePrefix="1" applyFont="1" applyFill="1" applyBorder="1" applyAlignment="1">
      <alignment horizontal="center" vertical="center" wrapText="1"/>
    </xf>
    <xf numFmtId="49" fontId="3" fillId="2" borderId="4" xfId="7" applyNumberFormat="1" applyFont="1" applyFill="1" applyBorder="1" applyAlignment="1">
      <alignment horizontal="center" vertical="center" wrapText="1"/>
    </xf>
    <xf numFmtId="0" fontId="3" fillId="2" borderId="4" xfId="7" quotePrefix="1" applyFont="1" applyFill="1" applyBorder="1" applyAlignment="1">
      <alignment vertical="center" wrapText="1"/>
    </xf>
    <xf numFmtId="0" fontId="4" fillId="2" borderId="4" xfId="6" applyFont="1" applyFill="1" applyBorder="1" applyAlignment="1">
      <alignment horizontal="center" vertical="center" wrapText="1"/>
    </xf>
    <xf numFmtId="49" fontId="3" fillId="2" borderId="4" xfId="4" applyNumberFormat="1" applyFont="1" applyFill="1" applyBorder="1" applyAlignment="1">
      <alignment horizontal="center" vertical="center" wrapText="1"/>
    </xf>
    <xf numFmtId="0" fontId="4" fillId="2" borderId="4" xfId="7" applyFont="1" applyFill="1" applyBorder="1" applyAlignment="1">
      <alignment horizontal="center" vertical="center" wrapText="1"/>
    </xf>
    <xf numFmtId="0" fontId="4" fillId="2" borderId="4" xfId="7" applyFont="1" applyFill="1" applyBorder="1" applyAlignment="1">
      <alignment horizontal="left" vertical="center" wrapText="1"/>
    </xf>
    <xf numFmtId="0" fontId="3" fillId="2" borderId="4" xfId="7" quotePrefix="1" applyFont="1" applyFill="1" applyBorder="1" applyAlignment="1">
      <alignment horizontal="center" vertical="center" wrapText="1"/>
    </xf>
    <xf numFmtId="0" fontId="3" fillId="2" borderId="4" xfId="7" quotePrefix="1" applyFont="1" applyFill="1" applyBorder="1" applyAlignment="1">
      <alignment horizontal="left" vertical="center" wrapText="1"/>
    </xf>
    <xf numFmtId="49" fontId="4" fillId="2" borderId="2" xfId="7" applyNumberFormat="1" applyFont="1" applyFill="1" applyBorder="1" applyAlignment="1">
      <alignment horizontal="center" vertical="center"/>
    </xf>
    <xf numFmtId="0" fontId="3" fillId="2" borderId="4" xfId="7" applyFont="1" applyFill="1" applyBorder="1" applyAlignment="1">
      <alignment horizontal="center" vertical="center"/>
    </xf>
    <xf numFmtId="0" fontId="6" fillId="2" borderId="4" xfId="7" applyFont="1" applyFill="1" applyBorder="1" applyAlignment="1">
      <alignment vertical="center" wrapText="1"/>
    </xf>
    <xf numFmtId="3" fontId="3" fillId="2" borderId="4" xfId="7" applyNumberFormat="1" applyFont="1" applyFill="1" applyBorder="1" applyAlignment="1">
      <alignment horizontal="center" vertical="center"/>
    </xf>
    <xf numFmtId="0" fontId="4" fillId="2" borderId="4" xfId="7" applyFont="1" applyFill="1" applyBorder="1" applyAlignment="1">
      <alignment horizontal="center" vertical="center"/>
    </xf>
    <xf numFmtId="0" fontId="4" fillId="2" borderId="4" xfId="7" applyFont="1" applyFill="1" applyBorder="1" applyAlignment="1">
      <alignment horizontal="left" vertical="center"/>
    </xf>
    <xf numFmtId="0" fontId="4" fillId="2" borderId="4" xfId="6" applyFont="1" applyFill="1" applyBorder="1" applyAlignment="1">
      <alignment vertical="center" wrapText="1"/>
    </xf>
    <xf numFmtId="0" fontId="4" fillId="2" borderId="4" xfId="7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3" fontId="3" fillId="2" borderId="4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wrapText="1"/>
    </xf>
    <xf numFmtId="16" fontId="3" fillId="2" borderId="4" xfId="1" applyNumberFormat="1" applyFont="1" applyFill="1" applyBorder="1" applyAlignment="1">
      <alignment horizontal="center" vertical="center" wrapText="1"/>
    </xf>
    <xf numFmtId="0" fontId="2" fillId="2" borderId="0" xfId="7" applyFont="1" applyFill="1" applyAlignment="1">
      <alignment horizontal="left" vertical="center"/>
    </xf>
    <xf numFmtId="4" fontId="3" fillId="2" borderId="0" xfId="7" applyNumberFormat="1" applyFont="1" applyFill="1" applyAlignment="1">
      <alignment horizontal="center" vertical="center"/>
    </xf>
    <xf numFmtId="4" fontId="4" fillId="2" borderId="0" xfId="7" applyNumberFormat="1" applyFont="1" applyFill="1" applyAlignment="1">
      <alignment horizontal="center" vertical="center"/>
    </xf>
    <xf numFmtId="0" fontId="3" fillId="2" borderId="4" xfId="7" applyFont="1" applyFill="1" applyBorder="1" applyAlignment="1">
      <alignment horizontal="right"/>
    </xf>
    <xf numFmtId="164" fontId="3" fillId="2" borderId="4" xfId="7" applyNumberFormat="1" applyFont="1" applyFill="1" applyBorder="1" applyAlignment="1">
      <alignment horizontal="center" vertical="center"/>
    </xf>
    <xf numFmtId="0" fontId="3" fillId="2" borderId="4" xfId="7" applyFont="1" applyFill="1" applyBorder="1" applyAlignment="1">
      <alignment horizontal="left"/>
    </xf>
    <xf numFmtId="0" fontId="2" fillId="2" borderId="4" xfId="7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vertical="center" wrapText="1"/>
    </xf>
    <xf numFmtId="0" fontId="3" fillId="2" borderId="0" xfId="7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2" fillId="2" borderId="2" xfId="7" applyFont="1" applyFill="1" applyBorder="1" applyAlignment="1">
      <alignment horizontal="center" vertical="center" wrapText="1"/>
    </xf>
    <xf numFmtId="0" fontId="2" fillId="2" borderId="5" xfId="7" applyFont="1" applyFill="1" applyBorder="1" applyAlignment="1">
      <alignment horizontal="center" vertical="center" wrapText="1"/>
    </xf>
    <xf numFmtId="0" fontId="2" fillId="2" borderId="6" xfId="7" applyFont="1" applyFill="1" applyBorder="1" applyAlignment="1">
      <alignment horizontal="center" vertical="center" wrapText="1"/>
    </xf>
    <xf numFmtId="0" fontId="2" fillId="2" borderId="4" xfId="7" applyFont="1" applyFill="1" applyBorder="1" applyAlignment="1">
      <alignment horizontal="center" vertical="center" wrapText="1"/>
    </xf>
    <xf numFmtId="0" fontId="2" fillId="2" borderId="4" xfId="7" quotePrefix="1" applyFont="1" applyFill="1" applyBorder="1" applyAlignment="1">
      <alignment horizontal="center" vertical="center" wrapText="1"/>
    </xf>
    <xf numFmtId="0" fontId="2" fillId="2" borderId="4" xfId="7" applyFont="1" applyFill="1" applyBorder="1" applyAlignment="1">
      <alignment horizontal="center" vertical="center"/>
    </xf>
    <xf numFmtId="3" fontId="3" fillId="2" borderId="4" xfId="1" applyNumberFormat="1" applyFont="1" applyFill="1" applyBorder="1" applyAlignment="1">
      <alignment horizontal="center" vertical="center" wrapText="1"/>
    </xf>
    <xf numFmtId="3" fontId="10" fillId="2" borderId="4" xfId="1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</cellXfs>
  <cellStyles count="8">
    <cellStyle name="Звичайний" xfId="0" builtinId="0"/>
    <cellStyle name="Звичайний 2" xfId="7" xr:uid="{00000000-0005-0000-0000-000001000000}"/>
    <cellStyle name="Обычный 11 2" xfId="4" xr:uid="{00000000-0005-0000-0000-000002000000}"/>
    <cellStyle name="Обычный 17 5 6" xfId="5" xr:uid="{00000000-0005-0000-0000-000003000000}"/>
    <cellStyle name="Обычный 2" xfId="2" xr:uid="{00000000-0005-0000-0000-000004000000}"/>
    <cellStyle name="Обычный 3" xfId="3" xr:uid="{00000000-0005-0000-0000-000005000000}"/>
    <cellStyle name="Обычный 3 2" xfId="1" xr:uid="{00000000-0005-0000-0000-000006000000}"/>
    <cellStyle name="Обычный_дод 3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1"/>
  <sheetViews>
    <sheetView showZeros="0" tabSelected="1" view="pageBreakPreview" topLeftCell="H1" zoomScale="80" zoomScaleNormal="80" zoomScaleSheetLayoutView="80" workbookViewId="0">
      <pane ySplit="10" topLeftCell="A44" activePane="bottomLeft" state="frozen"/>
      <selection pane="bottomLeft" activeCell="P4" sqref="P4:R4"/>
    </sheetView>
  </sheetViews>
  <sheetFormatPr defaultColWidth="9.109375" defaultRowHeight="15.6" x14ac:dyDescent="0.3"/>
  <cols>
    <col min="1" max="1" width="10.5546875" style="4" customWidth="1"/>
    <col min="2" max="2" width="9.33203125" style="17" hidden="1" customWidth="1"/>
    <col min="3" max="3" width="12.33203125" style="17" customWidth="1"/>
    <col min="4" max="4" width="12" style="4" customWidth="1"/>
    <col min="5" max="5" width="40.33203125" style="5" customWidth="1"/>
    <col min="6" max="6" width="38" style="5" customWidth="1"/>
    <col min="7" max="7" width="52.33203125" style="5" customWidth="1"/>
    <col min="8" max="8" width="16.6640625" style="17" customWidth="1"/>
    <col min="9" max="9" width="19" style="17" customWidth="1"/>
    <col min="10" max="10" width="19.33203125" style="17" customWidth="1"/>
    <col min="11" max="11" width="19.6640625" style="17" customWidth="1"/>
    <col min="12" max="12" width="20.109375" style="17" customWidth="1"/>
    <col min="13" max="13" width="19.5546875" style="7" customWidth="1"/>
    <col min="14" max="14" width="19.44140625" style="7" bestFit="1" customWidth="1"/>
    <col min="15" max="16" width="18" style="7" bestFit="1" customWidth="1"/>
    <col min="17" max="17" width="9.88671875" style="7" bestFit="1" customWidth="1"/>
    <col min="18" max="18" width="20.33203125" style="7" customWidth="1"/>
    <col min="19" max="16384" width="9.109375" style="7"/>
  </cols>
  <sheetData>
    <row r="1" spans="1:18" x14ac:dyDescent="0.3">
      <c r="J1" s="55"/>
      <c r="K1" s="55"/>
      <c r="L1" s="55"/>
      <c r="P1" s="55" t="s">
        <v>151</v>
      </c>
      <c r="Q1" s="55"/>
      <c r="R1" s="55"/>
    </row>
    <row r="2" spans="1:18" x14ac:dyDescent="0.3">
      <c r="J2" s="55"/>
      <c r="K2" s="55"/>
      <c r="L2" s="55"/>
      <c r="P2" s="55" t="s">
        <v>200</v>
      </c>
      <c r="Q2" s="55"/>
      <c r="R2" s="55"/>
    </row>
    <row r="3" spans="1:18" x14ac:dyDescent="0.3">
      <c r="J3" s="55"/>
      <c r="K3" s="55"/>
      <c r="L3" s="55"/>
      <c r="P3" s="55" t="s">
        <v>201</v>
      </c>
      <c r="Q3" s="55"/>
      <c r="R3" s="55"/>
    </row>
    <row r="4" spans="1:18" x14ac:dyDescent="0.3">
      <c r="J4" s="56"/>
      <c r="K4" s="56"/>
      <c r="L4" s="56"/>
      <c r="P4" s="56" t="s">
        <v>359</v>
      </c>
      <c r="Q4" s="56"/>
      <c r="R4" s="56"/>
    </row>
    <row r="6" spans="1:18" ht="15.6" customHeight="1" x14ac:dyDescent="0.3">
      <c r="A6" s="68" t="s">
        <v>337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</row>
    <row r="7" spans="1:18" x14ac:dyDescent="0.3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8" x14ac:dyDescent="0.3">
      <c r="A8" s="54" t="s">
        <v>0</v>
      </c>
      <c r="B8" s="42"/>
      <c r="C8" s="54" t="s">
        <v>1</v>
      </c>
      <c r="D8" s="54" t="s">
        <v>2</v>
      </c>
      <c r="E8" s="54" t="s">
        <v>202</v>
      </c>
      <c r="F8" s="54" t="s">
        <v>203</v>
      </c>
      <c r="G8" s="54" t="s">
        <v>3</v>
      </c>
      <c r="H8" s="54" t="s">
        <v>4</v>
      </c>
      <c r="I8" s="64" t="s">
        <v>335</v>
      </c>
      <c r="J8" s="64"/>
      <c r="K8" s="64"/>
      <c r="L8" s="64"/>
      <c r="M8" s="64" t="s">
        <v>336</v>
      </c>
      <c r="N8" s="64"/>
      <c r="O8" s="64"/>
      <c r="P8" s="64"/>
      <c r="Q8" s="65" t="s">
        <v>5</v>
      </c>
      <c r="R8" s="65"/>
    </row>
    <row r="9" spans="1:18" x14ac:dyDescent="0.3">
      <c r="A9" s="54"/>
      <c r="B9" s="43"/>
      <c r="C9" s="54"/>
      <c r="D9" s="54"/>
      <c r="E9" s="54"/>
      <c r="F9" s="54"/>
      <c r="G9" s="54"/>
      <c r="H9" s="54"/>
      <c r="I9" s="63" t="s">
        <v>204</v>
      </c>
      <c r="J9" s="63" t="s">
        <v>6</v>
      </c>
      <c r="K9" s="63" t="s">
        <v>7</v>
      </c>
      <c r="L9" s="63"/>
      <c r="M9" s="63" t="s">
        <v>204</v>
      </c>
      <c r="N9" s="63" t="s">
        <v>6</v>
      </c>
      <c r="O9" s="63" t="s">
        <v>7</v>
      </c>
      <c r="P9" s="63"/>
      <c r="Q9" s="66" t="s">
        <v>5</v>
      </c>
      <c r="R9" s="66" t="s">
        <v>8</v>
      </c>
    </row>
    <row r="10" spans="1:18" ht="159" customHeight="1" x14ac:dyDescent="0.3">
      <c r="A10" s="54"/>
      <c r="B10" s="43"/>
      <c r="C10" s="54"/>
      <c r="D10" s="54"/>
      <c r="E10" s="54"/>
      <c r="F10" s="54"/>
      <c r="G10" s="54"/>
      <c r="H10" s="54"/>
      <c r="I10" s="63"/>
      <c r="J10" s="63"/>
      <c r="K10" s="44" t="s">
        <v>9</v>
      </c>
      <c r="L10" s="44" t="s">
        <v>10</v>
      </c>
      <c r="M10" s="63"/>
      <c r="N10" s="63"/>
      <c r="O10" s="44" t="s">
        <v>9</v>
      </c>
      <c r="P10" s="44" t="s">
        <v>10</v>
      </c>
      <c r="Q10" s="67"/>
      <c r="R10" s="67"/>
    </row>
    <row r="11" spans="1:18" s="17" customFormat="1" x14ac:dyDescent="0.3">
      <c r="A11" s="45">
        <v>1</v>
      </c>
      <c r="B11" s="43"/>
      <c r="C11" s="43">
        <v>2</v>
      </c>
      <c r="D11" s="45">
        <v>3</v>
      </c>
      <c r="E11" s="46" t="s">
        <v>205</v>
      </c>
      <c r="F11" s="43" t="s">
        <v>206</v>
      </c>
      <c r="G11" s="43">
        <v>5</v>
      </c>
      <c r="H11" s="43">
        <v>6</v>
      </c>
      <c r="I11" s="44">
        <v>7</v>
      </c>
      <c r="J11" s="44">
        <v>8</v>
      </c>
      <c r="K11" s="44">
        <v>9</v>
      </c>
      <c r="L11" s="44">
        <v>10</v>
      </c>
      <c r="M11" s="44">
        <v>11</v>
      </c>
      <c r="N11" s="44">
        <v>12</v>
      </c>
      <c r="O11" s="44">
        <v>13</v>
      </c>
      <c r="P11" s="44">
        <v>14</v>
      </c>
      <c r="Q11" s="34">
        <v>15</v>
      </c>
      <c r="R11" s="34">
        <v>16</v>
      </c>
    </row>
    <row r="12" spans="1:18" s="1" customFormat="1" ht="46.8" x14ac:dyDescent="0.3">
      <c r="A12" s="23">
        <v>1</v>
      </c>
      <c r="B12" s="22">
        <v>1</v>
      </c>
      <c r="C12" s="57" t="s">
        <v>58</v>
      </c>
      <c r="D12" s="58"/>
      <c r="E12" s="58"/>
      <c r="F12" s="58"/>
      <c r="G12" s="59"/>
      <c r="H12" s="23" t="s">
        <v>149</v>
      </c>
      <c r="I12" s="18">
        <f>J12+K12</f>
        <v>366700</v>
      </c>
      <c r="J12" s="18">
        <f>J13</f>
        <v>366700</v>
      </c>
      <c r="K12" s="18"/>
      <c r="L12" s="18"/>
      <c r="M12" s="18">
        <f>N12+O12</f>
        <v>156657.49</v>
      </c>
      <c r="N12" s="18">
        <f>N13</f>
        <v>156657.49</v>
      </c>
      <c r="O12" s="18"/>
      <c r="P12" s="18"/>
      <c r="Q12" s="8">
        <f>M12/I12</f>
        <v>0.42720886283065174</v>
      </c>
      <c r="R12" s="18">
        <f>M12-I12</f>
        <v>-210042.51</v>
      </c>
    </row>
    <row r="13" spans="1:18" s="17" customFormat="1" ht="46.8" x14ac:dyDescent="0.3">
      <c r="A13" s="25" t="s">
        <v>56</v>
      </c>
      <c r="B13" s="15">
        <v>1</v>
      </c>
      <c r="C13" s="15">
        <v>3242</v>
      </c>
      <c r="D13" s="15">
        <v>1090</v>
      </c>
      <c r="E13" s="2" t="s">
        <v>57</v>
      </c>
      <c r="F13" s="2" t="s">
        <v>207</v>
      </c>
      <c r="G13" s="2" t="s">
        <v>58</v>
      </c>
      <c r="H13" s="15" t="s">
        <v>59</v>
      </c>
      <c r="I13" s="19">
        <f>J13+K13</f>
        <v>366700</v>
      </c>
      <c r="J13" s="19">
        <v>366700</v>
      </c>
      <c r="K13" s="19"/>
      <c r="L13" s="19"/>
      <c r="M13" s="19">
        <f>N13+O13</f>
        <v>156657.49</v>
      </c>
      <c r="N13" s="19">
        <v>156657.49</v>
      </c>
      <c r="O13" s="19"/>
      <c r="P13" s="19"/>
      <c r="Q13" s="8">
        <f t="shared" ref="Q13:Q80" si="0">M13/I13</f>
        <v>0.42720886283065174</v>
      </c>
      <c r="R13" s="18">
        <f t="shared" ref="R13:R80" si="1">M13-I13</f>
        <v>-210042.51</v>
      </c>
    </row>
    <row r="14" spans="1:18" s="1" customFormat="1" ht="46.8" x14ac:dyDescent="0.3">
      <c r="A14" s="23">
        <v>2</v>
      </c>
      <c r="B14" s="9">
        <v>20</v>
      </c>
      <c r="C14" s="60" t="s">
        <v>208</v>
      </c>
      <c r="D14" s="60"/>
      <c r="E14" s="60"/>
      <c r="F14" s="60"/>
      <c r="G14" s="60"/>
      <c r="H14" s="23" t="s">
        <v>209</v>
      </c>
      <c r="I14" s="18">
        <f>J14+K14</f>
        <v>9374445</v>
      </c>
      <c r="J14" s="18">
        <f>J15+J16</f>
        <v>9374445</v>
      </c>
      <c r="K14" s="18">
        <f t="shared" ref="K14:L14" si="2">K15+K16</f>
        <v>0</v>
      </c>
      <c r="L14" s="18">
        <f t="shared" si="2"/>
        <v>0</v>
      </c>
      <c r="M14" s="18">
        <f>N14+O14</f>
        <v>0</v>
      </c>
      <c r="N14" s="18">
        <f>N15+N16</f>
        <v>0</v>
      </c>
      <c r="O14" s="18">
        <f t="shared" ref="O14:P14" si="3">O15+O16</f>
        <v>0</v>
      </c>
      <c r="P14" s="18">
        <f t="shared" si="3"/>
        <v>0</v>
      </c>
      <c r="Q14" s="8">
        <f t="shared" si="0"/>
        <v>0</v>
      </c>
      <c r="R14" s="18">
        <f t="shared" si="1"/>
        <v>-9374445</v>
      </c>
    </row>
    <row r="15" spans="1:18" s="1" customFormat="1" ht="78" x14ac:dyDescent="0.3">
      <c r="A15" s="25" t="s">
        <v>338</v>
      </c>
      <c r="B15" s="15">
        <v>20</v>
      </c>
      <c r="C15" s="15">
        <v>6015</v>
      </c>
      <c r="D15" s="25" t="s">
        <v>125</v>
      </c>
      <c r="E15" s="26" t="s">
        <v>126</v>
      </c>
      <c r="F15" s="2" t="s">
        <v>210</v>
      </c>
      <c r="G15" s="2" t="s">
        <v>208</v>
      </c>
      <c r="H15" s="15" t="s">
        <v>209</v>
      </c>
      <c r="I15" s="19">
        <f>SUM(J15:K15)</f>
        <v>402000</v>
      </c>
      <c r="J15" s="19">
        <v>402000</v>
      </c>
      <c r="K15" s="19"/>
      <c r="L15" s="19"/>
      <c r="M15" s="19">
        <f>SUM(N15:O15)</f>
        <v>0</v>
      </c>
      <c r="N15" s="19"/>
      <c r="O15" s="19"/>
      <c r="P15" s="19"/>
      <c r="Q15" s="8">
        <f t="shared" ref="Q15" si="4">M15/I15</f>
        <v>0</v>
      </c>
      <c r="R15" s="18">
        <f t="shared" ref="R15" si="5">M15-I15</f>
        <v>-402000</v>
      </c>
    </row>
    <row r="16" spans="1:18" s="17" customFormat="1" ht="97.5" customHeight="1" x14ac:dyDescent="0.3">
      <c r="A16" s="25" t="s">
        <v>339</v>
      </c>
      <c r="B16" s="15">
        <v>20</v>
      </c>
      <c r="C16" s="15">
        <v>7370</v>
      </c>
      <c r="D16" s="25" t="s">
        <v>139</v>
      </c>
      <c r="E16" s="26" t="s">
        <v>340</v>
      </c>
      <c r="F16" s="2" t="s">
        <v>210</v>
      </c>
      <c r="G16" s="2" t="s">
        <v>208</v>
      </c>
      <c r="H16" s="15" t="s">
        <v>209</v>
      </c>
      <c r="I16" s="19">
        <f>SUM(J16:K16)</f>
        <v>8972445</v>
      </c>
      <c r="J16" s="19">
        <v>8972445</v>
      </c>
      <c r="K16" s="19"/>
      <c r="L16" s="19"/>
      <c r="M16" s="19">
        <f>SUM(N16:O16)</f>
        <v>0</v>
      </c>
      <c r="N16" s="19"/>
      <c r="O16" s="19"/>
      <c r="P16" s="19"/>
      <c r="Q16" s="8">
        <f t="shared" si="0"/>
        <v>0</v>
      </c>
      <c r="R16" s="18">
        <f t="shared" si="1"/>
        <v>-8972445</v>
      </c>
    </row>
    <row r="17" spans="1:18" s="1" customFormat="1" ht="46.8" x14ac:dyDescent="0.3">
      <c r="A17" s="23">
        <v>3</v>
      </c>
      <c r="B17" s="9">
        <v>56</v>
      </c>
      <c r="C17" s="60" t="s">
        <v>166</v>
      </c>
      <c r="D17" s="60"/>
      <c r="E17" s="60"/>
      <c r="F17" s="60"/>
      <c r="G17" s="60"/>
      <c r="H17" s="23" t="s">
        <v>167</v>
      </c>
      <c r="I17" s="18">
        <f>J17+K17</f>
        <v>1189184</v>
      </c>
      <c r="J17" s="18"/>
      <c r="K17" s="18">
        <f>K18+K19</f>
        <v>1189184</v>
      </c>
      <c r="L17" s="18">
        <f>L18+L19</f>
        <v>0</v>
      </c>
      <c r="M17" s="18">
        <f>N17+O17</f>
        <v>0</v>
      </c>
      <c r="N17" s="18"/>
      <c r="O17" s="18">
        <f>O18+O19</f>
        <v>0</v>
      </c>
      <c r="P17" s="18">
        <f>P18+P19</f>
        <v>0</v>
      </c>
      <c r="Q17" s="8">
        <f t="shared" si="0"/>
        <v>0</v>
      </c>
      <c r="R17" s="18">
        <f t="shared" si="1"/>
        <v>-1189184</v>
      </c>
    </row>
    <row r="18" spans="1:18" s="17" customFormat="1" ht="78" x14ac:dyDescent="0.3">
      <c r="A18" s="3" t="s">
        <v>162</v>
      </c>
      <c r="B18" s="27">
        <v>56</v>
      </c>
      <c r="C18" s="3" t="s">
        <v>163</v>
      </c>
      <c r="D18" s="3" t="s">
        <v>164</v>
      </c>
      <c r="E18" s="10" t="s">
        <v>165</v>
      </c>
      <c r="F18" s="10" t="s">
        <v>211</v>
      </c>
      <c r="G18" s="2" t="s">
        <v>166</v>
      </c>
      <c r="H18" s="15" t="s">
        <v>167</v>
      </c>
      <c r="I18" s="19">
        <f>J18+K18</f>
        <v>100000</v>
      </c>
      <c r="J18" s="19"/>
      <c r="K18" s="19">
        <v>100000</v>
      </c>
      <c r="L18" s="19"/>
      <c r="M18" s="19">
        <f>N18+O18</f>
        <v>0</v>
      </c>
      <c r="N18" s="19"/>
      <c r="O18" s="19"/>
      <c r="P18" s="19"/>
      <c r="Q18" s="8">
        <f t="shared" si="0"/>
        <v>0</v>
      </c>
      <c r="R18" s="18">
        <f t="shared" si="1"/>
        <v>-100000</v>
      </c>
    </row>
    <row r="19" spans="1:18" s="17" customFormat="1" ht="78" x14ac:dyDescent="0.3">
      <c r="A19" s="3" t="s">
        <v>212</v>
      </c>
      <c r="B19" s="27">
        <v>56</v>
      </c>
      <c r="C19" s="3" t="s">
        <v>163</v>
      </c>
      <c r="D19" s="3" t="s">
        <v>164</v>
      </c>
      <c r="E19" s="10" t="s">
        <v>165</v>
      </c>
      <c r="F19" s="10" t="s">
        <v>213</v>
      </c>
      <c r="G19" s="2" t="s">
        <v>166</v>
      </c>
      <c r="H19" s="15" t="s">
        <v>167</v>
      </c>
      <c r="I19" s="19">
        <f>J19+K19</f>
        <v>1089184</v>
      </c>
      <c r="J19" s="19"/>
      <c r="K19" s="19">
        <f>650000+439184</f>
        <v>1089184</v>
      </c>
      <c r="L19" s="19"/>
      <c r="M19" s="19">
        <f>N19+O19</f>
        <v>0</v>
      </c>
      <c r="N19" s="19"/>
      <c r="O19" s="19"/>
      <c r="P19" s="19"/>
      <c r="Q19" s="8">
        <f t="shared" si="0"/>
        <v>0</v>
      </c>
      <c r="R19" s="18">
        <f t="shared" si="1"/>
        <v>-1089184</v>
      </c>
    </row>
    <row r="20" spans="1:18" s="1" customFormat="1" ht="46.8" x14ac:dyDescent="0.3">
      <c r="A20" s="23">
        <v>4</v>
      </c>
      <c r="B20" s="9">
        <v>61</v>
      </c>
      <c r="C20" s="57" t="s">
        <v>159</v>
      </c>
      <c r="D20" s="58"/>
      <c r="E20" s="58"/>
      <c r="F20" s="58"/>
      <c r="G20" s="59"/>
      <c r="H20" s="23" t="s">
        <v>160</v>
      </c>
      <c r="I20" s="18">
        <f t="shared" ref="I20:I95" si="6">J20+K20</f>
        <v>5884920</v>
      </c>
      <c r="J20" s="18">
        <f>J21+J22+J23+J24+J25+J26+J27+J28+J29+J30</f>
        <v>5884920</v>
      </c>
      <c r="K20" s="18">
        <f>K21+K22+K23+K24+K25+K26+K27+K28+K29+K30</f>
        <v>0</v>
      </c>
      <c r="L20" s="18">
        <f>L21+L22+L23+L24+L25+L26+L27+L28+L29+L30</f>
        <v>0</v>
      </c>
      <c r="M20" s="18">
        <f t="shared" ref="M20:M28" si="7">N20+O20</f>
        <v>1691595.2</v>
      </c>
      <c r="N20" s="18">
        <f>N21+N22+N23+N24+N25+N26+N27+N28+N29+N30</f>
        <v>1691595.2</v>
      </c>
      <c r="O20" s="18">
        <f>O21+O22+O23+O24+O25+O26+O27+O28+O29+O30</f>
        <v>0</v>
      </c>
      <c r="P20" s="18">
        <f>P21+P22+P23+P24+P25+P26+P27+P28+P29+P30</f>
        <v>0</v>
      </c>
      <c r="Q20" s="8">
        <f t="shared" si="0"/>
        <v>0.28744574267789536</v>
      </c>
      <c r="R20" s="18">
        <f t="shared" si="1"/>
        <v>-4193324.8</v>
      </c>
    </row>
    <row r="21" spans="1:18" s="17" customFormat="1" ht="46.8" x14ac:dyDescent="0.3">
      <c r="A21" s="28" t="s">
        <v>155</v>
      </c>
      <c r="B21" s="29">
        <v>61</v>
      </c>
      <c r="C21" s="3" t="s">
        <v>156</v>
      </c>
      <c r="D21" s="3" t="s">
        <v>157</v>
      </c>
      <c r="E21" s="30" t="s">
        <v>158</v>
      </c>
      <c r="F21" s="10" t="s">
        <v>211</v>
      </c>
      <c r="G21" s="2" t="s">
        <v>159</v>
      </c>
      <c r="H21" s="15" t="s">
        <v>160</v>
      </c>
      <c r="I21" s="19">
        <f t="shared" si="6"/>
        <v>1722200</v>
      </c>
      <c r="J21" s="19">
        <v>1722200</v>
      </c>
      <c r="K21" s="19"/>
      <c r="L21" s="19"/>
      <c r="M21" s="19">
        <f t="shared" si="7"/>
        <v>638199.39999999991</v>
      </c>
      <c r="N21" s="19">
        <f>457582.8+1008+450+4000+60369.6+114789</f>
        <v>638199.39999999991</v>
      </c>
      <c r="O21" s="19"/>
      <c r="P21" s="19"/>
      <c r="Q21" s="8">
        <f t="shared" si="0"/>
        <v>0.37057217512484025</v>
      </c>
      <c r="R21" s="18">
        <f t="shared" si="1"/>
        <v>-1084000.6000000001</v>
      </c>
    </row>
    <row r="22" spans="1:18" s="17" customFormat="1" ht="46.8" x14ac:dyDescent="0.3">
      <c r="A22" s="28" t="s">
        <v>182</v>
      </c>
      <c r="B22" s="29">
        <v>61</v>
      </c>
      <c r="C22" s="3" t="s">
        <v>156</v>
      </c>
      <c r="D22" s="3" t="s">
        <v>157</v>
      </c>
      <c r="E22" s="30" t="s">
        <v>158</v>
      </c>
      <c r="F22" s="2" t="s">
        <v>207</v>
      </c>
      <c r="G22" s="2" t="s">
        <v>159</v>
      </c>
      <c r="H22" s="15" t="s">
        <v>160</v>
      </c>
      <c r="I22" s="19">
        <f t="shared" si="6"/>
        <v>2429900</v>
      </c>
      <c r="J22" s="19">
        <v>2429900</v>
      </c>
      <c r="K22" s="19"/>
      <c r="L22" s="19"/>
      <c r="M22" s="19">
        <f t="shared" si="7"/>
        <v>719260</v>
      </c>
      <c r="N22" s="19">
        <v>719260</v>
      </c>
      <c r="O22" s="19"/>
      <c r="P22" s="19"/>
      <c r="Q22" s="8">
        <f t="shared" si="0"/>
        <v>0.29600395077986746</v>
      </c>
      <c r="R22" s="18">
        <f t="shared" si="1"/>
        <v>-1710640</v>
      </c>
    </row>
    <row r="23" spans="1:18" s="17" customFormat="1" ht="46.8" x14ac:dyDescent="0.3">
      <c r="A23" s="3" t="s">
        <v>184</v>
      </c>
      <c r="B23" s="29">
        <v>61</v>
      </c>
      <c r="C23" s="3" t="s">
        <v>156</v>
      </c>
      <c r="D23" s="3" t="s">
        <v>157</v>
      </c>
      <c r="E23" s="30" t="s">
        <v>158</v>
      </c>
      <c r="F23" s="30" t="s">
        <v>63</v>
      </c>
      <c r="G23" s="2" t="s">
        <v>159</v>
      </c>
      <c r="H23" s="15" t="s">
        <v>160</v>
      </c>
      <c r="I23" s="19">
        <f t="shared" si="6"/>
        <v>989300</v>
      </c>
      <c r="J23" s="19">
        <v>989300</v>
      </c>
      <c r="K23" s="19"/>
      <c r="L23" s="19"/>
      <c r="M23" s="19">
        <f t="shared" si="7"/>
        <v>81106</v>
      </c>
      <c r="N23" s="19">
        <f>32650+43398+5058</f>
        <v>81106</v>
      </c>
      <c r="O23" s="19"/>
      <c r="P23" s="19"/>
      <c r="Q23" s="8">
        <f t="shared" si="0"/>
        <v>8.1983220458910336E-2</v>
      </c>
      <c r="R23" s="18">
        <f t="shared" si="1"/>
        <v>-908194</v>
      </c>
    </row>
    <row r="24" spans="1:18" s="17" customFormat="1" ht="46.8" x14ac:dyDescent="0.3">
      <c r="A24" s="3" t="s">
        <v>187</v>
      </c>
      <c r="B24" s="29">
        <v>61</v>
      </c>
      <c r="C24" s="3" t="s">
        <v>156</v>
      </c>
      <c r="D24" s="3" t="s">
        <v>157</v>
      </c>
      <c r="E24" s="30" t="s">
        <v>158</v>
      </c>
      <c r="F24" s="30" t="s">
        <v>214</v>
      </c>
      <c r="G24" s="2" t="s">
        <v>159</v>
      </c>
      <c r="H24" s="15" t="s">
        <v>160</v>
      </c>
      <c r="I24" s="19">
        <f t="shared" si="6"/>
        <v>19000</v>
      </c>
      <c r="J24" s="19">
        <f>9000+10000</f>
        <v>19000</v>
      </c>
      <c r="K24" s="19"/>
      <c r="L24" s="19"/>
      <c r="M24" s="19">
        <f t="shared" si="7"/>
        <v>4334</v>
      </c>
      <c r="N24" s="19">
        <v>4334</v>
      </c>
      <c r="O24" s="19"/>
      <c r="P24" s="19"/>
      <c r="Q24" s="8">
        <f t="shared" si="0"/>
        <v>0.22810526315789473</v>
      </c>
      <c r="R24" s="18">
        <f t="shared" si="1"/>
        <v>-14666</v>
      </c>
    </row>
    <row r="25" spans="1:18" s="17" customFormat="1" ht="46.8" x14ac:dyDescent="0.3">
      <c r="A25" s="3" t="s">
        <v>188</v>
      </c>
      <c r="B25" s="29">
        <v>61</v>
      </c>
      <c r="C25" s="3" t="s">
        <v>156</v>
      </c>
      <c r="D25" s="3" t="s">
        <v>157</v>
      </c>
      <c r="E25" s="30" t="s">
        <v>158</v>
      </c>
      <c r="F25" s="30" t="s">
        <v>91</v>
      </c>
      <c r="G25" s="2" t="s">
        <v>159</v>
      </c>
      <c r="H25" s="15" t="s">
        <v>160</v>
      </c>
      <c r="I25" s="19">
        <f t="shared" si="6"/>
        <v>285300</v>
      </c>
      <c r="J25" s="19">
        <v>285300</v>
      </c>
      <c r="K25" s="19"/>
      <c r="L25" s="19"/>
      <c r="M25" s="19">
        <f t="shared" si="7"/>
        <v>100964</v>
      </c>
      <c r="N25" s="19">
        <v>100964</v>
      </c>
      <c r="O25" s="19"/>
      <c r="P25" s="19"/>
      <c r="Q25" s="8">
        <f t="shared" si="0"/>
        <v>0.35388713634770419</v>
      </c>
      <c r="R25" s="18">
        <f t="shared" si="1"/>
        <v>-184336</v>
      </c>
    </row>
    <row r="26" spans="1:18" s="17" customFormat="1" ht="46.8" x14ac:dyDescent="0.3">
      <c r="A26" s="3" t="s">
        <v>189</v>
      </c>
      <c r="B26" s="29">
        <v>61</v>
      </c>
      <c r="C26" s="3" t="s">
        <v>156</v>
      </c>
      <c r="D26" s="3" t="s">
        <v>157</v>
      </c>
      <c r="E26" s="30" t="s">
        <v>158</v>
      </c>
      <c r="F26" s="30" t="s">
        <v>107</v>
      </c>
      <c r="G26" s="2" t="s">
        <v>159</v>
      </c>
      <c r="H26" s="15" t="s">
        <v>160</v>
      </c>
      <c r="I26" s="19">
        <f t="shared" si="6"/>
        <v>76600</v>
      </c>
      <c r="J26" s="19">
        <v>76600</v>
      </c>
      <c r="K26" s="19"/>
      <c r="L26" s="19"/>
      <c r="M26" s="19">
        <f t="shared" si="7"/>
        <v>37386</v>
      </c>
      <c r="N26" s="19">
        <f>11874+25512</f>
        <v>37386</v>
      </c>
      <c r="O26" s="19"/>
      <c r="P26" s="19"/>
      <c r="Q26" s="8">
        <f t="shared" si="0"/>
        <v>0.48806788511749349</v>
      </c>
      <c r="R26" s="18">
        <f t="shared" si="1"/>
        <v>-39214</v>
      </c>
    </row>
    <row r="27" spans="1:18" s="17" customFormat="1" ht="62.4" x14ac:dyDescent="0.3">
      <c r="A27" s="3" t="s">
        <v>192</v>
      </c>
      <c r="B27" s="29">
        <v>61</v>
      </c>
      <c r="C27" s="3" t="s">
        <v>156</v>
      </c>
      <c r="D27" s="3" t="s">
        <v>157</v>
      </c>
      <c r="E27" s="30" t="s">
        <v>158</v>
      </c>
      <c r="F27" s="10" t="s">
        <v>213</v>
      </c>
      <c r="G27" s="2" t="s">
        <v>159</v>
      </c>
      <c r="H27" s="15" t="s">
        <v>160</v>
      </c>
      <c r="I27" s="19">
        <f t="shared" si="6"/>
        <v>86420</v>
      </c>
      <c r="J27" s="19">
        <v>86420</v>
      </c>
      <c r="K27" s="19">
        <f>36000-36000</f>
        <v>0</v>
      </c>
      <c r="L27" s="19">
        <f>36000-36000</f>
        <v>0</v>
      </c>
      <c r="M27" s="19">
        <f t="shared" si="7"/>
        <v>5402</v>
      </c>
      <c r="N27" s="19">
        <v>5402</v>
      </c>
      <c r="O27" s="19">
        <f>36000-36000</f>
        <v>0</v>
      </c>
      <c r="P27" s="19">
        <f>36000-36000</f>
        <v>0</v>
      </c>
      <c r="Q27" s="8">
        <f t="shared" si="0"/>
        <v>6.2508678546632723E-2</v>
      </c>
      <c r="R27" s="18">
        <f t="shared" si="1"/>
        <v>-81018</v>
      </c>
    </row>
    <row r="28" spans="1:18" s="17" customFormat="1" ht="62.4" x14ac:dyDescent="0.3">
      <c r="A28" s="15">
        <v>1517520</v>
      </c>
      <c r="B28" s="29">
        <v>61</v>
      </c>
      <c r="C28" s="15">
        <v>7520</v>
      </c>
      <c r="D28" s="15">
        <v>460</v>
      </c>
      <c r="E28" s="30" t="s">
        <v>158</v>
      </c>
      <c r="F28" s="30" t="s">
        <v>210</v>
      </c>
      <c r="G28" s="2" t="s">
        <v>159</v>
      </c>
      <c r="H28" s="15" t="s">
        <v>160</v>
      </c>
      <c r="I28" s="19">
        <f t="shared" si="6"/>
        <v>84000</v>
      </c>
      <c r="J28" s="19">
        <v>84000</v>
      </c>
      <c r="K28" s="19"/>
      <c r="L28" s="19"/>
      <c r="M28" s="19">
        <f t="shared" si="7"/>
        <v>17694</v>
      </c>
      <c r="N28" s="19">
        <v>17694</v>
      </c>
      <c r="O28" s="19"/>
      <c r="P28" s="19"/>
      <c r="Q28" s="8">
        <f t="shared" si="0"/>
        <v>0.21064285714285713</v>
      </c>
      <c r="R28" s="18">
        <f t="shared" si="1"/>
        <v>-66306</v>
      </c>
    </row>
    <row r="29" spans="1:18" s="1" customFormat="1" ht="75.75" customHeight="1" x14ac:dyDescent="0.3">
      <c r="A29" s="15">
        <v>3117520</v>
      </c>
      <c r="B29" s="29">
        <v>61</v>
      </c>
      <c r="C29" s="15">
        <v>7520</v>
      </c>
      <c r="D29" s="15">
        <v>460</v>
      </c>
      <c r="E29" s="30" t="s">
        <v>158</v>
      </c>
      <c r="F29" s="30" t="s">
        <v>215</v>
      </c>
      <c r="G29" s="2" t="s">
        <v>159</v>
      </c>
      <c r="H29" s="15" t="s">
        <v>160</v>
      </c>
      <c r="I29" s="19">
        <f>J29+K29</f>
        <v>23100</v>
      </c>
      <c r="J29" s="19">
        <v>23100</v>
      </c>
      <c r="K29" s="18"/>
      <c r="L29" s="18"/>
      <c r="M29" s="19">
        <f>N29+O29</f>
        <v>0</v>
      </c>
      <c r="N29" s="19"/>
      <c r="O29" s="18"/>
      <c r="P29" s="18"/>
      <c r="Q29" s="8">
        <f t="shared" si="0"/>
        <v>0</v>
      </c>
      <c r="R29" s="18">
        <f t="shared" si="1"/>
        <v>-23100</v>
      </c>
    </row>
    <row r="30" spans="1:18" s="17" customFormat="1" ht="46.8" x14ac:dyDescent="0.3">
      <c r="A30" s="15">
        <v>3717520</v>
      </c>
      <c r="B30" s="29">
        <v>61</v>
      </c>
      <c r="C30" s="15">
        <v>7520</v>
      </c>
      <c r="D30" s="15">
        <v>460</v>
      </c>
      <c r="E30" s="30" t="s">
        <v>158</v>
      </c>
      <c r="F30" s="30" t="s">
        <v>146</v>
      </c>
      <c r="G30" s="2" t="s">
        <v>159</v>
      </c>
      <c r="H30" s="15" t="s">
        <v>198</v>
      </c>
      <c r="I30" s="19">
        <f>J30+K30</f>
        <v>169100</v>
      </c>
      <c r="J30" s="19">
        <v>169100</v>
      </c>
      <c r="K30" s="19"/>
      <c r="L30" s="19"/>
      <c r="M30" s="19">
        <f>N30+O30</f>
        <v>87249.8</v>
      </c>
      <c r="N30" s="19">
        <v>87249.8</v>
      </c>
      <c r="O30" s="19"/>
      <c r="P30" s="19"/>
      <c r="Q30" s="8">
        <f t="shared" si="0"/>
        <v>0.5159657007687759</v>
      </c>
      <c r="R30" s="18">
        <f t="shared" si="1"/>
        <v>-81850.2</v>
      </c>
    </row>
    <row r="31" spans="1:18" s="1" customFormat="1" ht="31.2" x14ac:dyDescent="0.3">
      <c r="A31" s="23">
        <v>5</v>
      </c>
      <c r="B31" s="9">
        <v>65</v>
      </c>
      <c r="C31" s="57" t="s">
        <v>199</v>
      </c>
      <c r="D31" s="58"/>
      <c r="E31" s="58"/>
      <c r="F31" s="58"/>
      <c r="G31" s="59"/>
      <c r="H31" s="23" t="s">
        <v>186</v>
      </c>
      <c r="I31" s="18">
        <f t="shared" si="6"/>
        <v>14400</v>
      </c>
      <c r="J31" s="18">
        <f>J32</f>
        <v>14400</v>
      </c>
      <c r="K31" s="18"/>
      <c r="L31" s="18"/>
      <c r="M31" s="18">
        <f t="shared" ref="M31:M47" si="8">N31+O31</f>
        <v>0</v>
      </c>
      <c r="N31" s="18">
        <f>N32</f>
        <v>0</v>
      </c>
      <c r="O31" s="18"/>
      <c r="P31" s="18"/>
      <c r="Q31" s="8">
        <f t="shared" si="0"/>
        <v>0</v>
      </c>
      <c r="R31" s="18">
        <f t="shared" si="1"/>
        <v>-14400</v>
      </c>
    </row>
    <row r="32" spans="1:18" s="17" customFormat="1" ht="78" x14ac:dyDescent="0.3">
      <c r="A32" s="25" t="s">
        <v>88</v>
      </c>
      <c r="B32" s="31">
        <v>65</v>
      </c>
      <c r="C32" s="15" t="s">
        <v>89</v>
      </c>
      <c r="D32" s="15" t="s">
        <v>54</v>
      </c>
      <c r="E32" s="32" t="s">
        <v>90</v>
      </c>
      <c r="F32" s="30" t="s">
        <v>214</v>
      </c>
      <c r="G32" s="2" t="s">
        <v>185</v>
      </c>
      <c r="H32" s="15" t="s">
        <v>186</v>
      </c>
      <c r="I32" s="19">
        <f t="shared" si="6"/>
        <v>14400</v>
      </c>
      <c r="J32" s="19">
        <v>14400</v>
      </c>
      <c r="K32" s="19"/>
      <c r="L32" s="19"/>
      <c r="M32" s="19">
        <f t="shared" si="8"/>
        <v>0</v>
      </c>
      <c r="N32" s="19"/>
      <c r="O32" s="19"/>
      <c r="P32" s="19"/>
      <c r="Q32" s="8">
        <f t="shared" si="0"/>
        <v>0</v>
      </c>
      <c r="R32" s="18">
        <f t="shared" si="1"/>
        <v>-14400</v>
      </c>
    </row>
    <row r="33" spans="1:18" s="1" customFormat="1" ht="46.8" x14ac:dyDescent="0.3">
      <c r="A33" s="23">
        <v>6</v>
      </c>
      <c r="B33" s="9">
        <v>68</v>
      </c>
      <c r="C33" s="57" t="s">
        <v>153</v>
      </c>
      <c r="D33" s="58"/>
      <c r="E33" s="58"/>
      <c r="F33" s="58"/>
      <c r="G33" s="59"/>
      <c r="H33" s="23" t="s">
        <v>154</v>
      </c>
      <c r="I33" s="18">
        <f t="shared" si="6"/>
        <v>197542949.92000002</v>
      </c>
      <c r="J33" s="18">
        <f>SUM(J34:J44)</f>
        <v>163456836</v>
      </c>
      <c r="K33" s="18">
        <f t="shared" ref="K33:L33" si="9">SUM(K34:K44)</f>
        <v>34086113.920000002</v>
      </c>
      <c r="L33" s="18">
        <f t="shared" si="9"/>
        <v>31831310</v>
      </c>
      <c r="M33" s="18">
        <f t="shared" si="8"/>
        <v>88951512.930000007</v>
      </c>
      <c r="N33" s="18">
        <f>SUM(N34:N44)</f>
        <v>69493688.550000012</v>
      </c>
      <c r="O33" s="18">
        <f t="shared" ref="O33:P33" si="10">SUM(O34:O44)</f>
        <v>19457824.380000003</v>
      </c>
      <c r="P33" s="18">
        <f t="shared" si="10"/>
        <v>19457824.380000003</v>
      </c>
      <c r="Q33" s="8">
        <f t="shared" si="0"/>
        <v>0.45028948370986238</v>
      </c>
      <c r="R33" s="18">
        <f t="shared" si="1"/>
        <v>-108591436.99000001</v>
      </c>
    </row>
    <row r="34" spans="1:18" s="17" customFormat="1" ht="46.8" x14ac:dyDescent="0.3">
      <c r="A34" s="3" t="s">
        <v>152</v>
      </c>
      <c r="B34" s="27">
        <v>68</v>
      </c>
      <c r="C34" s="3" t="s">
        <v>131</v>
      </c>
      <c r="D34" s="3" t="s">
        <v>125</v>
      </c>
      <c r="E34" s="10" t="s">
        <v>132</v>
      </c>
      <c r="F34" s="10" t="s">
        <v>211</v>
      </c>
      <c r="G34" s="2" t="s">
        <v>153</v>
      </c>
      <c r="H34" s="15" t="s">
        <v>154</v>
      </c>
      <c r="I34" s="19">
        <f t="shared" si="6"/>
        <v>16283900</v>
      </c>
      <c r="J34" s="19">
        <v>16283900</v>
      </c>
      <c r="K34" s="19"/>
      <c r="L34" s="19"/>
      <c r="M34" s="19">
        <f t="shared" si="8"/>
        <v>7924017.4199999999</v>
      </c>
      <c r="N34" s="19">
        <f>4438337.13+2296745.39+1188934.9</f>
        <v>7924017.4199999999</v>
      </c>
      <c r="O34" s="19"/>
      <c r="P34" s="19"/>
      <c r="Q34" s="8">
        <f t="shared" si="0"/>
        <v>0.48661668396391528</v>
      </c>
      <c r="R34" s="18">
        <f t="shared" si="1"/>
        <v>-8359882.5800000001</v>
      </c>
    </row>
    <row r="35" spans="1:18" s="17" customFormat="1" ht="62.4" x14ac:dyDescent="0.3">
      <c r="A35" s="3" t="s">
        <v>190</v>
      </c>
      <c r="B35" s="27">
        <v>68</v>
      </c>
      <c r="C35" s="3" t="s">
        <v>216</v>
      </c>
      <c r="D35" s="3" t="s">
        <v>121</v>
      </c>
      <c r="E35" s="10" t="s">
        <v>122</v>
      </c>
      <c r="F35" s="10" t="s">
        <v>213</v>
      </c>
      <c r="G35" s="2" t="s">
        <v>153</v>
      </c>
      <c r="H35" s="15" t="s">
        <v>154</v>
      </c>
      <c r="I35" s="19">
        <f t="shared" si="6"/>
        <v>924908</v>
      </c>
      <c r="J35" s="19">
        <f>227819+175089+522000</f>
        <v>924908</v>
      </c>
      <c r="K35" s="19"/>
      <c r="L35" s="19"/>
      <c r="M35" s="19">
        <f t="shared" si="8"/>
        <v>0</v>
      </c>
      <c r="N35" s="19"/>
      <c r="O35" s="19"/>
      <c r="P35" s="19"/>
      <c r="Q35" s="8">
        <f t="shared" si="0"/>
        <v>0</v>
      </c>
      <c r="R35" s="18">
        <f t="shared" si="1"/>
        <v>-924908</v>
      </c>
    </row>
    <row r="36" spans="1:18" s="17" customFormat="1" ht="62.4" x14ac:dyDescent="0.3">
      <c r="A36" s="3" t="s">
        <v>217</v>
      </c>
      <c r="B36" s="27">
        <v>68</v>
      </c>
      <c r="C36" s="3" t="s">
        <v>218</v>
      </c>
      <c r="D36" s="3" t="s">
        <v>125</v>
      </c>
      <c r="E36" s="10" t="s">
        <v>219</v>
      </c>
      <c r="F36" s="10" t="s">
        <v>213</v>
      </c>
      <c r="G36" s="2" t="s">
        <v>153</v>
      </c>
      <c r="H36" s="15" t="s">
        <v>154</v>
      </c>
      <c r="I36" s="19">
        <f t="shared" si="6"/>
        <v>4343800</v>
      </c>
      <c r="J36" s="19">
        <v>4343800</v>
      </c>
      <c r="K36" s="19"/>
      <c r="L36" s="19"/>
      <c r="M36" s="19">
        <f t="shared" si="8"/>
        <v>0</v>
      </c>
      <c r="N36" s="19"/>
      <c r="O36" s="19"/>
      <c r="P36" s="19"/>
      <c r="Q36" s="8">
        <f t="shared" si="0"/>
        <v>0</v>
      </c>
      <c r="R36" s="18">
        <f t="shared" si="1"/>
        <v>-4343800</v>
      </c>
    </row>
    <row r="37" spans="1:18" s="17" customFormat="1" ht="62.4" x14ac:dyDescent="0.3">
      <c r="A37" s="3" t="s">
        <v>127</v>
      </c>
      <c r="B37" s="29">
        <v>68</v>
      </c>
      <c r="C37" s="3" t="s">
        <v>128</v>
      </c>
      <c r="D37" s="3" t="s">
        <v>125</v>
      </c>
      <c r="E37" s="30" t="s">
        <v>129</v>
      </c>
      <c r="F37" s="10" t="s">
        <v>213</v>
      </c>
      <c r="G37" s="2" t="s">
        <v>153</v>
      </c>
      <c r="H37" s="15" t="s">
        <v>154</v>
      </c>
      <c r="I37" s="19">
        <f t="shared" si="6"/>
        <v>2440200</v>
      </c>
      <c r="J37" s="19">
        <v>2440200</v>
      </c>
      <c r="K37" s="19"/>
      <c r="L37" s="19"/>
      <c r="M37" s="19">
        <f t="shared" si="8"/>
        <v>940139.21</v>
      </c>
      <c r="N37" s="19">
        <v>940139.21</v>
      </c>
      <c r="O37" s="19"/>
      <c r="P37" s="19"/>
      <c r="Q37" s="8">
        <f t="shared" si="0"/>
        <v>0.38527137529710676</v>
      </c>
      <c r="R37" s="18">
        <f t="shared" si="1"/>
        <v>-1500060.79</v>
      </c>
    </row>
    <row r="38" spans="1:18" s="17" customFormat="1" ht="62.4" x14ac:dyDescent="0.3">
      <c r="A38" s="3" t="s">
        <v>130</v>
      </c>
      <c r="B38" s="27">
        <v>68</v>
      </c>
      <c r="C38" s="3" t="s">
        <v>131</v>
      </c>
      <c r="D38" s="3" t="s">
        <v>125</v>
      </c>
      <c r="E38" s="10" t="s">
        <v>132</v>
      </c>
      <c r="F38" s="10" t="s">
        <v>213</v>
      </c>
      <c r="G38" s="2" t="s">
        <v>153</v>
      </c>
      <c r="H38" s="15" t="s">
        <v>154</v>
      </c>
      <c r="I38" s="19">
        <f t="shared" si="6"/>
        <v>102146832</v>
      </c>
      <c r="J38" s="19">
        <v>102146832</v>
      </c>
      <c r="K38" s="19"/>
      <c r="L38" s="19"/>
      <c r="M38" s="19">
        <f t="shared" si="8"/>
        <v>44525322.990000002</v>
      </c>
      <c r="N38" s="19">
        <f>30756293.53+9047485.79+4721543.67</f>
        <v>44525322.990000002</v>
      </c>
      <c r="O38" s="19"/>
      <c r="P38" s="19"/>
      <c r="Q38" s="8">
        <f t="shared" si="0"/>
        <v>0.43589529032089808</v>
      </c>
      <c r="R38" s="18">
        <f t="shared" si="1"/>
        <v>-57621509.009999998</v>
      </c>
    </row>
    <row r="39" spans="1:18" s="17" customFormat="1" ht="99.75" customHeight="1" x14ac:dyDescent="0.3">
      <c r="A39" s="3" t="s">
        <v>220</v>
      </c>
      <c r="B39" s="27">
        <v>68</v>
      </c>
      <c r="C39" s="3" t="s">
        <v>194</v>
      </c>
      <c r="D39" s="3" t="s">
        <v>191</v>
      </c>
      <c r="E39" s="10" t="s">
        <v>221</v>
      </c>
      <c r="F39" s="10" t="s">
        <v>213</v>
      </c>
      <c r="G39" s="2" t="s">
        <v>153</v>
      </c>
      <c r="H39" s="15" t="s">
        <v>154</v>
      </c>
      <c r="I39" s="19">
        <f t="shared" si="6"/>
        <v>4777000</v>
      </c>
      <c r="J39" s="19"/>
      <c r="K39" s="19">
        <v>4777000</v>
      </c>
      <c r="L39" s="19">
        <f>K39</f>
        <v>4777000</v>
      </c>
      <c r="M39" s="19">
        <f t="shared" si="8"/>
        <v>1543335.6</v>
      </c>
      <c r="N39" s="19"/>
      <c r="O39" s="19">
        <v>1543335.6</v>
      </c>
      <c r="P39" s="19">
        <f>O39</f>
        <v>1543335.6</v>
      </c>
      <c r="Q39" s="8">
        <f t="shared" si="0"/>
        <v>0.32307632405275277</v>
      </c>
      <c r="R39" s="18">
        <f t="shared" si="1"/>
        <v>-3233664.4</v>
      </c>
    </row>
    <row r="40" spans="1:18" s="17" customFormat="1" ht="62.4" x14ac:dyDescent="0.3">
      <c r="A40" s="3" t="s">
        <v>133</v>
      </c>
      <c r="B40" s="29">
        <v>68</v>
      </c>
      <c r="C40" s="3" t="s">
        <v>134</v>
      </c>
      <c r="D40" s="3" t="s">
        <v>135</v>
      </c>
      <c r="E40" s="30" t="s">
        <v>136</v>
      </c>
      <c r="F40" s="10" t="s">
        <v>213</v>
      </c>
      <c r="G40" s="2" t="s">
        <v>153</v>
      </c>
      <c r="H40" s="15" t="s">
        <v>154</v>
      </c>
      <c r="I40" s="19">
        <f t="shared" si="6"/>
        <v>32000000</v>
      </c>
      <c r="J40" s="19">
        <v>32000000</v>
      </c>
      <c r="K40" s="19"/>
      <c r="L40" s="19"/>
      <c r="M40" s="19">
        <f t="shared" si="8"/>
        <v>16079503.199999999</v>
      </c>
      <c r="N40" s="19">
        <v>16079503.199999999</v>
      </c>
      <c r="O40" s="19"/>
      <c r="P40" s="19"/>
      <c r="Q40" s="8">
        <f t="shared" si="0"/>
        <v>0.50248447499999993</v>
      </c>
      <c r="R40" s="18">
        <f t="shared" si="1"/>
        <v>-15920496.800000001</v>
      </c>
    </row>
    <row r="41" spans="1:18" s="17" customFormat="1" ht="62.4" x14ac:dyDescent="0.3">
      <c r="A41" s="3" t="s">
        <v>222</v>
      </c>
      <c r="B41" s="29">
        <v>68</v>
      </c>
      <c r="C41" s="3" t="s">
        <v>30</v>
      </c>
      <c r="D41" s="3" t="s">
        <v>31</v>
      </c>
      <c r="E41" s="30" t="s">
        <v>223</v>
      </c>
      <c r="F41" s="10" t="s">
        <v>213</v>
      </c>
      <c r="G41" s="2" t="s">
        <v>153</v>
      </c>
      <c r="H41" s="15" t="s">
        <v>154</v>
      </c>
      <c r="I41" s="19">
        <f t="shared" si="6"/>
        <v>37196</v>
      </c>
      <c r="J41" s="19">
        <v>37196</v>
      </c>
      <c r="K41" s="19"/>
      <c r="L41" s="19"/>
      <c r="M41" s="19">
        <f t="shared" si="8"/>
        <v>24705.73</v>
      </c>
      <c r="N41" s="19">
        <v>24705.73</v>
      </c>
      <c r="O41" s="19"/>
      <c r="P41" s="19"/>
      <c r="Q41" s="8">
        <f t="shared" si="0"/>
        <v>0.6642039466609313</v>
      </c>
      <c r="R41" s="18">
        <f t="shared" si="1"/>
        <v>-12490.27</v>
      </c>
    </row>
    <row r="42" spans="1:18" s="17" customFormat="1" ht="177" customHeight="1" x14ac:dyDescent="0.3">
      <c r="A42" s="3" t="s">
        <v>137</v>
      </c>
      <c r="B42" s="29">
        <v>68</v>
      </c>
      <c r="C42" s="3" t="s">
        <v>138</v>
      </c>
      <c r="D42" s="3" t="s">
        <v>139</v>
      </c>
      <c r="E42" s="30" t="s">
        <v>140</v>
      </c>
      <c r="F42" s="10" t="s">
        <v>213</v>
      </c>
      <c r="G42" s="2" t="s">
        <v>153</v>
      </c>
      <c r="H42" s="15" t="s">
        <v>154</v>
      </c>
      <c r="I42" s="19">
        <f t="shared" si="6"/>
        <v>2254803.92</v>
      </c>
      <c r="J42" s="19"/>
      <c r="K42" s="19">
        <f>2254803.92</f>
        <v>2254803.92</v>
      </c>
      <c r="L42" s="19"/>
      <c r="M42" s="19">
        <f t="shared" si="8"/>
        <v>0</v>
      </c>
      <c r="N42" s="19"/>
      <c r="O42" s="19"/>
      <c r="P42" s="19"/>
      <c r="Q42" s="8">
        <f t="shared" si="0"/>
        <v>0</v>
      </c>
      <c r="R42" s="18">
        <f t="shared" si="1"/>
        <v>-2254803.92</v>
      </c>
    </row>
    <row r="43" spans="1:18" s="17" customFormat="1" ht="177" customHeight="1" x14ac:dyDescent="0.3">
      <c r="A43" s="3" t="s">
        <v>341</v>
      </c>
      <c r="B43" s="29">
        <v>68</v>
      </c>
      <c r="C43" s="33" t="s">
        <v>342</v>
      </c>
      <c r="D43" s="25" t="s">
        <v>125</v>
      </c>
      <c r="E43" s="26" t="s">
        <v>343</v>
      </c>
      <c r="F43" s="10" t="s">
        <v>210</v>
      </c>
      <c r="G43" s="2" t="s">
        <v>153</v>
      </c>
      <c r="H43" s="15" t="s">
        <v>154</v>
      </c>
      <c r="I43" s="19">
        <f t="shared" ref="I43" si="11">J43+K43</f>
        <v>5280000</v>
      </c>
      <c r="J43" s="19">
        <v>5280000</v>
      </c>
      <c r="K43" s="19"/>
      <c r="L43" s="19">
        <f>K43</f>
        <v>0</v>
      </c>
      <c r="M43" s="19">
        <f t="shared" ref="M43" si="12">N43+O43</f>
        <v>0</v>
      </c>
      <c r="N43" s="19"/>
      <c r="O43" s="19"/>
      <c r="P43" s="19"/>
      <c r="Q43" s="8">
        <f t="shared" ref="Q43" si="13">M43/I43</f>
        <v>0</v>
      </c>
      <c r="R43" s="18">
        <f t="shared" ref="R43" si="14">M43-I43</f>
        <v>-5280000</v>
      </c>
    </row>
    <row r="44" spans="1:18" s="17" customFormat="1" ht="108.75" customHeight="1" x14ac:dyDescent="0.3">
      <c r="A44" s="3" t="s">
        <v>224</v>
      </c>
      <c r="B44" s="29">
        <v>68</v>
      </c>
      <c r="C44" s="33" t="s">
        <v>194</v>
      </c>
      <c r="D44" s="3" t="s">
        <v>191</v>
      </c>
      <c r="E44" s="10" t="s">
        <v>221</v>
      </c>
      <c r="F44" s="10" t="s">
        <v>210</v>
      </c>
      <c r="G44" s="2" t="s">
        <v>153</v>
      </c>
      <c r="H44" s="15" t="s">
        <v>154</v>
      </c>
      <c r="I44" s="19">
        <f t="shared" si="6"/>
        <v>27054310</v>
      </c>
      <c r="J44" s="19"/>
      <c r="K44" s="19">
        <v>27054310</v>
      </c>
      <c r="L44" s="19">
        <f>K44</f>
        <v>27054310</v>
      </c>
      <c r="M44" s="19">
        <f t="shared" si="8"/>
        <v>17914488.780000001</v>
      </c>
      <c r="N44" s="19"/>
      <c r="O44" s="19">
        <v>17914488.780000001</v>
      </c>
      <c r="P44" s="19">
        <f>O44</f>
        <v>17914488.780000001</v>
      </c>
      <c r="Q44" s="8">
        <f t="shared" si="0"/>
        <v>0.66216764648590187</v>
      </c>
      <c r="R44" s="18">
        <f t="shared" si="1"/>
        <v>-9139821.2199999988</v>
      </c>
    </row>
    <row r="45" spans="1:18" s="1" customFormat="1" ht="31.2" x14ac:dyDescent="0.3">
      <c r="A45" s="23">
        <v>7</v>
      </c>
      <c r="B45" s="24">
        <v>73</v>
      </c>
      <c r="C45" s="57" t="s">
        <v>225</v>
      </c>
      <c r="D45" s="58"/>
      <c r="E45" s="58"/>
      <c r="F45" s="58"/>
      <c r="G45" s="59"/>
      <c r="H45" s="23" t="s">
        <v>226</v>
      </c>
      <c r="I45" s="18">
        <f t="shared" si="6"/>
        <v>1424067</v>
      </c>
      <c r="J45" s="18">
        <f>J46</f>
        <v>80000</v>
      </c>
      <c r="K45" s="18">
        <f>K46</f>
        <v>1344067</v>
      </c>
      <c r="L45" s="18">
        <f>L46</f>
        <v>1344067</v>
      </c>
      <c r="M45" s="18">
        <f t="shared" si="8"/>
        <v>0</v>
      </c>
      <c r="N45" s="18">
        <f>N46</f>
        <v>0</v>
      </c>
      <c r="O45" s="18">
        <f>O46</f>
        <v>0</v>
      </c>
      <c r="P45" s="18">
        <f>P46</f>
        <v>0</v>
      </c>
      <c r="Q45" s="8">
        <f t="shared" si="0"/>
        <v>0</v>
      </c>
      <c r="R45" s="18">
        <f t="shared" si="1"/>
        <v>-1424067</v>
      </c>
    </row>
    <row r="46" spans="1:18" s="17" customFormat="1" ht="62.4" x14ac:dyDescent="0.3">
      <c r="A46" s="25" t="s">
        <v>227</v>
      </c>
      <c r="B46" s="31">
        <v>73</v>
      </c>
      <c r="C46" s="25" t="s">
        <v>228</v>
      </c>
      <c r="D46" s="25" t="s">
        <v>229</v>
      </c>
      <c r="E46" s="32" t="s">
        <v>230</v>
      </c>
      <c r="F46" s="10" t="s">
        <v>211</v>
      </c>
      <c r="G46" s="2" t="s">
        <v>225</v>
      </c>
      <c r="H46" s="15" t="s">
        <v>226</v>
      </c>
      <c r="I46" s="19">
        <f t="shared" si="6"/>
        <v>1424067</v>
      </c>
      <c r="J46" s="19">
        <v>80000</v>
      </c>
      <c r="K46" s="19">
        <v>1344067</v>
      </c>
      <c r="L46" s="19">
        <f>K46</f>
        <v>1344067</v>
      </c>
      <c r="M46" s="19">
        <f t="shared" si="8"/>
        <v>0</v>
      </c>
      <c r="N46" s="19"/>
      <c r="O46" s="19"/>
      <c r="P46" s="19"/>
      <c r="Q46" s="8">
        <f t="shared" si="0"/>
        <v>0</v>
      </c>
      <c r="R46" s="18">
        <f t="shared" si="1"/>
        <v>-1424067</v>
      </c>
    </row>
    <row r="47" spans="1:18" s="1" customFormat="1" ht="46.8" x14ac:dyDescent="0.3">
      <c r="A47" s="23">
        <v>8</v>
      </c>
      <c r="B47" s="24">
        <v>76</v>
      </c>
      <c r="C47" s="57" t="s">
        <v>231</v>
      </c>
      <c r="D47" s="58"/>
      <c r="E47" s="58"/>
      <c r="F47" s="58"/>
      <c r="G47" s="59"/>
      <c r="H47" s="23" t="s">
        <v>232</v>
      </c>
      <c r="I47" s="18">
        <f t="shared" si="6"/>
        <v>1197000</v>
      </c>
      <c r="J47" s="18">
        <f>J48</f>
        <v>1197000</v>
      </c>
      <c r="K47" s="18">
        <f>K48</f>
        <v>0</v>
      </c>
      <c r="L47" s="18">
        <f>L48</f>
        <v>0</v>
      </c>
      <c r="M47" s="18">
        <f t="shared" si="8"/>
        <v>172000</v>
      </c>
      <c r="N47" s="18">
        <f>N48</f>
        <v>172000</v>
      </c>
      <c r="O47" s="18">
        <f>O48</f>
        <v>0</v>
      </c>
      <c r="P47" s="18">
        <f>P48</f>
        <v>0</v>
      </c>
      <c r="Q47" s="8">
        <f t="shared" si="0"/>
        <v>0.14369256474519632</v>
      </c>
      <c r="R47" s="18">
        <f t="shared" si="1"/>
        <v>-1025000</v>
      </c>
    </row>
    <row r="48" spans="1:18" s="1" customFormat="1" ht="62.4" x14ac:dyDescent="0.3">
      <c r="A48" s="15" t="s">
        <v>233</v>
      </c>
      <c r="B48" s="31">
        <v>76</v>
      </c>
      <c r="C48" s="15" t="s">
        <v>234</v>
      </c>
      <c r="D48" s="15" t="s">
        <v>235</v>
      </c>
      <c r="E48" s="32" t="s">
        <v>236</v>
      </c>
      <c r="F48" s="30" t="s">
        <v>215</v>
      </c>
      <c r="G48" s="2" t="s">
        <v>231</v>
      </c>
      <c r="H48" s="15" t="s">
        <v>232</v>
      </c>
      <c r="I48" s="19">
        <f>J48+K48</f>
        <v>1197000</v>
      </c>
      <c r="J48" s="19">
        <v>1197000</v>
      </c>
      <c r="K48" s="18"/>
      <c r="L48" s="18"/>
      <c r="M48" s="19">
        <f>N48+O48</f>
        <v>172000</v>
      </c>
      <c r="N48" s="19">
        <v>172000</v>
      </c>
      <c r="O48" s="18"/>
      <c r="P48" s="18"/>
      <c r="Q48" s="8">
        <f t="shared" si="0"/>
        <v>0.14369256474519632</v>
      </c>
      <c r="R48" s="18">
        <f t="shared" si="1"/>
        <v>-1025000</v>
      </c>
    </row>
    <row r="49" spans="1:18" s="1" customFormat="1" ht="36" customHeight="1" x14ac:dyDescent="0.3">
      <c r="A49" s="23">
        <v>9</v>
      </c>
      <c r="B49" s="9">
        <v>78</v>
      </c>
      <c r="C49" s="57" t="s">
        <v>237</v>
      </c>
      <c r="D49" s="58"/>
      <c r="E49" s="58"/>
      <c r="F49" s="58"/>
      <c r="G49" s="59"/>
      <c r="H49" s="23" t="s">
        <v>238</v>
      </c>
      <c r="I49" s="18">
        <f t="shared" si="6"/>
        <v>2902400</v>
      </c>
      <c r="J49" s="18">
        <f>J50</f>
        <v>2902400</v>
      </c>
      <c r="K49" s="18">
        <f>K50</f>
        <v>0</v>
      </c>
      <c r="L49" s="18">
        <f>L50</f>
        <v>0</v>
      </c>
      <c r="M49" s="18">
        <f t="shared" ref="M49" si="15">N49+O49</f>
        <v>963400</v>
      </c>
      <c r="N49" s="18">
        <f>N50</f>
        <v>963400</v>
      </c>
      <c r="O49" s="18">
        <f>O50</f>
        <v>0</v>
      </c>
      <c r="P49" s="18">
        <f>P50</f>
        <v>0</v>
      </c>
      <c r="Q49" s="8">
        <f t="shared" si="0"/>
        <v>0.33193219404630653</v>
      </c>
      <c r="R49" s="18">
        <f t="shared" si="1"/>
        <v>-1939000</v>
      </c>
    </row>
    <row r="50" spans="1:18" s="17" customFormat="1" ht="79.5" customHeight="1" x14ac:dyDescent="0.3">
      <c r="A50" s="3" t="s">
        <v>36</v>
      </c>
      <c r="B50" s="27">
        <v>78</v>
      </c>
      <c r="C50" s="3" t="s">
        <v>37</v>
      </c>
      <c r="D50" s="3" t="s">
        <v>34</v>
      </c>
      <c r="E50" s="10" t="s">
        <v>38</v>
      </c>
      <c r="F50" s="10" t="s">
        <v>211</v>
      </c>
      <c r="G50" s="2" t="s">
        <v>237</v>
      </c>
      <c r="H50" s="15" t="s">
        <v>239</v>
      </c>
      <c r="I50" s="19">
        <f>J50+K50</f>
        <v>2902400</v>
      </c>
      <c r="J50" s="19">
        <v>2902400</v>
      </c>
      <c r="K50" s="19"/>
      <c r="L50" s="19"/>
      <c r="M50" s="19">
        <f>N50+O50</f>
        <v>963400</v>
      </c>
      <c r="N50" s="19">
        <v>963400</v>
      </c>
      <c r="O50" s="19"/>
      <c r="P50" s="19"/>
      <c r="Q50" s="8">
        <f t="shared" si="0"/>
        <v>0.33193219404630653</v>
      </c>
      <c r="R50" s="18">
        <f t="shared" si="1"/>
        <v>-1939000</v>
      </c>
    </row>
    <row r="51" spans="1:18" s="1" customFormat="1" ht="36" customHeight="1" x14ac:dyDescent="0.3">
      <c r="A51" s="23">
        <v>10</v>
      </c>
      <c r="B51" s="9">
        <v>80</v>
      </c>
      <c r="C51" s="57" t="s">
        <v>240</v>
      </c>
      <c r="D51" s="58"/>
      <c r="E51" s="58"/>
      <c r="F51" s="58"/>
      <c r="G51" s="59"/>
      <c r="H51" s="23" t="s">
        <v>241</v>
      </c>
      <c r="I51" s="18">
        <f t="shared" si="6"/>
        <v>300000</v>
      </c>
      <c r="J51" s="18">
        <f>J52</f>
        <v>300000</v>
      </c>
      <c r="K51" s="18">
        <f>K52</f>
        <v>0</v>
      </c>
      <c r="L51" s="18">
        <f>L52</f>
        <v>0</v>
      </c>
      <c r="M51" s="18">
        <f t="shared" ref="M51" si="16">N51+O51</f>
        <v>159900</v>
      </c>
      <c r="N51" s="18">
        <f>N52</f>
        <v>159900</v>
      </c>
      <c r="O51" s="18">
        <f>O52</f>
        <v>0</v>
      </c>
      <c r="P51" s="18">
        <f>P52</f>
        <v>0</v>
      </c>
      <c r="Q51" s="8">
        <f t="shared" si="0"/>
        <v>0.53300000000000003</v>
      </c>
      <c r="R51" s="18">
        <f t="shared" si="1"/>
        <v>-140100</v>
      </c>
    </row>
    <row r="52" spans="1:18" s="17" customFormat="1" ht="93.6" x14ac:dyDescent="0.3">
      <c r="A52" s="3" t="s">
        <v>123</v>
      </c>
      <c r="B52" s="34">
        <v>80</v>
      </c>
      <c r="C52" s="3" t="s">
        <v>124</v>
      </c>
      <c r="D52" s="3" t="s">
        <v>125</v>
      </c>
      <c r="E52" s="10" t="s">
        <v>126</v>
      </c>
      <c r="F52" s="10" t="s">
        <v>213</v>
      </c>
      <c r="G52" s="2" t="s">
        <v>240</v>
      </c>
      <c r="H52" s="15" t="s">
        <v>241</v>
      </c>
      <c r="I52" s="19">
        <f>J52+K52</f>
        <v>300000</v>
      </c>
      <c r="J52" s="19">
        <v>300000</v>
      </c>
      <c r="K52" s="19"/>
      <c r="L52" s="19"/>
      <c r="M52" s="19">
        <f>N52+O52</f>
        <v>159900</v>
      </c>
      <c r="N52" s="19">
        <v>159900</v>
      </c>
      <c r="O52" s="19"/>
      <c r="P52" s="19"/>
      <c r="Q52" s="8">
        <f t="shared" si="0"/>
        <v>0.53300000000000003</v>
      </c>
      <c r="R52" s="18">
        <f t="shared" si="1"/>
        <v>-140100</v>
      </c>
    </row>
    <row r="53" spans="1:18" s="1" customFormat="1" ht="57.6" customHeight="1" x14ac:dyDescent="0.3">
      <c r="A53" s="23">
        <v>11</v>
      </c>
      <c r="B53" s="9">
        <v>81</v>
      </c>
      <c r="C53" s="61" t="s">
        <v>242</v>
      </c>
      <c r="D53" s="61"/>
      <c r="E53" s="61"/>
      <c r="F53" s="61"/>
      <c r="G53" s="61"/>
      <c r="H53" s="23" t="s">
        <v>243</v>
      </c>
      <c r="I53" s="18">
        <f t="shared" ref="I53" si="17">J53+K53</f>
        <v>3384303.39</v>
      </c>
      <c r="J53" s="18">
        <f>SUM(J54:J56)</f>
        <v>3045873</v>
      </c>
      <c r="K53" s="18">
        <f>SUM(K54:K56)</f>
        <v>338430.39</v>
      </c>
      <c r="L53" s="18">
        <f>L54</f>
        <v>0</v>
      </c>
      <c r="M53" s="18">
        <f t="shared" ref="M53" si="18">N53+O53</f>
        <v>58910.649999999994</v>
      </c>
      <c r="N53" s="18">
        <f>SUM(N54:N56)</f>
        <v>53019.59</v>
      </c>
      <c r="O53" s="18">
        <f>SUM(O54:O56)</f>
        <v>5891.06</v>
      </c>
      <c r="P53" s="18">
        <f>P54</f>
        <v>0</v>
      </c>
      <c r="Q53" s="8">
        <f t="shared" si="0"/>
        <v>1.7407023901601208E-2</v>
      </c>
      <c r="R53" s="18">
        <f t="shared" si="1"/>
        <v>-3325392.74</v>
      </c>
    </row>
    <row r="54" spans="1:18" s="17" customFormat="1" ht="93.6" x14ac:dyDescent="0.3">
      <c r="A54" s="3" t="s">
        <v>190</v>
      </c>
      <c r="B54" s="34">
        <v>81</v>
      </c>
      <c r="C54" s="3" t="s">
        <v>216</v>
      </c>
      <c r="D54" s="3" t="s">
        <v>121</v>
      </c>
      <c r="E54" s="10" t="s">
        <v>122</v>
      </c>
      <c r="F54" s="10" t="s">
        <v>213</v>
      </c>
      <c r="G54" s="2" t="s">
        <v>242</v>
      </c>
      <c r="H54" s="15" t="s">
        <v>243</v>
      </c>
      <c r="I54" s="19">
        <f>SUM(J54:K54)</f>
        <v>2985564</v>
      </c>
      <c r="J54" s="19">
        <v>2985564</v>
      </c>
      <c r="K54" s="19"/>
      <c r="L54" s="19"/>
      <c r="M54" s="19">
        <f>SUM(N54:O54)</f>
        <v>0</v>
      </c>
      <c r="N54" s="19"/>
      <c r="O54" s="19"/>
      <c r="P54" s="19"/>
      <c r="Q54" s="8">
        <f t="shared" si="0"/>
        <v>0</v>
      </c>
      <c r="R54" s="18">
        <f t="shared" si="1"/>
        <v>-2985564</v>
      </c>
    </row>
    <row r="55" spans="1:18" s="17" customFormat="1" ht="93.6" x14ac:dyDescent="0.3">
      <c r="A55" s="3" t="s">
        <v>222</v>
      </c>
      <c r="B55" s="34">
        <v>81</v>
      </c>
      <c r="C55" s="3" t="s">
        <v>30</v>
      </c>
      <c r="D55" s="3" t="s">
        <v>31</v>
      </c>
      <c r="E55" s="10" t="s">
        <v>32</v>
      </c>
      <c r="F55" s="10" t="s">
        <v>213</v>
      </c>
      <c r="G55" s="2" t="s">
        <v>242</v>
      </c>
      <c r="H55" s="15" t="s">
        <v>243</v>
      </c>
      <c r="I55" s="19">
        <f t="shared" ref="I55:I56" si="19">SUM(J55:K55)</f>
        <v>60309</v>
      </c>
      <c r="J55" s="19">
        <v>60309</v>
      </c>
      <c r="K55" s="19"/>
      <c r="L55" s="19"/>
      <c r="M55" s="19">
        <f t="shared" ref="M55:M56" si="20">SUM(N55:O55)</f>
        <v>53019.59</v>
      </c>
      <c r="N55" s="19">
        <v>53019.59</v>
      </c>
      <c r="O55" s="19"/>
      <c r="P55" s="19"/>
      <c r="Q55" s="8">
        <f t="shared" si="0"/>
        <v>0.87913230197814585</v>
      </c>
      <c r="R55" s="18">
        <f t="shared" si="1"/>
        <v>-7289.4100000000035</v>
      </c>
    </row>
    <row r="56" spans="1:18" s="17" customFormat="1" ht="168.75" customHeight="1" x14ac:dyDescent="0.3">
      <c r="A56" s="3" t="s">
        <v>137</v>
      </c>
      <c r="B56" s="34">
        <v>81</v>
      </c>
      <c r="C56" s="3" t="s">
        <v>138</v>
      </c>
      <c r="D56" s="3" t="s">
        <v>139</v>
      </c>
      <c r="E56" s="10" t="s">
        <v>140</v>
      </c>
      <c r="F56" s="10" t="s">
        <v>213</v>
      </c>
      <c r="G56" s="2" t="s">
        <v>242</v>
      </c>
      <c r="H56" s="15" t="s">
        <v>243</v>
      </c>
      <c r="I56" s="19">
        <f t="shared" si="19"/>
        <v>338430.39</v>
      </c>
      <c r="J56" s="19"/>
      <c r="K56" s="19">
        <v>338430.39</v>
      </c>
      <c r="L56" s="19"/>
      <c r="M56" s="19">
        <f t="shared" si="20"/>
        <v>5891.06</v>
      </c>
      <c r="N56" s="19"/>
      <c r="O56" s="19">
        <v>5891.06</v>
      </c>
      <c r="P56" s="19"/>
      <c r="Q56" s="8">
        <f t="shared" si="0"/>
        <v>1.7407006504350866E-2</v>
      </c>
      <c r="R56" s="18">
        <f t="shared" si="1"/>
        <v>-332539.33</v>
      </c>
    </row>
    <row r="57" spans="1:18" s="1" customFormat="1" ht="57.6" customHeight="1" x14ac:dyDescent="0.3">
      <c r="A57" s="23">
        <v>12</v>
      </c>
      <c r="B57" s="9">
        <v>82</v>
      </c>
      <c r="C57" s="61" t="s">
        <v>244</v>
      </c>
      <c r="D57" s="61"/>
      <c r="E57" s="61"/>
      <c r="F57" s="61"/>
      <c r="G57" s="61"/>
      <c r="H57" s="23" t="s">
        <v>245</v>
      </c>
      <c r="I57" s="18">
        <f t="shared" si="6"/>
        <v>1150000</v>
      </c>
      <c r="J57" s="18">
        <f>J58</f>
        <v>1150000</v>
      </c>
      <c r="K57" s="18">
        <f>K58</f>
        <v>0</v>
      </c>
      <c r="L57" s="18">
        <f>L58</f>
        <v>0</v>
      </c>
      <c r="M57" s="18">
        <f t="shared" ref="M57:M58" si="21">N57+O57</f>
        <v>574800</v>
      </c>
      <c r="N57" s="18">
        <f>N58</f>
        <v>574800</v>
      </c>
      <c r="O57" s="18">
        <f>O58</f>
        <v>0</v>
      </c>
      <c r="P57" s="18">
        <f>P58</f>
        <v>0</v>
      </c>
      <c r="Q57" s="8">
        <f t="shared" si="0"/>
        <v>0.49982608695652175</v>
      </c>
      <c r="R57" s="18">
        <f t="shared" si="1"/>
        <v>-575200</v>
      </c>
    </row>
    <row r="58" spans="1:18" s="1" customFormat="1" ht="135.75" customHeight="1" x14ac:dyDescent="0.3">
      <c r="A58" s="25" t="s">
        <v>196</v>
      </c>
      <c r="B58" s="34">
        <v>82</v>
      </c>
      <c r="C58" s="15">
        <v>6090</v>
      </c>
      <c r="D58" s="25" t="s">
        <v>191</v>
      </c>
      <c r="E58" s="32" t="s">
        <v>197</v>
      </c>
      <c r="F58" s="30" t="s">
        <v>215</v>
      </c>
      <c r="G58" s="32" t="s">
        <v>244</v>
      </c>
      <c r="H58" s="15" t="s">
        <v>245</v>
      </c>
      <c r="I58" s="19">
        <f t="shared" si="6"/>
        <v>1150000</v>
      </c>
      <c r="J58" s="19">
        <v>1150000</v>
      </c>
      <c r="K58" s="18"/>
      <c r="L58" s="18"/>
      <c r="M58" s="19">
        <f t="shared" si="21"/>
        <v>574800</v>
      </c>
      <c r="N58" s="19">
        <v>574800</v>
      </c>
      <c r="O58" s="18"/>
      <c r="P58" s="18"/>
      <c r="Q58" s="8">
        <f t="shared" si="0"/>
        <v>0.49982608695652175</v>
      </c>
      <c r="R58" s="18">
        <f t="shared" si="1"/>
        <v>-575200</v>
      </c>
    </row>
    <row r="59" spans="1:18" s="1" customFormat="1" ht="50.25" customHeight="1" x14ac:dyDescent="0.3">
      <c r="A59" s="23">
        <v>13</v>
      </c>
      <c r="B59" s="11">
        <v>98</v>
      </c>
      <c r="C59" s="57" t="s">
        <v>246</v>
      </c>
      <c r="D59" s="58"/>
      <c r="E59" s="58"/>
      <c r="F59" s="58"/>
      <c r="G59" s="59"/>
      <c r="H59" s="16" t="s">
        <v>247</v>
      </c>
      <c r="I59" s="18">
        <f>J59+K59</f>
        <v>1634400</v>
      </c>
      <c r="J59" s="18">
        <f>SUM(J60:J61)</f>
        <v>1634400</v>
      </c>
      <c r="K59" s="18">
        <f t="shared" ref="K59:L59" si="22">SUM(K60:K61)</f>
        <v>0</v>
      </c>
      <c r="L59" s="18">
        <f t="shared" si="22"/>
        <v>0</v>
      </c>
      <c r="M59" s="18">
        <f>N59+O59</f>
        <v>387877.65</v>
      </c>
      <c r="N59" s="18">
        <f>SUM(N60:N61)</f>
        <v>387877.65</v>
      </c>
      <c r="O59" s="18">
        <f t="shared" ref="O59:P59" si="23">SUM(O60:O61)</f>
        <v>0</v>
      </c>
      <c r="P59" s="18">
        <f t="shared" si="23"/>
        <v>0</v>
      </c>
      <c r="Q59" s="8">
        <f t="shared" si="0"/>
        <v>0.23732112701908958</v>
      </c>
      <c r="R59" s="18">
        <f t="shared" si="1"/>
        <v>-1246522.3500000001</v>
      </c>
    </row>
    <row r="60" spans="1:18" s="17" customFormat="1" ht="46.8" x14ac:dyDescent="0.3">
      <c r="A60" s="3" t="s">
        <v>68</v>
      </c>
      <c r="B60" s="29">
        <v>98</v>
      </c>
      <c r="C60" s="3" t="s">
        <v>69</v>
      </c>
      <c r="D60" s="3" t="s">
        <v>54</v>
      </c>
      <c r="E60" s="30" t="s">
        <v>70</v>
      </c>
      <c r="F60" s="30" t="s">
        <v>63</v>
      </c>
      <c r="G60" s="2" t="s">
        <v>246</v>
      </c>
      <c r="H60" s="20" t="s">
        <v>248</v>
      </c>
      <c r="I60" s="19">
        <f t="shared" si="6"/>
        <v>316300</v>
      </c>
      <c r="J60" s="19">
        <v>316300</v>
      </c>
      <c r="K60" s="19"/>
      <c r="L60" s="19"/>
      <c r="M60" s="19">
        <f t="shared" ref="M60" si="24">N60+O60</f>
        <v>134376.65</v>
      </c>
      <c r="N60" s="19">
        <v>134376.65</v>
      </c>
      <c r="O60" s="19"/>
      <c r="P60" s="19"/>
      <c r="Q60" s="8">
        <f t="shared" si="0"/>
        <v>0.42483923490357256</v>
      </c>
      <c r="R60" s="18">
        <f t="shared" si="1"/>
        <v>-181923.35</v>
      </c>
    </row>
    <row r="61" spans="1:18" s="1" customFormat="1" ht="46.8" x14ac:dyDescent="0.3">
      <c r="A61" s="3" t="s">
        <v>108</v>
      </c>
      <c r="B61" s="29">
        <v>98</v>
      </c>
      <c r="C61" s="3" t="s">
        <v>109</v>
      </c>
      <c r="D61" s="3" t="s">
        <v>54</v>
      </c>
      <c r="E61" s="30" t="s">
        <v>110</v>
      </c>
      <c r="F61" s="30" t="s">
        <v>107</v>
      </c>
      <c r="G61" s="2" t="s">
        <v>246</v>
      </c>
      <c r="H61" s="20" t="s">
        <v>248</v>
      </c>
      <c r="I61" s="19">
        <f>J61+K61</f>
        <v>1318100</v>
      </c>
      <c r="J61" s="19">
        <v>1318100</v>
      </c>
      <c r="K61" s="19"/>
      <c r="L61" s="19"/>
      <c r="M61" s="19">
        <f>N61+O61</f>
        <v>253501</v>
      </c>
      <c r="N61" s="19">
        <v>253501</v>
      </c>
      <c r="O61" s="19"/>
      <c r="P61" s="19"/>
      <c r="Q61" s="8">
        <f t="shared" si="0"/>
        <v>0.19232304074045975</v>
      </c>
      <c r="R61" s="18">
        <f t="shared" si="1"/>
        <v>-1064599</v>
      </c>
    </row>
    <row r="62" spans="1:18" s="1" customFormat="1" ht="40.5" customHeight="1" x14ac:dyDescent="0.3">
      <c r="A62" s="23">
        <v>14</v>
      </c>
      <c r="B62" s="11">
        <v>99</v>
      </c>
      <c r="C62" s="57" t="s">
        <v>249</v>
      </c>
      <c r="D62" s="58"/>
      <c r="E62" s="58"/>
      <c r="F62" s="58"/>
      <c r="G62" s="59"/>
      <c r="H62" s="16" t="s">
        <v>250</v>
      </c>
      <c r="I62" s="18">
        <f>J62+K62</f>
        <v>19757545.859999999</v>
      </c>
      <c r="J62" s="18">
        <f>SUM(J63:J68)</f>
        <v>15416550</v>
      </c>
      <c r="K62" s="18">
        <f>SUM(K63:K68)</f>
        <v>4340995.8600000003</v>
      </c>
      <c r="L62" s="18">
        <f>SUM(L63:L68)</f>
        <v>0</v>
      </c>
      <c r="M62" s="18">
        <f>N62+O62</f>
        <v>2427032.66</v>
      </c>
      <c r="N62" s="18">
        <f>SUM(N63:N68)</f>
        <v>2427032.66</v>
      </c>
      <c r="O62" s="18">
        <f>SUM(O63:O68)</f>
        <v>0</v>
      </c>
      <c r="P62" s="18">
        <f>SUM(P63:P68)</f>
        <v>0</v>
      </c>
      <c r="Q62" s="8">
        <f t="shared" si="0"/>
        <v>0.12284079597727934</v>
      </c>
      <c r="R62" s="18">
        <f t="shared" si="1"/>
        <v>-17330513.199999999</v>
      </c>
    </row>
    <row r="63" spans="1:18" s="17" customFormat="1" ht="57" customHeight="1" x14ac:dyDescent="0.3">
      <c r="A63" s="3" t="s">
        <v>111</v>
      </c>
      <c r="B63" s="29">
        <v>99</v>
      </c>
      <c r="C63" s="3" t="s">
        <v>112</v>
      </c>
      <c r="D63" s="3" t="s">
        <v>113</v>
      </c>
      <c r="E63" s="30" t="s">
        <v>114</v>
      </c>
      <c r="F63" s="30" t="s">
        <v>107</v>
      </c>
      <c r="G63" s="2" t="s">
        <v>249</v>
      </c>
      <c r="H63" s="20" t="s">
        <v>250</v>
      </c>
      <c r="I63" s="19">
        <f t="shared" ref="I63:I68" si="25">J63+K63</f>
        <v>1514500</v>
      </c>
      <c r="J63" s="19">
        <v>1514500</v>
      </c>
      <c r="K63" s="19"/>
      <c r="L63" s="19"/>
      <c r="M63" s="19">
        <f t="shared" ref="M63:M64" si="26">N63+O63</f>
        <v>301321.76</v>
      </c>
      <c r="N63" s="19">
        <v>301321.76</v>
      </c>
      <c r="O63" s="19"/>
      <c r="P63" s="19"/>
      <c r="Q63" s="8">
        <f t="shared" si="0"/>
        <v>0.1989579135028062</v>
      </c>
      <c r="R63" s="18">
        <f t="shared" si="1"/>
        <v>-1213178.24</v>
      </c>
    </row>
    <row r="64" spans="1:18" s="17" customFormat="1" ht="62.25" customHeight="1" x14ac:dyDescent="0.3">
      <c r="A64" s="3" t="s">
        <v>115</v>
      </c>
      <c r="B64" s="29">
        <v>99</v>
      </c>
      <c r="C64" s="3" t="s">
        <v>116</v>
      </c>
      <c r="D64" s="3" t="s">
        <v>113</v>
      </c>
      <c r="E64" s="30" t="s">
        <v>117</v>
      </c>
      <c r="F64" s="30" t="s">
        <v>107</v>
      </c>
      <c r="G64" s="2" t="s">
        <v>249</v>
      </c>
      <c r="H64" s="20" t="s">
        <v>250</v>
      </c>
      <c r="I64" s="19">
        <f t="shared" si="25"/>
        <v>965738</v>
      </c>
      <c r="J64" s="19">
        <v>965738</v>
      </c>
      <c r="K64" s="19"/>
      <c r="L64" s="19"/>
      <c r="M64" s="19">
        <f t="shared" si="26"/>
        <v>291160.76</v>
      </c>
      <c r="N64" s="19">
        <v>291160.76</v>
      </c>
      <c r="O64" s="19"/>
      <c r="P64" s="19"/>
      <c r="Q64" s="8">
        <f t="shared" si="0"/>
        <v>0.30149042493926925</v>
      </c>
      <c r="R64" s="18">
        <f t="shared" si="1"/>
        <v>-674577.24</v>
      </c>
    </row>
    <row r="65" spans="1:18" s="17" customFormat="1" ht="60.75" customHeight="1" x14ac:dyDescent="0.3">
      <c r="A65" s="15">
        <v>1115048</v>
      </c>
      <c r="B65" s="15">
        <v>99</v>
      </c>
      <c r="C65" s="17">
        <v>5048</v>
      </c>
      <c r="D65" s="25" t="s">
        <v>113</v>
      </c>
      <c r="E65" s="26" t="s">
        <v>251</v>
      </c>
      <c r="F65" s="30" t="s">
        <v>107</v>
      </c>
      <c r="G65" s="2" t="s">
        <v>249</v>
      </c>
      <c r="H65" s="20" t="s">
        <v>250</v>
      </c>
      <c r="I65" s="19">
        <f>J65+K65</f>
        <v>8435850</v>
      </c>
      <c r="J65" s="19">
        <v>8435850</v>
      </c>
      <c r="K65" s="19"/>
      <c r="L65" s="19"/>
      <c r="M65" s="19">
        <f>N65+O65</f>
        <v>0</v>
      </c>
      <c r="N65" s="19"/>
      <c r="O65" s="19"/>
      <c r="P65" s="19"/>
      <c r="Q65" s="8">
        <f t="shared" si="0"/>
        <v>0</v>
      </c>
      <c r="R65" s="18">
        <f t="shared" si="1"/>
        <v>-8435850</v>
      </c>
    </row>
    <row r="66" spans="1:18" s="17" customFormat="1" ht="92.25" customHeight="1" x14ac:dyDescent="0.3">
      <c r="A66" s="3" t="s">
        <v>118</v>
      </c>
      <c r="B66" s="29">
        <v>99</v>
      </c>
      <c r="C66" s="3" t="s">
        <v>119</v>
      </c>
      <c r="D66" s="3" t="s">
        <v>113</v>
      </c>
      <c r="E66" s="10" t="s">
        <v>120</v>
      </c>
      <c r="F66" s="30" t="s">
        <v>107</v>
      </c>
      <c r="G66" s="2" t="s">
        <v>249</v>
      </c>
      <c r="H66" s="20" t="s">
        <v>250</v>
      </c>
      <c r="I66" s="19">
        <f t="shared" si="25"/>
        <v>4200462</v>
      </c>
      <c r="J66" s="19">
        <v>4200462</v>
      </c>
      <c r="K66" s="19"/>
      <c r="L66" s="19"/>
      <c r="M66" s="19">
        <f t="shared" ref="M66:M68" si="27">N66+O66</f>
        <v>1834550.14</v>
      </c>
      <c r="N66" s="19">
        <v>1834550.14</v>
      </c>
      <c r="O66" s="19"/>
      <c r="P66" s="19"/>
      <c r="Q66" s="8">
        <f t="shared" si="0"/>
        <v>0.43674960992386075</v>
      </c>
      <c r="R66" s="18">
        <f t="shared" si="1"/>
        <v>-2365911.8600000003</v>
      </c>
    </row>
    <row r="67" spans="1:18" s="17" customFormat="1" ht="92.25" customHeight="1" x14ac:dyDescent="0.3">
      <c r="A67" s="3" t="s">
        <v>354</v>
      </c>
      <c r="B67" s="29"/>
      <c r="C67" s="3" t="s">
        <v>355</v>
      </c>
      <c r="D67" s="25" t="s">
        <v>113</v>
      </c>
      <c r="E67" s="26" t="s">
        <v>356</v>
      </c>
      <c r="F67" s="30" t="s">
        <v>107</v>
      </c>
      <c r="G67" s="2" t="s">
        <v>249</v>
      </c>
      <c r="H67" s="20" t="s">
        <v>250</v>
      </c>
      <c r="I67" s="19">
        <f t="shared" ref="I67" si="28">J67+K67</f>
        <v>300000</v>
      </c>
      <c r="J67" s="19">
        <v>300000</v>
      </c>
      <c r="K67" s="19"/>
      <c r="L67" s="19"/>
      <c r="M67" s="19">
        <f t="shared" ref="M67" si="29">N67+O67</f>
        <v>0</v>
      </c>
      <c r="N67" s="19"/>
      <c r="O67" s="19"/>
      <c r="P67" s="19"/>
      <c r="Q67" s="8">
        <f t="shared" ref="Q67" si="30">M67/I67</f>
        <v>0</v>
      </c>
      <c r="R67" s="18">
        <f t="shared" ref="R67" si="31">M67-I67</f>
        <v>-300000</v>
      </c>
    </row>
    <row r="68" spans="1:18" s="17" customFormat="1" ht="164.25" customHeight="1" x14ac:dyDescent="0.3">
      <c r="A68" s="3" t="s">
        <v>252</v>
      </c>
      <c r="B68" s="29">
        <v>99</v>
      </c>
      <c r="C68" s="3" t="s">
        <v>138</v>
      </c>
      <c r="D68" s="3" t="s">
        <v>139</v>
      </c>
      <c r="E68" s="10" t="s">
        <v>140</v>
      </c>
      <c r="F68" s="30" t="s">
        <v>107</v>
      </c>
      <c r="G68" s="2" t="s">
        <v>249</v>
      </c>
      <c r="H68" s="20" t="s">
        <v>250</v>
      </c>
      <c r="I68" s="19">
        <f t="shared" si="25"/>
        <v>4340995.8600000003</v>
      </c>
      <c r="J68" s="19"/>
      <c r="K68" s="19">
        <v>4340995.8600000003</v>
      </c>
      <c r="L68" s="19"/>
      <c r="M68" s="19">
        <f t="shared" si="27"/>
        <v>0</v>
      </c>
      <c r="N68" s="19"/>
      <c r="O68" s="19"/>
      <c r="P68" s="19"/>
      <c r="Q68" s="8">
        <f t="shared" si="0"/>
        <v>0</v>
      </c>
      <c r="R68" s="18">
        <f t="shared" si="1"/>
        <v>-4340995.8600000003</v>
      </c>
    </row>
    <row r="69" spans="1:18" s="1" customFormat="1" ht="41.4" customHeight="1" x14ac:dyDescent="0.3">
      <c r="A69" s="23">
        <v>15</v>
      </c>
      <c r="B69" s="11">
        <v>93</v>
      </c>
      <c r="C69" s="60" t="s">
        <v>253</v>
      </c>
      <c r="D69" s="60"/>
      <c r="E69" s="60"/>
      <c r="F69" s="60"/>
      <c r="G69" s="60"/>
      <c r="H69" s="16" t="s">
        <v>254</v>
      </c>
      <c r="I69" s="18">
        <f>J69+K69</f>
        <v>25866400</v>
      </c>
      <c r="J69" s="18">
        <f>SUM(J70:J72)</f>
        <v>25866400</v>
      </c>
      <c r="K69" s="18">
        <f t="shared" ref="K69:L69" si="32">SUM(K70:K72)</f>
        <v>0</v>
      </c>
      <c r="L69" s="18">
        <f t="shared" si="32"/>
        <v>0</v>
      </c>
      <c r="M69" s="18">
        <f>N69+O69</f>
        <v>11998328.15</v>
      </c>
      <c r="N69" s="18">
        <f>SUM(N70:N72)</f>
        <v>11998328.15</v>
      </c>
      <c r="O69" s="18">
        <f t="shared" ref="O69:P69" si="33">SUM(O70:O72)</f>
        <v>0</v>
      </c>
      <c r="P69" s="18">
        <f t="shared" si="33"/>
        <v>0</v>
      </c>
      <c r="Q69" s="8">
        <f t="shared" si="0"/>
        <v>0.46385767443478798</v>
      </c>
      <c r="R69" s="18">
        <f t="shared" si="1"/>
        <v>-13868071.85</v>
      </c>
    </row>
    <row r="70" spans="1:18" s="17" customFormat="1" ht="93.6" x14ac:dyDescent="0.3">
      <c r="A70" s="3" t="s">
        <v>42</v>
      </c>
      <c r="B70" s="29">
        <v>93</v>
      </c>
      <c r="C70" s="3" t="s">
        <v>43</v>
      </c>
      <c r="D70" s="3" t="s">
        <v>44</v>
      </c>
      <c r="E70" s="30" t="s">
        <v>45</v>
      </c>
      <c r="F70" s="2" t="s">
        <v>207</v>
      </c>
      <c r="G70" s="2" t="s">
        <v>253</v>
      </c>
      <c r="H70" s="20" t="s">
        <v>254</v>
      </c>
      <c r="I70" s="19">
        <f>J70+K70</f>
        <v>1000000</v>
      </c>
      <c r="J70" s="19">
        <v>1000000</v>
      </c>
      <c r="K70" s="19"/>
      <c r="L70" s="19"/>
      <c r="M70" s="19">
        <f>N70+O70</f>
        <v>787692.15</v>
      </c>
      <c r="N70" s="19">
        <v>787692.15</v>
      </c>
      <c r="O70" s="19"/>
      <c r="P70" s="19"/>
      <c r="Q70" s="8">
        <f t="shared" si="0"/>
        <v>0.78769215000000004</v>
      </c>
      <c r="R70" s="18">
        <f t="shared" si="1"/>
        <v>-212307.84999999998</v>
      </c>
    </row>
    <row r="71" spans="1:18" s="17" customFormat="1" ht="62.4" x14ac:dyDescent="0.3">
      <c r="A71" s="3" t="s">
        <v>301</v>
      </c>
      <c r="B71" s="3" t="s">
        <v>300</v>
      </c>
      <c r="C71" s="3" t="s">
        <v>302</v>
      </c>
      <c r="D71" s="3" t="s">
        <v>86</v>
      </c>
      <c r="E71" s="35" t="s">
        <v>303</v>
      </c>
      <c r="F71" s="30" t="s">
        <v>63</v>
      </c>
      <c r="G71" s="2" t="s">
        <v>298</v>
      </c>
      <c r="H71" s="20" t="s">
        <v>299</v>
      </c>
      <c r="I71" s="19">
        <f>J71+K71</f>
        <v>153000</v>
      </c>
      <c r="J71" s="19">
        <v>153000</v>
      </c>
      <c r="K71" s="19"/>
      <c r="L71" s="19"/>
      <c r="M71" s="19">
        <f>N71+O71</f>
        <v>0</v>
      </c>
      <c r="N71" s="19"/>
      <c r="O71" s="19"/>
      <c r="P71" s="19"/>
      <c r="Q71" s="8">
        <f t="shared" ref="Q71" si="34">M71/I71</f>
        <v>0</v>
      </c>
      <c r="R71" s="18">
        <f t="shared" ref="R71" si="35">M71-I71</f>
        <v>-153000</v>
      </c>
    </row>
    <row r="72" spans="1:18" s="17" customFormat="1" ht="93.6" x14ac:dyDescent="0.3">
      <c r="A72" s="3" t="s">
        <v>255</v>
      </c>
      <c r="B72" s="29">
        <v>93</v>
      </c>
      <c r="C72" s="3" t="s">
        <v>256</v>
      </c>
      <c r="D72" s="3" t="s">
        <v>64</v>
      </c>
      <c r="E72" s="30" t="s">
        <v>257</v>
      </c>
      <c r="F72" s="30" t="s">
        <v>63</v>
      </c>
      <c r="G72" s="2" t="s">
        <v>253</v>
      </c>
      <c r="H72" s="20" t="s">
        <v>254</v>
      </c>
      <c r="I72" s="19">
        <f>J72+K72</f>
        <v>24713400</v>
      </c>
      <c r="J72" s="19">
        <v>24713400</v>
      </c>
      <c r="K72" s="19"/>
      <c r="L72" s="19"/>
      <c r="M72" s="19">
        <f>N72+O72</f>
        <v>11210636</v>
      </c>
      <c r="N72" s="19">
        <v>11210636</v>
      </c>
      <c r="O72" s="19"/>
      <c r="P72" s="19"/>
      <c r="Q72" s="8">
        <f t="shared" si="0"/>
        <v>0.4536258062427671</v>
      </c>
      <c r="R72" s="18">
        <f t="shared" si="1"/>
        <v>-13502764</v>
      </c>
    </row>
    <row r="73" spans="1:18" s="1" customFormat="1" ht="50.25" customHeight="1" x14ac:dyDescent="0.3">
      <c r="A73" s="23">
        <v>16</v>
      </c>
      <c r="B73" s="11">
        <v>83</v>
      </c>
      <c r="C73" s="57" t="s">
        <v>258</v>
      </c>
      <c r="D73" s="58"/>
      <c r="E73" s="58"/>
      <c r="F73" s="58"/>
      <c r="G73" s="59"/>
      <c r="H73" s="16" t="s">
        <v>259</v>
      </c>
      <c r="I73" s="18">
        <f t="shared" si="6"/>
        <v>74792537</v>
      </c>
      <c r="J73" s="18">
        <f>SUM(J74:J79)</f>
        <v>72459483</v>
      </c>
      <c r="K73" s="18">
        <f t="shared" ref="K73:L73" si="36">SUM(K74:K79)</f>
        <v>2333054</v>
      </c>
      <c r="L73" s="18">
        <f t="shared" si="36"/>
        <v>2333054</v>
      </c>
      <c r="M73" s="18">
        <f t="shared" ref="M73:M95" si="37">N73+O73</f>
        <v>28553877.879999999</v>
      </c>
      <c r="N73" s="18">
        <f>SUM(N74:N79)</f>
        <v>28553877.879999999</v>
      </c>
      <c r="O73" s="18">
        <f t="shared" ref="O73:P73" si="38">SUM(O74:O79)</f>
        <v>0</v>
      </c>
      <c r="P73" s="18">
        <f t="shared" si="38"/>
        <v>0</v>
      </c>
      <c r="Q73" s="8">
        <f t="shared" si="0"/>
        <v>0.3817744259697996</v>
      </c>
      <c r="R73" s="18">
        <f t="shared" si="1"/>
        <v>-46238659.120000005</v>
      </c>
    </row>
    <row r="74" spans="1:18" s="17" customFormat="1" ht="60" customHeight="1" x14ac:dyDescent="0.3">
      <c r="A74" s="3" t="s">
        <v>11</v>
      </c>
      <c r="B74" s="29">
        <v>83</v>
      </c>
      <c r="C74" s="3" t="s">
        <v>12</v>
      </c>
      <c r="D74" s="3" t="s">
        <v>13</v>
      </c>
      <c r="E74" s="30" t="s">
        <v>14</v>
      </c>
      <c r="F74" s="10" t="s">
        <v>211</v>
      </c>
      <c r="G74" s="2" t="s">
        <v>260</v>
      </c>
      <c r="H74" s="20" t="s">
        <v>259</v>
      </c>
      <c r="I74" s="19">
        <f t="shared" si="6"/>
        <v>47587782</v>
      </c>
      <c r="J74" s="19">
        <v>47587782</v>
      </c>
      <c r="K74" s="19"/>
      <c r="L74" s="19"/>
      <c r="M74" s="19">
        <f t="shared" si="37"/>
        <v>16326708.880000001</v>
      </c>
      <c r="N74" s="19">
        <v>16326708.880000001</v>
      </c>
      <c r="O74" s="19"/>
      <c r="P74" s="19"/>
      <c r="Q74" s="8">
        <f t="shared" si="0"/>
        <v>0.34308614929773362</v>
      </c>
      <c r="R74" s="18">
        <f t="shared" si="1"/>
        <v>-31261073.119999997</v>
      </c>
    </row>
    <row r="75" spans="1:18" s="17" customFormat="1" ht="66" customHeight="1" x14ac:dyDescent="0.3">
      <c r="A75" s="3" t="s">
        <v>15</v>
      </c>
      <c r="B75" s="29">
        <v>83</v>
      </c>
      <c r="C75" s="3" t="s">
        <v>16</v>
      </c>
      <c r="D75" s="3" t="s">
        <v>17</v>
      </c>
      <c r="E75" s="30" t="s">
        <v>18</v>
      </c>
      <c r="F75" s="10" t="s">
        <v>211</v>
      </c>
      <c r="G75" s="2" t="s">
        <v>260</v>
      </c>
      <c r="H75" s="20" t="s">
        <v>259</v>
      </c>
      <c r="I75" s="19">
        <f t="shared" si="6"/>
        <v>9215600</v>
      </c>
      <c r="J75" s="19">
        <v>9215600</v>
      </c>
      <c r="K75" s="19"/>
      <c r="L75" s="19"/>
      <c r="M75" s="19">
        <f t="shared" si="37"/>
        <v>4657222.6399999997</v>
      </c>
      <c r="N75" s="19">
        <v>4657222.6399999997</v>
      </c>
      <c r="O75" s="19"/>
      <c r="P75" s="19"/>
      <c r="Q75" s="8">
        <f t="shared" si="0"/>
        <v>0.50536293241894181</v>
      </c>
      <c r="R75" s="18">
        <f t="shared" si="1"/>
        <v>-4558377.3600000003</v>
      </c>
    </row>
    <row r="76" spans="1:18" s="17" customFormat="1" ht="81.75" customHeight="1" x14ac:dyDescent="0.3">
      <c r="A76" s="15" t="s">
        <v>19</v>
      </c>
      <c r="B76" s="31">
        <v>83</v>
      </c>
      <c r="C76" s="15">
        <v>2111</v>
      </c>
      <c r="D76" s="15" t="s">
        <v>20</v>
      </c>
      <c r="E76" s="32" t="s">
        <v>21</v>
      </c>
      <c r="F76" s="10" t="s">
        <v>211</v>
      </c>
      <c r="G76" s="2" t="s">
        <v>260</v>
      </c>
      <c r="H76" s="20" t="s">
        <v>259</v>
      </c>
      <c r="I76" s="19">
        <f t="shared" si="6"/>
        <v>4832200</v>
      </c>
      <c r="J76" s="19">
        <f>3792200+1040000</f>
        <v>4832200</v>
      </c>
      <c r="K76" s="19"/>
      <c r="L76" s="19"/>
      <c r="M76" s="19">
        <f t="shared" si="37"/>
        <v>2261084.75</v>
      </c>
      <c r="N76" s="19">
        <v>2261084.75</v>
      </c>
      <c r="O76" s="19"/>
      <c r="P76" s="19"/>
      <c r="Q76" s="8">
        <f t="shared" si="0"/>
        <v>0.46792035718720254</v>
      </c>
      <c r="R76" s="18">
        <f t="shared" si="1"/>
        <v>-2571115.25</v>
      </c>
    </row>
    <row r="77" spans="1:18" s="17" customFormat="1" ht="46.8" x14ac:dyDescent="0.3">
      <c r="A77" s="3" t="s">
        <v>22</v>
      </c>
      <c r="B77" s="12">
        <v>83</v>
      </c>
      <c r="C77" s="3" t="s">
        <v>23</v>
      </c>
      <c r="D77" s="3" t="s">
        <v>24</v>
      </c>
      <c r="E77" s="13" t="s">
        <v>25</v>
      </c>
      <c r="F77" s="10" t="s">
        <v>211</v>
      </c>
      <c r="G77" s="2" t="s">
        <v>260</v>
      </c>
      <c r="H77" s="20" t="s">
        <v>259</v>
      </c>
      <c r="I77" s="19">
        <f t="shared" si="6"/>
        <v>10449704</v>
      </c>
      <c r="J77" s="19">
        <f>9719200+730504</f>
        <v>10449704</v>
      </c>
      <c r="K77" s="19"/>
      <c r="L77" s="19"/>
      <c r="M77" s="19">
        <f t="shared" si="37"/>
        <v>4934664.8600000003</v>
      </c>
      <c r="N77" s="19">
        <v>4934664.8600000003</v>
      </c>
      <c r="O77" s="19"/>
      <c r="P77" s="19"/>
      <c r="Q77" s="8">
        <f t="shared" si="0"/>
        <v>0.47223010910165497</v>
      </c>
      <c r="R77" s="18">
        <f t="shared" si="1"/>
        <v>-5515039.1399999997</v>
      </c>
    </row>
    <row r="78" spans="1:18" s="17" customFormat="1" ht="78" x14ac:dyDescent="0.3">
      <c r="A78" s="3" t="s">
        <v>261</v>
      </c>
      <c r="B78" s="12">
        <v>83</v>
      </c>
      <c r="C78" s="3" t="s">
        <v>262</v>
      </c>
      <c r="D78" s="3" t="s">
        <v>24</v>
      </c>
      <c r="E78" s="13" t="s">
        <v>263</v>
      </c>
      <c r="F78" s="10" t="s">
        <v>211</v>
      </c>
      <c r="G78" s="2" t="s">
        <v>260</v>
      </c>
      <c r="H78" s="20" t="s">
        <v>259</v>
      </c>
      <c r="I78" s="19">
        <f t="shared" si="6"/>
        <v>2333054</v>
      </c>
      <c r="J78" s="19"/>
      <c r="K78" s="19">
        <v>2333054</v>
      </c>
      <c r="L78" s="19">
        <f>K78</f>
        <v>2333054</v>
      </c>
      <c r="M78" s="19">
        <f t="shared" si="37"/>
        <v>0</v>
      </c>
      <c r="N78" s="19"/>
      <c r="O78" s="19"/>
      <c r="P78" s="19"/>
      <c r="Q78" s="8">
        <f t="shared" si="0"/>
        <v>0</v>
      </c>
      <c r="R78" s="18">
        <f t="shared" si="1"/>
        <v>-2333054</v>
      </c>
    </row>
    <row r="79" spans="1:18" s="17" customFormat="1" ht="46.8" x14ac:dyDescent="0.3">
      <c r="A79" s="3" t="s">
        <v>29</v>
      </c>
      <c r="B79" s="12">
        <v>83</v>
      </c>
      <c r="C79" s="3" t="s">
        <v>30</v>
      </c>
      <c r="D79" s="3" t="s">
        <v>31</v>
      </c>
      <c r="E79" s="13" t="s">
        <v>223</v>
      </c>
      <c r="F79" s="10" t="s">
        <v>211</v>
      </c>
      <c r="G79" s="2" t="s">
        <v>260</v>
      </c>
      <c r="H79" s="20" t="s">
        <v>259</v>
      </c>
      <c r="I79" s="19">
        <f t="shared" si="6"/>
        <v>374197</v>
      </c>
      <c r="J79" s="19">
        <v>374197</v>
      </c>
      <c r="K79" s="19"/>
      <c r="L79" s="19"/>
      <c r="M79" s="19">
        <f t="shared" si="37"/>
        <v>374196.75</v>
      </c>
      <c r="N79" s="19">
        <v>374196.75</v>
      </c>
      <c r="O79" s="19"/>
      <c r="P79" s="19"/>
      <c r="Q79" s="8">
        <f t="shared" si="0"/>
        <v>0.99999933190271439</v>
      </c>
      <c r="R79" s="18">
        <f t="shared" si="1"/>
        <v>-0.25</v>
      </c>
    </row>
    <row r="80" spans="1:18" s="1" customFormat="1" ht="46.8" x14ac:dyDescent="0.3">
      <c r="A80" s="23">
        <v>17</v>
      </c>
      <c r="B80" s="9">
        <v>90</v>
      </c>
      <c r="C80" s="57" t="s">
        <v>264</v>
      </c>
      <c r="D80" s="58"/>
      <c r="E80" s="58"/>
      <c r="F80" s="58"/>
      <c r="G80" s="59"/>
      <c r="H80" s="16" t="s">
        <v>265</v>
      </c>
      <c r="I80" s="18">
        <f t="shared" si="6"/>
        <v>61645385</v>
      </c>
      <c r="J80" s="18">
        <f>SUM(J81:J84)</f>
        <v>61645385</v>
      </c>
      <c r="K80" s="18">
        <f t="shared" ref="K80:L80" si="39">K81+K83</f>
        <v>0</v>
      </c>
      <c r="L80" s="18">
        <f t="shared" si="39"/>
        <v>0</v>
      </c>
      <c r="M80" s="18">
        <f t="shared" si="37"/>
        <v>35481623.920000002</v>
      </c>
      <c r="N80" s="18">
        <f>SUM(N81:N84)</f>
        <v>35481623.920000002</v>
      </c>
      <c r="O80" s="18">
        <f t="shared" ref="O80:P80" si="40">O81+O83</f>
        <v>0</v>
      </c>
      <c r="P80" s="18">
        <f t="shared" si="40"/>
        <v>0</v>
      </c>
      <c r="Q80" s="8">
        <f t="shared" si="0"/>
        <v>0.57557632124448577</v>
      </c>
      <c r="R80" s="18">
        <f t="shared" si="1"/>
        <v>-26163761.079999998</v>
      </c>
    </row>
    <row r="81" spans="1:18" s="17" customFormat="1" ht="78" x14ac:dyDescent="0.3">
      <c r="A81" s="3" t="s">
        <v>36</v>
      </c>
      <c r="B81" s="27">
        <v>90</v>
      </c>
      <c r="C81" s="3" t="s">
        <v>37</v>
      </c>
      <c r="D81" s="3" t="s">
        <v>34</v>
      </c>
      <c r="E81" s="10" t="s">
        <v>38</v>
      </c>
      <c r="F81" s="10" t="s">
        <v>211</v>
      </c>
      <c r="G81" s="2" t="s">
        <v>264</v>
      </c>
      <c r="H81" s="20" t="s">
        <v>265</v>
      </c>
      <c r="I81" s="19">
        <f t="shared" si="6"/>
        <v>1193905</v>
      </c>
      <c r="J81" s="19">
        <v>1193905</v>
      </c>
      <c r="K81" s="19"/>
      <c r="L81" s="19"/>
      <c r="M81" s="19">
        <f t="shared" si="37"/>
        <v>826439.8</v>
      </c>
      <c r="N81" s="19">
        <v>826439.8</v>
      </c>
      <c r="O81" s="19"/>
      <c r="P81" s="19"/>
      <c r="Q81" s="8">
        <f t="shared" ref="Q81:Q145" si="41">M81/I81</f>
        <v>0.69221571230541801</v>
      </c>
      <c r="R81" s="18">
        <f t="shared" ref="R81:R145" si="42">M81-I81</f>
        <v>-367465.19999999995</v>
      </c>
    </row>
    <row r="82" spans="1:18" s="17" customFormat="1" ht="78" x14ac:dyDescent="0.3">
      <c r="A82" s="3" t="s">
        <v>39</v>
      </c>
      <c r="B82" s="27">
        <v>90</v>
      </c>
      <c r="C82" s="3" t="s">
        <v>40</v>
      </c>
      <c r="D82" s="3" t="s">
        <v>34</v>
      </c>
      <c r="E82" s="10" t="s">
        <v>41</v>
      </c>
      <c r="F82" s="10" t="s">
        <v>211</v>
      </c>
      <c r="G82" s="2" t="s">
        <v>264</v>
      </c>
      <c r="H82" s="20" t="s">
        <v>265</v>
      </c>
      <c r="I82" s="19">
        <f t="shared" si="6"/>
        <v>285480</v>
      </c>
      <c r="J82" s="19">
        <v>285480</v>
      </c>
      <c r="K82" s="19"/>
      <c r="L82" s="19"/>
      <c r="M82" s="19">
        <f t="shared" si="37"/>
        <v>234000</v>
      </c>
      <c r="N82" s="19">
        <v>234000</v>
      </c>
      <c r="O82" s="19"/>
      <c r="P82" s="19"/>
      <c r="Q82" s="8">
        <f t="shared" si="41"/>
        <v>0.81967213114754101</v>
      </c>
      <c r="R82" s="18">
        <f t="shared" si="42"/>
        <v>-51480</v>
      </c>
    </row>
    <row r="83" spans="1:18" s="17" customFormat="1" ht="78" x14ac:dyDescent="0.3">
      <c r="A83" s="3" t="s">
        <v>145</v>
      </c>
      <c r="B83" s="27">
        <v>90</v>
      </c>
      <c r="C83" s="3" t="s">
        <v>40</v>
      </c>
      <c r="D83" s="3" t="s">
        <v>34</v>
      </c>
      <c r="E83" s="10" t="s">
        <v>41</v>
      </c>
      <c r="F83" s="30" t="s">
        <v>215</v>
      </c>
      <c r="G83" s="2" t="s">
        <v>264</v>
      </c>
      <c r="H83" s="20" t="s">
        <v>265</v>
      </c>
      <c r="I83" s="19">
        <f t="shared" si="6"/>
        <v>166000</v>
      </c>
      <c r="J83" s="19">
        <v>166000</v>
      </c>
      <c r="K83" s="19"/>
      <c r="L83" s="19"/>
      <c r="M83" s="19">
        <f t="shared" si="37"/>
        <v>126184.12</v>
      </c>
      <c r="N83" s="19">
        <v>126184.12</v>
      </c>
      <c r="O83" s="19"/>
      <c r="P83" s="19"/>
      <c r="Q83" s="8">
        <f t="shared" si="41"/>
        <v>0.76014530120481927</v>
      </c>
      <c r="R83" s="18">
        <f t="shared" si="42"/>
        <v>-39815.880000000005</v>
      </c>
    </row>
    <row r="84" spans="1:18" s="17" customFormat="1" ht="93.6" x14ac:dyDescent="0.3">
      <c r="A84" s="3" t="s">
        <v>266</v>
      </c>
      <c r="B84" s="12">
        <v>90</v>
      </c>
      <c r="C84" s="3" t="s">
        <v>267</v>
      </c>
      <c r="D84" s="3" t="s">
        <v>92</v>
      </c>
      <c r="E84" s="13" t="s">
        <v>268</v>
      </c>
      <c r="F84" s="10" t="s">
        <v>146</v>
      </c>
      <c r="G84" s="2" t="s">
        <v>264</v>
      </c>
      <c r="H84" s="20" t="s">
        <v>265</v>
      </c>
      <c r="I84" s="19">
        <f t="shared" si="6"/>
        <v>60000000</v>
      </c>
      <c r="J84" s="19">
        <v>60000000</v>
      </c>
      <c r="K84" s="19"/>
      <c r="L84" s="19"/>
      <c r="M84" s="19">
        <f t="shared" si="37"/>
        <v>34295000</v>
      </c>
      <c r="N84" s="19">
        <v>34295000</v>
      </c>
      <c r="O84" s="19"/>
      <c r="P84" s="19"/>
      <c r="Q84" s="8">
        <f t="shared" si="41"/>
        <v>0.57158333333333333</v>
      </c>
      <c r="R84" s="18">
        <f t="shared" si="42"/>
        <v>-25705000</v>
      </c>
    </row>
    <row r="85" spans="1:18" s="1" customFormat="1" ht="62.4" customHeight="1" x14ac:dyDescent="0.3">
      <c r="A85" s="23">
        <v>18</v>
      </c>
      <c r="B85" s="11">
        <v>91</v>
      </c>
      <c r="C85" s="57" t="s">
        <v>269</v>
      </c>
      <c r="D85" s="58"/>
      <c r="E85" s="58"/>
      <c r="F85" s="58"/>
      <c r="G85" s="59"/>
      <c r="H85" s="16" t="s">
        <v>270</v>
      </c>
      <c r="I85" s="18">
        <f t="shared" si="6"/>
        <v>873900</v>
      </c>
      <c r="J85" s="18">
        <f>J86</f>
        <v>873900</v>
      </c>
      <c r="K85" s="18">
        <f>K86</f>
        <v>0</v>
      </c>
      <c r="L85" s="18">
        <f>L86</f>
        <v>0</v>
      </c>
      <c r="M85" s="18">
        <f t="shared" si="37"/>
        <v>135255</v>
      </c>
      <c r="N85" s="18">
        <f>N86</f>
        <v>135255</v>
      </c>
      <c r="O85" s="18">
        <f>O86</f>
        <v>0</v>
      </c>
      <c r="P85" s="18">
        <f>P86</f>
        <v>0</v>
      </c>
      <c r="Q85" s="8">
        <f t="shared" si="41"/>
        <v>0.15477171301064194</v>
      </c>
      <c r="R85" s="18">
        <f t="shared" si="42"/>
        <v>-738645</v>
      </c>
    </row>
    <row r="86" spans="1:18" s="17" customFormat="1" ht="62.4" x14ac:dyDescent="0.3">
      <c r="A86" s="25" t="s">
        <v>33</v>
      </c>
      <c r="B86" s="31">
        <v>91</v>
      </c>
      <c r="C86" s="15">
        <v>8220</v>
      </c>
      <c r="D86" s="25" t="s">
        <v>34</v>
      </c>
      <c r="E86" s="32" t="s">
        <v>35</v>
      </c>
      <c r="F86" s="10" t="s">
        <v>211</v>
      </c>
      <c r="G86" s="2" t="s">
        <v>269</v>
      </c>
      <c r="H86" s="20" t="s">
        <v>270</v>
      </c>
      <c r="I86" s="19">
        <f t="shared" si="6"/>
        <v>873900</v>
      </c>
      <c r="J86" s="19">
        <v>873900</v>
      </c>
      <c r="K86" s="19"/>
      <c r="L86" s="19"/>
      <c r="M86" s="19">
        <f t="shared" si="37"/>
        <v>135255</v>
      </c>
      <c r="N86" s="19">
        <v>135255</v>
      </c>
      <c r="O86" s="19"/>
      <c r="P86" s="19"/>
      <c r="Q86" s="8">
        <f t="shared" si="41"/>
        <v>0.15477171301064194</v>
      </c>
      <c r="R86" s="18">
        <f t="shared" si="42"/>
        <v>-738645</v>
      </c>
    </row>
    <row r="87" spans="1:18" s="1" customFormat="1" ht="35.4" customHeight="1" x14ac:dyDescent="0.3">
      <c r="A87" s="23">
        <v>19</v>
      </c>
      <c r="B87" s="11">
        <v>89</v>
      </c>
      <c r="C87" s="57" t="s">
        <v>271</v>
      </c>
      <c r="D87" s="58"/>
      <c r="E87" s="58"/>
      <c r="F87" s="58"/>
      <c r="G87" s="59"/>
      <c r="H87" s="16" t="s">
        <v>272</v>
      </c>
      <c r="I87" s="18">
        <f t="shared" si="6"/>
        <v>6000000</v>
      </c>
      <c r="J87" s="18">
        <f>J88</f>
        <v>6000000</v>
      </c>
      <c r="K87" s="18">
        <f>K88</f>
        <v>0</v>
      </c>
      <c r="L87" s="18">
        <f>L88</f>
        <v>0</v>
      </c>
      <c r="M87" s="18">
        <f t="shared" si="37"/>
        <v>6000000</v>
      </c>
      <c r="N87" s="18">
        <f>N88</f>
        <v>6000000</v>
      </c>
      <c r="O87" s="18">
        <f>O88</f>
        <v>0</v>
      </c>
      <c r="P87" s="18">
        <f>P88</f>
        <v>0</v>
      </c>
      <c r="Q87" s="8">
        <f t="shared" si="41"/>
        <v>1</v>
      </c>
      <c r="R87" s="18">
        <f t="shared" si="42"/>
        <v>0</v>
      </c>
    </row>
    <row r="88" spans="1:18" s="17" customFormat="1" ht="74.25" customHeight="1" x14ac:dyDescent="0.3">
      <c r="A88" s="15">
        <v>3719800</v>
      </c>
      <c r="B88" s="31">
        <v>89</v>
      </c>
      <c r="C88" s="29">
        <v>9800</v>
      </c>
      <c r="D88" s="25" t="s">
        <v>92</v>
      </c>
      <c r="E88" s="32" t="s">
        <v>148</v>
      </c>
      <c r="F88" s="30" t="s">
        <v>146</v>
      </c>
      <c r="G88" s="2" t="s">
        <v>271</v>
      </c>
      <c r="H88" s="20" t="s">
        <v>272</v>
      </c>
      <c r="I88" s="19">
        <f t="shared" si="6"/>
        <v>6000000</v>
      </c>
      <c r="J88" s="19">
        <f>5000000+1000000</f>
        <v>6000000</v>
      </c>
      <c r="K88" s="19"/>
      <c r="L88" s="19"/>
      <c r="M88" s="19">
        <f t="shared" si="37"/>
        <v>6000000</v>
      </c>
      <c r="N88" s="19">
        <v>6000000</v>
      </c>
      <c r="O88" s="19"/>
      <c r="P88" s="19"/>
      <c r="Q88" s="8">
        <f t="shared" si="41"/>
        <v>1</v>
      </c>
      <c r="R88" s="18">
        <f t="shared" si="42"/>
        <v>0</v>
      </c>
    </row>
    <row r="89" spans="1:18" s="1" customFormat="1" ht="53.25" customHeight="1" x14ac:dyDescent="0.3">
      <c r="A89" s="23">
        <v>20</v>
      </c>
      <c r="B89" s="11">
        <v>85</v>
      </c>
      <c r="C89" s="60" t="s">
        <v>273</v>
      </c>
      <c r="D89" s="60"/>
      <c r="E89" s="60"/>
      <c r="F89" s="60"/>
      <c r="G89" s="60"/>
      <c r="H89" s="16" t="s">
        <v>274</v>
      </c>
      <c r="I89" s="18">
        <f t="shared" si="6"/>
        <v>112207724.36</v>
      </c>
      <c r="J89" s="18">
        <f>SUM(J90:J92)</f>
        <v>109220052</v>
      </c>
      <c r="K89" s="18">
        <f>SUM(K90:K92)</f>
        <v>2987672.36</v>
      </c>
      <c r="L89" s="18">
        <f>SUM(L90:L92)</f>
        <v>0</v>
      </c>
      <c r="M89" s="18">
        <f t="shared" si="37"/>
        <v>89951654.950000003</v>
      </c>
      <c r="N89" s="18">
        <f>SUM(N90:N92)</f>
        <v>89951654.950000003</v>
      </c>
      <c r="O89" s="18">
        <f>SUM(O90:O92)</f>
        <v>0</v>
      </c>
      <c r="P89" s="18">
        <f>SUM(P90:P92)</f>
        <v>0</v>
      </c>
      <c r="Q89" s="8">
        <f t="shared" si="41"/>
        <v>0.80165296518629092</v>
      </c>
      <c r="R89" s="18">
        <f t="shared" si="42"/>
        <v>-22256069.409999996</v>
      </c>
    </row>
    <row r="90" spans="1:18" s="17" customFormat="1" ht="166.5" customHeight="1" x14ac:dyDescent="0.3">
      <c r="A90" s="15">
        <v>1217691</v>
      </c>
      <c r="B90" s="36">
        <v>85</v>
      </c>
      <c r="C90" s="15">
        <v>7691</v>
      </c>
      <c r="D90" s="3" t="s">
        <v>139</v>
      </c>
      <c r="E90" s="2" t="s">
        <v>140</v>
      </c>
      <c r="F90" s="10" t="s">
        <v>213</v>
      </c>
      <c r="G90" s="2" t="s">
        <v>275</v>
      </c>
      <c r="H90" s="20" t="s">
        <v>274</v>
      </c>
      <c r="I90" s="19">
        <f t="shared" si="6"/>
        <v>2987672.36</v>
      </c>
      <c r="J90" s="19"/>
      <c r="K90" s="19">
        <f>2807672.36+180000</f>
        <v>2987672.36</v>
      </c>
      <c r="L90" s="19"/>
      <c r="M90" s="19">
        <f t="shared" si="37"/>
        <v>0</v>
      </c>
      <c r="N90" s="19"/>
      <c r="O90" s="19"/>
      <c r="P90" s="19"/>
      <c r="Q90" s="8">
        <f t="shared" si="41"/>
        <v>0</v>
      </c>
      <c r="R90" s="18">
        <f t="shared" si="42"/>
        <v>-2987672.36</v>
      </c>
    </row>
    <row r="91" spans="1:18" s="17" customFormat="1" ht="62.4" x14ac:dyDescent="0.3">
      <c r="A91" s="3" t="s">
        <v>141</v>
      </c>
      <c r="B91" s="27">
        <v>85</v>
      </c>
      <c r="C91" s="3" t="s">
        <v>142</v>
      </c>
      <c r="D91" s="3" t="s">
        <v>139</v>
      </c>
      <c r="E91" s="10" t="s">
        <v>143</v>
      </c>
      <c r="F91" s="10" t="s">
        <v>213</v>
      </c>
      <c r="G91" s="2" t="s">
        <v>275</v>
      </c>
      <c r="H91" s="20" t="s">
        <v>274</v>
      </c>
      <c r="I91" s="19">
        <f t="shared" si="6"/>
        <v>85934781</v>
      </c>
      <c r="J91" s="19">
        <v>85934781</v>
      </c>
      <c r="K91" s="19"/>
      <c r="L91" s="19"/>
      <c r="M91" s="19">
        <f t="shared" si="37"/>
        <v>78374235.680000007</v>
      </c>
      <c r="N91" s="19">
        <f>11907454.68+39266781+27200000</f>
        <v>78374235.680000007</v>
      </c>
      <c r="O91" s="19"/>
      <c r="P91" s="19"/>
      <c r="Q91" s="8">
        <f t="shared" si="41"/>
        <v>0.91201996174284783</v>
      </c>
      <c r="R91" s="18">
        <f t="shared" si="42"/>
        <v>-7560545.3199999928</v>
      </c>
    </row>
    <row r="92" spans="1:18" s="1" customFormat="1" ht="62.4" x14ac:dyDescent="0.3">
      <c r="A92" s="3" t="s">
        <v>144</v>
      </c>
      <c r="B92" s="27">
        <v>85</v>
      </c>
      <c r="C92" s="3" t="s">
        <v>142</v>
      </c>
      <c r="D92" s="3" t="s">
        <v>139</v>
      </c>
      <c r="E92" s="10" t="s">
        <v>143</v>
      </c>
      <c r="F92" s="30" t="s">
        <v>215</v>
      </c>
      <c r="G92" s="2" t="s">
        <v>275</v>
      </c>
      <c r="H92" s="20" t="s">
        <v>274</v>
      </c>
      <c r="I92" s="19">
        <f t="shared" si="6"/>
        <v>23285271</v>
      </c>
      <c r="J92" s="19">
        <v>23285271</v>
      </c>
      <c r="K92" s="19"/>
      <c r="L92" s="19"/>
      <c r="M92" s="19">
        <f t="shared" si="37"/>
        <v>11577419.27</v>
      </c>
      <c r="N92" s="19">
        <f>2243935.65+9333483.62</f>
        <v>11577419.27</v>
      </c>
      <c r="O92" s="19"/>
      <c r="P92" s="19"/>
      <c r="Q92" s="8">
        <f t="shared" si="41"/>
        <v>0.49719924968878393</v>
      </c>
      <c r="R92" s="18">
        <f t="shared" si="42"/>
        <v>-11707851.73</v>
      </c>
    </row>
    <row r="93" spans="1:18" s="1" customFormat="1" ht="44.25" customHeight="1" x14ac:dyDescent="0.3">
      <c r="A93" s="23">
        <v>21</v>
      </c>
      <c r="B93" s="11">
        <v>92</v>
      </c>
      <c r="C93" s="57" t="s">
        <v>276</v>
      </c>
      <c r="D93" s="58"/>
      <c r="E93" s="58"/>
      <c r="F93" s="58"/>
      <c r="G93" s="59"/>
      <c r="H93" s="16" t="s">
        <v>277</v>
      </c>
      <c r="I93" s="18">
        <f t="shared" si="6"/>
        <v>1625212</v>
      </c>
      <c r="J93" s="18">
        <f>J94</f>
        <v>1625212</v>
      </c>
      <c r="K93" s="18"/>
      <c r="L93" s="18"/>
      <c r="M93" s="18">
        <f t="shared" si="37"/>
        <v>1625212</v>
      </c>
      <c r="N93" s="18">
        <f>N94</f>
        <v>1625212</v>
      </c>
      <c r="O93" s="18"/>
      <c r="P93" s="18"/>
      <c r="Q93" s="8">
        <f t="shared" si="41"/>
        <v>1</v>
      </c>
      <c r="R93" s="18">
        <f t="shared" si="42"/>
        <v>0</v>
      </c>
    </row>
    <row r="94" spans="1:18" s="17" customFormat="1" ht="62.4" x14ac:dyDescent="0.3">
      <c r="A94" s="15">
        <v>3719800</v>
      </c>
      <c r="B94" s="36">
        <v>92</v>
      </c>
      <c r="C94" s="29">
        <v>9800</v>
      </c>
      <c r="D94" s="25" t="s">
        <v>92</v>
      </c>
      <c r="E94" s="32" t="s">
        <v>148</v>
      </c>
      <c r="F94" s="30" t="s">
        <v>146</v>
      </c>
      <c r="G94" s="2" t="s">
        <v>276</v>
      </c>
      <c r="H94" s="20" t="s">
        <v>277</v>
      </c>
      <c r="I94" s="19">
        <f t="shared" si="6"/>
        <v>1625212</v>
      </c>
      <c r="J94" s="19">
        <v>1625212</v>
      </c>
      <c r="K94" s="19"/>
      <c r="L94" s="19"/>
      <c r="M94" s="19">
        <f t="shared" si="37"/>
        <v>1625212</v>
      </c>
      <c r="N94" s="19">
        <v>1625212</v>
      </c>
      <c r="O94" s="19"/>
      <c r="P94" s="19"/>
      <c r="Q94" s="8">
        <f t="shared" si="41"/>
        <v>1</v>
      </c>
      <c r="R94" s="18">
        <f t="shared" si="42"/>
        <v>0</v>
      </c>
    </row>
    <row r="95" spans="1:18" s="1" customFormat="1" ht="59.25" customHeight="1" x14ac:dyDescent="0.3">
      <c r="A95" s="23">
        <v>22</v>
      </c>
      <c r="B95" s="9">
        <v>86</v>
      </c>
      <c r="C95" s="57" t="s">
        <v>278</v>
      </c>
      <c r="D95" s="58"/>
      <c r="E95" s="58"/>
      <c r="F95" s="58"/>
      <c r="G95" s="59"/>
      <c r="H95" s="16" t="s">
        <v>279</v>
      </c>
      <c r="I95" s="18">
        <f t="shared" si="6"/>
        <v>2503000</v>
      </c>
      <c r="J95" s="18">
        <f>J96</f>
        <v>2503000</v>
      </c>
      <c r="K95" s="18">
        <f>K96</f>
        <v>0</v>
      </c>
      <c r="L95" s="18">
        <f>L96</f>
        <v>0</v>
      </c>
      <c r="M95" s="18">
        <f t="shared" si="37"/>
        <v>2103000</v>
      </c>
      <c r="N95" s="18">
        <f>N96</f>
        <v>2103000</v>
      </c>
      <c r="O95" s="18">
        <f>O96</f>
        <v>0</v>
      </c>
      <c r="P95" s="18">
        <f>P96</f>
        <v>0</v>
      </c>
      <c r="Q95" s="8">
        <f t="shared" si="41"/>
        <v>0.84019176987614863</v>
      </c>
      <c r="R95" s="18">
        <f t="shared" si="42"/>
        <v>-400000</v>
      </c>
    </row>
    <row r="96" spans="1:18" s="17" customFormat="1" ht="109.5" customHeight="1" x14ac:dyDescent="0.3">
      <c r="A96" s="15">
        <v>3719770</v>
      </c>
      <c r="B96" s="37">
        <v>86</v>
      </c>
      <c r="C96" s="29">
        <v>9770</v>
      </c>
      <c r="D96" s="25" t="s">
        <v>92</v>
      </c>
      <c r="E96" s="38" t="s">
        <v>147</v>
      </c>
      <c r="F96" s="30" t="s">
        <v>146</v>
      </c>
      <c r="G96" s="2" t="s">
        <v>278</v>
      </c>
      <c r="H96" s="20" t="s">
        <v>279</v>
      </c>
      <c r="I96" s="19">
        <f>J96+K96</f>
        <v>2503000</v>
      </c>
      <c r="J96" s="19">
        <v>2503000</v>
      </c>
      <c r="K96" s="19"/>
      <c r="L96" s="19"/>
      <c r="M96" s="19">
        <f>N96+O96</f>
        <v>2103000</v>
      </c>
      <c r="N96" s="19">
        <v>2103000</v>
      </c>
      <c r="O96" s="19"/>
      <c r="P96" s="19"/>
      <c r="Q96" s="8">
        <f t="shared" si="41"/>
        <v>0.84019176987614863</v>
      </c>
      <c r="R96" s="18">
        <f t="shared" si="42"/>
        <v>-400000</v>
      </c>
    </row>
    <row r="97" spans="1:18" s="1" customFormat="1" ht="37.950000000000003" customHeight="1" x14ac:dyDescent="0.3">
      <c r="A97" s="23">
        <v>23</v>
      </c>
      <c r="B97" s="9">
        <v>84</v>
      </c>
      <c r="C97" s="57" t="s">
        <v>280</v>
      </c>
      <c r="D97" s="58"/>
      <c r="E97" s="58"/>
      <c r="F97" s="58"/>
      <c r="G97" s="59"/>
      <c r="H97" s="16" t="s">
        <v>281</v>
      </c>
      <c r="I97" s="18">
        <f>SUM(J97:K97)</f>
        <v>5862974</v>
      </c>
      <c r="J97" s="18">
        <f>SUM(J98:J103)</f>
        <v>5387974</v>
      </c>
      <c r="K97" s="18">
        <f t="shared" ref="K97:L97" si="43">SUM(K98:K103)</f>
        <v>475000</v>
      </c>
      <c r="L97" s="18">
        <f t="shared" si="43"/>
        <v>0</v>
      </c>
      <c r="M97" s="18">
        <f>SUM(N97:O97)</f>
        <v>2604605.41</v>
      </c>
      <c r="N97" s="18">
        <f>SUM(N98:N103)</f>
        <v>2359447.41</v>
      </c>
      <c r="O97" s="18">
        <f t="shared" ref="O97:P97" si="44">SUM(O98:O103)</f>
        <v>245158</v>
      </c>
      <c r="P97" s="18">
        <f t="shared" si="44"/>
        <v>0</v>
      </c>
      <c r="Q97" s="8">
        <f t="shared" si="41"/>
        <v>0.44424645410332708</v>
      </c>
      <c r="R97" s="18">
        <f t="shared" si="42"/>
        <v>-3258368.59</v>
      </c>
    </row>
    <row r="98" spans="1:18" s="17" customFormat="1" ht="46.8" x14ac:dyDescent="0.3">
      <c r="A98" s="15">
        <v>1011080</v>
      </c>
      <c r="B98" s="36">
        <v>84</v>
      </c>
      <c r="C98" s="29">
        <v>1080</v>
      </c>
      <c r="D98" s="25" t="s">
        <v>93</v>
      </c>
      <c r="E98" s="32" t="s">
        <v>94</v>
      </c>
      <c r="F98" s="30" t="s">
        <v>91</v>
      </c>
      <c r="G98" s="2" t="s">
        <v>280</v>
      </c>
      <c r="H98" s="20" t="s">
        <v>281</v>
      </c>
      <c r="I98" s="19">
        <f>SUM(J98:K98)</f>
        <v>1475000</v>
      </c>
      <c r="J98" s="19">
        <f>260000+740000</f>
        <v>1000000</v>
      </c>
      <c r="K98" s="19">
        <v>475000</v>
      </c>
      <c r="L98" s="19"/>
      <c r="M98" s="19">
        <f>SUM(N98:O98)</f>
        <v>839608</v>
      </c>
      <c r="N98" s="19">
        <v>594450</v>
      </c>
      <c r="O98" s="19">
        <v>245158</v>
      </c>
      <c r="P98" s="19"/>
      <c r="Q98" s="8">
        <f t="shared" si="41"/>
        <v>0.56922576271186442</v>
      </c>
      <c r="R98" s="18">
        <f t="shared" si="42"/>
        <v>-635392</v>
      </c>
    </row>
    <row r="99" spans="1:18" s="17" customFormat="1" ht="46.8" x14ac:dyDescent="0.3">
      <c r="A99" s="15">
        <v>1013242</v>
      </c>
      <c r="B99" s="36">
        <v>84</v>
      </c>
      <c r="C99" s="29">
        <v>3242</v>
      </c>
      <c r="D99" s="25" t="s">
        <v>28</v>
      </c>
      <c r="E99" s="32" t="s">
        <v>282</v>
      </c>
      <c r="F99" s="30" t="s">
        <v>91</v>
      </c>
      <c r="G99" s="2" t="s">
        <v>280</v>
      </c>
      <c r="H99" s="20" t="s">
        <v>281</v>
      </c>
      <c r="I99" s="19">
        <f>SUM(J99:K99)</f>
        <v>48000</v>
      </c>
      <c r="J99" s="19">
        <v>48000</v>
      </c>
      <c r="K99" s="19"/>
      <c r="L99" s="19"/>
      <c r="M99" s="19">
        <f>SUM(N99:O99)</f>
        <v>24000</v>
      </c>
      <c r="N99" s="19">
        <v>24000</v>
      </c>
      <c r="O99" s="19"/>
      <c r="P99" s="19"/>
      <c r="Q99" s="8">
        <f t="shared" si="41"/>
        <v>0.5</v>
      </c>
      <c r="R99" s="18">
        <f t="shared" si="42"/>
        <v>-24000</v>
      </c>
    </row>
    <row r="100" spans="1:18" s="17" customFormat="1" ht="46.8" x14ac:dyDescent="0.3">
      <c r="A100" s="3" t="s">
        <v>96</v>
      </c>
      <c r="B100" s="36">
        <v>84</v>
      </c>
      <c r="C100" s="29">
        <v>4030</v>
      </c>
      <c r="D100" s="25" t="s">
        <v>97</v>
      </c>
      <c r="E100" s="32" t="s">
        <v>98</v>
      </c>
      <c r="F100" s="30" t="s">
        <v>91</v>
      </c>
      <c r="G100" s="2" t="s">
        <v>280</v>
      </c>
      <c r="H100" s="20" t="s">
        <v>281</v>
      </c>
      <c r="I100" s="19">
        <f t="shared" ref="I100:I103" si="45">SUM(J100:K100)</f>
        <v>1243675</v>
      </c>
      <c r="J100" s="19">
        <v>1243675</v>
      </c>
      <c r="K100" s="19"/>
      <c r="L100" s="19"/>
      <c r="M100" s="19">
        <f t="shared" ref="M100:M103" si="46">SUM(N100:O100)</f>
        <v>481695</v>
      </c>
      <c r="N100" s="19">
        <v>481695</v>
      </c>
      <c r="O100" s="19"/>
      <c r="P100" s="19"/>
      <c r="Q100" s="8">
        <f t="shared" si="41"/>
        <v>0.38731581803927873</v>
      </c>
      <c r="R100" s="18">
        <f t="shared" si="42"/>
        <v>-761980</v>
      </c>
    </row>
    <row r="101" spans="1:18" s="17" customFormat="1" ht="46.8" x14ac:dyDescent="0.3">
      <c r="A101" s="3" t="s">
        <v>99</v>
      </c>
      <c r="B101" s="36">
        <v>84</v>
      </c>
      <c r="C101" s="29">
        <v>4040</v>
      </c>
      <c r="D101" s="25" t="s">
        <v>97</v>
      </c>
      <c r="E101" s="32" t="s">
        <v>100</v>
      </c>
      <c r="F101" s="30" t="s">
        <v>91</v>
      </c>
      <c r="G101" s="2" t="s">
        <v>280</v>
      </c>
      <c r="H101" s="20" t="s">
        <v>281</v>
      </c>
      <c r="I101" s="19">
        <f t="shared" si="45"/>
        <v>455000</v>
      </c>
      <c r="J101" s="19">
        <f>455000</f>
        <v>455000</v>
      </c>
      <c r="K101" s="19"/>
      <c r="L101" s="19"/>
      <c r="M101" s="19">
        <f t="shared" si="46"/>
        <v>131000</v>
      </c>
      <c r="N101" s="19">
        <v>131000</v>
      </c>
      <c r="O101" s="19"/>
      <c r="P101" s="19"/>
      <c r="Q101" s="8">
        <f t="shared" si="41"/>
        <v>0.28791208791208789</v>
      </c>
      <c r="R101" s="18">
        <f t="shared" si="42"/>
        <v>-324000</v>
      </c>
    </row>
    <row r="102" spans="1:18" s="17" customFormat="1" ht="68.25" customHeight="1" x14ac:dyDescent="0.3">
      <c r="A102" s="3" t="s">
        <v>101</v>
      </c>
      <c r="B102" s="36">
        <v>84</v>
      </c>
      <c r="C102" s="29">
        <v>4060</v>
      </c>
      <c r="D102" s="25" t="s">
        <v>102</v>
      </c>
      <c r="E102" s="32" t="s">
        <v>103</v>
      </c>
      <c r="F102" s="30" t="s">
        <v>91</v>
      </c>
      <c r="G102" s="2" t="s">
        <v>280</v>
      </c>
      <c r="H102" s="20" t="s">
        <v>281</v>
      </c>
      <c r="I102" s="19">
        <f t="shared" si="45"/>
        <v>1762299</v>
      </c>
      <c r="J102" s="19">
        <v>1762299</v>
      </c>
      <c r="K102" s="19"/>
      <c r="L102" s="19"/>
      <c r="M102" s="19">
        <f t="shared" si="46"/>
        <v>923640.41</v>
      </c>
      <c r="N102" s="19">
        <v>923640.41</v>
      </c>
      <c r="O102" s="19"/>
      <c r="P102" s="19"/>
      <c r="Q102" s="8">
        <f t="shared" si="41"/>
        <v>0.52411106741818503</v>
      </c>
      <c r="R102" s="18">
        <f t="shared" si="42"/>
        <v>-838658.59</v>
      </c>
    </row>
    <row r="103" spans="1:18" s="17" customFormat="1" ht="46.8" x14ac:dyDescent="0.3">
      <c r="A103" s="3" t="s">
        <v>104</v>
      </c>
      <c r="B103" s="36">
        <v>84</v>
      </c>
      <c r="C103" s="29">
        <v>4082</v>
      </c>
      <c r="D103" s="25" t="s">
        <v>105</v>
      </c>
      <c r="E103" s="32" t="s">
        <v>106</v>
      </c>
      <c r="F103" s="30" t="s">
        <v>91</v>
      </c>
      <c r="G103" s="2" t="s">
        <v>280</v>
      </c>
      <c r="H103" s="20" t="s">
        <v>281</v>
      </c>
      <c r="I103" s="19">
        <f t="shared" si="45"/>
        <v>879000</v>
      </c>
      <c r="J103" s="19">
        <v>879000</v>
      </c>
      <c r="K103" s="19"/>
      <c r="L103" s="19"/>
      <c r="M103" s="19">
        <f t="shared" si="46"/>
        <v>204662</v>
      </c>
      <c r="N103" s="19">
        <v>204662</v>
      </c>
      <c r="O103" s="19"/>
      <c r="P103" s="19"/>
      <c r="Q103" s="8">
        <f t="shared" si="41"/>
        <v>0.23283503981797496</v>
      </c>
      <c r="R103" s="18">
        <f t="shared" si="42"/>
        <v>-674338</v>
      </c>
    </row>
    <row r="104" spans="1:18" s="1" customFormat="1" ht="39.6" customHeight="1" x14ac:dyDescent="0.3">
      <c r="A104" s="23">
        <v>24</v>
      </c>
      <c r="B104" s="9">
        <v>87</v>
      </c>
      <c r="C104" s="57" t="s">
        <v>283</v>
      </c>
      <c r="D104" s="58"/>
      <c r="E104" s="58"/>
      <c r="F104" s="58"/>
      <c r="G104" s="59"/>
      <c r="H104" s="16" t="s">
        <v>284</v>
      </c>
      <c r="I104" s="18">
        <f>SUM(J104:K104)</f>
        <v>80846428</v>
      </c>
      <c r="J104" s="18">
        <f>SUM(J105:J115)</f>
        <v>70587000</v>
      </c>
      <c r="K104" s="18">
        <f t="shared" ref="K104:L104" si="47">SUM(K105:K115)</f>
        <v>10259428</v>
      </c>
      <c r="L104" s="18">
        <f t="shared" si="47"/>
        <v>10259428</v>
      </c>
      <c r="M104" s="18">
        <f>SUM(N104:O104)</f>
        <v>31516547.309999999</v>
      </c>
      <c r="N104" s="18">
        <f>SUM(N105:N115)</f>
        <v>31502867.309999999</v>
      </c>
      <c r="O104" s="18">
        <f t="shared" ref="O104:P104" si="48">SUM(O105:O115)</f>
        <v>13680</v>
      </c>
      <c r="P104" s="18">
        <f t="shared" si="48"/>
        <v>13680</v>
      </c>
      <c r="Q104" s="8">
        <f t="shared" si="41"/>
        <v>0.3898322794174654</v>
      </c>
      <c r="R104" s="18">
        <f t="shared" si="42"/>
        <v>-49329880.689999998</v>
      </c>
    </row>
    <row r="105" spans="1:18" s="17" customFormat="1" ht="53.25" customHeight="1" x14ac:dyDescent="0.3">
      <c r="A105" s="15" t="s">
        <v>42</v>
      </c>
      <c r="B105" s="15">
        <v>87</v>
      </c>
      <c r="C105" s="15" t="s">
        <v>43</v>
      </c>
      <c r="D105" s="15" t="s">
        <v>44</v>
      </c>
      <c r="E105" s="26" t="s">
        <v>45</v>
      </c>
      <c r="F105" s="30" t="s">
        <v>207</v>
      </c>
      <c r="G105" s="2" t="s">
        <v>283</v>
      </c>
      <c r="H105" s="20" t="s">
        <v>284</v>
      </c>
      <c r="I105" s="19">
        <f t="shared" ref="I105:I114" si="49">SUM(J105:K105)</f>
        <v>8821400</v>
      </c>
      <c r="J105" s="19">
        <v>8821400</v>
      </c>
      <c r="K105" s="19"/>
      <c r="L105" s="19"/>
      <c r="M105" s="19">
        <f t="shared" ref="M105:M114" si="50">SUM(N105:O105)</f>
        <v>4593853.3099999996</v>
      </c>
      <c r="N105" s="19">
        <v>4593853.3099999996</v>
      </c>
      <c r="O105" s="19"/>
      <c r="P105" s="19"/>
      <c r="Q105" s="8">
        <f t="shared" si="41"/>
        <v>0.52076238578910372</v>
      </c>
      <c r="R105" s="18">
        <f t="shared" si="42"/>
        <v>-4227546.6900000004</v>
      </c>
    </row>
    <row r="106" spans="1:18" s="17" customFormat="1" ht="68.25" customHeight="1" x14ac:dyDescent="0.3">
      <c r="A106" s="15" t="s">
        <v>46</v>
      </c>
      <c r="B106" s="15">
        <v>87</v>
      </c>
      <c r="C106" s="15" t="s">
        <v>47</v>
      </c>
      <c r="D106" s="15" t="s">
        <v>48</v>
      </c>
      <c r="E106" s="26" t="s">
        <v>285</v>
      </c>
      <c r="F106" s="30" t="s">
        <v>207</v>
      </c>
      <c r="G106" s="2" t="s">
        <v>283</v>
      </c>
      <c r="H106" s="20" t="s">
        <v>284</v>
      </c>
      <c r="I106" s="19">
        <f t="shared" si="49"/>
        <v>54419500</v>
      </c>
      <c r="J106" s="19">
        <v>54419500</v>
      </c>
      <c r="K106" s="19"/>
      <c r="L106" s="19"/>
      <c r="M106" s="19">
        <f t="shared" si="50"/>
        <v>24430463.68</v>
      </c>
      <c r="N106" s="19">
        <v>24430463.68</v>
      </c>
      <c r="O106" s="19"/>
      <c r="P106" s="19"/>
      <c r="Q106" s="8">
        <f t="shared" si="41"/>
        <v>0.44892848482621117</v>
      </c>
      <c r="R106" s="18">
        <f t="shared" si="42"/>
        <v>-29989036.32</v>
      </c>
    </row>
    <row r="107" spans="1:18" s="17" customFormat="1" ht="93.6" x14ac:dyDescent="0.3">
      <c r="A107" s="15" t="s">
        <v>49</v>
      </c>
      <c r="B107" s="15">
        <v>87</v>
      </c>
      <c r="C107" s="15" t="s">
        <v>50</v>
      </c>
      <c r="D107" s="15" t="s">
        <v>51</v>
      </c>
      <c r="E107" s="26" t="s">
        <v>286</v>
      </c>
      <c r="F107" s="30" t="s">
        <v>207</v>
      </c>
      <c r="G107" s="2" t="s">
        <v>283</v>
      </c>
      <c r="H107" s="20" t="s">
        <v>284</v>
      </c>
      <c r="I107" s="19">
        <f t="shared" si="49"/>
        <v>4366200</v>
      </c>
      <c r="J107" s="19">
        <v>4366200</v>
      </c>
      <c r="K107" s="19"/>
      <c r="L107" s="19"/>
      <c r="M107" s="19">
        <f t="shared" si="50"/>
        <v>1040851.02</v>
      </c>
      <c r="N107" s="19">
        <v>1040851.02</v>
      </c>
      <c r="O107" s="19"/>
      <c r="P107" s="19"/>
      <c r="Q107" s="8">
        <f t="shared" si="41"/>
        <v>0.23838830562044799</v>
      </c>
      <c r="R107" s="18">
        <f t="shared" si="42"/>
        <v>-3325348.98</v>
      </c>
    </row>
    <row r="108" spans="1:18" s="17" customFormat="1" ht="73.5" customHeight="1" x14ac:dyDescent="0.3">
      <c r="A108" s="25" t="s">
        <v>168</v>
      </c>
      <c r="B108" s="36">
        <v>87</v>
      </c>
      <c r="C108" s="29">
        <v>1070</v>
      </c>
      <c r="D108" s="15" t="s">
        <v>93</v>
      </c>
      <c r="E108" s="32" t="s">
        <v>169</v>
      </c>
      <c r="F108" s="30" t="s">
        <v>207</v>
      </c>
      <c r="G108" s="2" t="s">
        <v>283</v>
      </c>
      <c r="H108" s="20" t="s">
        <v>284</v>
      </c>
      <c r="I108" s="19">
        <f t="shared" si="49"/>
        <v>1724900</v>
      </c>
      <c r="J108" s="19">
        <v>1724900</v>
      </c>
      <c r="K108" s="19"/>
      <c r="L108" s="19"/>
      <c r="M108" s="19">
        <f t="shared" si="50"/>
        <v>1013943</v>
      </c>
      <c r="N108" s="19">
        <v>1013943</v>
      </c>
      <c r="O108" s="19"/>
      <c r="P108" s="19"/>
      <c r="Q108" s="8">
        <f t="shared" si="41"/>
        <v>0.58782712041277752</v>
      </c>
      <c r="R108" s="18">
        <f t="shared" si="42"/>
        <v>-710957</v>
      </c>
    </row>
    <row r="109" spans="1:18" s="17" customFormat="1" ht="62.25" customHeight="1" x14ac:dyDescent="0.3">
      <c r="A109" s="15" t="s">
        <v>287</v>
      </c>
      <c r="B109" s="15">
        <v>87</v>
      </c>
      <c r="C109" s="15" t="s">
        <v>288</v>
      </c>
      <c r="D109" s="15" t="s">
        <v>289</v>
      </c>
      <c r="E109" s="26" t="s">
        <v>290</v>
      </c>
      <c r="F109" s="30" t="s">
        <v>207</v>
      </c>
      <c r="G109" s="2" t="s">
        <v>283</v>
      </c>
      <c r="H109" s="20" t="s">
        <v>284</v>
      </c>
      <c r="I109" s="19">
        <f t="shared" si="49"/>
        <v>16500</v>
      </c>
      <c r="J109" s="19">
        <v>16500</v>
      </c>
      <c r="K109" s="19"/>
      <c r="L109" s="19"/>
      <c r="M109" s="19">
        <f t="shared" si="50"/>
        <v>1030</v>
      </c>
      <c r="N109" s="19">
        <v>1030</v>
      </c>
      <c r="O109" s="19"/>
      <c r="P109" s="19"/>
      <c r="Q109" s="8">
        <f t="shared" si="41"/>
        <v>6.2424242424242424E-2</v>
      </c>
      <c r="R109" s="18">
        <f t="shared" si="42"/>
        <v>-15470</v>
      </c>
    </row>
    <row r="110" spans="1:18" s="17" customFormat="1" ht="46.8" x14ac:dyDescent="0.3">
      <c r="A110" s="15" t="s">
        <v>170</v>
      </c>
      <c r="B110" s="15">
        <v>87</v>
      </c>
      <c r="C110" s="15" t="s">
        <v>171</v>
      </c>
      <c r="D110" s="15" t="s">
        <v>172</v>
      </c>
      <c r="E110" s="26" t="s">
        <v>173</v>
      </c>
      <c r="F110" s="30" t="s">
        <v>207</v>
      </c>
      <c r="G110" s="2" t="s">
        <v>283</v>
      </c>
      <c r="H110" s="20" t="s">
        <v>284</v>
      </c>
      <c r="I110" s="19">
        <f t="shared" si="49"/>
        <v>249900</v>
      </c>
      <c r="J110" s="19">
        <v>249900</v>
      </c>
      <c r="K110" s="19"/>
      <c r="L110" s="19"/>
      <c r="M110" s="19">
        <f t="shared" si="50"/>
        <v>59846.3</v>
      </c>
      <c r="N110" s="19">
        <v>59846.3</v>
      </c>
      <c r="O110" s="19"/>
      <c r="P110" s="19"/>
      <c r="Q110" s="8">
        <f t="shared" si="41"/>
        <v>0.2394809923969588</v>
      </c>
      <c r="R110" s="18">
        <f t="shared" si="42"/>
        <v>-190053.7</v>
      </c>
    </row>
    <row r="111" spans="1:18" s="17" customFormat="1" ht="60.6" customHeight="1" x14ac:dyDescent="0.3">
      <c r="A111" s="15" t="s">
        <v>174</v>
      </c>
      <c r="B111" s="15">
        <v>87</v>
      </c>
      <c r="C111" s="15" t="s">
        <v>175</v>
      </c>
      <c r="D111" s="15" t="s">
        <v>172</v>
      </c>
      <c r="E111" s="26" t="s">
        <v>176</v>
      </c>
      <c r="F111" s="30" t="s">
        <v>207</v>
      </c>
      <c r="G111" s="2" t="s">
        <v>283</v>
      </c>
      <c r="H111" s="20" t="s">
        <v>284</v>
      </c>
      <c r="I111" s="19">
        <f t="shared" si="49"/>
        <v>222500</v>
      </c>
      <c r="J111" s="19">
        <v>222500</v>
      </c>
      <c r="K111" s="19"/>
      <c r="L111" s="19"/>
      <c r="M111" s="19">
        <f t="shared" si="50"/>
        <v>129480</v>
      </c>
      <c r="N111" s="19">
        <f>127200+2280</f>
        <v>129480</v>
      </c>
      <c r="O111" s="19"/>
      <c r="P111" s="19"/>
      <c r="Q111" s="8">
        <f t="shared" si="41"/>
        <v>0.58193258426966288</v>
      </c>
      <c r="R111" s="18">
        <f t="shared" si="42"/>
        <v>-93020</v>
      </c>
    </row>
    <row r="112" spans="1:18" s="17" customFormat="1" ht="124.8" x14ac:dyDescent="0.3">
      <c r="A112" s="25" t="s">
        <v>177</v>
      </c>
      <c r="B112" s="15">
        <v>87</v>
      </c>
      <c r="C112" s="15">
        <v>1183</v>
      </c>
      <c r="D112" s="25" t="s">
        <v>172</v>
      </c>
      <c r="E112" s="26" t="s">
        <v>178</v>
      </c>
      <c r="F112" s="30" t="s">
        <v>207</v>
      </c>
      <c r="G112" s="2" t="s">
        <v>283</v>
      </c>
      <c r="H112" s="20" t="s">
        <v>284</v>
      </c>
      <c r="I112" s="19">
        <f t="shared" si="49"/>
        <v>685800</v>
      </c>
      <c r="J112" s="19"/>
      <c r="K112" s="19">
        <v>685800</v>
      </c>
      <c r="L112" s="19">
        <f>K112</f>
        <v>685800</v>
      </c>
      <c r="M112" s="19">
        <f t="shared" si="50"/>
        <v>13680</v>
      </c>
      <c r="N112" s="19"/>
      <c r="O112" s="19">
        <v>13680</v>
      </c>
      <c r="P112" s="19">
        <f>O112</f>
        <v>13680</v>
      </c>
      <c r="Q112" s="8">
        <f t="shared" si="41"/>
        <v>1.994750656167979E-2</v>
      </c>
      <c r="R112" s="18">
        <f t="shared" si="42"/>
        <v>-672120</v>
      </c>
    </row>
    <row r="113" spans="1:18" s="17" customFormat="1" ht="94.5" customHeight="1" x14ac:dyDescent="0.3">
      <c r="A113" s="25" t="s">
        <v>291</v>
      </c>
      <c r="B113" s="15">
        <v>87</v>
      </c>
      <c r="C113" s="15">
        <v>1300</v>
      </c>
      <c r="D113" s="25" t="s">
        <v>172</v>
      </c>
      <c r="E113" s="26" t="s">
        <v>292</v>
      </c>
      <c r="F113" s="30" t="s">
        <v>207</v>
      </c>
      <c r="G113" s="2" t="s">
        <v>283</v>
      </c>
      <c r="H113" s="20" t="s">
        <v>284</v>
      </c>
      <c r="I113" s="19">
        <f t="shared" si="49"/>
        <v>7893628</v>
      </c>
      <c r="J113" s="19"/>
      <c r="K113" s="19">
        <v>7893628</v>
      </c>
      <c r="L113" s="19">
        <f>K113</f>
        <v>7893628</v>
      </c>
      <c r="M113" s="19">
        <f t="shared" si="50"/>
        <v>0</v>
      </c>
      <c r="N113" s="19"/>
      <c r="O113" s="19"/>
      <c r="P113" s="19"/>
      <c r="Q113" s="8">
        <f t="shared" si="41"/>
        <v>0</v>
      </c>
      <c r="R113" s="18">
        <f t="shared" si="42"/>
        <v>-7893628</v>
      </c>
    </row>
    <row r="114" spans="1:18" s="17" customFormat="1" ht="72.599999999999994" customHeight="1" x14ac:dyDescent="0.3">
      <c r="A114" s="15" t="s">
        <v>179</v>
      </c>
      <c r="B114" s="15">
        <v>87</v>
      </c>
      <c r="C114" s="15" t="s">
        <v>180</v>
      </c>
      <c r="D114" s="15" t="s">
        <v>113</v>
      </c>
      <c r="E114" s="26" t="s">
        <v>181</v>
      </c>
      <c r="F114" s="30" t="s">
        <v>207</v>
      </c>
      <c r="G114" s="2" t="s">
        <v>283</v>
      </c>
      <c r="H114" s="20" t="s">
        <v>284</v>
      </c>
      <c r="I114" s="19">
        <f t="shared" si="49"/>
        <v>766100</v>
      </c>
      <c r="J114" s="19">
        <v>766100</v>
      </c>
      <c r="K114" s="19"/>
      <c r="L114" s="19"/>
      <c r="M114" s="19">
        <f t="shared" si="50"/>
        <v>233400</v>
      </c>
      <c r="N114" s="19">
        <v>233400</v>
      </c>
      <c r="O114" s="19"/>
      <c r="P114" s="19"/>
      <c r="Q114" s="8">
        <f t="shared" si="41"/>
        <v>0.30465996606187185</v>
      </c>
      <c r="R114" s="18">
        <f t="shared" si="42"/>
        <v>-532700</v>
      </c>
    </row>
    <row r="115" spans="1:18" s="17" customFormat="1" ht="72.599999999999994" customHeight="1" x14ac:dyDescent="0.3">
      <c r="A115" s="15">
        <v>3719720</v>
      </c>
      <c r="B115" s="15">
        <v>87</v>
      </c>
      <c r="C115" s="25" t="s">
        <v>344</v>
      </c>
      <c r="D115" s="25" t="s">
        <v>92</v>
      </c>
      <c r="E115" s="26" t="s">
        <v>345</v>
      </c>
      <c r="F115" s="30" t="s">
        <v>146</v>
      </c>
      <c r="G115" s="2" t="s">
        <v>283</v>
      </c>
      <c r="H115" s="20" t="s">
        <v>284</v>
      </c>
      <c r="I115" s="19">
        <f t="shared" ref="I115" si="51">SUM(J115:K115)</f>
        <v>1680000</v>
      </c>
      <c r="J115" s="19"/>
      <c r="K115" s="19">
        <v>1680000</v>
      </c>
      <c r="L115" s="19">
        <f>K115</f>
        <v>1680000</v>
      </c>
      <c r="M115" s="19">
        <f t="shared" ref="M115" si="52">SUM(N115:O115)</f>
        <v>0</v>
      </c>
      <c r="N115" s="19"/>
      <c r="O115" s="19"/>
      <c r="P115" s="19"/>
      <c r="Q115" s="8">
        <f t="shared" ref="Q115" si="53">M115/I115</f>
        <v>0</v>
      </c>
      <c r="R115" s="18">
        <f t="shared" ref="R115" si="54">M115-I115</f>
        <v>-1680000</v>
      </c>
    </row>
    <row r="116" spans="1:18" s="1" customFormat="1" ht="35.4" customHeight="1" x14ac:dyDescent="0.3">
      <c r="A116" s="23">
        <v>25</v>
      </c>
      <c r="B116" s="9">
        <v>88</v>
      </c>
      <c r="C116" s="57" t="s">
        <v>293</v>
      </c>
      <c r="D116" s="58"/>
      <c r="E116" s="58"/>
      <c r="F116" s="58"/>
      <c r="G116" s="59"/>
      <c r="H116" s="16" t="s">
        <v>294</v>
      </c>
      <c r="I116" s="18">
        <f>SUM(J116:K116)</f>
        <v>4610700</v>
      </c>
      <c r="J116" s="18">
        <f>SUM(J117:J119)</f>
        <v>4610700</v>
      </c>
      <c r="K116" s="18">
        <f t="shared" ref="K116:L116" si="55">SUM(K117:K119)</f>
        <v>0</v>
      </c>
      <c r="L116" s="18">
        <f t="shared" si="55"/>
        <v>0</v>
      </c>
      <c r="M116" s="18">
        <f>SUM(N116:O116)</f>
        <v>1274566.32</v>
      </c>
      <c r="N116" s="18">
        <f>SUM(N117:N119)</f>
        <v>1274566.32</v>
      </c>
      <c r="O116" s="18">
        <f t="shared" ref="O116:P116" si="56">SUM(O117:O119)</f>
        <v>0</v>
      </c>
      <c r="P116" s="18">
        <f t="shared" si="56"/>
        <v>0</v>
      </c>
      <c r="Q116" s="8">
        <f t="shared" si="41"/>
        <v>0.27643661916845602</v>
      </c>
      <c r="R116" s="18">
        <f t="shared" si="42"/>
        <v>-3336133.6799999997</v>
      </c>
    </row>
    <row r="117" spans="1:18" s="17" customFormat="1" ht="115.5" customHeight="1" x14ac:dyDescent="0.3">
      <c r="A117" s="15" t="s">
        <v>52</v>
      </c>
      <c r="B117" s="15">
        <v>88</v>
      </c>
      <c r="C117" s="15" t="s">
        <v>53</v>
      </c>
      <c r="D117" s="15" t="s">
        <v>54</v>
      </c>
      <c r="E117" s="26" t="s">
        <v>55</v>
      </c>
      <c r="F117" s="30" t="s">
        <v>207</v>
      </c>
      <c r="G117" s="2" t="s">
        <v>293</v>
      </c>
      <c r="H117" s="20" t="s">
        <v>294</v>
      </c>
      <c r="I117" s="19">
        <f>SUM(J117:K117)</f>
        <v>3140700</v>
      </c>
      <c r="J117" s="19">
        <v>3140700</v>
      </c>
      <c r="K117" s="19"/>
      <c r="L117" s="19"/>
      <c r="M117" s="19">
        <f>SUM(N117:O117)</f>
        <v>1104566.32</v>
      </c>
      <c r="N117" s="19">
        <v>1104566.32</v>
      </c>
      <c r="O117" s="19"/>
      <c r="P117" s="19"/>
      <c r="Q117" s="8">
        <f t="shared" si="41"/>
        <v>0.35169431018562741</v>
      </c>
      <c r="R117" s="18">
        <f t="shared" si="42"/>
        <v>-2036133.68</v>
      </c>
    </row>
    <row r="118" spans="1:18" s="17" customFormat="1" ht="113.25" customHeight="1" x14ac:dyDescent="0.3">
      <c r="A118" s="25" t="s">
        <v>183</v>
      </c>
      <c r="B118" s="15">
        <v>88</v>
      </c>
      <c r="C118" s="15" t="s">
        <v>53</v>
      </c>
      <c r="D118" s="15" t="s">
        <v>54</v>
      </c>
      <c r="E118" s="26" t="s">
        <v>55</v>
      </c>
      <c r="F118" s="30" t="s">
        <v>63</v>
      </c>
      <c r="G118" s="2" t="s">
        <v>293</v>
      </c>
      <c r="H118" s="20" t="s">
        <v>294</v>
      </c>
      <c r="I118" s="19">
        <f t="shared" ref="I118:I134" si="57">SUM(J118:K118)</f>
        <v>1300000</v>
      </c>
      <c r="J118" s="19">
        <v>1300000</v>
      </c>
      <c r="K118" s="19"/>
      <c r="L118" s="19"/>
      <c r="M118" s="19">
        <f t="shared" ref="M118:M134" si="58">SUM(N118:O118)</f>
        <v>0</v>
      </c>
      <c r="N118" s="19"/>
      <c r="O118" s="19"/>
      <c r="P118" s="19"/>
      <c r="Q118" s="8">
        <f t="shared" si="41"/>
        <v>0</v>
      </c>
      <c r="R118" s="18">
        <f t="shared" si="42"/>
        <v>-1300000</v>
      </c>
    </row>
    <row r="119" spans="1:18" s="17" customFormat="1" ht="93.6" x14ac:dyDescent="0.3">
      <c r="A119" s="15" t="s">
        <v>95</v>
      </c>
      <c r="B119" s="15">
        <v>88</v>
      </c>
      <c r="C119" s="15" t="s">
        <v>53</v>
      </c>
      <c r="D119" s="15" t="s">
        <v>54</v>
      </c>
      <c r="E119" s="26" t="s">
        <v>55</v>
      </c>
      <c r="F119" s="30" t="s">
        <v>91</v>
      </c>
      <c r="G119" s="2" t="s">
        <v>293</v>
      </c>
      <c r="H119" s="20" t="s">
        <v>294</v>
      </c>
      <c r="I119" s="19">
        <f t="shared" si="57"/>
        <v>170000</v>
      </c>
      <c r="J119" s="19">
        <v>170000</v>
      </c>
      <c r="K119" s="19"/>
      <c r="L119" s="19"/>
      <c r="M119" s="19">
        <f t="shared" si="58"/>
        <v>170000</v>
      </c>
      <c r="N119" s="19">
        <v>170000</v>
      </c>
      <c r="O119" s="19"/>
      <c r="P119" s="19"/>
      <c r="Q119" s="8">
        <f t="shared" si="41"/>
        <v>1</v>
      </c>
      <c r="R119" s="18">
        <f t="shared" si="42"/>
        <v>0</v>
      </c>
    </row>
    <row r="120" spans="1:18" s="1" customFormat="1" ht="34.950000000000003" customHeight="1" x14ac:dyDescent="0.3">
      <c r="A120" s="23">
        <v>26</v>
      </c>
      <c r="B120" s="9">
        <v>94</v>
      </c>
      <c r="C120" s="57" t="s">
        <v>295</v>
      </c>
      <c r="D120" s="58"/>
      <c r="E120" s="58"/>
      <c r="F120" s="58"/>
      <c r="G120" s="59"/>
      <c r="H120" s="16" t="s">
        <v>296</v>
      </c>
      <c r="I120" s="18">
        <f t="shared" si="57"/>
        <v>1097600</v>
      </c>
      <c r="J120" s="18">
        <f>SUM(J121)</f>
        <v>1097600</v>
      </c>
      <c r="K120" s="18">
        <f t="shared" ref="K120:L120" si="59">SUM(K121)</f>
        <v>0</v>
      </c>
      <c r="L120" s="18">
        <f t="shared" si="59"/>
        <v>0</v>
      </c>
      <c r="M120" s="18">
        <f t="shared" si="58"/>
        <v>0</v>
      </c>
      <c r="N120" s="18">
        <f>SUM(N121)</f>
        <v>0</v>
      </c>
      <c r="O120" s="18">
        <f t="shared" ref="O120:P120" si="60">SUM(O121)</f>
        <v>0</v>
      </c>
      <c r="P120" s="18">
        <f t="shared" si="60"/>
        <v>0</v>
      </c>
      <c r="Q120" s="8">
        <f t="shared" si="41"/>
        <v>0</v>
      </c>
      <c r="R120" s="18">
        <f t="shared" si="42"/>
        <v>-1097600</v>
      </c>
    </row>
    <row r="121" spans="1:18" s="17" customFormat="1" ht="78" customHeight="1" x14ac:dyDescent="0.3">
      <c r="A121" s="15" t="s">
        <v>84</v>
      </c>
      <c r="B121" s="15">
        <v>94</v>
      </c>
      <c r="C121" s="15" t="s">
        <v>85</v>
      </c>
      <c r="D121" s="15" t="s">
        <v>86</v>
      </c>
      <c r="E121" s="26" t="s">
        <v>297</v>
      </c>
      <c r="F121" s="30" t="s">
        <v>63</v>
      </c>
      <c r="G121" s="2" t="s">
        <v>295</v>
      </c>
      <c r="H121" s="20" t="s">
        <v>296</v>
      </c>
      <c r="I121" s="19">
        <f t="shared" si="57"/>
        <v>1097600</v>
      </c>
      <c r="J121" s="19">
        <v>1097600</v>
      </c>
      <c r="K121" s="19"/>
      <c r="L121" s="19"/>
      <c r="M121" s="19">
        <f t="shared" si="58"/>
        <v>0</v>
      </c>
      <c r="N121" s="19"/>
      <c r="O121" s="19"/>
      <c r="P121" s="19"/>
      <c r="Q121" s="8">
        <f t="shared" si="41"/>
        <v>0</v>
      </c>
      <c r="R121" s="18">
        <f t="shared" si="42"/>
        <v>-1097600</v>
      </c>
    </row>
    <row r="122" spans="1:18" s="1" customFormat="1" ht="54" customHeight="1" x14ac:dyDescent="0.3">
      <c r="A122" s="23">
        <v>27</v>
      </c>
      <c r="B122" s="9">
        <v>95</v>
      </c>
      <c r="C122" s="57" t="s">
        <v>298</v>
      </c>
      <c r="D122" s="58"/>
      <c r="E122" s="58"/>
      <c r="F122" s="58"/>
      <c r="G122" s="59"/>
      <c r="H122" s="16" t="s">
        <v>299</v>
      </c>
      <c r="I122" s="18">
        <f t="shared" si="57"/>
        <v>49963100</v>
      </c>
      <c r="J122" s="18">
        <f>SUM(J123:J134)</f>
        <v>49963100</v>
      </c>
      <c r="K122" s="18">
        <f>SUM(K123:K134)</f>
        <v>0</v>
      </c>
      <c r="L122" s="18">
        <f>SUM(L123:L134)</f>
        <v>0</v>
      </c>
      <c r="M122" s="18">
        <f t="shared" si="58"/>
        <v>17249040.91</v>
      </c>
      <c r="N122" s="18">
        <f>SUM(N123:N134)</f>
        <v>17249040.91</v>
      </c>
      <c r="O122" s="18">
        <f>SUM(O123:O134)</f>
        <v>0</v>
      </c>
      <c r="P122" s="18">
        <f>SUM(P123:P134)</f>
        <v>0</v>
      </c>
      <c r="Q122" s="8">
        <f t="shared" si="41"/>
        <v>0.34523560207433085</v>
      </c>
      <c r="R122" s="18">
        <f t="shared" si="42"/>
        <v>-32714059.09</v>
      </c>
    </row>
    <row r="123" spans="1:18" s="17" customFormat="1" ht="62.4" x14ac:dyDescent="0.3">
      <c r="A123" s="28" t="s">
        <v>26</v>
      </c>
      <c r="B123" s="17">
        <v>95</v>
      </c>
      <c r="C123" s="3" t="s">
        <v>27</v>
      </c>
      <c r="D123" s="3" t="s">
        <v>28</v>
      </c>
      <c r="E123" s="39" t="s">
        <v>282</v>
      </c>
      <c r="F123" s="10" t="s">
        <v>211</v>
      </c>
      <c r="G123" s="2" t="s">
        <v>298</v>
      </c>
      <c r="H123" s="20" t="s">
        <v>299</v>
      </c>
      <c r="I123" s="19">
        <f t="shared" si="57"/>
        <v>3500000</v>
      </c>
      <c r="J123" s="19">
        <v>3500000</v>
      </c>
      <c r="K123" s="19"/>
      <c r="L123" s="19"/>
      <c r="M123" s="19">
        <f t="shared" si="58"/>
        <v>1064500</v>
      </c>
      <c r="N123" s="19">
        <v>1064500</v>
      </c>
      <c r="O123" s="19"/>
      <c r="P123" s="19"/>
      <c r="Q123" s="8">
        <f t="shared" si="41"/>
        <v>0.30414285714285716</v>
      </c>
      <c r="R123" s="18">
        <f t="shared" si="42"/>
        <v>-2435500</v>
      </c>
    </row>
    <row r="124" spans="1:18" s="17" customFormat="1" ht="62.4" x14ac:dyDescent="0.3">
      <c r="A124" s="28" t="s">
        <v>56</v>
      </c>
      <c r="B124" s="17">
        <v>95</v>
      </c>
      <c r="C124" s="3" t="s">
        <v>27</v>
      </c>
      <c r="D124" s="3" t="s">
        <v>28</v>
      </c>
      <c r="E124" s="39" t="s">
        <v>282</v>
      </c>
      <c r="F124" s="30" t="s">
        <v>207</v>
      </c>
      <c r="G124" s="2" t="s">
        <v>298</v>
      </c>
      <c r="H124" s="20" t="s">
        <v>299</v>
      </c>
      <c r="I124" s="19">
        <f t="shared" si="57"/>
        <v>356400</v>
      </c>
      <c r="J124" s="19">
        <v>356400</v>
      </c>
      <c r="K124" s="19"/>
      <c r="L124" s="19"/>
      <c r="M124" s="19">
        <f t="shared" si="58"/>
        <v>0</v>
      </c>
      <c r="N124" s="19"/>
      <c r="O124" s="19"/>
      <c r="P124" s="19"/>
      <c r="Q124" s="8">
        <f t="shared" si="41"/>
        <v>0</v>
      </c>
      <c r="R124" s="18">
        <f t="shared" si="42"/>
        <v>-356400</v>
      </c>
    </row>
    <row r="125" spans="1:18" s="17" customFormat="1" ht="62.4" x14ac:dyDescent="0.3">
      <c r="A125" s="3" t="s">
        <v>65</v>
      </c>
      <c r="B125" s="3" t="s">
        <v>300</v>
      </c>
      <c r="C125" s="3" t="s">
        <v>66</v>
      </c>
      <c r="D125" s="3" t="s">
        <v>64</v>
      </c>
      <c r="E125" s="35" t="s">
        <v>67</v>
      </c>
      <c r="F125" s="30" t="s">
        <v>63</v>
      </c>
      <c r="G125" s="2" t="s">
        <v>298</v>
      </c>
      <c r="H125" s="20" t="s">
        <v>299</v>
      </c>
      <c r="I125" s="19">
        <f t="shared" si="57"/>
        <v>3400</v>
      </c>
      <c r="J125" s="19">
        <v>3400</v>
      </c>
      <c r="K125" s="19"/>
      <c r="L125" s="19"/>
      <c r="M125" s="19">
        <f t="shared" si="58"/>
        <v>1674.92</v>
      </c>
      <c r="N125" s="19">
        <v>1674.92</v>
      </c>
      <c r="O125" s="19"/>
      <c r="P125" s="19"/>
      <c r="Q125" s="8">
        <f t="shared" si="41"/>
        <v>0.49262352941176474</v>
      </c>
      <c r="R125" s="18">
        <f t="shared" si="42"/>
        <v>-1725.08</v>
      </c>
    </row>
    <row r="126" spans="1:18" s="17" customFormat="1" ht="62.4" x14ac:dyDescent="0.3">
      <c r="A126" s="3" t="s">
        <v>301</v>
      </c>
      <c r="B126" s="3" t="s">
        <v>300</v>
      </c>
      <c r="C126" s="3" t="s">
        <v>302</v>
      </c>
      <c r="D126" s="3" t="s">
        <v>86</v>
      </c>
      <c r="E126" s="35" t="s">
        <v>303</v>
      </c>
      <c r="F126" s="30" t="s">
        <v>63</v>
      </c>
      <c r="G126" s="2" t="s">
        <v>298</v>
      </c>
      <c r="H126" s="20" t="s">
        <v>299</v>
      </c>
      <c r="I126" s="19">
        <f t="shared" si="57"/>
        <v>8000</v>
      </c>
      <c r="J126" s="19">
        <v>8000</v>
      </c>
      <c r="K126" s="19"/>
      <c r="L126" s="19"/>
      <c r="M126" s="19">
        <f t="shared" si="58"/>
        <v>0</v>
      </c>
      <c r="N126" s="19"/>
      <c r="O126" s="19"/>
      <c r="P126" s="19"/>
      <c r="Q126" s="8">
        <f t="shared" si="41"/>
        <v>0</v>
      </c>
      <c r="R126" s="18">
        <f t="shared" si="42"/>
        <v>-8000</v>
      </c>
    </row>
    <row r="127" spans="1:18" s="17" customFormat="1" ht="62.4" x14ac:dyDescent="0.3">
      <c r="A127" s="3" t="s">
        <v>68</v>
      </c>
      <c r="B127" s="3" t="s">
        <v>300</v>
      </c>
      <c r="C127" s="3" t="s">
        <v>69</v>
      </c>
      <c r="D127" s="3" t="s">
        <v>54</v>
      </c>
      <c r="E127" s="40" t="s">
        <v>70</v>
      </c>
      <c r="F127" s="30" t="s">
        <v>63</v>
      </c>
      <c r="G127" s="2" t="s">
        <v>298</v>
      </c>
      <c r="H127" s="20" t="s">
        <v>299</v>
      </c>
      <c r="I127" s="19">
        <f t="shared" si="57"/>
        <v>493800</v>
      </c>
      <c r="J127" s="19">
        <f>945800-452000</f>
        <v>493800</v>
      </c>
      <c r="K127" s="19"/>
      <c r="L127" s="19"/>
      <c r="M127" s="19">
        <f t="shared" si="58"/>
        <v>77870</v>
      </c>
      <c r="N127" s="19">
        <v>77870</v>
      </c>
      <c r="O127" s="19"/>
      <c r="P127" s="19"/>
      <c r="Q127" s="8">
        <f t="shared" si="41"/>
        <v>0.15769542324827865</v>
      </c>
      <c r="R127" s="18">
        <f t="shared" si="42"/>
        <v>-415930</v>
      </c>
    </row>
    <row r="128" spans="1:18" s="17" customFormat="1" ht="62.4" x14ac:dyDescent="0.3">
      <c r="A128" s="3" t="s">
        <v>71</v>
      </c>
      <c r="B128" s="3" t="s">
        <v>300</v>
      </c>
      <c r="C128" s="3" t="s">
        <v>72</v>
      </c>
      <c r="D128" s="3" t="s">
        <v>54</v>
      </c>
      <c r="E128" s="10" t="s">
        <v>73</v>
      </c>
      <c r="F128" s="30" t="s">
        <v>63</v>
      </c>
      <c r="G128" s="2" t="s">
        <v>298</v>
      </c>
      <c r="H128" s="20" t="s">
        <v>299</v>
      </c>
      <c r="I128" s="19">
        <f t="shared" si="57"/>
        <v>507500</v>
      </c>
      <c r="J128" s="19">
        <v>507500</v>
      </c>
      <c r="K128" s="19"/>
      <c r="L128" s="19"/>
      <c r="M128" s="19">
        <f t="shared" si="58"/>
        <v>0</v>
      </c>
      <c r="N128" s="19"/>
      <c r="O128" s="19"/>
      <c r="P128" s="19"/>
      <c r="Q128" s="8">
        <f t="shared" si="41"/>
        <v>0</v>
      </c>
      <c r="R128" s="18">
        <f t="shared" si="42"/>
        <v>-507500</v>
      </c>
    </row>
    <row r="129" spans="1:18" s="17" customFormat="1" ht="127.5" customHeight="1" x14ac:dyDescent="0.3">
      <c r="A129" s="3" t="s">
        <v>74</v>
      </c>
      <c r="B129" s="3" t="s">
        <v>300</v>
      </c>
      <c r="C129" s="3" t="s">
        <v>75</v>
      </c>
      <c r="D129" s="3" t="s">
        <v>43</v>
      </c>
      <c r="E129" s="40" t="s">
        <v>76</v>
      </c>
      <c r="F129" s="30" t="s">
        <v>63</v>
      </c>
      <c r="G129" s="2" t="s">
        <v>298</v>
      </c>
      <c r="H129" s="20" t="s">
        <v>299</v>
      </c>
      <c r="I129" s="19">
        <f t="shared" si="57"/>
        <v>2900000</v>
      </c>
      <c r="J129" s="19">
        <v>2900000</v>
      </c>
      <c r="K129" s="19"/>
      <c r="L129" s="19"/>
      <c r="M129" s="19">
        <f t="shared" si="58"/>
        <v>1014684.38</v>
      </c>
      <c r="N129" s="19">
        <v>1014684.38</v>
      </c>
      <c r="O129" s="19"/>
      <c r="P129" s="19"/>
      <c r="Q129" s="8">
        <f t="shared" si="41"/>
        <v>0.34989116551724136</v>
      </c>
      <c r="R129" s="18">
        <f t="shared" si="42"/>
        <v>-1885315.62</v>
      </c>
    </row>
    <row r="130" spans="1:18" s="17" customFormat="1" ht="93.6" x14ac:dyDescent="0.3">
      <c r="A130" s="3" t="s">
        <v>77</v>
      </c>
      <c r="B130" s="3" t="s">
        <v>300</v>
      </c>
      <c r="C130" s="3" t="s">
        <v>78</v>
      </c>
      <c r="D130" s="3" t="s">
        <v>79</v>
      </c>
      <c r="E130" s="40" t="s">
        <v>80</v>
      </c>
      <c r="F130" s="30" t="s">
        <v>63</v>
      </c>
      <c r="G130" s="2" t="s">
        <v>298</v>
      </c>
      <c r="H130" s="20" t="s">
        <v>299</v>
      </c>
      <c r="I130" s="19">
        <f t="shared" si="57"/>
        <v>1120000</v>
      </c>
      <c r="J130" s="19">
        <v>1120000</v>
      </c>
      <c r="K130" s="19"/>
      <c r="L130" s="19"/>
      <c r="M130" s="19">
        <f t="shared" si="58"/>
        <v>401625.5</v>
      </c>
      <c r="N130" s="19">
        <v>401625.5</v>
      </c>
      <c r="O130" s="19"/>
      <c r="P130" s="19"/>
      <c r="Q130" s="8">
        <f t="shared" si="41"/>
        <v>0.35859419642857143</v>
      </c>
      <c r="R130" s="18">
        <f t="shared" si="42"/>
        <v>-718374.5</v>
      </c>
    </row>
    <row r="131" spans="1:18" s="17" customFormat="1" ht="87.75" customHeight="1" x14ac:dyDescent="0.3">
      <c r="A131" s="3" t="s">
        <v>81</v>
      </c>
      <c r="B131" s="3" t="s">
        <v>300</v>
      </c>
      <c r="C131" s="3" t="s">
        <v>82</v>
      </c>
      <c r="D131" s="3" t="s">
        <v>64</v>
      </c>
      <c r="E131" s="40" t="s">
        <v>83</v>
      </c>
      <c r="F131" s="30" t="s">
        <v>63</v>
      </c>
      <c r="G131" s="2" t="s">
        <v>298</v>
      </c>
      <c r="H131" s="20" t="s">
        <v>299</v>
      </c>
      <c r="I131" s="19">
        <f t="shared" si="57"/>
        <v>71000</v>
      </c>
      <c r="J131" s="19">
        <v>71000</v>
      </c>
      <c r="K131" s="19"/>
      <c r="L131" s="19"/>
      <c r="M131" s="19">
        <f t="shared" si="58"/>
        <v>24673.21</v>
      </c>
      <c r="N131" s="19">
        <v>24673.21</v>
      </c>
      <c r="O131" s="19"/>
      <c r="P131" s="19"/>
      <c r="Q131" s="8">
        <f t="shared" si="41"/>
        <v>0.34750999999999999</v>
      </c>
      <c r="R131" s="18">
        <f t="shared" si="42"/>
        <v>-46326.79</v>
      </c>
    </row>
    <row r="132" spans="1:18" s="17" customFormat="1" ht="62.4" x14ac:dyDescent="0.3">
      <c r="A132" s="3" t="s">
        <v>87</v>
      </c>
      <c r="B132" s="3" t="s">
        <v>300</v>
      </c>
      <c r="C132" s="3" t="s">
        <v>27</v>
      </c>
      <c r="D132" s="3" t="s">
        <v>28</v>
      </c>
      <c r="E132" s="39" t="s">
        <v>282</v>
      </c>
      <c r="F132" s="30" t="s">
        <v>63</v>
      </c>
      <c r="G132" s="2" t="s">
        <v>298</v>
      </c>
      <c r="H132" s="20" t="s">
        <v>299</v>
      </c>
      <c r="I132" s="19">
        <f t="shared" si="57"/>
        <v>37789600</v>
      </c>
      <c r="J132" s="19">
        <v>37789600</v>
      </c>
      <c r="K132" s="19"/>
      <c r="L132" s="19"/>
      <c r="M132" s="19">
        <f t="shared" si="58"/>
        <v>12810015.1</v>
      </c>
      <c r="N132" s="19">
        <f>12430097.2+379917.9</f>
        <v>12810015.1</v>
      </c>
      <c r="O132" s="19"/>
      <c r="P132" s="19"/>
      <c r="Q132" s="8">
        <f t="shared" si="41"/>
        <v>0.33898255340093569</v>
      </c>
      <c r="R132" s="18">
        <f t="shared" si="42"/>
        <v>-24979584.899999999</v>
      </c>
    </row>
    <row r="133" spans="1:18" s="17" customFormat="1" ht="62.4" x14ac:dyDescent="0.3">
      <c r="A133" s="25" t="s">
        <v>88</v>
      </c>
      <c r="B133" s="15">
        <v>95</v>
      </c>
      <c r="C133" s="15" t="s">
        <v>89</v>
      </c>
      <c r="D133" s="15" t="s">
        <v>54</v>
      </c>
      <c r="E133" s="26" t="s">
        <v>90</v>
      </c>
      <c r="F133" s="30" t="s">
        <v>214</v>
      </c>
      <c r="G133" s="2" t="s">
        <v>298</v>
      </c>
      <c r="H133" s="20" t="s">
        <v>299</v>
      </c>
      <c r="I133" s="19">
        <f t="shared" si="57"/>
        <v>313600</v>
      </c>
      <c r="J133" s="19">
        <v>313600</v>
      </c>
      <c r="K133" s="19"/>
      <c r="L133" s="19"/>
      <c r="M133" s="19">
        <f t="shared" si="58"/>
        <v>103997.8</v>
      </c>
      <c r="N133" s="19">
        <v>103997.8</v>
      </c>
      <c r="O133" s="19"/>
      <c r="P133" s="19"/>
      <c r="Q133" s="8">
        <f t="shared" si="41"/>
        <v>0.33162563775510207</v>
      </c>
      <c r="R133" s="18">
        <f t="shared" si="42"/>
        <v>-209602.2</v>
      </c>
    </row>
    <row r="134" spans="1:18" s="17" customFormat="1" ht="62.4" x14ac:dyDescent="0.3">
      <c r="A134" s="15">
        <v>3719770</v>
      </c>
      <c r="B134" s="29">
        <v>95</v>
      </c>
      <c r="C134" s="29">
        <v>9770</v>
      </c>
      <c r="D134" s="25" t="s">
        <v>92</v>
      </c>
      <c r="E134" s="38" t="s">
        <v>147</v>
      </c>
      <c r="F134" s="30" t="s">
        <v>146</v>
      </c>
      <c r="G134" s="2" t="s">
        <v>298</v>
      </c>
      <c r="H134" s="20" t="s">
        <v>299</v>
      </c>
      <c r="I134" s="19">
        <f t="shared" si="57"/>
        <v>2899800</v>
      </c>
      <c r="J134" s="19">
        <f>2300000+21800+578000</f>
        <v>2899800</v>
      </c>
      <c r="K134" s="19"/>
      <c r="L134" s="19"/>
      <c r="M134" s="19">
        <f t="shared" si="58"/>
        <v>1750000</v>
      </c>
      <c r="N134" s="19">
        <v>1750000</v>
      </c>
      <c r="O134" s="19"/>
      <c r="P134" s="19"/>
      <c r="Q134" s="8">
        <f t="shared" si="41"/>
        <v>0.60348989585488655</v>
      </c>
      <c r="R134" s="18">
        <f t="shared" si="42"/>
        <v>-1149800</v>
      </c>
    </row>
    <row r="135" spans="1:18" s="1" customFormat="1" ht="44.4" customHeight="1" x14ac:dyDescent="0.3">
      <c r="A135" s="23">
        <v>28</v>
      </c>
      <c r="B135" s="9">
        <v>96</v>
      </c>
      <c r="C135" s="57" t="s">
        <v>304</v>
      </c>
      <c r="D135" s="58"/>
      <c r="E135" s="58"/>
      <c r="F135" s="58"/>
      <c r="G135" s="59"/>
      <c r="H135" s="16" t="s">
        <v>305</v>
      </c>
      <c r="I135" s="18">
        <f>SUM(J135:K135)</f>
        <v>600000</v>
      </c>
      <c r="J135" s="18">
        <f>SUM(J136)</f>
        <v>600000</v>
      </c>
      <c r="K135" s="18">
        <f t="shared" ref="K135:L135" si="61">SUM(K136)</f>
        <v>0</v>
      </c>
      <c r="L135" s="18">
        <f t="shared" si="61"/>
        <v>0</v>
      </c>
      <c r="M135" s="18">
        <f>SUM(N135:O135)</f>
        <v>564000</v>
      </c>
      <c r="N135" s="18">
        <f>SUM(N136)</f>
        <v>564000</v>
      </c>
      <c r="O135" s="18">
        <f t="shared" ref="O135:P135" si="62">SUM(O136)</f>
        <v>0</v>
      </c>
      <c r="P135" s="18">
        <f t="shared" si="62"/>
        <v>0</v>
      </c>
      <c r="Q135" s="8">
        <f t="shared" si="41"/>
        <v>0.94</v>
      </c>
      <c r="R135" s="18">
        <f t="shared" si="42"/>
        <v>-36000</v>
      </c>
    </row>
    <row r="136" spans="1:18" s="17" customFormat="1" ht="62.4" x14ac:dyDescent="0.3">
      <c r="A136" s="3" t="s">
        <v>22</v>
      </c>
      <c r="B136" s="3" t="s">
        <v>306</v>
      </c>
      <c r="C136" s="3" t="s">
        <v>23</v>
      </c>
      <c r="D136" s="3" t="s">
        <v>24</v>
      </c>
      <c r="E136" s="41" t="s">
        <v>25</v>
      </c>
      <c r="F136" s="30" t="s">
        <v>211</v>
      </c>
      <c r="G136" s="2" t="s">
        <v>304</v>
      </c>
      <c r="H136" s="20" t="s">
        <v>305</v>
      </c>
      <c r="I136" s="19">
        <f>SUM(J136:K136)</f>
        <v>600000</v>
      </c>
      <c r="J136" s="19">
        <v>600000</v>
      </c>
      <c r="K136" s="19"/>
      <c r="L136" s="19"/>
      <c r="M136" s="19">
        <f>SUM(N136:O136)</f>
        <v>564000</v>
      </c>
      <c r="N136" s="19">
        <v>564000</v>
      </c>
      <c r="O136" s="19"/>
      <c r="P136" s="19"/>
      <c r="Q136" s="8">
        <f t="shared" si="41"/>
        <v>0.94</v>
      </c>
      <c r="R136" s="18">
        <f t="shared" si="42"/>
        <v>-36000</v>
      </c>
    </row>
    <row r="137" spans="1:18" s="1" customFormat="1" ht="59.25" customHeight="1" x14ac:dyDescent="0.3">
      <c r="A137" s="23">
        <v>29</v>
      </c>
      <c r="B137" s="9">
        <v>97</v>
      </c>
      <c r="C137" s="57" t="s">
        <v>307</v>
      </c>
      <c r="D137" s="58"/>
      <c r="E137" s="58"/>
      <c r="F137" s="58"/>
      <c r="G137" s="59"/>
      <c r="H137" s="16" t="s">
        <v>308</v>
      </c>
      <c r="I137" s="18">
        <f>SUM(J137:K137)</f>
        <v>99603503.209999993</v>
      </c>
      <c r="J137" s="18">
        <f>SUM(J138:J148)</f>
        <v>25597980</v>
      </c>
      <c r="K137" s="18">
        <f t="shared" ref="K137:L137" si="63">SUM(K138:K148)</f>
        <v>74005523.209999993</v>
      </c>
      <c r="L137" s="18">
        <f t="shared" si="63"/>
        <v>72371232.5</v>
      </c>
      <c r="M137" s="18">
        <f>SUM(N137:O137)</f>
        <v>16316920.609999999</v>
      </c>
      <c r="N137" s="18">
        <f>SUM(N138:N148)</f>
        <v>6799542.3899999997</v>
      </c>
      <c r="O137" s="18">
        <f t="shared" ref="O137:P137" si="64">SUM(O138:O148)</f>
        <v>9517378.2199999988</v>
      </c>
      <c r="P137" s="18">
        <f t="shared" si="64"/>
        <v>7883087.5099999998</v>
      </c>
      <c r="Q137" s="8">
        <f t="shared" si="41"/>
        <v>0.16381874215405923</v>
      </c>
      <c r="R137" s="18">
        <f t="shared" si="42"/>
        <v>-83286582.599999994</v>
      </c>
    </row>
    <row r="138" spans="1:18" s="17" customFormat="1" ht="93.6" x14ac:dyDescent="0.3">
      <c r="A138" s="25" t="s">
        <v>161</v>
      </c>
      <c r="B138" s="36">
        <v>97</v>
      </c>
      <c r="C138" s="29">
        <v>8110</v>
      </c>
      <c r="D138" s="25" t="s">
        <v>61</v>
      </c>
      <c r="E138" s="32" t="s">
        <v>62</v>
      </c>
      <c r="F138" s="30" t="s">
        <v>211</v>
      </c>
      <c r="G138" s="2" t="s">
        <v>309</v>
      </c>
      <c r="H138" s="20" t="s">
        <v>308</v>
      </c>
      <c r="I138" s="19">
        <f t="shared" ref="I138:I148" si="65">SUM(J138:K138)</f>
        <v>1811450</v>
      </c>
      <c r="J138" s="19">
        <v>1811450</v>
      </c>
      <c r="K138" s="19"/>
      <c r="L138" s="19"/>
      <c r="M138" s="19">
        <f t="shared" ref="M138:M148" si="66">SUM(N138:O138)</f>
        <v>1320420.8799999999</v>
      </c>
      <c r="N138" s="19">
        <f>993235.2+199314.48+114871.2+13000</f>
        <v>1320420.8799999999</v>
      </c>
      <c r="O138" s="19"/>
      <c r="P138" s="19"/>
      <c r="Q138" s="8">
        <f t="shared" si="41"/>
        <v>0.72893034861574979</v>
      </c>
      <c r="R138" s="18">
        <f t="shared" si="42"/>
        <v>-491029.12000000011</v>
      </c>
    </row>
    <row r="139" spans="1:18" s="17" customFormat="1" ht="93.6" x14ac:dyDescent="0.3">
      <c r="A139" s="25" t="s">
        <v>60</v>
      </c>
      <c r="B139" s="36">
        <v>97</v>
      </c>
      <c r="C139" s="29">
        <v>8110</v>
      </c>
      <c r="D139" s="25" t="s">
        <v>61</v>
      </c>
      <c r="E139" s="32" t="s">
        <v>62</v>
      </c>
      <c r="F139" s="30" t="s">
        <v>207</v>
      </c>
      <c r="G139" s="2" t="s">
        <v>309</v>
      </c>
      <c r="H139" s="20" t="s">
        <v>308</v>
      </c>
      <c r="I139" s="19">
        <f t="shared" si="65"/>
        <v>15650800</v>
      </c>
      <c r="J139" s="19">
        <v>15650800</v>
      </c>
      <c r="K139" s="19"/>
      <c r="L139" s="19"/>
      <c r="M139" s="19">
        <f t="shared" si="66"/>
        <v>1331044.75</v>
      </c>
      <c r="N139" s="19">
        <v>1331044.75</v>
      </c>
      <c r="O139" s="19"/>
      <c r="P139" s="19"/>
      <c r="Q139" s="8">
        <f t="shared" si="41"/>
        <v>8.5046435325989725E-2</v>
      </c>
      <c r="R139" s="18">
        <f t="shared" si="42"/>
        <v>-14319755.25</v>
      </c>
    </row>
    <row r="140" spans="1:18" s="17" customFormat="1" ht="93.6" x14ac:dyDescent="0.3">
      <c r="A140" s="25" t="s">
        <v>310</v>
      </c>
      <c r="B140" s="36">
        <v>97</v>
      </c>
      <c r="C140" s="29">
        <v>8110</v>
      </c>
      <c r="D140" s="25" t="s">
        <v>61</v>
      </c>
      <c r="E140" s="32" t="s">
        <v>62</v>
      </c>
      <c r="F140" s="30" t="s">
        <v>63</v>
      </c>
      <c r="G140" s="2" t="s">
        <v>309</v>
      </c>
      <c r="H140" s="20" t="s">
        <v>308</v>
      </c>
      <c r="I140" s="19">
        <f t="shared" si="65"/>
        <v>60000</v>
      </c>
      <c r="J140" s="19">
        <v>60000</v>
      </c>
      <c r="K140" s="19"/>
      <c r="L140" s="19"/>
      <c r="M140" s="19">
        <f t="shared" si="66"/>
        <v>0</v>
      </c>
      <c r="N140" s="19"/>
      <c r="O140" s="19"/>
      <c r="P140" s="19"/>
      <c r="Q140" s="8">
        <f t="shared" si="41"/>
        <v>0</v>
      </c>
      <c r="R140" s="18">
        <f t="shared" si="42"/>
        <v>-60000</v>
      </c>
    </row>
    <row r="141" spans="1:18" s="17" customFormat="1" ht="93.6" x14ac:dyDescent="0.3">
      <c r="A141" s="25" t="s">
        <v>311</v>
      </c>
      <c r="B141" s="36">
        <v>97</v>
      </c>
      <c r="C141" s="29">
        <v>8110</v>
      </c>
      <c r="D141" s="25" t="s">
        <v>61</v>
      </c>
      <c r="E141" s="32" t="s">
        <v>62</v>
      </c>
      <c r="F141" s="30" t="s">
        <v>91</v>
      </c>
      <c r="G141" s="2" t="s">
        <v>309</v>
      </c>
      <c r="H141" s="20" t="s">
        <v>308</v>
      </c>
      <c r="I141" s="19">
        <f t="shared" si="65"/>
        <v>65000</v>
      </c>
      <c r="J141" s="19">
        <f>65000+550000-550000</f>
        <v>65000</v>
      </c>
      <c r="K141" s="19"/>
      <c r="L141" s="19"/>
      <c r="M141" s="19">
        <f t="shared" si="66"/>
        <v>53100</v>
      </c>
      <c r="N141" s="19">
        <v>53100</v>
      </c>
      <c r="O141" s="19"/>
      <c r="P141" s="19"/>
      <c r="Q141" s="8">
        <f t="shared" si="41"/>
        <v>0.81692307692307697</v>
      </c>
      <c r="R141" s="18">
        <f t="shared" si="42"/>
        <v>-11900</v>
      </c>
    </row>
    <row r="142" spans="1:18" s="17" customFormat="1" ht="93.6" x14ac:dyDescent="0.3">
      <c r="A142" s="25" t="s">
        <v>312</v>
      </c>
      <c r="B142" s="36">
        <v>97</v>
      </c>
      <c r="C142" s="29">
        <v>8110</v>
      </c>
      <c r="D142" s="25" t="s">
        <v>61</v>
      </c>
      <c r="E142" s="32" t="s">
        <v>62</v>
      </c>
      <c r="F142" s="30" t="s">
        <v>213</v>
      </c>
      <c r="G142" s="2" t="s">
        <v>309</v>
      </c>
      <c r="H142" s="20" t="s">
        <v>308</v>
      </c>
      <c r="I142" s="19">
        <f t="shared" si="65"/>
        <v>2990000</v>
      </c>
      <c r="J142" s="19">
        <v>2990000</v>
      </c>
      <c r="K142" s="19"/>
      <c r="L142" s="19"/>
      <c r="M142" s="19">
        <f t="shared" si="66"/>
        <v>1817933.21</v>
      </c>
      <c r="N142" s="19">
        <f>1663192.24+154740.97</f>
        <v>1817933.21</v>
      </c>
      <c r="O142" s="19"/>
      <c r="P142" s="19"/>
      <c r="Q142" s="8">
        <f t="shared" si="41"/>
        <v>0.60800441806020067</v>
      </c>
      <c r="R142" s="18">
        <f t="shared" si="42"/>
        <v>-1172066.79</v>
      </c>
    </row>
    <row r="143" spans="1:18" s="17" customFormat="1" ht="93.6" x14ac:dyDescent="0.3">
      <c r="A143" s="25" t="s">
        <v>313</v>
      </c>
      <c r="B143" s="36">
        <v>97</v>
      </c>
      <c r="C143" s="29">
        <v>1300</v>
      </c>
      <c r="D143" s="25" t="s">
        <v>172</v>
      </c>
      <c r="E143" s="32" t="s">
        <v>292</v>
      </c>
      <c r="F143" s="30" t="s">
        <v>210</v>
      </c>
      <c r="G143" s="2" t="s">
        <v>309</v>
      </c>
      <c r="H143" s="20" t="s">
        <v>308</v>
      </c>
      <c r="I143" s="19">
        <f t="shared" si="65"/>
        <v>67371232.5</v>
      </c>
      <c r="J143" s="19"/>
      <c r="K143" s="19">
        <v>67371232.5</v>
      </c>
      <c r="L143" s="19">
        <v>67371232.5</v>
      </c>
      <c r="M143" s="19">
        <f t="shared" si="66"/>
        <v>7883087.5099999998</v>
      </c>
      <c r="N143" s="19"/>
      <c r="O143" s="19">
        <v>7883087.5099999998</v>
      </c>
      <c r="P143" s="19">
        <f>O143</f>
        <v>7883087.5099999998</v>
      </c>
      <c r="Q143" s="8">
        <f t="shared" si="41"/>
        <v>0.11700969712851847</v>
      </c>
      <c r="R143" s="18">
        <f t="shared" si="42"/>
        <v>-59488144.990000002</v>
      </c>
    </row>
    <row r="144" spans="1:18" s="17" customFormat="1" ht="93.6" x14ac:dyDescent="0.3">
      <c r="A144" s="25" t="s">
        <v>314</v>
      </c>
      <c r="B144" s="36">
        <v>97</v>
      </c>
      <c r="C144" s="29">
        <v>2171</v>
      </c>
      <c r="D144" s="25" t="s">
        <v>24</v>
      </c>
      <c r="E144" s="32" t="s">
        <v>193</v>
      </c>
      <c r="F144" s="30" t="s">
        <v>210</v>
      </c>
      <c r="G144" s="2" t="s">
        <v>309</v>
      </c>
      <c r="H144" s="20" t="s">
        <v>308</v>
      </c>
      <c r="I144" s="19">
        <f t="shared" si="65"/>
        <v>7050730</v>
      </c>
      <c r="J144" s="19">
        <v>2050730</v>
      </c>
      <c r="K144" s="19">
        <v>5000000</v>
      </c>
      <c r="L144" s="19">
        <f>K144</f>
        <v>5000000</v>
      </c>
      <c r="M144" s="19">
        <f t="shared" si="66"/>
        <v>212334.26</v>
      </c>
      <c r="N144" s="19">
        <v>212334.26</v>
      </c>
      <c r="O144" s="19"/>
      <c r="P144" s="19"/>
      <c r="Q144" s="8">
        <f t="shared" si="41"/>
        <v>3.0115216438581539E-2</v>
      </c>
      <c r="R144" s="18">
        <f t="shared" si="42"/>
        <v>-6838395.7400000002</v>
      </c>
    </row>
    <row r="145" spans="1:18" s="17" customFormat="1" ht="140.4" x14ac:dyDescent="0.3">
      <c r="A145" s="25" t="s">
        <v>315</v>
      </c>
      <c r="B145" s="36">
        <v>97</v>
      </c>
      <c r="C145" s="29">
        <v>7691</v>
      </c>
      <c r="D145" s="25" t="s">
        <v>139</v>
      </c>
      <c r="E145" s="32" t="s">
        <v>140</v>
      </c>
      <c r="F145" s="30" t="s">
        <v>210</v>
      </c>
      <c r="G145" s="2" t="s">
        <v>309</v>
      </c>
      <c r="H145" s="20" t="s">
        <v>308</v>
      </c>
      <c r="I145" s="19">
        <f t="shared" si="65"/>
        <v>1634290.71</v>
      </c>
      <c r="J145" s="19"/>
      <c r="K145" s="19">
        <v>1634290.71</v>
      </c>
      <c r="L145" s="19"/>
      <c r="M145" s="19">
        <f t="shared" si="66"/>
        <v>1634290.71</v>
      </c>
      <c r="N145" s="19"/>
      <c r="O145" s="19">
        <v>1634290.71</v>
      </c>
      <c r="P145" s="19"/>
      <c r="Q145" s="8">
        <f t="shared" si="41"/>
        <v>1</v>
      </c>
      <c r="R145" s="18">
        <f t="shared" si="42"/>
        <v>0</v>
      </c>
    </row>
    <row r="146" spans="1:18" s="17" customFormat="1" ht="93.6" x14ac:dyDescent="0.3">
      <c r="A146" s="25" t="s">
        <v>195</v>
      </c>
      <c r="B146" s="36">
        <v>97</v>
      </c>
      <c r="C146" s="29">
        <v>8110</v>
      </c>
      <c r="D146" s="25" t="s">
        <v>61</v>
      </c>
      <c r="E146" s="32" t="s">
        <v>62</v>
      </c>
      <c r="F146" s="30" t="s">
        <v>210</v>
      </c>
      <c r="G146" s="2" t="s">
        <v>309</v>
      </c>
      <c r="H146" s="20" t="s">
        <v>308</v>
      </c>
      <c r="I146" s="19">
        <f t="shared" si="65"/>
        <v>670000</v>
      </c>
      <c r="J146" s="19">
        <v>670000</v>
      </c>
      <c r="K146" s="19"/>
      <c r="L146" s="19"/>
      <c r="M146" s="19">
        <f t="shared" si="66"/>
        <v>64709.29</v>
      </c>
      <c r="N146" s="19">
        <v>64709.29</v>
      </c>
      <c r="O146" s="19"/>
      <c r="P146" s="19"/>
      <c r="Q146" s="8">
        <f t="shared" ref="Q146:Q159" si="67">M146/I146</f>
        <v>9.6581029850746264E-2</v>
      </c>
      <c r="R146" s="18">
        <f t="shared" ref="R146:R159" si="68">M146-I146</f>
        <v>-605290.71</v>
      </c>
    </row>
    <row r="147" spans="1:18" s="17" customFormat="1" ht="93.6" x14ac:dyDescent="0.3">
      <c r="A147" s="25" t="s">
        <v>346</v>
      </c>
      <c r="B147" s="36">
        <v>97</v>
      </c>
      <c r="C147" s="29">
        <v>8110</v>
      </c>
      <c r="D147" s="25" t="s">
        <v>61</v>
      </c>
      <c r="E147" s="32" t="s">
        <v>62</v>
      </c>
      <c r="F147" s="30" t="s">
        <v>215</v>
      </c>
      <c r="G147" s="2" t="s">
        <v>309</v>
      </c>
      <c r="H147" s="20" t="s">
        <v>308</v>
      </c>
      <c r="I147" s="19">
        <f t="shared" ref="I147" si="69">SUM(J147:K147)</f>
        <v>300000</v>
      </c>
      <c r="J147" s="19">
        <v>300000</v>
      </c>
      <c r="K147" s="19"/>
      <c r="L147" s="19"/>
      <c r="M147" s="19">
        <f t="shared" ref="M147" si="70">SUM(N147:O147)</f>
        <v>0</v>
      </c>
      <c r="N147" s="19"/>
      <c r="O147" s="19"/>
      <c r="P147" s="19"/>
      <c r="Q147" s="8">
        <f t="shared" ref="Q147" si="71">M147/I147</f>
        <v>0</v>
      </c>
      <c r="R147" s="18">
        <f t="shared" ref="R147" si="72">M147-I147</f>
        <v>-300000</v>
      </c>
    </row>
    <row r="148" spans="1:18" s="17" customFormat="1" ht="93.6" x14ac:dyDescent="0.3">
      <c r="A148" s="25" t="s">
        <v>266</v>
      </c>
      <c r="B148" s="36">
        <v>97</v>
      </c>
      <c r="C148" s="29">
        <v>9800</v>
      </c>
      <c r="D148" s="25" t="s">
        <v>92</v>
      </c>
      <c r="E148" s="32" t="s">
        <v>148</v>
      </c>
      <c r="F148" s="30" t="s">
        <v>146</v>
      </c>
      <c r="G148" s="2" t="s">
        <v>309</v>
      </c>
      <c r="H148" s="20" t="s">
        <v>308</v>
      </c>
      <c r="I148" s="19">
        <f t="shared" si="65"/>
        <v>2000000</v>
      </c>
      <c r="J148" s="19">
        <v>2000000</v>
      </c>
      <c r="K148" s="19"/>
      <c r="L148" s="19"/>
      <c r="M148" s="19">
        <f t="shared" si="66"/>
        <v>2000000</v>
      </c>
      <c r="N148" s="19">
        <v>2000000</v>
      </c>
      <c r="O148" s="19"/>
      <c r="P148" s="19"/>
      <c r="Q148" s="8">
        <f t="shared" si="67"/>
        <v>1</v>
      </c>
      <c r="R148" s="18">
        <f t="shared" si="68"/>
        <v>0</v>
      </c>
    </row>
    <row r="149" spans="1:18" s="1" customFormat="1" ht="59.25" customHeight="1" x14ac:dyDescent="0.3">
      <c r="A149" s="23">
        <v>30</v>
      </c>
      <c r="B149" s="9">
        <v>100</v>
      </c>
      <c r="C149" s="57" t="s">
        <v>316</v>
      </c>
      <c r="D149" s="58"/>
      <c r="E149" s="58"/>
      <c r="F149" s="58"/>
      <c r="G149" s="59"/>
      <c r="H149" s="16" t="s">
        <v>317</v>
      </c>
      <c r="I149" s="18">
        <f>SUM(J149:K149)</f>
        <v>500000</v>
      </c>
      <c r="J149" s="18">
        <f>SUM(J150)</f>
        <v>500000</v>
      </c>
      <c r="K149" s="18">
        <f t="shared" ref="K149:L149" si="73">SUM(K150)</f>
        <v>0</v>
      </c>
      <c r="L149" s="18">
        <f t="shared" si="73"/>
        <v>0</v>
      </c>
      <c r="M149" s="18">
        <f>SUM(N149:O149)</f>
        <v>0</v>
      </c>
      <c r="N149" s="18">
        <f>SUM(N150)</f>
        <v>0</v>
      </c>
      <c r="O149" s="18">
        <f t="shared" ref="O149:P149" si="74">SUM(O150)</f>
        <v>0</v>
      </c>
      <c r="P149" s="18">
        <f t="shared" si="74"/>
        <v>0</v>
      </c>
      <c r="Q149" s="8">
        <f t="shared" si="67"/>
        <v>0</v>
      </c>
      <c r="R149" s="18">
        <f t="shared" si="68"/>
        <v>-500000</v>
      </c>
    </row>
    <row r="150" spans="1:18" s="17" customFormat="1" ht="93.6" x14ac:dyDescent="0.3">
      <c r="A150" s="15">
        <v>1216017</v>
      </c>
      <c r="B150" s="36">
        <v>100</v>
      </c>
      <c r="C150" s="29">
        <v>6017</v>
      </c>
      <c r="D150" s="25" t="s">
        <v>125</v>
      </c>
      <c r="E150" s="32" t="s">
        <v>318</v>
      </c>
      <c r="F150" s="30" t="s">
        <v>213</v>
      </c>
      <c r="G150" s="2" t="s">
        <v>316</v>
      </c>
      <c r="H150" s="20" t="s">
        <v>317</v>
      </c>
      <c r="I150" s="19">
        <f>SUM(J150:K150)</f>
        <v>500000</v>
      </c>
      <c r="J150" s="19">
        <v>500000</v>
      </c>
      <c r="K150" s="19"/>
      <c r="L150" s="19"/>
      <c r="M150" s="19">
        <f>SUM(N150:O150)</f>
        <v>0</v>
      </c>
      <c r="N150" s="19"/>
      <c r="O150" s="19"/>
      <c r="P150" s="19"/>
      <c r="Q150" s="8">
        <f t="shared" si="67"/>
        <v>0</v>
      </c>
      <c r="R150" s="18">
        <f t="shared" si="68"/>
        <v>-500000</v>
      </c>
    </row>
    <row r="151" spans="1:18" s="1" customFormat="1" ht="59.25" customHeight="1" x14ac:dyDescent="0.3">
      <c r="A151" s="23">
        <v>31</v>
      </c>
      <c r="B151" s="9"/>
      <c r="C151" s="57" t="s">
        <v>319</v>
      </c>
      <c r="D151" s="58"/>
      <c r="E151" s="58"/>
      <c r="F151" s="58"/>
      <c r="G151" s="59"/>
      <c r="H151" s="16" t="s">
        <v>320</v>
      </c>
      <c r="I151" s="18">
        <f t="shared" ref="I151:I158" si="75">J151+K151</f>
        <v>500000</v>
      </c>
      <c r="J151" s="18">
        <f>J152</f>
        <v>500000</v>
      </c>
      <c r="K151" s="18"/>
      <c r="L151" s="18"/>
      <c r="M151" s="18">
        <f t="shared" ref="M151:M158" si="76">N151+O151</f>
        <v>0</v>
      </c>
      <c r="N151" s="18">
        <f>N152</f>
        <v>0</v>
      </c>
      <c r="O151" s="18"/>
      <c r="P151" s="18"/>
      <c r="Q151" s="8">
        <f t="shared" si="67"/>
        <v>0</v>
      </c>
      <c r="R151" s="18">
        <f t="shared" si="68"/>
        <v>-500000</v>
      </c>
    </row>
    <row r="152" spans="1:18" s="17" customFormat="1" ht="62.4" x14ac:dyDescent="0.3">
      <c r="A152" s="25" t="s">
        <v>321</v>
      </c>
      <c r="B152" s="36"/>
      <c r="C152" s="29">
        <v>7610</v>
      </c>
      <c r="D152" s="25" t="s">
        <v>322</v>
      </c>
      <c r="E152" s="32" t="s">
        <v>323</v>
      </c>
      <c r="F152" s="30" t="s">
        <v>211</v>
      </c>
      <c r="G152" s="2" t="s">
        <v>319</v>
      </c>
      <c r="H152" s="20" t="s">
        <v>320</v>
      </c>
      <c r="I152" s="19">
        <f t="shared" si="75"/>
        <v>500000</v>
      </c>
      <c r="J152" s="19">
        <v>500000</v>
      </c>
      <c r="K152" s="19"/>
      <c r="L152" s="19"/>
      <c r="M152" s="19">
        <f t="shared" si="76"/>
        <v>0</v>
      </c>
      <c r="N152" s="19"/>
      <c r="O152" s="19"/>
      <c r="P152" s="19"/>
      <c r="Q152" s="8">
        <f t="shared" si="67"/>
        <v>0</v>
      </c>
      <c r="R152" s="18">
        <f t="shared" si="68"/>
        <v>-500000</v>
      </c>
    </row>
    <row r="153" spans="1:18" s="17" customFormat="1" ht="31.2" x14ac:dyDescent="0.3">
      <c r="A153" s="23">
        <v>32</v>
      </c>
      <c r="B153" s="9">
        <v>102</v>
      </c>
      <c r="C153" s="57" t="s">
        <v>347</v>
      </c>
      <c r="D153" s="58"/>
      <c r="E153" s="58"/>
      <c r="F153" s="58"/>
      <c r="G153" s="59"/>
      <c r="H153" s="16" t="s">
        <v>348</v>
      </c>
      <c r="I153" s="18">
        <f t="shared" si="75"/>
        <v>500000</v>
      </c>
      <c r="J153" s="18">
        <f>J154</f>
        <v>500000</v>
      </c>
      <c r="K153" s="18"/>
      <c r="L153" s="18"/>
      <c r="M153" s="18">
        <f t="shared" si="76"/>
        <v>0</v>
      </c>
      <c r="N153" s="18">
        <f>N154</f>
        <v>0</v>
      </c>
      <c r="O153" s="18"/>
      <c r="P153" s="18"/>
      <c r="Q153" s="8">
        <f t="shared" ref="Q153:Q154" si="77">M153/I153</f>
        <v>0</v>
      </c>
      <c r="R153" s="18">
        <f t="shared" ref="R153:R154" si="78">M153-I153</f>
        <v>-500000</v>
      </c>
    </row>
    <row r="154" spans="1:18" s="17" customFormat="1" ht="109.2" x14ac:dyDescent="0.3">
      <c r="A154" s="3" t="s">
        <v>266</v>
      </c>
      <c r="B154" s="27">
        <v>102</v>
      </c>
      <c r="C154" s="3" t="s">
        <v>267</v>
      </c>
      <c r="D154" s="3" t="s">
        <v>92</v>
      </c>
      <c r="E154" s="13" t="s">
        <v>148</v>
      </c>
      <c r="F154" s="10" t="s">
        <v>146</v>
      </c>
      <c r="G154" s="2" t="s">
        <v>347</v>
      </c>
      <c r="H154" s="20" t="s">
        <v>349</v>
      </c>
      <c r="I154" s="19">
        <f t="shared" si="75"/>
        <v>500000</v>
      </c>
      <c r="J154" s="19">
        <v>500000</v>
      </c>
      <c r="K154" s="19"/>
      <c r="L154" s="19"/>
      <c r="M154" s="19">
        <f t="shared" si="76"/>
        <v>0</v>
      </c>
      <c r="N154" s="19"/>
      <c r="O154" s="19"/>
      <c r="P154" s="19"/>
      <c r="Q154" s="8">
        <f t="shared" si="77"/>
        <v>0</v>
      </c>
      <c r="R154" s="18">
        <f t="shared" si="78"/>
        <v>-500000</v>
      </c>
    </row>
    <row r="155" spans="1:18" s="17" customFormat="1" ht="31.2" x14ac:dyDescent="0.3">
      <c r="A155" s="23">
        <v>33</v>
      </c>
      <c r="B155" s="9">
        <v>103</v>
      </c>
      <c r="C155" s="57" t="s">
        <v>350</v>
      </c>
      <c r="D155" s="58"/>
      <c r="E155" s="58"/>
      <c r="F155" s="58"/>
      <c r="G155" s="59"/>
      <c r="H155" s="16" t="s">
        <v>351</v>
      </c>
      <c r="I155" s="18">
        <f t="shared" si="75"/>
        <v>60000</v>
      </c>
      <c r="J155" s="18">
        <f>J156</f>
        <v>60000</v>
      </c>
      <c r="K155" s="18"/>
      <c r="L155" s="18"/>
      <c r="M155" s="18">
        <f t="shared" si="76"/>
        <v>0</v>
      </c>
      <c r="N155" s="18">
        <f>N156</f>
        <v>0</v>
      </c>
      <c r="O155" s="18"/>
      <c r="P155" s="18"/>
      <c r="Q155" s="8">
        <f t="shared" ref="Q155" si="79">M155/I155</f>
        <v>0</v>
      </c>
      <c r="R155" s="18">
        <f t="shared" ref="R155" si="80">M155-I155</f>
        <v>-60000</v>
      </c>
    </row>
    <row r="156" spans="1:18" s="17" customFormat="1" ht="78" x14ac:dyDescent="0.3">
      <c r="A156" s="3" t="s">
        <v>266</v>
      </c>
      <c r="B156" s="27">
        <v>103</v>
      </c>
      <c r="C156" s="3" t="s">
        <v>267</v>
      </c>
      <c r="D156" s="3" t="s">
        <v>92</v>
      </c>
      <c r="E156" s="13" t="s">
        <v>148</v>
      </c>
      <c r="F156" s="10" t="s">
        <v>146</v>
      </c>
      <c r="G156" s="2" t="s">
        <v>350</v>
      </c>
      <c r="H156" s="20" t="s">
        <v>351</v>
      </c>
      <c r="I156" s="19">
        <f t="shared" si="75"/>
        <v>60000</v>
      </c>
      <c r="J156" s="19">
        <v>60000</v>
      </c>
      <c r="K156" s="19"/>
      <c r="L156" s="19"/>
      <c r="M156" s="19">
        <f t="shared" si="76"/>
        <v>0</v>
      </c>
      <c r="N156" s="19"/>
      <c r="O156" s="19"/>
      <c r="P156" s="19"/>
      <c r="Q156" s="8">
        <f t="shared" ref="Q156:Q157" si="81">M156/I156</f>
        <v>0</v>
      </c>
      <c r="R156" s="18">
        <f t="shared" ref="R156:R157" si="82">M156-I156</f>
        <v>-60000</v>
      </c>
    </row>
    <row r="157" spans="1:18" s="17" customFormat="1" ht="31.2" x14ac:dyDescent="0.3">
      <c r="A157" s="23">
        <v>34</v>
      </c>
      <c r="B157" s="9">
        <v>104</v>
      </c>
      <c r="C157" s="57" t="s">
        <v>352</v>
      </c>
      <c r="D157" s="58"/>
      <c r="E157" s="58"/>
      <c r="F157" s="58"/>
      <c r="G157" s="59"/>
      <c r="H157" s="16" t="s">
        <v>353</v>
      </c>
      <c r="I157" s="18">
        <f t="shared" si="75"/>
        <v>550000</v>
      </c>
      <c r="J157" s="18">
        <f>J158</f>
        <v>550000</v>
      </c>
      <c r="K157" s="18"/>
      <c r="L157" s="18"/>
      <c r="M157" s="18">
        <f t="shared" si="76"/>
        <v>0</v>
      </c>
      <c r="N157" s="18">
        <f>N158</f>
        <v>0</v>
      </c>
      <c r="O157" s="18"/>
      <c r="P157" s="18"/>
      <c r="Q157" s="8">
        <f t="shared" si="81"/>
        <v>0</v>
      </c>
      <c r="R157" s="18">
        <f t="shared" si="82"/>
        <v>-550000</v>
      </c>
    </row>
    <row r="158" spans="1:18" s="17" customFormat="1" ht="62.4" x14ac:dyDescent="0.3">
      <c r="A158" s="3" t="s">
        <v>266</v>
      </c>
      <c r="B158" s="27">
        <v>104</v>
      </c>
      <c r="C158" s="3" t="s">
        <v>267</v>
      </c>
      <c r="D158" s="3" t="s">
        <v>92</v>
      </c>
      <c r="E158" s="13" t="s">
        <v>148</v>
      </c>
      <c r="F158" s="10" t="s">
        <v>146</v>
      </c>
      <c r="G158" s="2" t="s">
        <v>352</v>
      </c>
      <c r="H158" s="20" t="s">
        <v>353</v>
      </c>
      <c r="I158" s="19">
        <f t="shared" si="75"/>
        <v>550000</v>
      </c>
      <c r="J158" s="19">
        <v>550000</v>
      </c>
      <c r="K158" s="19"/>
      <c r="L158" s="19"/>
      <c r="M158" s="19">
        <f t="shared" si="76"/>
        <v>0</v>
      </c>
      <c r="N158" s="19"/>
      <c r="O158" s="19"/>
      <c r="P158" s="19"/>
      <c r="Q158" s="8">
        <f t="shared" ref="Q158" si="83">M158/I158</f>
        <v>0</v>
      </c>
      <c r="R158" s="18">
        <f t="shared" ref="R158" si="84">M158-I158</f>
        <v>-550000</v>
      </c>
    </row>
    <row r="159" spans="1:18" s="1" customFormat="1" x14ac:dyDescent="0.3">
      <c r="A159" s="62" t="s">
        <v>150</v>
      </c>
      <c r="B159" s="62"/>
      <c r="C159" s="62"/>
      <c r="D159" s="62"/>
      <c r="E159" s="62"/>
      <c r="F159" s="62"/>
      <c r="G159" s="62"/>
      <c r="H159" s="62"/>
      <c r="I159" s="18">
        <f t="shared" ref="I159:P159" si="85">I12+I14+I17+I20+I31+I33+I45+I47+I49+I51+I53+I57+I59+I62+I69+I73+I80+I85+I87+I89+I93+I95+I97+I104+I116+I120+I122+I135+I137+I149+I151+I153+I155+I157</f>
        <v>776330778.74000001</v>
      </c>
      <c r="J159" s="18">
        <f t="shared" si="85"/>
        <v>644971310</v>
      </c>
      <c r="K159" s="18">
        <f t="shared" si="85"/>
        <v>131359468.73999999</v>
      </c>
      <c r="L159" s="18">
        <f t="shared" si="85"/>
        <v>118139091.5</v>
      </c>
      <c r="M159" s="18">
        <f t="shared" si="85"/>
        <v>340918319.04000008</v>
      </c>
      <c r="N159" s="18">
        <f t="shared" si="85"/>
        <v>311678387.38</v>
      </c>
      <c r="O159" s="18">
        <f t="shared" si="85"/>
        <v>29239931.66</v>
      </c>
      <c r="P159" s="18">
        <f t="shared" si="85"/>
        <v>27354591.890000001</v>
      </c>
      <c r="Q159" s="8">
        <f t="shared" si="67"/>
        <v>0.43914054211958098</v>
      </c>
      <c r="R159" s="18">
        <f t="shared" si="68"/>
        <v>-435412459.69999993</v>
      </c>
    </row>
    <row r="160" spans="1:18" s="17" customFormat="1" x14ac:dyDescent="0.3">
      <c r="A160" s="1"/>
      <c r="B160" s="1"/>
      <c r="C160" s="1"/>
      <c r="D160" s="1"/>
      <c r="E160" s="47"/>
      <c r="F160" s="47"/>
      <c r="G160" s="47"/>
      <c r="H160" s="1"/>
      <c r="I160" s="48"/>
      <c r="J160" s="48"/>
      <c r="K160" s="48"/>
      <c r="L160" s="48"/>
      <c r="M160" s="48"/>
      <c r="N160" s="48"/>
      <c r="O160" s="48"/>
      <c r="P160" s="48"/>
      <c r="R160" s="48"/>
    </row>
    <row r="161" spans="5:18" x14ac:dyDescent="0.3">
      <c r="E161" s="5" t="s">
        <v>358</v>
      </c>
      <c r="G161" s="6"/>
      <c r="K161" s="17" t="s">
        <v>357</v>
      </c>
      <c r="M161" s="17"/>
      <c r="N161" s="17"/>
      <c r="O161" s="17"/>
      <c r="P161" s="17"/>
      <c r="R161" s="14"/>
    </row>
    <row r="162" spans="5:18" x14ac:dyDescent="0.3">
      <c r="I162" s="49"/>
      <c r="J162" s="49"/>
      <c r="K162" s="49"/>
      <c r="L162" s="49"/>
      <c r="M162" s="49"/>
      <c r="N162" s="49"/>
      <c r="O162" s="49"/>
      <c r="P162" s="49"/>
    </row>
    <row r="163" spans="5:18" x14ac:dyDescent="0.3">
      <c r="G163" s="50" t="s">
        <v>324</v>
      </c>
      <c r="H163" s="34"/>
      <c r="I163" s="19">
        <f>I18+I21+I34+I46+I50+I74+I75+I76+I77+I78+I79+I81+I82+I86+I123+I136+I138+I152</f>
        <v>105989839</v>
      </c>
      <c r="J163" s="19">
        <f>J18+J21+J34+J46+J50+J74+J75+J76+J77+J78+J79+J81+J82+J86+J123+J136+J138+J152</f>
        <v>102212718</v>
      </c>
      <c r="K163" s="19">
        <f t="shared" ref="K163:L163" si="86">K18+K21+K34+K46+K50+K74+K75+K76+K77+K78+K79+K81+K82+K86+K123+K136+K138+K152</f>
        <v>3777121</v>
      </c>
      <c r="L163" s="19">
        <f t="shared" si="86"/>
        <v>3677121</v>
      </c>
      <c r="M163" s="19">
        <f>M18+M21+M34+M46+M50+M74+M75+M76+M77+M78+M79+M81+M82+M86+M123+M136+M138+M152</f>
        <v>42224110.380000003</v>
      </c>
      <c r="N163" s="19">
        <f t="shared" ref="N163:P163" si="87">N18+N21+N34+N46+N50+N74+N75+N76+N77+N78+N79+N81+N82+N86+N123+N136+N138+N152</f>
        <v>42224110.380000003</v>
      </c>
      <c r="O163" s="19">
        <f t="shared" si="87"/>
        <v>0</v>
      </c>
      <c r="P163" s="19">
        <f t="shared" si="87"/>
        <v>0</v>
      </c>
      <c r="Q163" s="51">
        <f t="shared" ref="Q163:Q174" si="88">M163/I163</f>
        <v>0.3983788519576863</v>
      </c>
      <c r="R163" s="19">
        <f t="shared" ref="R163:R174" si="89">M163-I163</f>
        <v>-63765728.619999997</v>
      </c>
    </row>
    <row r="164" spans="5:18" x14ac:dyDescent="0.3">
      <c r="G164" s="50" t="s">
        <v>325</v>
      </c>
      <c r="H164" s="34"/>
      <c r="I164" s="19">
        <f t="shared" ref="I164:P164" si="90">I13+I22+I70+I105+I106+I107+I108+I109+I110+I111+I112+I113+I114+I117+I124+I139</f>
        <v>102110928</v>
      </c>
      <c r="J164" s="19">
        <f t="shared" si="90"/>
        <v>93531500</v>
      </c>
      <c r="K164" s="19">
        <f t="shared" si="90"/>
        <v>8579428</v>
      </c>
      <c r="L164" s="19">
        <f t="shared" si="90"/>
        <v>8579428</v>
      </c>
      <c r="M164" s="19">
        <f t="shared" si="90"/>
        <v>35615768.019999996</v>
      </c>
      <c r="N164" s="19">
        <f t="shared" si="90"/>
        <v>35602088.019999996</v>
      </c>
      <c r="O164" s="19">
        <f t="shared" si="90"/>
        <v>13680</v>
      </c>
      <c r="P164" s="19">
        <f t="shared" si="90"/>
        <v>13680</v>
      </c>
      <c r="Q164" s="51">
        <f t="shared" si="88"/>
        <v>0.34879487159297973</v>
      </c>
      <c r="R164" s="19">
        <f t="shared" si="89"/>
        <v>-66495159.980000004</v>
      </c>
    </row>
    <row r="165" spans="5:18" x14ac:dyDescent="0.3">
      <c r="G165" s="50" t="s">
        <v>326</v>
      </c>
      <c r="H165" s="34"/>
      <c r="I165" s="19">
        <f>I23+I60+I72+I118+I121+I125+I126+I127+I128+I129+I130+I131+I132+I140+I71</f>
        <v>71522900</v>
      </c>
      <c r="J165" s="19">
        <f>J23+J60+J72+J118+J121+J125+J126+J127+J128+J129+J130+J131+J132+J140+J71</f>
        <v>71522900</v>
      </c>
      <c r="K165" s="19">
        <f t="shared" ref="K165:P165" si="91">K23+K60+K72+K118+K121+K125+K126+K127+K128+K129+K130+K131+K132+K140+K71</f>
        <v>0</v>
      </c>
      <c r="L165" s="19">
        <f t="shared" si="91"/>
        <v>0</v>
      </c>
      <c r="M165" s="19">
        <f t="shared" si="91"/>
        <v>25756661.760000002</v>
      </c>
      <c r="N165" s="19">
        <f t="shared" si="91"/>
        <v>25756661.760000002</v>
      </c>
      <c r="O165" s="19">
        <f t="shared" si="91"/>
        <v>0</v>
      </c>
      <c r="P165" s="19">
        <f t="shared" si="91"/>
        <v>0</v>
      </c>
      <c r="Q165" s="51">
        <f t="shared" si="88"/>
        <v>0.36011769321434117</v>
      </c>
      <c r="R165" s="19">
        <f t="shared" si="89"/>
        <v>-45766238.239999995</v>
      </c>
    </row>
    <row r="166" spans="5:18" x14ac:dyDescent="0.3">
      <c r="G166" s="50" t="s">
        <v>327</v>
      </c>
      <c r="H166" s="34"/>
      <c r="I166" s="19">
        <f t="shared" ref="I166:P166" si="92">I24+I32+I133</f>
        <v>347000</v>
      </c>
      <c r="J166" s="19">
        <f t="shared" si="92"/>
        <v>347000</v>
      </c>
      <c r="K166" s="19">
        <f t="shared" si="92"/>
        <v>0</v>
      </c>
      <c r="L166" s="19">
        <f t="shared" si="92"/>
        <v>0</v>
      </c>
      <c r="M166" s="19">
        <f t="shared" si="92"/>
        <v>108331.8</v>
      </c>
      <c r="N166" s="19">
        <f t="shared" si="92"/>
        <v>108331.8</v>
      </c>
      <c r="O166" s="19">
        <f t="shared" si="92"/>
        <v>0</v>
      </c>
      <c r="P166" s="19">
        <f t="shared" si="92"/>
        <v>0</v>
      </c>
      <c r="Q166" s="51">
        <f t="shared" si="88"/>
        <v>0.31219538904899136</v>
      </c>
      <c r="R166" s="19">
        <f t="shared" si="89"/>
        <v>-238668.2</v>
      </c>
    </row>
    <row r="167" spans="5:18" x14ac:dyDescent="0.3">
      <c r="G167" s="50" t="s">
        <v>328</v>
      </c>
      <c r="H167" s="34"/>
      <c r="I167" s="19">
        <f t="shared" ref="I167:P167" si="93">I25+I98+I99+I100+I101+I102+I103+I119+I141</f>
        <v>6383274</v>
      </c>
      <c r="J167" s="19">
        <f t="shared" si="93"/>
        <v>5908274</v>
      </c>
      <c r="K167" s="19">
        <f t="shared" si="93"/>
        <v>475000</v>
      </c>
      <c r="L167" s="19">
        <f t="shared" si="93"/>
        <v>0</v>
      </c>
      <c r="M167" s="19">
        <f t="shared" si="93"/>
        <v>2928669.41</v>
      </c>
      <c r="N167" s="19">
        <f t="shared" si="93"/>
        <v>2683511.41</v>
      </c>
      <c r="O167" s="19">
        <f t="shared" si="93"/>
        <v>245158</v>
      </c>
      <c r="P167" s="19">
        <f t="shared" si="93"/>
        <v>0</v>
      </c>
      <c r="Q167" s="51">
        <f t="shared" si="88"/>
        <v>0.45880364997648543</v>
      </c>
      <c r="R167" s="19">
        <f t="shared" si="89"/>
        <v>-3454604.59</v>
      </c>
    </row>
    <row r="168" spans="5:18" x14ac:dyDescent="0.3">
      <c r="G168" s="50" t="s">
        <v>329</v>
      </c>
      <c r="H168" s="34"/>
      <c r="I168" s="19">
        <f>I26+I61+I63+I64+I66+I65+I68+I67</f>
        <v>21152245.859999999</v>
      </c>
      <c r="J168" s="19">
        <f>J26+J61+J63+J64+J66+J65+J68+J67</f>
        <v>16811250</v>
      </c>
      <c r="K168" s="19">
        <f t="shared" ref="K168:P168" si="94">K26+K61+K63+K64+K66+K65+K68+K67</f>
        <v>4340995.8600000003</v>
      </c>
      <c r="L168" s="19">
        <f t="shared" si="94"/>
        <v>0</v>
      </c>
      <c r="M168" s="19">
        <f t="shared" si="94"/>
        <v>2717919.66</v>
      </c>
      <c r="N168" s="19">
        <f t="shared" si="94"/>
        <v>2717919.66</v>
      </c>
      <c r="O168" s="19">
        <f t="shared" si="94"/>
        <v>0</v>
      </c>
      <c r="P168" s="19">
        <f t="shared" si="94"/>
        <v>0</v>
      </c>
      <c r="Q168" s="51">
        <f t="shared" si="88"/>
        <v>0.12849319537930146</v>
      </c>
      <c r="R168" s="19">
        <f t="shared" si="89"/>
        <v>-18434326.199999999</v>
      </c>
    </row>
    <row r="169" spans="5:18" x14ac:dyDescent="0.3">
      <c r="G169" s="50" t="s">
        <v>330</v>
      </c>
      <c r="H169" s="34"/>
      <c r="I169" s="19">
        <f t="shared" ref="I169:P169" si="95">I19+I27+I35+I36+I37+I38+I39+I40+I41+I42+I52+I54+I55+I56+I90+I91+I142+I150</f>
        <v>246197100.66999999</v>
      </c>
      <c r="J169" s="19">
        <f t="shared" si="95"/>
        <v>234750010</v>
      </c>
      <c r="K169" s="19">
        <f t="shared" si="95"/>
        <v>11447090.67</v>
      </c>
      <c r="L169" s="19">
        <f t="shared" si="95"/>
        <v>4777000</v>
      </c>
      <c r="M169" s="19">
        <f t="shared" si="95"/>
        <v>143529388.27000001</v>
      </c>
      <c r="N169" s="19">
        <f t="shared" si="95"/>
        <v>141980161.61000001</v>
      </c>
      <c r="O169" s="19">
        <f t="shared" si="95"/>
        <v>1549226.6600000001</v>
      </c>
      <c r="P169" s="19">
        <f t="shared" si="95"/>
        <v>1543335.6</v>
      </c>
      <c r="Q169" s="51">
        <f t="shared" si="88"/>
        <v>0.5829856967421615</v>
      </c>
      <c r="R169" s="19">
        <f t="shared" si="89"/>
        <v>-102667712.39999998</v>
      </c>
    </row>
    <row r="170" spans="5:18" x14ac:dyDescent="0.3">
      <c r="G170" s="50" t="s">
        <v>331</v>
      </c>
      <c r="H170" s="34"/>
      <c r="I170" s="19">
        <f>I16+I28+I44+I143+I144+I145+I146+I43+I15</f>
        <v>118519008.20999999</v>
      </c>
      <c r="J170" s="19">
        <f>J16+J28+J44+J143+J144+J145+J146+J43+J15</f>
        <v>17459175</v>
      </c>
      <c r="K170" s="19">
        <f t="shared" ref="K170:P170" si="96">K16+K28+K44+K143+K144+K145+K146+K43+K15</f>
        <v>101059833.20999999</v>
      </c>
      <c r="L170" s="19">
        <f t="shared" si="96"/>
        <v>99425542.5</v>
      </c>
      <c r="M170" s="19">
        <f t="shared" si="96"/>
        <v>27726604.550000001</v>
      </c>
      <c r="N170" s="19">
        <f t="shared" si="96"/>
        <v>294737.55</v>
      </c>
      <c r="O170" s="19">
        <f t="shared" si="96"/>
        <v>27431867</v>
      </c>
      <c r="P170" s="19">
        <f t="shared" si="96"/>
        <v>25797576.289999999</v>
      </c>
      <c r="Q170" s="51">
        <f t="shared" si="88"/>
        <v>0.23394225929457768</v>
      </c>
      <c r="R170" s="19">
        <f t="shared" si="89"/>
        <v>-90792403.659999996</v>
      </c>
    </row>
    <row r="171" spans="5:18" x14ac:dyDescent="0.3">
      <c r="G171" s="50" t="s">
        <v>332</v>
      </c>
      <c r="H171" s="34"/>
      <c r="I171" s="19">
        <f>I29+I48+I58+I83+I92+I147</f>
        <v>26121371</v>
      </c>
      <c r="J171" s="19">
        <f>J29+J48+J58+J83+J92+J147</f>
        <v>26121371</v>
      </c>
      <c r="K171" s="19">
        <f t="shared" ref="K171:P171" si="97">K29+K48+K58+K83+K92+K147</f>
        <v>0</v>
      </c>
      <c r="L171" s="19">
        <f t="shared" si="97"/>
        <v>0</v>
      </c>
      <c r="M171" s="19">
        <f t="shared" si="97"/>
        <v>12450403.389999999</v>
      </c>
      <c r="N171" s="19">
        <f t="shared" si="97"/>
        <v>12450403.389999999</v>
      </c>
      <c r="O171" s="19">
        <f t="shared" si="97"/>
        <v>0</v>
      </c>
      <c r="P171" s="19">
        <f t="shared" si="97"/>
        <v>0</v>
      </c>
      <c r="Q171" s="51">
        <f t="shared" si="88"/>
        <v>0.47663667385605446</v>
      </c>
      <c r="R171" s="19">
        <f t="shared" si="89"/>
        <v>-13670967.610000001</v>
      </c>
    </row>
    <row r="172" spans="5:18" x14ac:dyDescent="0.3">
      <c r="G172" s="50" t="s">
        <v>333</v>
      </c>
      <c r="H172" s="34"/>
      <c r="I172" s="19">
        <f>I30+I84+I88+I94+I96+I134+I148+I153+I155+I157+I115</f>
        <v>77987112</v>
      </c>
      <c r="J172" s="19">
        <f>J30+J84+J88+J94+J96+J134+J148+J153+J155+J157+J115</f>
        <v>76307112</v>
      </c>
      <c r="K172" s="19">
        <f t="shared" ref="K172:P172" si="98">K30+K84+K88+K94+K96+K134+K148+K153+K155+K157+K115</f>
        <v>1680000</v>
      </c>
      <c r="L172" s="19">
        <f t="shared" si="98"/>
        <v>1680000</v>
      </c>
      <c r="M172" s="19">
        <f t="shared" si="98"/>
        <v>47860461.799999997</v>
      </c>
      <c r="N172" s="19">
        <f t="shared" si="98"/>
        <v>47860461.799999997</v>
      </c>
      <c r="O172" s="19">
        <f t="shared" si="98"/>
        <v>0</v>
      </c>
      <c r="P172" s="19">
        <f t="shared" si="98"/>
        <v>0</v>
      </c>
      <c r="Q172" s="51">
        <f t="shared" si="88"/>
        <v>0.61369706574081107</v>
      </c>
      <c r="R172" s="19">
        <f t="shared" si="89"/>
        <v>-30126650.200000003</v>
      </c>
    </row>
    <row r="173" spans="5:18" x14ac:dyDescent="0.3">
      <c r="G173" s="52"/>
      <c r="H173" s="34"/>
      <c r="I173" s="34"/>
      <c r="J173" s="34"/>
      <c r="K173" s="34"/>
      <c r="L173" s="34"/>
      <c r="M173" s="34"/>
      <c r="N173" s="34"/>
      <c r="O173" s="34"/>
      <c r="P173" s="34"/>
      <c r="Q173" s="51"/>
      <c r="R173" s="19"/>
    </row>
    <row r="174" spans="5:18" x14ac:dyDescent="0.3">
      <c r="G174" s="53" t="s">
        <v>334</v>
      </c>
      <c r="H174" s="9"/>
      <c r="I174" s="18">
        <f>SUM(I163:I173)</f>
        <v>776330778.74000001</v>
      </c>
      <c r="J174" s="18">
        <f t="shared" ref="J174:L174" si="99">SUM(J163:J173)</f>
        <v>644971310</v>
      </c>
      <c r="K174" s="18">
        <f t="shared" si="99"/>
        <v>131359468.73999999</v>
      </c>
      <c r="L174" s="18">
        <f t="shared" si="99"/>
        <v>118139091.5</v>
      </c>
      <c r="M174" s="18">
        <f>SUM(M163:M173)</f>
        <v>340918319.04000002</v>
      </c>
      <c r="N174" s="18">
        <f t="shared" ref="N174:P174" si="100">SUM(N163:N173)</f>
        <v>311678387.38</v>
      </c>
      <c r="O174" s="18">
        <f t="shared" si="100"/>
        <v>29239931.66</v>
      </c>
      <c r="P174" s="18">
        <f t="shared" si="100"/>
        <v>27354591.890000001</v>
      </c>
      <c r="Q174" s="8">
        <f t="shared" si="88"/>
        <v>0.43914054211958092</v>
      </c>
      <c r="R174" s="18">
        <f t="shared" si="89"/>
        <v>-435412459.69999999</v>
      </c>
    </row>
    <row r="175" spans="5:18" x14ac:dyDescent="0.3">
      <c r="I175" s="48">
        <f>I159-I174</f>
        <v>0</v>
      </c>
      <c r="J175" s="48">
        <f t="shared" ref="J175:L175" si="101">J159-J174</f>
        <v>0</v>
      </c>
      <c r="K175" s="48">
        <f t="shared" si="101"/>
        <v>0</v>
      </c>
      <c r="L175" s="48">
        <f t="shared" si="101"/>
        <v>0</v>
      </c>
    </row>
    <row r="178" spans="14:14" x14ac:dyDescent="0.3">
      <c r="N178" s="14"/>
    </row>
    <row r="179" spans="14:14" x14ac:dyDescent="0.3">
      <c r="N179" s="14"/>
    </row>
    <row r="180" spans="14:14" x14ac:dyDescent="0.3">
      <c r="N180" s="14"/>
    </row>
    <row r="181" spans="14:14" x14ac:dyDescent="0.3">
      <c r="N181" s="14"/>
    </row>
  </sheetData>
  <mergeCells count="62">
    <mergeCell ref="P1:R1"/>
    <mergeCell ref="P2:R2"/>
    <mergeCell ref="P3:R3"/>
    <mergeCell ref="P4:R4"/>
    <mergeCell ref="A6:R6"/>
    <mergeCell ref="N9:N10"/>
    <mergeCell ref="O9:P9"/>
    <mergeCell ref="I8:L8"/>
    <mergeCell ref="M8:P8"/>
    <mergeCell ref="Q8:R8"/>
    <mergeCell ref="Q9:Q10"/>
    <mergeCell ref="R9:R10"/>
    <mergeCell ref="M9:M10"/>
    <mergeCell ref="I9:I10"/>
    <mergeCell ref="J9:J10"/>
    <mergeCell ref="K9:L9"/>
    <mergeCell ref="C135:G135"/>
    <mergeCell ref="C137:G137"/>
    <mergeCell ref="C149:G149"/>
    <mergeCell ref="C151:G151"/>
    <mergeCell ref="A159:H159"/>
    <mergeCell ref="C153:G153"/>
    <mergeCell ref="C155:G155"/>
    <mergeCell ref="C157:G157"/>
    <mergeCell ref="A8:A10"/>
    <mergeCell ref="C8:C10"/>
    <mergeCell ref="D8:D10"/>
    <mergeCell ref="E8:E10"/>
    <mergeCell ref="C95:G95"/>
    <mergeCell ref="C73:G73"/>
    <mergeCell ref="C80:G80"/>
    <mergeCell ref="C85:G85"/>
    <mergeCell ref="C87:G87"/>
    <mergeCell ref="C89:G89"/>
    <mergeCell ref="C93:G93"/>
    <mergeCell ref="C51:G51"/>
    <mergeCell ref="C53:G53"/>
    <mergeCell ref="C57:G57"/>
    <mergeCell ref="C59:G59"/>
    <mergeCell ref="C62:G62"/>
    <mergeCell ref="C97:G97"/>
    <mergeCell ref="C104:G104"/>
    <mergeCell ref="C116:G116"/>
    <mergeCell ref="C120:G120"/>
    <mergeCell ref="C122:G122"/>
    <mergeCell ref="C69:G69"/>
    <mergeCell ref="C20:G20"/>
    <mergeCell ref="C31:G31"/>
    <mergeCell ref="C33:G33"/>
    <mergeCell ref="C45:G45"/>
    <mergeCell ref="C47:G47"/>
    <mergeCell ref="C49:G49"/>
    <mergeCell ref="C12:G12"/>
    <mergeCell ref="C14:G14"/>
    <mergeCell ref="C17:G17"/>
    <mergeCell ref="F8:F10"/>
    <mergeCell ref="G8:G10"/>
    <mergeCell ref="H8:H10"/>
    <mergeCell ref="J1:L1"/>
    <mergeCell ref="J2:L2"/>
    <mergeCell ref="J3:L3"/>
    <mergeCell ref="J4:L4"/>
  </mergeCells>
  <pageMargins left="0.39370078740157483" right="0.19685039370078741" top="0.78740157480314965" bottom="0.59055118110236227" header="0.51181102362204722" footer="0.51181102362204722"/>
  <pageSetup paperSize="9" scale="36" fitToWidth="9" fitToHeight="9" orientation="landscape" r:id="rId1"/>
  <headerFooter differentFirst="1">
    <oddHeader>&amp;C&amp;P</oddHeader>
  </headerFooter>
  <rowBreaks count="1" manualBreakCount="1">
    <brk id="44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2026</vt:lpstr>
      <vt:lpstr>'2026'!Заголовки_для_друку</vt:lpstr>
      <vt:lpstr>'2026'!Область_друку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Tofan</cp:lastModifiedBy>
  <cp:lastPrinted>2026-07-21T08:30:15Z</cp:lastPrinted>
  <dcterms:created xsi:type="dcterms:W3CDTF">2006-09-28T05:33:00Z</dcterms:created>
  <dcterms:modified xsi:type="dcterms:W3CDTF">2026-07-27T06:52:38Z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54136967F0674003BECD1FA72E5405E7</vt:lpwstr>
  </property>
  <property fmtid="{D5CDD505-2E9C-101B-9397-08002B2CF9AE}" pid="3" name="KSOProductBuildVer">
    <vt:lpwstr>1033-12.2.0.16731</vt:lpwstr>
  </property>
</Properties>
</file>