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5 сесія 24.07.2026\№1147 Зміни бюджет\"/>
    </mc:Choice>
  </mc:AlternateContent>
  <xr:revisionPtr revIDLastSave="0" documentId="13_ncr:1_{165E38F0-495C-4F2E-8F27-C18A56FB26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2" r:id="rId1"/>
  </sheets>
  <definedNames>
    <definedName name="_xlnm.Print_Titles" localSheetId="0">'2026'!$13:$17</definedName>
    <definedName name="_xlnm.Print_Area" localSheetId="0">'2026'!$A$1:$P$227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3" i="2" l="1"/>
  <c r="G120" i="2" l="1"/>
  <c r="H120" i="2"/>
  <c r="I120" i="2"/>
  <c r="H223" i="2" l="1"/>
  <c r="K223" i="2"/>
  <c r="M223" i="2"/>
  <c r="N223" i="2"/>
  <c r="O223" i="2"/>
  <c r="I212" i="2"/>
  <c r="F212" i="2"/>
  <c r="E208" i="2"/>
  <c r="O187" i="2"/>
  <c r="K187" i="2"/>
  <c r="M159" i="2"/>
  <c r="N159" i="2"/>
  <c r="G159" i="2"/>
  <c r="H159" i="2"/>
  <c r="P176" i="2"/>
  <c r="E176" i="2"/>
  <c r="I173" i="2"/>
  <c r="I167" i="2"/>
  <c r="F143" i="2"/>
  <c r="F141" i="2"/>
  <c r="F140" i="2"/>
  <c r="F136" i="2"/>
  <c r="F122" i="2"/>
  <c r="F107" i="2"/>
  <c r="F95" i="2"/>
  <c r="F94" i="2"/>
  <c r="O88" i="2"/>
  <c r="K88" i="2"/>
  <c r="F81" i="2"/>
  <c r="F80" i="2"/>
  <c r="F78" i="2"/>
  <c r="F72" i="2"/>
  <c r="F71" i="2"/>
  <c r="F70" i="2"/>
  <c r="E65" i="2"/>
  <c r="P65" i="2" s="1"/>
  <c r="I62" i="2"/>
  <c r="F60" i="2"/>
  <c r="F51" i="2"/>
  <c r="F38" i="2"/>
  <c r="F37" i="2"/>
  <c r="F35" i="2"/>
  <c r="F26" i="2"/>
  <c r="F22" i="2"/>
  <c r="F21" i="2"/>
  <c r="L147" i="2" l="1"/>
  <c r="M147" i="2"/>
  <c r="N147" i="2"/>
  <c r="O147" i="2"/>
  <c r="K147" i="2"/>
  <c r="I147" i="2"/>
  <c r="G147" i="2"/>
  <c r="H147" i="2"/>
  <c r="F167" i="2"/>
  <c r="F211" i="2" l="1"/>
  <c r="F207" i="2"/>
  <c r="F199" i="2"/>
  <c r="F197" i="2"/>
  <c r="F194" i="2"/>
  <c r="E187" i="2"/>
  <c r="E188" i="2"/>
  <c r="P188" i="2" s="1"/>
  <c r="E186" i="2"/>
  <c r="P186" i="2" s="1"/>
  <c r="E185" i="2"/>
  <c r="P185" i="2" s="1"/>
  <c r="F174" i="2"/>
  <c r="O172" i="2"/>
  <c r="F170" i="2"/>
  <c r="O168" i="2"/>
  <c r="K168" i="2"/>
  <c r="I164" i="2"/>
  <c r="I163" i="2"/>
  <c r="F160" i="2"/>
  <c r="G220" i="2"/>
  <c r="I220" i="2"/>
  <c r="K220" i="2"/>
  <c r="L220" i="2"/>
  <c r="M220" i="2"/>
  <c r="N220" i="2"/>
  <c r="O220" i="2"/>
  <c r="E155" i="2"/>
  <c r="P155" i="2" s="1"/>
  <c r="F154" i="2"/>
  <c r="F152" i="2"/>
  <c r="F220" i="2" s="1"/>
  <c r="F151" i="2"/>
  <c r="F144" i="2"/>
  <c r="I140" i="2"/>
  <c r="F139" i="2"/>
  <c r="F118" i="2"/>
  <c r="I218" i="2"/>
  <c r="K218" i="2"/>
  <c r="L218" i="2"/>
  <c r="M218" i="2"/>
  <c r="N218" i="2"/>
  <c r="O218" i="2"/>
  <c r="E116" i="2"/>
  <c r="P116" i="2" s="1"/>
  <c r="F113" i="2"/>
  <c r="F101" i="2"/>
  <c r="I96" i="2"/>
  <c r="F96" i="2"/>
  <c r="H94" i="2"/>
  <c r="H220" i="2" s="1"/>
  <c r="F92" i="2"/>
  <c r="O85" i="2"/>
  <c r="K85" i="2"/>
  <c r="O84" i="2"/>
  <c r="K84" i="2"/>
  <c r="H83" i="2"/>
  <c r="F83" i="2"/>
  <c r="H81" i="2"/>
  <c r="H80" i="2"/>
  <c r="H78" i="2"/>
  <c r="H72" i="2"/>
  <c r="H71" i="2"/>
  <c r="H70" i="2"/>
  <c r="H68" i="2"/>
  <c r="F68" i="2"/>
  <c r="O40" i="2"/>
  <c r="K40" i="2"/>
  <c r="O34" i="2"/>
  <c r="K34" i="2"/>
  <c r="I27" i="2"/>
  <c r="F27" i="2"/>
  <c r="F147" i="2" l="1"/>
  <c r="F25" i="2"/>
  <c r="F62" i="2" l="1"/>
  <c r="I206" i="2" l="1"/>
  <c r="F206" i="2"/>
  <c r="F193" i="2"/>
  <c r="J202" i="2"/>
  <c r="E202" i="2"/>
  <c r="P202" i="2" l="1"/>
  <c r="I191" i="2"/>
  <c r="F182" i="2"/>
  <c r="F180" i="2"/>
  <c r="H142" i="2" l="1"/>
  <c r="H107" i="2" l="1"/>
  <c r="H106" i="2" l="1"/>
  <c r="H218" i="2" s="1"/>
  <c r="G76" i="2" l="1"/>
  <c r="F76" i="2"/>
  <c r="G71" i="2"/>
  <c r="I71" i="2"/>
  <c r="G70" i="2"/>
  <c r="G60" i="2"/>
  <c r="G223" i="2" s="1"/>
  <c r="F39" i="2"/>
  <c r="F24" i="2"/>
  <c r="H21" i="2" l="1"/>
  <c r="G224" i="2" l="1"/>
  <c r="H224" i="2"/>
  <c r="K224" i="2"/>
  <c r="L224" i="2"/>
  <c r="M224" i="2"/>
  <c r="N224" i="2"/>
  <c r="O224" i="2"/>
  <c r="L205" i="2"/>
  <c r="M205" i="2"/>
  <c r="N205" i="2"/>
  <c r="O205" i="2"/>
  <c r="K205" i="2"/>
  <c r="G205" i="2"/>
  <c r="H205" i="2"/>
  <c r="I211" i="2"/>
  <c r="I224" i="2" s="1"/>
  <c r="J210" i="2"/>
  <c r="E210" i="2"/>
  <c r="I201" i="2"/>
  <c r="I205" i="2" l="1"/>
  <c r="P210" i="2"/>
  <c r="F224" i="2"/>
  <c r="F205" i="2"/>
  <c r="O184" i="2" l="1"/>
  <c r="K184" i="2"/>
  <c r="G106" i="2" l="1"/>
  <c r="F106" i="2"/>
  <c r="F163" i="2" l="1"/>
  <c r="K216" i="2" l="1"/>
  <c r="L216" i="2"/>
  <c r="M216" i="2"/>
  <c r="N216" i="2"/>
  <c r="O216" i="2"/>
  <c r="I145" i="2"/>
  <c r="I223" i="2" s="1"/>
  <c r="H141" i="2"/>
  <c r="E138" i="2"/>
  <c r="P138" i="2" s="1"/>
  <c r="G136" i="2"/>
  <c r="F115" i="2"/>
  <c r="G115" i="2"/>
  <c r="G107" i="2"/>
  <c r="F103" i="2"/>
  <c r="J84" i="2"/>
  <c r="J85" i="2"/>
  <c r="J86" i="2"/>
  <c r="E84" i="2"/>
  <c r="E85" i="2"/>
  <c r="E86" i="2"/>
  <c r="E87" i="2"/>
  <c r="E88" i="2"/>
  <c r="F42" i="2"/>
  <c r="I37" i="2"/>
  <c r="P86" i="2" l="1"/>
  <c r="P85" i="2"/>
  <c r="P84" i="2"/>
  <c r="G119" i="2"/>
  <c r="G218" i="2" s="1"/>
  <c r="F119" i="2"/>
  <c r="G217" i="2" l="1"/>
  <c r="H217" i="2"/>
  <c r="K217" i="2"/>
  <c r="L217" i="2"/>
  <c r="M217" i="2"/>
  <c r="N217" i="2"/>
  <c r="O217" i="2"/>
  <c r="L193" i="2" l="1"/>
  <c r="M193" i="2"/>
  <c r="N193" i="2"/>
  <c r="O193" i="2"/>
  <c r="K193" i="2"/>
  <c r="G193" i="2"/>
  <c r="H193" i="2"/>
  <c r="I193" i="2"/>
  <c r="J187" i="2"/>
  <c r="L178" i="2"/>
  <c r="M178" i="2"/>
  <c r="N178" i="2"/>
  <c r="O178" i="2"/>
  <c r="K178" i="2"/>
  <c r="G178" i="2"/>
  <c r="H178" i="2"/>
  <c r="I178" i="2"/>
  <c r="F178" i="2"/>
  <c r="J191" i="2"/>
  <c r="E191" i="2"/>
  <c r="J190" i="2"/>
  <c r="E190" i="2"/>
  <c r="J184" i="2"/>
  <c r="E184" i="2"/>
  <c r="J183" i="2"/>
  <c r="E183" i="2"/>
  <c r="E179" i="2"/>
  <c r="P179" i="2" s="1"/>
  <c r="P191" i="2" l="1"/>
  <c r="P183" i="2"/>
  <c r="P184" i="2"/>
  <c r="P187" i="2"/>
  <c r="P190" i="2"/>
  <c r="L175" i="2" l="1"/>
  <c r="J172" i="2"/>
  <c r="E172" i="2"/>
  <c r="J171" i="2"/>
  <c r="E171" i="2"/>
  <c r="J168" i="2"/>
  <c r="E168" i="2"/>
  <c r="I166" i="2"/>
  <c r="I159" i="2" s="1"/>
  <c r="J164" i="2"/>
  <c r="E164" i="2"/>
  <c r="J163" i="2"/>
  <c r="E163" i="2"/>
  <c r="L159" i="2" l="1"/>
  <c r="L223" i="2"/>
  <c r="P164" i="2"/>
  <c r="P168" i="2"/>
  <c r="P172" i="2"/>
  <c r="P171" i="2"/>
  <c r="P163" i="2"/>
  <c r="J153" i="2" l="1"/>
  <c r="J157" i="2"/>
  <c r="E157" i="2"/>
  <c r="E153" i="2"/>
  <c r="F131" i="2"/>
  <c r="F128" i="2"/>
  <c r="L98" i="2"/>
  <c r="M98" i="2"/>
  <c r="N98" i="2"/>
  <c r="O98" i="2"/>
  <c r="K98" i="2"/>
  <c r="H98" i="2"/>
  <c r="I98" i="2"/>
  <c r="J119" i="2"/>
  <c r="E119" i="2"/>
  <c r="E115" i="2"/>
  <c r="P115" i="2" s="1"/>
  <c r="E117" i="2"/>
  <c r="J113" i="2"/>
  <c r="E113" i="2"/>
  <c r="J103" i="2"/>
  <c r="E103" i="2"/>
  <c r="L67" i="2"/>
  <c r="M67" i="2"/>
  <c r="N67" i="2"/>
  <c r="O67" i="2"/>
  <c r="K67" i="2"/>
  <c r="J89" i="2"/>
  <c r="J90" i="2"/>
  <c r="J91" i="2"/>
  <c r="J92" i="2"/>
  <c r="E89" i="2"/>
  <c r="E90" i="2"/>
  <c r="E91" i="2"/>
  <c r="P157" i="2" l="1"/>
  <c r="P91" i="2"/>
  <c r="P113" i="2"/>
  <c r="P89" i="2"/>
  <c r="P153" i="2"/>
  <c r="P119" i="2"/>
  <c r="G98" i="2"/>
  <c r="P103" i="2"/>
  <c r="P90" i="2"/>
  <c r="J88" i="2"/>
  <c r="J87" i="2"/>
  <c r="J82" i="2"/>
  <c r="E82" i="2"/>
  <c r="G73" i="2"/>
  <c r="H73" i="2"/>
  <c r="H216" i="2" s="1"/>
  <c r="I73" i="2"/>
  <c r="I216" i="2" s="1"/>
  <c r="F73" i="2"/>
  <c r="F216" i="2" s="1"/>
  <c r="E76" i="2"/>
  <c r="P76" i="2" s="1"/>
  <c r="G72" i="2"/>
  <c r="F67" i="2" l="1"/>
  <c r="G216" i="2"/>
  <c r="I67" i="2"/>
  <c r="H67" i="2"/>
  <c r="G67" i="2"/>
  <c r="P87" i="2"/>
  <c r="P88" i="2"/>
  <c r="P82" i="2"/>
  <c r="E67" i="2" l="1"/>
  <c r="J63" i="2"/>
  <c r="E63" i="2"/>
  <c r="F54" i="2"/>
  <c r="O51" i="2"/>
  <c r="K51" i="2"/>
  <c r="J48" i="2"/>
  <c r="J49" i="2"/>
  <c r="E49" i="2"/>
  <c r="E34" i="2"/>
  <c r="J34" i="2"/>
  <c r="F33" i="2"/>
  <c r="F31" i="2"/>
  <c r="I217" i="2"/>
  <c r="P63" i="2" l="1"/>
  <c r="P49" i="2"/>
  <c r="P34" i="2"/>
  <c r="F133" i="2" l="1"/>
  <c r="F130" i="2"/>
  <c r="J195" i="2" l="1"/>
  <c r="E195" i="2"/>
  <c r="J182" i="2"/>
  <c r="E182" i="2"/>
  <c r="J181" i="2"/>
  <c r="E181" i="2"/>
  <c r="J149" i="2"/>
  <c r="E149" i="2"/>
  <c r="N133" i="2"/>
  <c r="O133" i="2"/>
  <c r="K133" i="2"/>
  <c r="G133" i="2"/>
  <c r="H133" i="2"/>
  <c r="I133" i="2"/>
  <c r="J145" i="2"/>
  <c r="E145" i="2"/>
  <c r="J135" i="2"/>
  <c r="E135" i="2"/>
  <c r="J129" i="2"/>
  <c r="E129" i="2"/>
  <c r="F124" i="2"/>
  <c r="E124" i="2" s="1"/>
  <c r="E125" i="2"/>
  <c r="P125" i="2" s="1"/>
  <c r="J124" i="2"/>
  <c r="J100" i="2"/>
  <c r="E100" i="2"/>
  <c r="P195" i="2" l="1"/>
  <c r="P100" i="2"/>
  <c r="P182" i="2"/>
  <c r="P181" i="2"/>
  <c r="P135" i="2"/>
  <c r="P149" i="2"/>
  <c r="P145" i="2"/>
  <c r="P129" i="2"/>
  <c r="P124" i="2"/>
  <c r="J69" i="2"/>
  <c r="E69" i="2"/>
  <c r="J51" i="2"/>
  <c r="E51" i="2"/>
  <c r="F52" i="2"/>
  <c r="E59" i="2"/>
  <c r="P59" i="2" s="1"/>
  <c r="E57" i="2"/>
  <c r="P57" i="2" s="1"/>
  <c r="E56" i="2"/>
  <c r="P56" i="2" s="1"/>
  <c r="E55" i="2"/>
  <c r="P55" i="2" s="1"/>
  <c r="E48" i="2"/>
  <c r="P48" i="2" s="1"/>
  <c r="E22" i="2"/>
  <c r="G21" i="2"/>
  <c r="F223" i="2" l="1"/>
  <c r="P51" i="2"/>
  <c r="P69" i="2"/>
  <c r="E173" i="2" l="1"/>
  <c r="O170" i="2"/>
  <c r="O159" i="2" s="1"/>
  <c r="K170" i="2"/>
  <c r="K159" i="2" s="1"/>
  <c r="E170" i="2"/>
  <c r="J167" i="2"/>
  <c r="E141" i="2"/>
  <c r="E131" i="2"/>
  <c r="E128" i="2"/>
  <c r="E118" i="2"/>
  <c r="E112" i="2"/>
  <c r="E108" i="2"/>
  <c r="J96" i="2"/>
  <c r="E96" i="2"/>
  <c r="E95" i="2"/>
  <c r="E93" i="2"/>
  <c r="E81" i="2"/>
  <c r="E79" i="2"/>
  <c r="E78" i="2"/>
  <c r="J72" i="2"/>
  <c r="E72" i="2"/>
  <c r="J71" i="2"/>
  <c r="E71" i="2"/>
  <c r="E68" i="2"/>
  <c r="E61" i="2"/>
  <c r="E60" i="2"/>
  <c r="E58" i="2"/>
  <c r="P58" i="2" s="1"/>
  <c r="E42" i="2"/>
  <c r="E32" i="2"/>
  <c r="P32" i="2" s="1"/>
  <c r="E29" i="2"/>
  <c r="E21" i="2"/>
  <c r="N219" i="2"/>
  <c r="I219" i="2"/>
  <c r="J209" i="2"/>
  <c r="J224" i="2" s="1"/>
  <c r="E209" i="2"/>
  <c r="J208" i="2"/>
  <c r="J207" i="2"/>
  <c r="E207" i="2"/>
  <c r="J206" i="2"/>
  <c r="E206" i="2"/>
  <c r="J203" i="2"/>
  <c r="E203" i="2"/>
  <c r="J201" i="2"/>
  <c r="E201" i="2"/>
  <c r="J200" i="2"/>
  <c r="E200" i="2"/>
  <c r="J199" i="2"/>
  <c r="E199" i="2"/>
  <c r="J198" i="2"/>
  <c r="E198" i="2"/>
  <c r="J197" i="2"/>
  <c r="E197" i="2"/>
  <c r="J196" i="2"/>
  <c r="E196" i="2"/>
  <c r="J194" i="2"/>
  <c r="G192" i="2"/>
  <c r="O192" i="2"/>
  <c r="N192" i="2"/>
  <c r="M192" i="2"/>
  <c r="L192" i="2"/>
  <c r="K192" i="2"/>
  <c r="H192" i="2"/>
  <c r="J189" i="2"/>
  <c r="E189" i="2"/>
  <c r="J180" i="2"/>
  <c r="G177" i="2"/>
  <c r="E180" i="2"/>
  <c r="N177" i="2"/>
  <c r="M177" i="2"/>
  <c r="L177" i="2"/>
  <c r="I177" i="2"/>
  <c r="H177" i="2"/>
  <c r="J175" i="2"/>
  <c r="E175" i="2"/>
  <c r="J174" i="2"/>
  <c r="E174" i="2"/>
  <c r="J173" i="2"/>
  <c r="J170" i="2"/>
  <c r="J169" i="2"/>
  <c r="E169" i="2"/>
  <c r="E167" i="2"/>
  <c r="J166" i="2"/>
  <c r="E166" i="2"/>
  <c r="J165" i="2"/>
  <c r="J162" i="2"/>
  <c r="F162" i="2"/>
  <c r="F159" i="2" s="1"/>
  <c r="J161" i="2"/>
  <c r="E161" i="2"/>
  <c r="J160" i="2"/>
  <c r="E160" i="2"/>
  <c r="N158" i="2"/>
  <c r="M158" i="2"/>
  <c r="L158" i="2"/>
  <c r="J156" i="2"/>
  <c r="E156" i="2"/>
  <c r="J154" i="2"/>
  <c r="E154" i="2"/>
  <c r="J152" i="2"/>
  <c r="E152" i="2"/>
  <c r="J151" i="2"/>
  <c r="E151" i="2"/>
  <c r="J150" i="2"/>
  <c r="H146" i="2"/>
  <c r="J148" i="2"/>
  <c r="E148" i="2"/>
  <c r="O146" i="2"/>
  <c r="N146" i="2"/>
  <c r="M146" i="2"/>
  <c r="L146" i="2"/>
  <c r="K146" i="2"/>
  <c r="I146" i="2"/>
  <c r="J144" i="2"/>
  <c r="E144" i="2"/>
  <c r="J143" i="2"/>
  <c r="E143" i="2"/>
  <c r="J142" i="2"/>
  <c r="E142" i="2"/>
  <c r="O219" i="2"/>
  <c r="M141" i="2"/>
  <c r="K219" i="2"/>
  <c r="J140" i="2"/>
  <c r="E140" i="2"/>
  <c r="L139" i="2"/>
  <c r="E139" i="2"/>
  <c r="J137" i="2"/>
  <c r="E137" i="2"/>
  <c r="J136" i="2"/>
  <c r="J134" i="2"/>
  <c r="E134" i="2"/>
  <c r="N132" i="2"/>
  <c r="I132" i="2"/>
  <c r="J131" i="2"/>
  <c r="J130" i="2"/>
  <c r="E130" i="2"/>
  <c r="J128" i="2"/>
  <c r="G127" i="2"/>
  <c r="G126" i="2" s="1"/>
  <c r="O127" i="2"/>
  <c r="O126" i="2" s="1"/>
  <c r="N127" i="2"/>
  <c r="N126" i="2" s="1"/>
  <c r="M127" i="2"/>
  <c r="M126" i="2" s="1"/>
  <c r="L127" i="2"/>
  <c r="K127" i="2"/>
  <c r="K126" i="2" s="1"/>
  <c r="I127" i="2"/>
  <c r="I126" i="2" s="1"/>
  <c r="H127" i="2"/>
  <c r="H126" i="2" s="1"/>
  <c r="E123" i="2"/>
  <c r="P123" i="2" s="1"/>
  <c r="F120" i="2"/>
  <c r="E121" i="2"/>
  <c r="P121" i="2" s="1"/>
  <c r="J120" i="2"/>
  <c r="J118" i="2"/>
  <c r="J117" i="2"/>
  <c r="J114" i="2"/>
  <c r="E114" i="2"/>
  <c r="J112" i="2"/>
  <c r="J111" i="2"/>
  <c r="E111" i="2"/>
  <c r="J110" i="2"/>
  <c r="E110" i="2"/>
  <c r="J109" i="2"/>
  <c r="E109" i="2"/>
  <c r="J108" i="2"/>
  <c r="J107" i="2"/>
  <c r="E107" i="2"/>
  <c r="J106" i="2"/>
  <c r="E106" i="2"/>
  <c r="J105" i="2"/>
  <c r="E105" i="2"/>
  <c r="J104" i="2"/>
  <c r="E104" i="2"/>
  <c r="J102" i="2"/>
  <c r="E102" i="2"/>
  <c r="J101" i="2"/>
  <c r="J99" i="2"/>
  <c r="E99" i="2"/>
  <c r="O97" i="2"/>
  <c r="N97" i="2"/>
  <c r="M97" i="2"/>
  <c r="K97" i="2"/>
  <c r="I97" i="2"/>
  <c r="J95" i="2"/>
  <c r="J94" i="2"/>
  <c r="J93" i="2"/>
  <c r="E92" i="2"/>
  <c r="J83" i="2"/>
  <c r="E83" i="2"/>
  <c r="J81" i="2"/>
  <c r="J80" i="2"/>
  <c r="E80" i="2"/>
  <c r="J79" i="2"/>
  <c r="J78" i="2"/>
  <c r="J77" i="2"/>
  <c r="E77" i="2"/>
  <c r="E75" i="2"/>
  <c r="P75" i="2" s="1"/>
  <c r="J73" i="2"/>
  <c r="J68" i="2"/>
  <c r="N66" i="2"/>
  <c r="M66" i="2"/>
  <c r="I66" i="2"/>
  <c r="E64" i="2"/>
  <c r="J62" i="2"/>
  <c r="E62" i="2"/>
  <c r="J61" i="2"/>
  <c r="J60" i="2"/>
  <c r="E54" i="2"/>
  <c r="P54" i="2" s="1"/>
  <c r="J50" i="2"/>
  <c r="E50" i="2"/>
  <c r="J47" i="2"/>
  <c r="E47" i="2"/>
  <c r="J46" i="2"/>
  <c r="E46" i="2"/>
  <c r="J45" i="2"/>
  <c r="E45" i="2"/>
  <c r="E44" i="2"/>
  <c r="P44" i="2" s="1"/>
  <c r="J43" i="2"/>
  <c r="E43" i="2"/>
  <c r="O41" i="2"/>
  <c r="O222" i="2" s="1"/>
  <c r="K41" i="2"/>
  <c r="K222" i="2" s="1"/>
  <c r="N41" i="2"/>
  <c r="N222" i="2" s="1"/>
  <c r="M41" i="2"/>
  <c r="M222" i="2" s="1"/>
  <c r="L41" i="2"/>
  <c r="L222" i="2" s="1"/>
  <c r="H41" i="2"/>
  <c r="H222" i="2" s="1"/>
  <c r="G41" i="2"/>
  <c r="G222" i="2" s="1"/>
  <c r="E40" i="2"/>
  <c r="J39" i="2"/>
  <c r="E39" i="2"/>
  <c r="J38" i="2"/>
  <c r="E38" i="2"/>
  <c r="J37" i="2"/>
  <c r="E37" i="2"/>
  <c r="O36" i="2"/>
  <c r="O221" i="2" s="1"/>
  <c r="N36" i="2"/>
  <c r="N221" i="2" s="1"/>
  <c r="M36" i="2"/>
  <c r="M221" i="2" s="1"/>
  <c r="L36" i="2"/>
  <c r="L221" i="2" s="1"/>
  <c r="K36" i="2"/>
  <c r="K221" i="2" s="1"/>
  <c r="I36" i="2"/>
  <c r="I221" i="2" s="1"/>
  <c r="H36" i="2"/>
  <c r="H221" i="2" s="1"/>
  <c r="G36" i="2"/>
  <c r="G221" i="2" s="1"/>
  <c r="J35" i="2"/>
  <c r="F218" i="2"/>
  <c r="E33" i="2"/>
  <c r="P33" i="2" s="1"/>
  <c r="E31" i="2"/>
  <c r="P31" i="2" s="1"/>
  <c r="J30" i="2"/>
  <c r="J29" i="2"/>
  <c r="J28" i="2"/>
  <c r="J27" i="2"/>
  <c r="E27" i="2"/>
  <c r="J26" i="2"/>
  <c r="E26" i="2"/>
  <c r="J25" i="2"/>
  <c r="E25" i="2"/>
  <c r="J24" i="2"/>
  <c r="E24" i="2"/>
  <c r="J23" i="2"/>
  <c r="E23" i="2"/>
  <c r="J22" i="2"/>
  <c r="O20" i="2"/>
  <c r="K20" i="2"/>
  <c r="N20" i="2"/>
  <c r="M20" i="2"/>
  <c r="L20" i="2"/>
  <c r="I20" i="2"/>
  <c r="L215" i="2" l="1"/>
  <c r="L19" i="2"/>
  <c r="I215" i="2"/>
  <c r="M215" i="2"/>
  <c r="M19" i="2"/>
  <c r="N215" i="2"/>
  <c r="N19" i="2"/>
  <c r="K215" i="2"/>
  <c r="K19" i="2"/>
  <c r="K18" i="2" s="1"/>
  <c r="O215" i="2"/>
  <c r="O19" i="2"/>
  <c r="F98" i="2"/>
  <c r="J220" i="2"/>
  <c r="J218" i="2"/>
  <c r="J217" i="2"/>
  <c r="P169" i="2"/>
  <c r="L18" i="2"/>
  <c r="M18" i="2"/>
  <c r="O18" i="2"/>
  <c r="N18" i="2"/>
  <c r="E35" i="2"/>
  <c r="J40" i="2"/>
  <c r="E165" i="2"/>
  <c r="P165" i="2" s="1"/>
  <c r="L219" i="2"/>
  <c r="L133" i="2"/>
  <c r="M219" i="2"/>
  <c r="M133" i="2"/>
  <c r="M132" i="2" s="1"/>
  <c r="E120" i="2"/>
  <c r="P120" i="2" s="1"/>
  <c r="P60" i="2"/>
  <c r="L204" i="2"/>
  <c r="P104" i="2"/>
  <c r="P209" i="2"/>
  <c r="J127" i="2"/>
  <c r="P189" i="2"/>
  <c r="I192" i="2"/>
  <c r="J21" i="2"/>
  <c r="P21" i="2" s="1"/>
  <c r="E147" i="2"/>
  <c r="L126" i="2"/>
  <c r="J126" i="2" s="1"/>
  <c r="H66" i="2"/>
  <c r="F127" i="2"/>
  <c r="E127" i="2" s="1"/>
  <c r="P175" i="2"/>
  <c r="J193" i="2"/>
  <c r="G20" i="2"/>
  <c r="K158" i="2"/>
  <c r="P109" i="2"/>
  <c r="G158" i="2"/>
  <c r="P180" i="2"/>
  <c r="P196" i="2"/>
  <c r="P200" i="2"/>
  <c r="P99" i="2"/>
  <c r="G132" i="2"/>
  <c r="H158" i="2"/>
  <c r="E162" i="2"/>
  <c r="P162" i="2" s="1"/>
  <c r="F158" i="2"/>
  <c r="P207" i="2"/>
  <c r="E212" i="2"/>
  <c r="P143" i="2"/>
  <c r="P198" i="2"/>
  <c r="P26" i="2"/>
  <c r="P81" i="2"/>
  <c r="P43" i="2"/>
  <c r="P161" i="2"/>
  <c r="P201" i="2"/>
  <c r="P107" i="2"/>
  <c r="P114" i="2"/>
  <c r="G146" i="2"/>
  <c r="P174" i="2"/>
  <c r="P68" i="2"/>
  <c r="P118" i="2"/>
  <c r="P24" i="2"/>
  <c r="P22" i="2"/>
  <c r="P37" i="2"/>
  <c r="P47" i="2"/>
  <c r="P128" i="2"/>
  <c r="P79" i="2"/>
  <c r="P92" i="2"/>
  <c r="P105" i="2"/>
  <c r="P140" i="2"/>
  <c r="P151" i="2"/>
  <c r="P156" i="2"/>
  <c r="P142" i="2"/>
  <c r="P62" i="2"/>
  <c r="P38" i="2"/>
  <c r="P23" i="2"/>
  <c r="P45" i="2"/>
  <c r="P106" i="2"/>
  <c r="P137" i="2"/>
  <c r="P148" i="2"/>
  <c r="H20" i="2"/>
  <c r="P134" i="2"/>
  <c r="P199" i="2"/>
  <c r="J20" i="2"/>
  <c r="J215" i="2" s="1"/>
  <c r="P78" i="2"/>
  <c r="P110" i="2"/>
  <c r="E150" i="2"/>
  <c r="J146" i="2"/>
  <c r="P39" i="2"/>
  <c r="P77" i="2"/>
  <c r="P83" i="2"/>
  <c r="P95" i="2"/>
  <c r="G97" i="2"/>
  <c r="P102" i="2"/>
  <c r="P111" i="2"/>
  <c r="H219" i="2"/>
  <c r="P170" i="2"/>
  <c r="J192" i="2"/>
  <c r="P203" i="2"/>
  <c r="F30" i="2"/>
  <c r="F217" i="2" s="1"/>
  <c r="P46" i="2"/>
  <c r="P61" i="2"/>
  <c r="P80" i="2"/>
  <c r="E94" i="2"/>
  <c r="E220" i="2" s="1"/>
  <c r="P108" i="2"/>
  <c r="P130" i="2"/>
  <c r="K132" i="2"/>
  <c r="H132" i="2"/>
  <c r="P197" i="2"/>
  <c r="P25" i="2"/>
  <c r="P112" i="2"/>
  <c r="E122" i="2"/>
  <c r="P122" i="2" s="1"/>
  <c r="J141" i="2"/>
  <c r="P141" i="2" s="1"/>
  <c r="F36" i="2"/>
  <c r="F221" i="2" s="1"/>
  <c r="P50" i="2"/>
  <c r="P154" i="2"/>
  <c r="P160" i="2"/>
  <c r="K177" i="2"/>
  <c r="P208" i="2"/>
  <c r="P173" i="2"/>
  <c r="P117" i="2"/>
  <c r="O132" i="2"/>
  <c r="P144" i="2"/>
  <c r="P167" i="2"/>
  <c r="P131" i="2"/>
  <c r="P96" i="2"/>
  <c r="P72" i="2"/>
  <c r="P71" i="2"/>
  <c r="E219" i="2"/>
  <c r="I41" i="2"/>
  <c r="I222" i="2" s="1"/>
  <c r="N204" i="2"/>
  <c r="E28" i="2"/>
  <c r="P28" i="2" s="1"/>
  <c r="J36" i="2"/>
  <c r="J221" i="2" s="1"/>
  <c r="J41" i="2"/>
  <c r="J64" i="2"/>
  <c r="J223" i="2" s="1"/>
  <c r="H97" i="2"/>
  <c r="P166" i="2"/>
  <c r="I204" i="2"/>
  <c r="P29" i="2"/>
  <c r="E70" i="2"/>
  <c r="E136" i="2"/>
  <c r="P136" i="2" s="1"/>
  <c r="G204" i="2"/>
  <c r="F219" i="2"/>
  <c r="F20" i="2"/>
  <c r="J98" i="2"/>
  <c r="L97" i="2"/>
  <c r="J97" i="2" s="1"/>
  <c r="E101" i="2"/>
  <c r="P101" i="2" s="1"/>
  <c r="P206" i="2"/>
  <c r="P27" i="2"/>
  <c r="G219" i="2"/>
  <c r="J147" i="2"/>
  <c r="H204" i="2"/>
  <c r="F41" i="2"/>
  <c r="F222" i="2" s="1"/>
  <c r="K66" i="2"/>
  <c r="P93" i="2"/>
  <c r="E194" i="2"/>
  <c r="P194" i="2" s="1"/>
  <c r="E53" i="2"/>
  <c r="P53" i="2" s="1"/>
  <c r="J70" i="2"/>
  <c r="J216" i="2" s="1"/>
  <c r="O66" i="2"/>
  <c r="J139" i="2"/>
  <c r="P152" i="2"/>
  <c r="J42" i="2"/>
  <c r="P42" i="2" s="1"/>
  <c r="M204" i="2"/>
  <c r="G215" i="2" l="1"/>
  <c r="G19" i="2"/>
  <c r="I19" i="2"/>
  <c r="F215" i="2"/>
  <c r="F19" i="2"/>
  <c r="H215" i="2"/>
  <c r="H19" i="2"/>
  <c r="H18" i="2" s="1"/>
  <c r="H213" i="2" s="1"/>
  <c r="J222" i="2"/>
  <c r="E218" i="2"/>
  <c r="P218" i="2" s="1"/>
  <c r="P40" i="2"/>
  <c r="P35" i="2"/>
  <c r="I18" i="2"/>
  <c r="N225" i="2"/>
  <c r="G18" i="2"/>
  <c r="E30" i="2"/>
  <c r="P30" i="2" s="1"/>
  <c r="E36" i="2"/>
  <c r="E221" i="2" s="1"/>
  <c r="G66" i="2"/>
  <c r="E73" i="2"/>
  <c r="P73" i="2" s="1"/>
  <c r="F66" i="2"/>
  <c r="E66" i="2" s="1"/>
  <c r="H225" i="2"/>
  <c r="M225" i="2"/>
  <c r="F126" i="2"/>
  <c r="E126" i="2" s="1"/>
  <c r="P126" i="2" s="1"/>
  <c r="M213" i="2"/>
  <c r="P150" i="2"/>
  <c r="P220" i="2"/>
  <c r="P127" i="2"/>
  <c r="K204" i="2"/>
  <c r="K213" i="2" s="1"/>
  <c r="E159" i="2"/>
  <c r="F146" i="2"/>
  <c r="E146" i="2" s="1"/>
  <c r="P146" i="2" s="1"/>
  <c r="P212" i="2"/>
  <c r="O225" i="2"/>
  <c r="L225" i="2"/>
  <c r="I158" i="2"/>
  <c r="E158" i="2" s="1"/>
  <c r="N213" i="2"/>
  <c r="E52" i="2"/>
  <c r="E223" i="2" s="1"/>
  <c r="P64" i="2"/>
  <c r="P147" i="2"/>
  <c r="P94" i="2"/>
  <c r="J219" i="2"/>
  <c r="P219" i="2" s="1"/>
  <c r="O204" i="2"/>
  <c r="J204" i="2" s="1"/>
  <c r="E193" i="2"/>
  <c r="P193" i="2" s="1"/>
  <c r="F192" i="2"/>
  <c r="E192" i="2" s="1"/>
  <c r="P192" i="2" s="1"/>
  <c r="O177" i="2"/>
  <c r="J177" i="2" s="1"/>
  <c r="J178" i="2"/>
  <c r="E20" i="2"/>
  <c r="E215" i="2" s="1"/>
  <c r="E211" i="2"/>
  <c r="E224" i="2" s="1"/>
  <c r="J19" i="2"/>
  <c r="E41" i="2"/>
  <c r="E222" i="2" s="1"/>
  <c r="P70" i="2"/>
  <c r="F177" i="2"/>
  <c r="E177" i="2" s="1"/>
  <c r="E178" i="2"/>
  <c r="F97" i="2"/>
  <c r="E97" i="2" s="1"/>
  <c r="P97" i="2" s="1"/>
  <c r="E98" i="2"/>
  <c r="P98" i="2" s="1"/>
  <c r="I225" i="2"/>
  <c r="J18" i="2"/>
  <c r="L66" i="2"/>
  <c r="J66" i="2" s="1"/>
  <c r="J67" i="2"/>
  <c r="J159" i="2"/>
  <c r="O158" i="2"/>
  <c r="J158" i="2" s="1"/>
  <c r="P139" i="2"/>
  <c r="J133" i="2"/>
  <c r="L132" i="2"/>
  <c r="J132" i="2" s="1"/>
  <c r="K225" i="2"/>
  <c r="F132" i="2"/>
  <c r="E132" i="2" s="1"/>
  <c r="E133" i="2"/>
  <c r="E216" i="2" l="1"/>
  <c r="P216" i="2" s="1"/>
  <c r="E217" i="2"/>
  <c r="P217" i="2" s="1"/>
  <c r="N226" i="2"/>
  <c r="K226" i="2"/>
  <c r="M226" i="2"/>
  <c r="H226" i="2"/>
  <c r="G213" i="2"/>
  <c r="P36" i="2"/>
  <c r="G225" i="2"/>
  <c r="P221" i="2"/>
  <c r="I213" i="2"/>
  <c r="J225" i="2"/>
  <c r="P67" i="2"/>
  <c r="P223" i="2"/>
  <c r="P52" i="2"/>
  <c r="P132" i="2"/>
  <c r="J205" i="2"/>
  <c r="L213" i="2"/>
  <c r="P158" i="2"/>
  <c r="P159" i="2"/>
  <c r="E205" i="2"/>
  <c r="F204" i="2"/>
  <c r="P133" i="2"/>
  <c r="O213" i="2"/>
  <c r="F225" i="2"/>
  <c r="P177" i="2"/>
  <c r="P41" i="2"/>
  <c r="P222" i="2"/>
  <c r="E19" i="2"/>
  <c r="P19" i="2" s="1"/>
  <c r="F18" i="2"/>
  <c r="P178" i="2"/>
  <c r="P211" i="2"/>
  <c r="P224" i="2"/>
  <c r="P66" i="2"/>
  <c r="P20" i="2"/>
  <c r="O226" i="2" l="1"/>
  <c r="L226" i="2"/>
  <c r="I226" i="2"/>
  <c r="G226" i="2"/>
  <c r="J213" i="2"/>
  <c r="F213" i="2"/>
  <c r="E18" i="2"/>
  <c r="P215" i="2"/>
  <c r="E225" i="2"/>
  <c r="P205" i="2"/>
  <c r="E204" i="2"/>
  <c r="P204" i="2" s="1"/>
  <c r="J226" i="2" l="1"/>
  <c r="F226" i="2"/>
  <c r="P225" i="2"/>
  <c r="E213" i="2"/>
  <c r="E226" i="2" s="1"/>
  <c r="P18" i="2"/>
  <c r="P213" i="2" l="1"/>
  <c r="P226" i="2" l="1"/>
</calcChain>
</file>

<file path=xl/sharedStrings.xml><?xml version="1.0" encoding="utf-8"?>
<sst xmlns="http://schemas.openxmlformats.org/spreadsheetml/2006/main" count="698" uniqueCount="423">
  <si>
    <t>РОЗПОДІЛ</t>
  </si>
  <si>
    <t>1558900000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</si>
  <si>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</si>
  <si>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</si>
  <si>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</si>
  <si>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</si>
  <si>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</si>
  <si>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</si>
  <si>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</si>
  <si>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</si>
  <si>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</si>
  <si>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</si>
  <si>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</si>
  <si>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</si>
  <si>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</si>
  <si>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</si>
  <si>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</si>
  <si>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0200000</t>
  </si>
  <si>
    <t/>
  </si>
  <si>
    <t>Виконавчий комiтет Чорноморської мiської ради Одеського району Одеської областi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</si>
  <si>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</si>
  <si>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</si>
  <si>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</si>
  <si>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</si>
  <si>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</si>
  <si>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0210170</t>
  </si>
  <si>
    <t>0170</t>
  </si>
  <si>
    <t>0131</t>
  </si>
  <si>
    <t>Підвищення кваліфікації депутатів місцевих рад та посадових осіб місцевого самоврядування</t>
  </si>
  <si>
    <t>0210180</t>
  </si>
  <si>
    <t>0180</t>
  </si>
  <si>
    <t>0133</t>
  </si>
  <si>
    <t>Інша діяльність у сфері державного управління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</si>
  <si>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</si>
  <si>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</si>
  <si>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</si>
  <si>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</si>
  <si>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</si>
  <si>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</si>
  <si>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</si>
  <si>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</si>
  <si>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</si>
  <si>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</si>
  <si>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</si>
  <si>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</si>
  <si>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0212152</t>
  </si>
  <si>
    <t>2152</t>
  </si>
  <si>
    <t>0763</t>
  </si>
  <si>
    <t>Інші програми та заходи у сфері охорони здоров`я</t>
  </si>
  <si>
    <t>0213242</t>
  </si>
  <si>
    <t>3242</t>
  </si>
  <si>
    <t>1090</t>
  </si>
  <si>
    <t>0216030</t>
  </si>
  <si>
    <t>6030</t>
  </si>
  <si>
    <t>0620</t>
  </si>
  <si>
    <t>Організація благоустрою населених пунктів</t>
  </si>
  <si>
    <t>0217680</t>
  </si>
  <si>
    <t>7680</t>
  </si>
  <si>
    <t>0490</t>
  </si>
  <si>
    <t>Членські внески до асоціацій органів місцевого самоврядування</t>
  </si>
  <si>
    <t>0218210</t>
  </si>
  <si>
    <t>8210</t>
  </si>
  <si>
    <t>0380</t>
  </si>
  <si>
    <t>Муніципальні формування з охорони громадського порядку</t>
  </si>
  <si>
    <t>0218220</t>
  </si>
  <si>
    <t>8220</t>
  </si>
  <si>
    <t>Заходи та роботи з мобілізаційної підготовки місцевого значення</t>
  </si>
  <si>
    <t>0218230</t>
  </si>
  <si>
    <t>8230</t>
  </si>
  <si>
    <t>Інші заходи громадського порядку та безпеки</t>
  </si>
  <si>
    <t>0600000</t>
  </si>
  <si>
    <t>Управління освіти Чорноморської мiської ради Одеського району Одеської областi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</si>
  <si>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</si>
  <si>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</si>
  <si>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</si>
  <si>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</si>
  <si>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</si>
  <si>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</si>
  <si>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</si>
  <si>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</si>
  <si>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</si>
  <si>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</si>
  <si>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</si>
  <si>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</si>
  <si>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</si>
  <si>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</si>
  <si>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</si>
  <si>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</si>
  <si>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</si>
  <si>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</si>
  <si>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</si>
  <si>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0611032</t>
  </si>
  <si>
    <t>1032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</si>
  <si>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</si>
  <si>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</si>
  <si>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</si>
  <si>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</si>
  <si>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</si>
  <si>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</si>
  <si>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</si>
  <si>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</si>
  <si>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Підвищення кваліфікації, перепідготовка кадрів закладами післядипломної освіти</t>
  </si>
  <si>
    <t>0611141</t>
  </si>
  <si>
    <t>1141</t>
  </si>
  <si>
    <t>0990</t>
  </si>
  <si>
    <t>Забезпечення діяльності інших закладів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</si>
  <si>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</si>
  <si>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</si>
  <si>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</si>
  <si>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</si>
  <si>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</si>
  <si>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</si>
  <si>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</si>
  <si>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</si>
  <si>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</si>
  <si>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</si>
  <si>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0613242</t>
  </si>
  <si>
    <t>0615031</t>
  </si>
  <si>
    <t>5031</t>
  </si>
  <si>
    <t>0810</t>
  </si>
  <si>
    <t>0800000</t>
  </si>
  <si>
    <t>Управлiння соцiальної полiтики Чорноморської мiської ради Одеського району Одеської областi</t>
  </si>
  <si>
    <t>0810000</t>
  </si>
  <si>
    <t>0810160</t>
  </si>
  <si>
    <t>0810180</t>
  </si>
  <si>
    <t>1030</t>
  </si>
  <si>
    <t>0813032</t>
  </si>
  <si>
    <t>3032</t>
  </si>
  <si>
    <t>Надання пільг окремим категоріям громадян з оплати послуг зв`язку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</si>
  <si>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</si>
  <si>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</si>
  <si>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</si>
  <si>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0813090</t>
  </si>
  <si>
    <t>3090</t>
  </si>
  <si>
    <t>Видатки на поховання учасників бойових дій та осіб з інвалідністю внаслідок війни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</si>
  <si>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</si>
  <si>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</si>
  <si>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</si>
  <si>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</si>
  <si>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0813121</t>
  </si>
  <si>
    <t>3121</t>
  </si>
  <si>
    <t>0813123</t>
  </si>
  <si>
    <t>3123</t>
  </si>
  <si>
    <t>Заходи державної політики з питань сім`ї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</si>
  <si>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</si>
  <si>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</si>
  <si>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</si>
  <si>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</si>
  <si>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</si>
  <si>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</si>
  <si>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0813180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</si>
  <si>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</si>
  <si>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</si>
  <si>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</si>
  <si>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</si>
  <si>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</si>
  <si>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</si>
  <si>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</si>
  <si>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</si>
  <si>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</si>
  <si>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0813242</t>
  </si>
  <si>
    <t>0900000</t>
  </si>
  <si>
    <t>Служба у справах дітей Чорноморської міської ради Одеського району Одеської області</t>
  </si>
  <si>
    <t>0910000</t>
  </si>
  <si>
    <t>0910160</t>
  </si>
  <si>
    <t>0913112</t>
  </si>
  <si>
    <t>3112</t>
  </si>
  <si>
    <t>Заходи державної політики з питань дітей та їх соціального захисту</t>
  </si>
  <si>
    <t>1000000</t>
  </si>
  <si>
    <t>Вiддiл культури Чорноморської мiської ради Одеського району Одеської областi</t>
  </si>
  <si>
    <t>1010000</t>
  </si>
  <si>
    <t>1010160</t>
  </si>
  <si>
    <t>1011080</t>
  </si>
  <si>
    <t>1080</t>
  </si>
  <si>
    <t>Надання спеціалізованої освіти мистецькими школами</t>
  </si>
  <si>
    <t>1013140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</si>
  <si>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</si>
  <si>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</si>
  <si>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</si>
  <si>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</si>
  <si>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</si>
  <si>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</si>
  <si>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</si>
  <si>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</si>
  <si>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</si>
  <si>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</si>
  <si>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</si>
  <si>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1014081</t>
  </si>
  <si>
    <t>4081</t>
  </si>
  <si>
    <t>0829</t>
  </si>
  <si>
    <t>Забезпечення діяльності інших закладів в галузі культури і мистецтва</t>
  </si>
  <si>
    <t>1014082</t>
  </si>
  <si>
    <t>4082</t>
  </si>
  <si>
    <t>Інші заходи в галузі культури і мистецтва</t>
  </si>
  <si>
    <t>1100000</t>
  </si>
  <si>
    <t>Вiддiл  молодi та спорту Чорноморської мiської ради Одеського району Одеської областi</t>
  </si>
  <si>
    <t>1110000</t>
  </si>
  <si>
    <t>1110160</t>
  </si>
  <si>
    <t>1113133</t>
  </si>
  <si>
    <t>3133</t>
  </si>
  <si>
    <t>1115011</t>
  </si>
  <si>
    <t>5011</t>
  </si>
  <si>
    <t>Проведення навчально-тренувальних зборів і змагань з олімпійських видів спорту</t>
  </si>
  <si>
    <t>1115012</t>
  </si>
  <si>
    <t>5012</t>
  </si>
  <si>
    <t>Проведення навчально-тренувальних зборів і змагань з неолімпійських видів спорту</t>
  </si>
  <si>
    <t>1115061</t>
  </si>
  <si>
    <t>5061</t>
  </si>
  <si>
    <t>1200000</t>
  </si>
  <si>
    <t>Вiддiл комунального господарства та благоустрою Чорноморської мiської ради Одеського району Одеської областi</t>
  </si>
  <si>
    <t>1210000</t>
  </si>
  <si>
    <t>1210160</t>
  </si>
  <si>
    <t>1210170</t>
  </si>
  <si>
    <t>1213210</t>
  </si>
  <si>
    <t>3210</t>
  </si>
  <si>
    <t>1050</t>
  </si>
  <si>
    <t>Організація та проведення громадських робіт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</si>
  <si>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</si>
  <si>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</si>
  <si>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</si>
  <si>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</si>
  <si>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</si>
  <si>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пов`язана з експлуатацією об`єктів житлово-комунального господарства</t>
  </si>
  <si>
    <t>1216030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</si>
  <si>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</si>
  <si>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</si>
  <si>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</si>
  <si>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</si>
  <si>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1217693</t>
  </si>
  <si>
    <t>7693</t>
  </si>
  <si>
    <t>Інші заходи, пов`язані з економічною діяльністю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</si>
  <si>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</si>
  <si>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</si>
  <si>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</si>
  <si>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</si>
  <si>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1500000</t>
  </si>
  <si>
    <t>Управлiння капiтального будiвництва Чорноморської мiської ради Одеського району Одеської областi</t>
  </si>
  <si>
    <t>1510000</t>
  </si>
  <si>
    <t>1510160</t>
  </si>
  <si>
    <t>3100000</t>
  </si>
  <si>
    <t>Управлiння комунальної власностi та земельних вiдносин Чорноморської мiської ради Одеського району Одеської областi</t>
  </si>
  <si>
    <t>3110000</t>
  </si>
  <si>
    <t>3110160</t>
  </si>
  <si>
    <t>3110180</t>
  </si>
  <si>
    <t>3116017</t>
  </si>
  <si>
    <t>3117130</t>
  </si>
  <si>
    <t>7130</t>
  </si>
  <si>
    <t>0421</t>
  </si>
  <si>
    <t>Здійснення заходів із землеустрою</t>
  </si>
  <si>
    <t>0443</t>
  </si>
  <si>
    <t>3117693</t>
  </si>
  <si>
    <t>3118240</t>
  </si>
  <si>
    <t>8240</t>
  </si>
  <si>
    <t>Заходи та роботи з територіальної оборони</t>
  </si>
  <si>
    <t>3700000</t>
  </si>
  <si>
    <t>Фiнансове управлiння Чорноморської мiської ради Одеського району Одеської областi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</si>
  <si>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</si>
  <si>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</si>
  <si>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</si>
  <si>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</si>
  <si>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</si>
  <si>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</si>
  <si>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</si>
  <si>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Інші субвенції з місцевого бюджету</t>
  </si>
  <si>
    <t>УСЬОГО</t>
  </si>
  <si>
    <t>X</t>
  </si>
  <si>
    <t>0540</t>
  </si>
  <si>
    <t>Природоохоронні заходи за рахунок цільових фондів</t>
  </si>
  <si>
    <t>0218340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</si>
  <si>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</si>
  <si>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</si>
  <si>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</si>
  <si>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0217520</t>
  </si>
  <si>
    <t>7520</t>
  </si>
  <si>
    <t>Реалізація Національної програми інформатизації</t>
  </si>
  <si>
    <t>0460</t>
  </si>
  <si>
    <t>0218110</t>
  </si>
  <si>
    <t>0617520</t>
  </si>
  <si>
    <t>0618110</t>
  </si>
  <si>
    <t>0813140</t>
  </si>
  <si>
    <t>0817520</t>
  </si>
  <si>
    <t>0917520</t>
  </si>
  <si>
    <t>1017520</t>
  </si>
  <si>
    <t>1117520</t>
  </si>
  <si>
    <t>1217520</t>
  </si>
  <si>
    <t>1517520</t>
  </si>
  <si>
    <t>3117520</t>
  </si>
  <si>
    <t>3717520</t>
  </si>
  <si>
    <t>Реверсна дотація</t>
  </si>
  <si>
    <t>КНП "Чорноморський міський центр первинної медико-санітарної допомоги" Чорноморської міської ради Одеського району Одеської області</t>
  </si>
  <si>
    <t>КУ "Муніципальна варта" Чорноморської міської ради Одеського району Одеської області</t>
  </si>
  <si>
    <t>КНП "Чорноморська лікарня" Чорноморської міської ради Одеського району Одеської області</t>
  </si>
  <si>
    <t>КНП "Стоматологічна поліклініка міста Чорноморська" Чорноморської міської ради Одеського району Одеської області</t>
  </si>
  <si>
    <t>Управління соціальної політики Чорноморської мiської ради Одеського району Одеської областi</t>
  </si>
  <si>
    <t>Інша діяльність у сфері житлово-комунального господарства</t>
  </si>
  <si>
    <t>0640</t>
  </si>
  <si>
    <t>3116090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</si>
  <si>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 Одеської області"</t>
  </si>
  <si>
    <t>Комунальна установа "Центр соціальних служб Чорноморської міської ради Одеського району Одеської області"</t>
  </si>
  <si>
    <t>0100</t>
  </si>
  <si>
    <t>Державне управління</t>
  </si>
  <si>
    <t>1000</t>
  </si>
  <si>
    <t>Освіта</t>
  </si>
  <si>
    <t>2000</t>
  </si>
  <si>
    <t>Охорона здоров'я</t>
  </si>
  <si>
    <t>3000</t>
  </si>
  <si>
    <t>Соціальний захист та соціальне забезпечення</t>
  </si>
  <si>
    <t>4000</t>
  </si>
  <si>
    <t>Культура і мистецтво</t>
  </si>
  <si>
    <t>5000</t>
  </si>
  <si>
    <t>Фізична культура і спорт</t>
  </si>
  <si>
    <t>6000</t>
  </si>
  <si>
    <t>Житлово-комунальне господарство</t>
  </si>
  <si>
    <t>7000</t>
  </si>
  <si>
    <t>Економічна діяльність</t>
  </si>
  <si>
    <t>8000</t>
  </si>
  <si>
    <t>Інша діяльність</t>
  </si>
  <si>
    <t>9000</t>
  </si>
  <si>
    <t>Міжбюджетні трансферти</t>
  </si>
  <si>
    <t>до рішення Чорноморської міської ради</t>
  </si>
  <si>
    <t>Здійснення соціальної роботи та надання соціальних послуг центрами соціальних служб та центрами надання соціальних послуг особам/сім'ям, які належать до вразливих груп населення та/або перебувають у складних життєвих обставинах</t>
  </si>
  <si>
    <t>Забезпечення молодіжними центрами соціального становлення та розвитку молоді та інші заходи у сфері  молодіжної політики</t>
  </si>
  <si>
    <t>Розвиток здібностей у дітей та молоді з фізичної культури та спорту комунальними дитячо-юнацькими спортивними школами</t>
  </si>
  <si>
    <t>в тому числі:</t>
  </si>
  <si>
    <t>комунальні заклади загальної середньої освіти</t>
  </si>
  <si>
    <t>Субвенція з місцевого бюджету державному бюджету на виконання програм соціально-економічного розвитку регіонів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</si>
  <si>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</si>
  <si>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</si>
  <si>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</si>
  <si>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1218340</t>
  </si>
  <si>
    <t>видатків бюджету Чорноморської міської територіальної громади  на 2026 рік</t>
  </si>
  <si>
    <t>0217610</t>
  </si>
  <si>
    <t>7610</t>
  </si>
  <si>
    <t>Сприяння розвитку малого та середнього підприємництва</t>
  </si>
  <si>
    <t>0411</t>
  </si>
  <si>
    <t>0217693</t>
  </si>
  <si>
    <t>Інші заходи, пов'язані з економічною діяльністю</t>
  </si>
  <si>
    <t>0610170</t>
  </si>
  <si>
    <t>0810170</t>
  </si>
  <si>
    <t>0818110</t>
  </si>
  <si>
    <t>0910170</t>
  </si>
  <si>
    <t>1010170</t>
  </si>
  <si>
    <t>1018110</t>
  </si>
  <si>
    <t>1110170</t>
  </si>
  <si>
    <t>(грн)</t>
  </si>
  <si>
    <t>"Додаток 3</t>
  </si>
  <si>
    <t>від 24.12.2025  № 1014 - VIII"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</si>
  <si>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</si>
  <si>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</si>
  <si>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Інші заходи та заклади у сфері соціального захисту і соціального забезпечення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</si>
  <si>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</si>
  <si>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0217640</t>
  </si>
  <si>
    <t>7640</t>
  </si>
  <si>
    <t>Заходи з енергозбереження</t>
  </si>
  <si>
    <t>0470</t>
  </si>
  <si>
    <t>0218240</t>
  </si>
  <si>
    <t>Заходи та роботи з територіальної оборони,</t>
  </si>
  <si>
    <t>0212170</t>
  </si>
  <si>
    <t>приватні заклади загальної середньої освіти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</si>
  <si>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</si>
  <si>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</si>
  <si>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</si>
  <si>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</si>
  <si>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</si>
  <si>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</si>
  <si>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</si>
  <si>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</si>
  <si>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</si>
  <si>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</si>
  <si>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</si>
  <si>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</si>
  <si>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</si>
  <si>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</si>
  <si>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</si>
  <si>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</si>
  <si>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</si>
  <si>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</si>
  <si>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</si>
  <si>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</si>
  <si>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</si>
  <si>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0813191</t>
  </si>
  <si>
    <t>Інші видатки на соціальний захист ветеранів війни та праці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</si>
  <si>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</si>
  <si>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</si>
  <si>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</si>
  <si>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0823244</t>
  </si>
  <si>
    <t>3244</t>
  </si>
  <si>
    <t>Надання комплексної соціальної послуги життєстійкості надавачами соціальних послуг</t>
  </si>
  <si>
    <t>1117691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</si>
  <si>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</si>
  <si>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</si>
  <si>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Експлуатація та технічне обслуговування житлового фонду</t>
  </si>
  <si>
    <t>0610</t>
  </si>
  <si>
    <t>Забезпечення діяльності водопровідно-каналізаційного господарства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</si>
  <si>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</si>
  <si>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</si>
  <si>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1217691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</si>
  <si>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</si>
  <si>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1517691</t>
  </si>
  <si>
    <t>Розвиток спортивної інфраструктури</t>
  </si>
  <si>
    <t>0611200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</si>
  <si>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</si>
  <si>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0611183</t>
  </si>
  <si>
    <t>0611184</t>
  </si>
  <si>
    <t>1183</t>
  </si>
  <si>
    <t>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</si>
  <si>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</si>
  <si>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</si>
  <si>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Додаток 3</t>
  </si>
  <si>
    <t>Субвенція з місцевого бюджету на підготовку та реалізацію публічних інвестиційних проектів/програм публічних інвестицій</t>
  </si>
  <si>
    <t>0813221</t>
  </si>
  <si>
    <t>3221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</si>
  <si>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</si>
  <si>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</si>
  <si>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з виробництва, транспортування, постачання теплової енергії</t>
  </si>
  <si>
    <t>Реалізація інших заходів щодо соціально-економічного розвитку територій</t>
  </si>
  <si>
    <t>0218721</t>
  </si>
  <si>
    <t>Заходи із запобігання та ліквідації наслідків надзвичайної ситуації у будівлі закладу охорони здоров'я за рахунок коштів резервного фонду місцевого бюджету</t>
  </si>
  <si>
    <t>1218746</t>
  </si>
  <si>
    <t>Заходи із запобігання та ліквідації наслідків надзвичайної ситуації в інших системах та об'єктах житлово-комунального господарства за рахунок коштів резервного фонду місцевого бюджету</t>
  </si>
  <si>
    <t>Заступник начальника фінансового управління - начальник бюджетного відділу</t>
  </si>
  <si>
    <t>Світлана ПЄРКОВА</t>
  </si>
  <si>
    <t>від   24. 07.2026  № 1147 -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</si>
</sst>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₴_-;\-* #,##0.00\ _₴_-;_-* &quot;-&quot;??\ _₴_-;_-@_-"/>
    <numFmt numFmtId="165" formatCode="#,##0.00_ ;\-#,##0.00\ "/>
    <numFmt numFmtId="166" formatCode="#,##0.000"/>
  </numFmts>
  <fonts count="18">
    <font>
      <sz val="10"/>
      <color theme="1"/>
      <name val="Шрифт текста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Шрифт текста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8" fillId="0" borderId="0"/>
    <xf numFmtId="0" fontId="12" fillId="0" borderId="0"/>
    <xf numFmtId="0" fontId="13" fillId="0" borderId="0"/>
    <xf numFmtId="0" fontId="1" fillId="0" borderId="0"/>
    <xf numFmtId="0" fontId="12" fillId="0" borderId="0"/>
    <xf numFmtId="0" fontId="14" fillId="0" borderId="0"/>
    <xf numFmtId="0" fontId="1" fillId="0" borderId="0"/>
    <xf numFmtId="0" fontId="1" fillId="0" borderId="0"/>
    <xf numFmtId="0" fontId="15" fillId="0" borderId="0"/>
    <xf numFmtId="164" fontId="16" fillId="0" borderId="0" applyFont="0" applyFill="0" applyBorder="0" applyAlignment="0" applyProtection="0"/>
  </cellStyleXfs>
  <cellXfs count="43">
    <xf numFmtId="0" fontId="0" fillId="0" borderId="0" xfId="0"/>
    <xf numFmtId="0" fontId="3" fillId="2" borderId="1" xfId="0" quotePrefix="1" applyFont="1" applyFill="1" applyBorder="1" applyAlignment="1">
      <alignment vertical="center" wrapText="1"/>
    </xf>
    <xf numFmtId="0" fontId="2" fillId="0" borderId="0" xfId="0" applyFont="1"/>
    <xf numFmtId="0" fontId="5" fillId="0" borderId="0" xfId="0" quotePrefix="1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vertical="center" wrapText="1"/>
    </xf>
    <xf numFmtId="0" fontId="2" fillId="2" borderId="1" xfId="0" quotePrefix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49" fontId="7" fillId="2" borderId="1" xfId="0" applyNumberFormat="1" applyFont="1" applyFill="1" applyBorder="1"/>
    <xf numFmtId="49" fontId="7" fillId="2" borderId="1" xfId="0" applyNumberFormat="1" applyFont="1" applyFill="1" applyBorder="1" applyAlignment="1">
      <alignment horizontal="center"/>
    </xf>
    <xf numFmtId="166" fontId="9" fillId="2" borderId="1" xfId="1" applyNumberFormat="1" applyFont="1" applyFill="1" applyBorder="1" applyAlignment="1">
      <alignment wrapText="1"/>
    </xf>
    <xf numFmtId="0" fontId="9" fillId="2" borderId="0" xfId="0" applyFont="1" applyFill="1"/>
    <xf numFmtId="0" fontId="10" fillId="2" borderId="0" xfId="0" applyFont="1" applyFill="1"/>
    <xf numFmtId="0" fontId="4" fillId="2" borderId="1" xfId="0" applyFont="1" applyFill="1" applyBorder="1" applyAlignment="1">
      <alignment wrapText="1"/>
    </xf>
    <xf numFmtId="0" fontId="11" fillId="2" borderId="0" xfId="0" applyFont="1" applyFill="1"/>
    <xf numFmtId="165" fontId="2" fillId="0" borderId="0" xfId="0" applyNumberFormat="1" applyFo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4" fontId="4" fillId="2" borderId="1" xfId="0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4" fontId="2" fillId="2" borderId="1" xfId="1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4" fontId="4" fillId="2" borderId="0" xfId="0" applyNumberFormat="1" applyFont="1" applyFill="1" applyAlignment="1">
      <alignment vertical="center"/>
    </xf>
    <xf numFmtId="4" fontId="2" fillId="2" borderId="1" xfId="0" applyNumberFormat="1" applyFont="1" applyFill="1" applyBorder="1"/>
    <xf numFmtId="4" fontId="4" fillId="2" borderId="1" xfId="0" applyNumberFormat="1" applyFont="1" applyFill="1" applyBorder="1"/>
    <xf numFmtId="4" fontId="9" fillId="2" borderId="0" xfId="0" applyNumberFormat="1" applyFont="1" applyFill="1"/>
    <xf numFmtId="4" fontId="2" fillId="0" borderId="0" xfId="0" applyNumberFormat="1" applyFont="1"/>
    <xf numFmtId="4" fontId="4" fillId="0" borderId="0" xfId="0" applyNumberFormat="1" applyFont="1"/>
    <xf numFmtId="4" fontId="2" fillId="2" borderId="0" xfId="0" applyNumberFormat="1" applyFont="1" applyFill="1"/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7" fillId="0" borderId="0" xfId="0" applyFont="1"/>
  </cellXfs>
  <cellStyles count="11">
    <cellStyle name="Звичайний" xfId="0" builtinId="0"/>
    <cellStyle name="Звичайний 2" xfId="7" xr:uid="{00000000-0005-0000-0000-000001000000}"/>
    <cellStyle name="Звичайний 2 2" xfId="8" xr:uid="{00000000-0005-0000-0000-000002000000}"/>
    <cellStyle name="Обычный 2" xfId="5" xr:uid="{00000000-0005-0000-0000-000003000000}"/>
    <cellStyle name="Обычный 3" xfId="3" xr:uid="{00000000-0005-0000-0000-000004000000}"/>
    <cellStyle name="Обычный 4" xfId="6" xr:uid="{00000000-0005-0000-0000-000005000000}"/>
    <cellStyle name="Обычный 5" xfId="2" xr:uid="{00000000-0005-0000-0000-000006000000}"/>
    <cellStyle name="Обычный 6" xfId="4" xr:uid="{00000000-0005-0000-0000-000007000000}"/>
    <cellStyle name="Обычный 9" xfId="9" xr:uid="{00000000-0005-0000-0000-000008000000}"/>
    <cellStyle name="Обычный_дод 3" xfId="1" xr:uid="{00000000-0005-0000-0000-000009000000}"/>
    <cellStyle name="Фінансовий" xfId="10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0"/>
  <sheetViews>
    <sheetView showZeros="0" tabSelected="1" view="pageBreakPreview" zoomScale="70" zoomScaleNormal="70" zoomScaleSheetLayoutView="70" workbookViewId="0">
      <pane xSplit="4" ySplit="17" topLeftCell="G222" activePane="bottomRight" state="frozen"/>
      <selection pane="topRight" activeCell="E1" sqref="E1"/>
      <selection pane="bottomLeft" activeCell="A14" sqref="A14"/>
      <selection pane="bottomRight" activeCell="M3" sqref="M3:N3"/>
    </sheetView>
  </sheetViews>
  <sheetFormatPr defaultColWidth="8.88671875" defaultRowHeight="15.6"/>
  <cols>
    <col min="1" max="3" width="12.109375" style="2" customWidth="1"/>
    <col min="4" max="4" width="40.6640625" style="2" customWidth="1"/>
    <col min="5" max="5" width="20.109375" style="2" customWidth="1"/>
    <col min="6" max="6" width="19.5546875" style="2" customWidth="1"/>
    <col min="7" max="7" width="17.33203125" style="2" customWidth="1"/>
    <col min="8" max="8" width="18.5546875" style="2" customWidth="1"/>
    <col min="9" max="9" width="18.6640625" style="2" customWidth="1"/>
    <col min="10" max="11" width="17.6640625" style="2" customWidth="1"/>
    <col min="12" max="12" width="17.5546875" style="2" customWidth="1"/>
    <col min="13" max="14" width="15.6640625" style="2" customWidth="1"/>
    <col min="15" max="15" width="17.33203125" style="2" customWidth="1"/>
    <col min="16" max="16" width="20.5546875" style="2" customWidth="1"/>
    <col min="17" max="17" width="17.6640625" style="2" customWidth="1"/>
    <col min="18" max="18" width="8.88671875" style="2"/>
    <col min="19" max="19" width="14.88671875" style="2" customWidth="1"/>
    <col min="20" max="16384" width="8.88671875" style="2"/>
  </cols>
  <sheetData>
    <row r="1" spans="1:16">
      <c r="M1" s="2" t="s">
        <v>408</v>
      </c>
    </row>
    <row r="2" spans="1:16">
      <c r="M2" s="2" t="s">
        <v>319</v>
      </c>
    </row>
    <row r="3" spans="1:16">
      <c r="M3" s="42" t="s">
        <v>422</v>
      </c>
      <c r="N3" s="42"/>
    </row>
    <row r="5" spans="1:16" ht="20.399999999999999" customHeight="1">
      <c r="M5" s="2" t="s">
        <v>345</v>
      </c>
    </row>
    <row r="6" spans="1:16" ht="20.399999999999999" customHeight="1">
      <c r="M6" s="2" t="s">
        <v>319</v>
      </c>
    </row>
    <row r="7" spans="1:16" ht="20.399999999999999" customHeight="1">
      <c r="M7" s="2" t="s">
        <v>346</v>
      </c>
    </row>
    <row r="9" spans="1:16">
      <c r="A9" s="38" t="s">
        <v>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>
      <c r="A10" s="38" t="s">
        <v>330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>
      <c r="A11" s="3" t="s">
        <v>1</v>
      </c>
    </row>
    <row r="12" spans="1:16">
      <c r="A12" s="2" t="s">
        <v>2</v>
      </c>
      <c r="P12" s="4" t="s">
        <v>344</v>
      </c>
    </row>
    <row r="13" spans="1:16" ht="26.4" customHeight="1">
      <c r="A13" s="40" t="s">
        <v>3</v>
      </c>
      <c r="B13" s="40" t="s">
        <v>4</v>
      </c>
      <c r="C13" s="40" t="s">
        <v>5</v>
      </c>
      <c r="D13" s="41" t="s">
        <v>6</v>
      </c>
      <c r="E13" s="41" t="s">
        <v>7</v>
      </c>
      <c r="F13" s="41"/>
      <c r="G13" s="41"/>
      <c r="H13" s="41"/>
      <c r="I13" s="41"/>
      <c r="J13" s="41" t="s">
        <v>14</v>
      </c>
      <c r="K13" s="41"/>
      <c r="L13" s="41"/>
      <c r="M13" s="41"/>
      <c r="N13" s="41"/>
      <c r="O13" s="41"/>
      <c r="P13" s="41" t="s">
        <v>16</v>
      </c>
    </row>
    <row r="14" spans="1:16" ht="26.4" customHeight="1">
      <c r="A14" s="40"/>
      <c r="B14" s="40"/>
      <c r="C14" s="40"/>
      <c r="D14" s="41"/>
      <c r="E14" s="41" t="s">
        <v>8</v>
      </c>
      <c r="F14" s="41" t="s">
        <v>9</v>
      </c>
      <c r="G14" s="41" t="s">
        <v>10</v>
      </c>
      <c r="H14" s="41"/>
      <c r="I14" s="41" t="s">
        <v>13</v>
      </c>
      <c r="J14" s="41" t="s">
        <v>8</v>
      </c>
      <c r="K14" s="41" t="s">
        <v>15</v>
      </c>
      <c r="L14" s="41" t="s">
        <v>9</v>
      </c>
      <c r="M14" s="41" t="s">
        <v>10</v>
      </c>
      <c r="N14" s="41"/>
      <c r="O14" s="41" t="s">
        <v>13</v>
      </c>
      <c r="P14" s="41"/>
    </row>
    <row r="15" spans="1:16" ht="30.6" customHeight="1">
      <c r="A15" s="40"/>
      <c r="B15" s="40"/>
      <c r="C15" s="40"/>
      <c r="D15" s="41"/>
      <c r="E15" s="41"/>
      <c r="F15" s="41"/>
      <c r="G15" s="41" t="s">
        <v>11</v>
      </c>
      <c r="H15" s="41" t="s">
        <v>12</v>
      </c>
      <c r="I15" s="41"/>
      <c r="J15" s="41"/>
      <c r="K15" s="41"/>
      <c r="L15" s="41"/>
      <c r="M15" s="41" t="s">
        <v>11</v>
      </c>
      <c r="N15" s="41" t="s">
        <v>12</v>
      </c>
      <c r="O15" s="41"/>
      <c r="P15" s="41"/>
    </row>
    <row r="16" spans="1:16" ht="26.4" customHeight="1">
      <c r="A16" s="40"/>
      <c r="B16" s="40"/>
      <c r="C16" s="40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</row>
    <row r="17" spans="1:19">
      <c r="A17" s="24">
        <v>1</v>
      </c>
      <c r="B17" s="24">
        <v>2</v>
      </c>
      <c r="C17" s="24">
        <v>3</v>
      </c>
      <c r="D17" s="24">
        <v>4</v>
      </c>
      <c r="E17" s="24">
        <v>5</v>
      </c>
      <c r="F17" s="24">
        <v>6</v>
      </c>
      <c r="G17" s="24">
        <v>7</v>
      </c>
      <c r="H17" s="24">
        <v>8</v>
      </c>
      <c r="I17" s="24">
        <v>9</v>
      </c>
      <c r="J17" s="24">
        <v>10</v>
      </c>
      <c r="K17" s="24">
        <v>11</v>
      </c>
      <c r="L17" s="24">
        <v>12</v>
      </c>
      <c r="M17" s="24">
        <v>13</v>
      </c>
      <c r="N17" s="24">
        <v>14</v>
      </c>
      <c r="O17" s="24">
        <v>15</v>
      </c>
      <c r="P17" s="24">
        <v>16</v>
      </c>
    </row>
    <row r="18" spans="1:19" ht="46.8">
      <c r="A18" s="6" t="s">
        <v>17</v>
      </c>
      <c r="B18" s="6" t="s">
        <v>18</v>
      </c>
      <c r="C18" s="6" t="s">
        <v>18</v>
      </c>
      <c r="D18" s="7" t="s">
        <v>19</v>
      </c>
      <c r="E18" s="26">
        <f>F18+I18</f>
        <v>265726433</v>
      </c>
      <c r="F18" s="26">
        <f>F19</f>
        <v>260172558</v>
      </c>
      <c r="G18" s="26">
        <f>G19</f>
        <v>127014900</v>
      </c>
      <c r="H18" s="26">
        <f>H19</f>
        <v>5649600</v>
      </c>
      <c r="I18" s="26">
        <f>I19</f>
        <v>5553875</v>
      </c>
      <c r="J18" s="26">
        <f>L18+O18</f>
        <v>3897121</v>
      </c>
      <c r="K18" s="26">
        <f>K19</f>
        <v>3677121</v>
      </c>
      <c r="L18" s="26">
        <f>L19</f>
        <v>220000</v>
      </c>
      <c r="M18" s="26">
        <f>M19</f>
        <v>0</v>
      </c>
      <c r="N18" s="26">
        <f>N19</f>
        <v>0</v>
      </c>
      <c r="O18" s="26">
        <f>O19</f>
        <v>3677121</v>
      </c>
      <c r="P18" s="26">
        <f t="shared" ref="P18:P93" si="0">E18 + J18</f>
        <v>269623554</v>
      </c>
      <c r="Q18" s="34"/>
      <c r="S18" s="34"/>
    </row>
    <row r="19" spans="1:19" ht="46.8">
      <c r="A19" s="6" t="s">
        <v>20</v>
      </c>
      <c r="B19" s="6" t="s">
        <v>18</v>
      </c>
      <c r="C19" s="6" t="s">
        <v>18</v>
      </c>
      <c r="D19" s="7" t="s">
        <v>19</v>
      </c>
      <c r="E19" s="26">
        <f>F19+I19</f>
        <v>265726433</v>
      </c>
      <c r="F19" s="26">
        <f>F20+F25+F26+F27+F28+F29+F30+F34+F35+F36+F40+F41+F48+F49+F50+F51+F52+F60+F61+F62+F63+F64+F65</f>
        <v>260172558</v>
      </c>
      <c r="G19" s="26">
        <f t="shared" ref="G19:K19" si="1">G20+G25+G26+G27+G28+G29+G30+G34+G35+G36+G40+G41+G48+G49+G50+G51+G52+G60+G61+G62+G63+G64+G65</f>
        <v>127014900</v>
      </c>
      <c r="H19" s="26">
        <f t="shared" si="1"/>
        <v>5649600</v>
      </c>
      <c r="I19" s="26">
        <f t="shared" si="1"/>
        <v>5553875</v>
      </c>
      <c r="J19" s="26">
        <f>L19+O19</f>
        <v>3897121</v>
      </c>
      <c r="K19" s="26">
        <f t="shared" si="1"/>
        <v>3677121</v>
      </c>
      <c r="L19" s="26">
        <f t="shared" ref="L19" si="2">L20+L25+L26+L27+L28+L29+L30+L34+L35+L36+L40+L41+L48+L49+L50+L51+L52+L60+L61+L62+L63+L64+L65</f>
        <v>220000</v>
      </c>
      <c r="M19" s="26">
        <f t="shared" ref="M19" si="3">M20+M25+M26+M27+M28+M29+M30+M34+M35+M36+M40+M41+M48+M49+M50+M51+M52+M60+M61+M62+M63+M64+M65</f>
        <v>0</v>
      </c>
      <c r="N19" s="26">
        <f t="shared" ref="N19" si="4">N20+N25+N26+N27+N28+N29+N30+N34+N35+N36+N40+N41+N48+N49+N50+N51+N52+N60+N61+N62+N63+N64+N65</f>
        <v>0</v>
      </c>
      <c r="O19" s="26">
        <f t="shared" ref="O19" si="5">O20+O25+O26+O27+O28+O29+O30+O34+O35+O36+O40+O41+O48+O49+O50+O51+O52+O60+O61+O62+O63+O64+O65</f>
        <v>3677121</v>
      </c>
      <c r="P19" s="26">
        <f>E19 + J19</f>
        <v>269623554</v>
      </c>
      <c r="S19" s="34"/>
    </row>
    <row r="20" spans="1:19" ht="102" customHeight="1">
      <c r="A20" s="24" t="s">
        <v>21</v>
      </c>
      <c r="B20" s="24" t="s">
        <v>22</v>
      </c>
      <c r="C20" s="24" t="s">
        <v>23</v>
      </c>
      <c r="D20" s="8" t="s">
        <v>24</v>
      </c>
      <c r="E20" s="27">
        <f>F20+I20</f>
        <v>113843100</v>
      </c>
      <c r="F20" s="27">
        <f>F21+F22+F23+F24</f>
        <v>113843100</v>
      </c>
      <c r="G20" s="27">
        <f>G21+G22+G23+G24</f>
        <v>101628100</v>
      </c>
      <c r="H20" s="27">
        <f t="shared" ref="H20:I20" si="6">H21+H22+H23+H24</f>
        <v>5591100</v>
      </c>
      <c r="I20" s="28">
        <f t="shared" si="6"/>
        <v>0</v>
      </c>
      <c r="J20" s="27">
        <f>L20+O20</f>
        <v>120000</v>
      </c>
      <c r="K20" s="28">
        <f>K21+K22+K23+K24</f>
        <v>0</v>
      </c>
      <c r="L20" s="27">
        <f t="shared" ref="L20:O20" si="7">L21+L22+L23+L24</f>
        <v>120000</v>
      </c>
      <c r="M20" s="27">
        <f t="shared" si="7"/>
        <v>0</v>
      </c>
      <c r="N20" s="27">
        <f t="shared" si="7"/>
        <v>0</v>
      </c>
      <c r="O20" s="27">
        <f t="shared" si="7"/>
        <v>0</v>
      </c>
      <c r="P20" s="27">
        <f t="shared" si="0"/>
        <v>113963100</v>
      </c>
      <c r="S20" s="34"/>
    </row>
    <row r="21" spans="1:19" s="5" customFormat="1" ht="58.5" customHeight="1">
      <c r="A21" s="9"/>
      <c r="B21" s="9"/>
      <c r="C21" s="9"/>
      <c r="D21" s="1" t="s">
        <v>19</v>
      </c>
      <c r="E21" s="29">
        <f>F21+I21</f>
        <v>101366800</v>
      </c>
      <c r="F21" s="29">
        <f>101662000-182500-11000-29300+27600-100000</f>
        <v>101366800</v>
      </c>
      <c r="G21" s="29">
        <f>91354400</f>
        <v>91354400</v>
      </c>
      <c r="H21" s="29">
        <f>5178900-11000</f>
        <v>5167900</v>
      </c>
      <c r="I21" s="29"/>
      <c r="J21" s="29">
        <f>L21+O21</f>
        <v>119998</v>
      </c>
      <c r="K21" s="29"/>
      <c r="L21" s="29">
        <v>119998</v>
      </c>
      <c r="M21" s="29"/>
      <c r="N21" s="29"/>
      <c r="O21" s="29"/>
      <c r="P21" s="29">
        <f t="shared" si="0"/>
        <v>101486798</v>
      </c>
      <c r="S21" s="34"/>
    </row>
    <row r="22" spans="1:19" s="5" customFormat="1" ht="74.25" customHeight="1">
      <c r="A22" s="9"/>
      <c r="B22" s="9"/>
      <c r="C22" s="9"/>
      <c r="D22" s="1" t="s">
        <v>269</v>
      </c>
      <c r="E22" s="29">
        <f t="shared" ref="E22:E65" si="8">F22+I22</f>
        <v>5194800</v>
      </c>
      <c r="F22" s="29">
        <f>5534600-59800-280000</f>
        <v>5194800</v>
      </c>
      <c r="G22" s="29">
        <v>4117400</v>
      </c>
      <c r="H22" s="29">
        <v>208400</v>
      </c>
      <c r="I22" s="29"/>
      <c r="J22" s="29">
        <f t="shared" ref="J22:J64" si="9">L22+O22</f>
        <v>1</v>
      </c>
      <c r="K22" s="29"/>
      <c r="L22" s="29">
        <v>1</v>
      </c>
      <c r="M22" s="29"/>
      <c r="N22" s="29"/>
      <c r="O22" s="29"/>
      <c r="P22" s="29">
        <f t="shared" si="0"/>
        <v>5194801</v>
      </c>
      <c r="S22" s="34"/>
    </row>
    <row r="23" spans="1:19" s="5" customFormat="1" ht="70.5" customHeight="1">
      <c r="A23" s="9"/>
      <c r="B23" s="9"/>
      <c r="C23" s="9"/>
      <c r="D23" s="1" t="s">
        <v>270</v>
      </c>
      <c r="E23" s="29">
        <f t="shared" si="8"/>
        <v>3000100</v>
      </c>
      <c r="F23" s="29">
        <v>3000100</v>
      </c>
      <c r="G23" s="29">
        <v>2776600</v>
      </c>
      <c r="H23" s="29">
        <v>73800</v>
      </c>
      <c r="I23" s="29"/>
      <c r="J23" s="29">
        <f t="shared" si="9"/>
        <v>0</v>
      </c>
      <c r="K23" s="29"/>
      <c r="L23" s="29"/>
      <c r="M23" s="29"/>
      <c r="N23" s="29"/>
      <c r="O23" s="29"/>
      <c r="P23" s="29">
        <f t="shared" si="0"/>
        <v>3000100</v>
      </c>
      <c r="S23" s="34"/>
    </row>
    <row r="24" spans="1:19" s="5" customFormat="1" ht="71.25" customHeight="1">
      <c r="A24" s="9"/>
      <c r="B24" s="9"/>
      <c r="C24" s="9"/>
      <c r="D24" s="1" t="s">
        <v>271</v>
      </c>
      <c r="E24" s="29">
        <f t="shared" si="8"/>
        <v>4281400</v>
      </c>
      <c r="F24" s="29">
        <f>3911400+370000</f>
        <v>4281400</v>
      </c>
      <c r="G24" s="29">
        <v>3379700</v>
      </c>
      <c r="H24" s="29">
        <v>141000</v>
      </c>
      <c r="I24" s="29"/>
      <c r="J24" s="29">
        <f t="shared" si="9"/>
        <v>1</v>
      </c>
      <c r="K24" s="29"/>
      <c r="L24" s="29">
        <v>1</v>
      </c>
      <c r="M24" s="29"/>
      <c r="N24" s="29"/>
      <c r="O24" s="29"/>
      <c r="P24" s="29">
        <f t="shared" si="0"/>
        <v>4281401</v>
      </c>
      <c r="S24" s="34"/>
    </row>
    <row r="25" spans="1:19" ht="46.8">
      <c r="A25" s="24" t="s">
        <v>25</v>
      </c>
      <c r="B25" s="24" t="s">
        <v>26</v>
      </c>
      <c r="C25" s="24" t="s">
        <v>27</v>
      </c>
      <c r="D25" s="8" t="s">
        <v>28</v>
      </c>
      <c r="E25" s="27">
        <f t="shared" si="8"/>
        <v>79300</v>
      </c>
      <c r="F25" s="27">
        <f>50000+29300</f>
        <v>79300</v>
      </c>
      <c r="G25" s="27">
        <v>0</v>
      </c>
      <c r="H25" s="27">
        <v>0</v>
      </c>
      <c r="I25" s="27">
        <v>0</v>
      </c>
      <c r="J25" s="27">
        <f t="shared" si="9"/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f t="shared" si="0"/>
        <v>79300</v>
      </c>
      <c r="S25" s="34"/>
    </row>
    <row r="26" spans="1:19" ht="31.2">
      <c r="A26" s="24" t="s">
        <v>29</v>
      </c>
      <c r="B26" s="24" t="s">
        <v>30</v>
      </c>
      <c r="C26" s="24" t="s">
        <v>31</v>
      </c>
      <c r="D26" s="8" t="s">
        <v>32</v>
      </c>
      <c r="E26" s="27">
        <f t="shared" si="8"/>
        <v>3271200</v>
      </c>
      <c r="F26" s="27">
        <f>2570400-100000-99200+1000000-100000</f>
        <v>3271200</v>
      </c>
      <c r="G26" s="27">
        <v>0</v>
      </c>
      <c r="H26" s="27">
        <v>0</v>
      </c>
      <c r="I26" s="27">
        <v>0</v>
      </c>
      <c r="J26" s="27">
        <f t="shared" si="9"/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f t="shared" si="0"/>
        <v>3271200</v>
      </c>
      <c r="S26" s="34"/>
    </row>
    <row r="27" spans="1:19" ht="31.2">
      <c r="A27" s="24" t="s">
        <v>33</v>
      </c>
      <c r="B27" s="24" t="s">
        <v>34</v>
      </c>
      <c r="C27" s="24" t="s">
        <v>35</v>
      </c>
      <c r="D27" s="8" t="s">
        <v>36</v>
      </c>
      <c r="E27" s="27">
        <f t="shared" si="8"/>
        <v>47587782</v>
      </c>
      <c r="F27" s="27">
        <f>41453700+2000000+496561+825000+91718</f>
        <v>44866979</v>
      </c>
      <c r="G27" s="27">
        <v>0</v>
      </c>
      <c r="H27" s="27">
        <v>0</v>
      </c>
      <c r="I27" s="27">
        <f>1961974+561911+196918</f>
        <v>2720803</v>
      </c>
      <c r="J27" s="27">
        <f t="shared" si="9"/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f t="shared" si="0"/>
        <v>47587782</v>
      </c>
      <c r="S27" s="34"/>
    </row>
    <row r="28" spans="1:19" ht="22.2" customHeight="1">
      <c r="A28" s="24" t="s">
        <v>37</v>
      </c>
      <c r="B28" s="24" t="s">
        <v>38</v>
      </c>
      <c r="C28" s="24" t="s">
        <v>39</v>
      </c>
      <c r="D28" s="8" t="s">
        <v>40</v>
      </c>
      <c r="E28" s="27">
        <f t="shared" si="8"/>
        <v>9215600</v>
      </c>
      <c r="F28" s="27">
        <v>9215600</v>
      </c>
      <c r="G28" s="27">
        <v>0</v>
      </c>
      <c r="H28" s="27">
        <v>0</v>
      </c>
      <c r="I28" s="27">
        <v>0</v>
      </c>
      <c r="J28" s="27">
        <f t="shared" si="9"/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f t="shared" si="0"/>
        <v>9215600</v>
      </c>
      <c r="S28" s="34"/>
    </row>
    <row r="29" spans="1:19" ht="72" customHeight="1">
      <c r="A29" s="24" t="s">
        <v>41</v>
      </c>
      <c r="B29" s="24" t="s">
        <v>42</v>
      </c>
      <c r="C29" s="24" t="s">
        <v>43</v>
      </c>
      <c r="D29" s="8" t="s">
        <v>44</v>
      </c>
      <c r="E29" s="27">
        <f t="shared" si="8"/>
        <v>4832200</v>
      </c>
      <c r="F29" s="27">
        <v>3792200</v>
      </c>
      <c r="G29" s="27">
        <v>0</v>
      </c>
      <c r="H29" s="27">
        <v>0</v>
      </c>
      <c r="I29" s="27">
        <v>1040000</v>
      </c>
      <c r="J29" s="27">
        <f t="shared" si="9"/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f t="shared" si="0"/>
        <v>4832200</v>
      </c>
      <c r="S29" s="34"/>
    </row>
    <row r="30" spans="1:19" ht="31.2">
      <c r="A30" s="24" t="s">
        <v>45</v>
      </c>
      <c r="B30" s="24" t="s">
        <v>46</v>
      </c>
      <c r="C30" s="24" t="s">
        <v>47</v>
      </c>
      <c r="D30" s="8" t="s">
        <v>48</v>
      </c>
      <c r="E30" s="27">
        <f t="shared" si="8"/>
        <v>11049704</v>
      </c>
      <c r="F30" s="27">
        <f>SUM(F31:F33)</f>
        <v>11049704</v>
      </c>
      <c r="G30" s="27">
        <v>0</v>
      </c>
      <c r="H30" s="27">
        <v>0</v>
      </c>
      <c r="I30" s="27">
        <v>0</v>
      </c>
      <c r="J30" s="27">
        <f t="shared" si="9"/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f t="shared" si="0"/>
        <v>11049704</v>
      </c>
      <c r="S30" s="34"/>
    </row>
    <row r="31" spans="1:19" s="5" customFormat="1" ht="60" customHeight="1">
      <c r="A31" s="9"/>
      <c r="B31" s="9"/>
      <c r="C31" s="9"/>
      <c r="D31" s="1" t="s">
        <v>291</v>
      </c>
      <c r="E31" s="29">
        <f t="shared" si="8"/>
        <v>1049704</v>
      </c>
      <c r="F31" s="29">
        <f>819200+230504</f>
        <v>1049704</v>
      </c>
      <c r="G31" s="29"/>
      <c r="H31" s="29"/>
      <c r="I31" s="29"/>
      <c r="J31" s="29"/>
      <c r="K31" s="29"/>
      <c r="L31" s="29"/>
      <c r="M31" s="29"/>
      <c r="N31" s="29"/>
      <c r="O31" s="29"/>
      <c r="P31" s="29">
        <f t="shared" si="0"/>
        <v>1049704</v>
      </c>
      <c r="S31" s="34"/>
    </row>
    <row r="32" spans="1:19" s="5" customFormat="1" ht="87" customHeight="1">
      <c r="A32" s="9"/>
      <c r="B32" s="9"/>
      <c r="C32" s="9"/>
      <c r="D32" s="1" t="s">
        <v>289</v>
      </c>
      <c r="E32" s="29">
        <f t="shared" si="8"/>
        <v>7000000</v>
      </c>
      <c r="F32" s="29">
        <v>7000000</v>
      </c>
      <c r="G32" s="29"/>
      <c r="H32" s="29"/>
      <c r="I32" s="29"/>
      <c r="J32" s="29"/>
      <c r="K32" s="29"/>
      <c r="L32" s="29"/>
      <c r="M32" s="29"/>
      <c r="N32" s="29"/>
      <c r="O32" s="29"/>
      <c r="P32" s="29">
        <f t="shared" si="0"/>
        <v>7000000</v>
      </c>
      <c r="S32" s="34"/>
    </row>
    <row r="33" spans="1:19" s="5" customFormat="1" ht="74.25" customHeight="1">
      <c r="A33" s="9"/>
      <c r="B33" s="9"/>
      <c r="C33" s="9"/>
      <c r="D33" s="1" t="s">
        <v>292</v>
      </c>
      <c r="E33" s="29">
        <f t="shared" si="8"/>
        <v>3000000</v>
      </c>
      <c r="F33" s="29">
        <f>2500000+500000</f>
        <v>3000000</v>
      </c>
      <c r="G33" s="29"/>
      <c r="H33" s="29"/>
      <c r="I33" s="29"/>
      <c r="J33" s="29"/>
      <c r="K33" s="29"/>
      <c r="L33" s="29"/>
      <c r="M33" s="29"/>
      <c r="N33" s="29"/>
      <c r="O33" s="29"/>
      <c r="P33" s="29">
        <f t="shared" si="0"/>
        <v>3000000</v>
      </c>
      <c r="S33" s="34"/>
    </row>
    <row r="34" spans="1:19" ht="74.25" customHeight="1">
      <c r="A34" s="23" t="s">
        <v>357</v>
      </c>
      <c r="B34" s="23" t="s">
        <v>347</v>
      </c>
      <c r="C34" s="23" t="s">
        <v>47</v>
      </c>
      <c r="D34" s="8" t="s">
        <v>348</v>
      </c>
      <c r="E34" s="27">
        <f t="shared" si="8"/>
        <v>0</v>
      </c>
      <c r="F34" s="27"/>
      <c r="G34" s="27"/>
      <c r="H34" s="27"/>
      <c r="I34" s="27"/>
      <c r="J34" s="27">
        <f t="shared" si="9"/>
        <v>2333054</v>
      </c>
      <c r="K34" s="27">
        <f>196918+1068895+1264159-196918</f>
        <v>2333054</v>
      </c>
      <c r="L34" s="27"/>
      <c r="M34" s="27"/>
      <c r="N34" s="27"/>
      <c r="O34" s="27">
        <f>196918+1068895+1264159-196918</f>
        <v>2333054</v>
      </c>
      <c r="P34" s="27">
        <f t="shared" si="0"/>
        <v>2333054</v>
      </c>
      <c r="S34" s="34"/>
    </row>
    <row r="35" spans="1:19" ht="46.8">
      <c r="A35" s="24" t="s">
        <v>49</v>
      </c>
      <c r="B35" s="24" t="s">
        <v>50</v>
      </c>
      <c r="C35" s="24" t="s">
        <v>51</v>
      </c>
      <c r="D35" s="8" t="s">
        <v>349</v>
      </c>
      <c r="E35" s="27">
        <f t="shared" si="8"/>
        <v>3000000</v>
      </c>
      <c r="F35" s="27">
        <f>5000000-500000-1000000-500000</f>
        <v>3000000</v>
      </c>
      <c r="G35" s="27">
        <v>0</v>
      </c>
      <c r="H35" s="27">
        <v>0</v>
      </c>
      <c r="I35" s="27">
        <v>0</v>
      </c>
      <c r="J35" s="27">
        <f t="shared" si="9"/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f t="shared" si="0"/>
        <v>3000000</v>
      </c>
      <c r="S35" s="34"/>
    </row>
    <row r="36" spans="1:19" ht="31.2">
      <c r="A36" s="24" t="s">
        <v>52</v>
      </c>
      <c r="B36" s="24" t="s">
        <v>53</v>
      </c>
      <c r="C36" s="24" t="s">
        <v>54</v>
      </c>
      <c r="D36" s="8" t="s">
        <v>55</v>
      </c>
      <c r="E36" s="27">
        <f t="shared" si="8"/>
        <v>18773900</v>
      </c>
      <c r="F36" s="27">
        <f>SUM(F37:F39)</f>
        <v>18773900</v>
      </c>
      <c r="G36" s="27">
        <f t="shared" ref="G36:I36" si="10">SUM(G37:G39)</f>
        <v>0</v>
      </c>
      <c r="H36" s="27">
        <f t="shared" si="10"/>
        <v>0</v>
      </c>
      <c r="I36" s="27">
        <f t="shared" si="10"/>
        <v>0</v>
      </c>
      <c r="J36" s="27">
        <f t="shared" si="9"/>
        <v>0</v>
      </c>
      <c r="K36" s="27">
        <f>SUM(K37:K39)</f>
        <v>0</v>
      </c>
      <c r="L36" s="27">
        <f t="shared" ref="L36:O36" si="11">SUM(L37:L39)</f>
        <v>0</v>
      </c>
      <c r="M36" s="27">
        <f t="shared" si="11"/>
        <v>0</v>
      </c>
      <c r="N36" s="27">
        <f t="shared" si="11"/>
        <v>0</v>
      </c>
      <c r="O36" s="27">
        <f t="shared" si="11"/>
        <v>0</v>
      </c>
      <c r="P36" s="27">
        <f t="shared" si="0"/>
        <v>18773900</v>
      </c>
      <c r="S36" s="34"/>
    </row>
    <row r="37" spans="1:19" s="5" customFormat="1" ht="75.75" customHeight="1">
      <c r="A37" s="9"/>
      <c r="B37" s="9"/>
      <c r="C37" s="9"/>
      <c r="D37" s="1" t="s">
        <v>269</v>
      </c>
      <c r="E37" s="29">
        <f>F37+I37</f>
        <v>11017400</v>
      </c>
      <c r="F37" s="29">
        <f>8383700-1499000-101500+3499000+45200+690000</f>
        <v>11017400</v>
      </c>
      <c r="G37" s="29"/>
      <c r="H37" s="29"/>
      <c r="I37" s="29">
        <f>1499000-1499000</f>
        <v>0</v>
      </c>
      <c r="J37" s="29">
        <f t="shared" si="9"/>
        <v>0</v>
      </c>
      <c r="K37" s="29"/>
      <c r="L37" s="29"/>
      <c r="M37" s="29"/>
      <c r="N37" s="29"/>
      <c r="O37" s="29"/>
      <c r="P37" s="29">
        <f t="shared" si="0"/>
        <v>11017400</v>
      </c>
      <c r="S37" s="34"/>
    </row>
    <row r="38" spans="1:19" s="5" customFormat="1" ht="72.75" customHeight="1">
      <c r="A38" s="9"/>
      <c r="B38" s="9"/>
      <c r="C38" s="9"/>
      <c r="D38" s="1" t="s">
        <v>270</v>
      </c>
      <c r="E38" s="29">
        <f t="shared" ref="E38:E39" si="12">F38+I38</f>
        <v>2811900</v>
      </c>
      <c r="F38" s="29">
        <f>3011900-200000</f>
        <v>2811900</v>
      </c>
      <c r="G38" s="29"/>
      <c r="H38" s="29"/>
      <c r="I38" s="29"/>
      <c r="J38" s="29">
        <f t="shared" si="9"/>
        <v>0</v>
      </c>
      <c r="K38" s="29"/>
      <c r="L38" s="29"/>
      <c r="M38" s="29"/>
      <c r="N38" s="29"/>
      <c r="O38" s="29"/>
      <c r="P38" s="29">
        <f t="shared" si="0"/>
        <v>2811900</v>
      </c>
      <c r="S38" s="34"/>
    </row>
    <row r="39" spans="1:19" s="5" customFormat="1" ht="57" customHeight="1">
      <c r="A39" s="9"/>
      <c r="B39" s="9"/>
      <c r="C39" s="9"/>
      <c r="D39" s="1" t="s">
        <v>271</v>
      </c>
      <c r="E39" s="29">
        <f t="shared" si="12"/>
        <v>4944600</v>
      </c>
      <c r="F39" s="29">
        <f>5314600-370000</f>
        <v>4944600</v>
      </c>
      <c r="G39" s="29"/>
      <c r="H39" s="29"/>
      <c r="I39" s="29"/>
      <c r="J39" s="29">
        <f t="shared" si="9"/>
        <v>0</v>
      </c>
      <c r="K39" s="29"/>
      <c r="L39" s="29"/>
      <c r="M39" s="29"/>
      <c r="N39" s="29"/>
      <c r="O39" s="29"/>
      <c r="P39" s="29">
        <f t="shared" si="0"/>
        <v>4944600</v>
      </c>
      <c r="S39" s="34"/>
    </row>
    <row r="40" spans="1:19" ht="56.25" customHeight="1">
      <c r="A40" s="23" t="s">
        <v>326</v>
      </c>
      <c r="B40" s="23" t="s">
        <v>327</v>
      </c>
      <c r="C40" s="23" t="s">
        <v>249</v>
      </c>
      <c r="D40" s="8" t="s">
        <v>328</v>
      </c>
      <c r="E40" s="27">
        <f t="shared" si="8"/>
        <v>80000</v>
      </c>
      <c r="F40" s="27">
        <v>80000</v>
      </c>
      <c r="G40" s="27"/>
      <c r="H40" s="27"/>
      <c r="I40" s="27"/>
      <c r="J40" s="27">
        <f t="shared" si="9"/>
        <v>1344067</v>
      </c>
      <c r="K40" s="27">
        <f>5900000-4555933</f>
        <v>1344067</v>
      </c>
      <c r="L40" s="27"/>
      <c r="M40" s="27"/>
      <c r="N40" s="27"/>
      <c r="O40" s="27">
        <f>5900000-4555933</f>
        <v>1344067</v>
      </c>
      <c r="P40" s="27">
        <f t="shared" si="0"/>
        <v>1424067</v>
      </c>
      <c r="S40" s="34"/>
    </row>
    <row r="41" spans="1:19" ht="39" customHeight="1">
      <c r="A41" s="23" t="s">
        <v>272</v>
      </c>
      <c r="B41" s="23" t="s">
        <v>273</v>
      </c>
      <c r="C41" s="23" t="s">
        <v>275</v>
      </c>
      <c r="D41" s="8" t="s">
        <v>274</v>
      </c>
      <c r="E41" s="27">
        <f t="shared" si="8"/>
        <v>1722200</v>
      </c>
      <c r="F41" s="27">
        <f>SUM(F42:F47)</f>
        <v>1359500</v>
      </c>
      <c r="G41" s="27">
        <f>SUM(G42:G47)</f>
        <v>0</v>
      </c>
      <c r="H41" s="27">
        <f>SUM(H42:H47)</f>
        <v>0</v>
      </c>
      <c r="I41" s="27">
        <f>SUM(I42:I47)</f>
        <v>362700</v>
      </c>
      <c r="J41" s="27">
        <f t="shared" si="9"/>
        <v>0</v>
      </c>
      <c r="K41" s="27">
        <f>SUM(K42:K47)</f>
        <v>0</v>
      </c>
      <c r="L41" s="27">
        <f>SUM(L42:L47)</f>
        <v>0</v>
      </c>
      <c r="M41" s="27">
        <f>SUM(M42:M47)</f>
        <v>0</v>
      </c>
      <c r="N41" s="27">
        <f>SUM(N42:N47)</f>
        <v>0</v>
      </c>
      <c r="O41" s="27">
        <f>SUM(O42:O47)</f>
        <v>0</v>
      </c>
      <c r="P41" s="27">
        <f t="shared" si="0"/>
        <v>1722200</v>
      </c>
      <c r="S41" s="34"/>
    </row>
    <row r="42" spans="1:19" ht="54.75" customHeight="1">
      <c r="A42" s="23"/>
      <c r="B42" s="23"/>
      <c r="C42" s="23"/>
      <c r="D42" s="1" t="s">
        <v>19</v>
      </c>
      <c r="E42" s="29">
        <f t="shared" si="8"/>
        <v>1359700</v>
      </c>
      <c r="F42" s="29">
        <f>1177200+12500</f>
        <v>1189700</v>
      </c>
      <c r="G42" s="27"/>
      <c r="H42" s="27"/>
      <c r="I42" s="27">
        <v>170000</v>
      </c>
      <c r="J42" s="27">
        <f>L42+O42</f>
        <v>0</v>
      </c>
      <c r="K42" s="27"/>
      <c r="L42" s="27"/>
      <c r="M42" s="27"/>
      <c r="N42" s="27"/>
      <c r="O42" s="27"/>
      <c r="P42" s="29">
        <f t="shared" si="0"/>
        <v>1359700</v>
      </c>
      <c r="S42" s="34"/>
    </row>
    <row r="43" spans="1:19" ht="74.25" customHeight="1">
      <c r="A43" s="23"/>
      <c r="B43" s="23"/>
      <c r="C43" s="23"/>
      <c r="D43" s="1" t="s">
        <v>269</v>
      </c>
      <c r="E43" s="29">
        <f t="shared" si="8"/>
        <v>71300</v>
      </c>
      <c r="F43" s="29">
        <v>11500</v>
      </c>
      <c r="G43" s="27"/>
      <c r="H43" s="27"/>
      <c r="I43" s="27">
        <v>59800</v>
      </c>
      <c r="J43" s="27">
        <f>L43+O43</f>
        <v>0</v>
      </c>
      <c r="K43" s="27"/>
      <c r="L43" s="27"/>
      <c r="M43" s="27"/>
      <c r="N43" s="27"/>
      <c r="O43" s="27"/>
      <c r="P43" s="29">
        <f t="shared" si="0"/>
        <v>71300</v>
      </c>
      <c r="S43" s="34"/>
    </row>
    <row r="44" spans="1:19" ht="72" customHeight="1">
      <c r="A44" s="23"/>
      <c r="B44" s="23"/>
      <c r="C44" s="23"/>
      <c r="D44" s="1" t="s">
        <v>270</v>
      </c>
      <c r="E44" s="29">
        <f t="shared" si="8"/>
        <v>20900</v>
      </c>
      <c r="F44" s="29">
        <v>20900</v>
      </c>
      <c r="G44" s="27"/>
      <c r="H44" s="27"/>
      <c r="I44" s="27"/>
      <c r="J44" s="27"/>
      <c r="K44" s="27"/>
      <c r="L44" s="27"/>
      <c r="M44" s="27"/>
      <c r="N44" s="27"/>
      <c r="O44" s="27"/>
      <c r="P44" s="29">
        <f t="shared" si="0"/>
        <v>20900</v>
      </c>
      <c r="S44" s="34"/>
    </row>
    <row r="45" spans="1:19" ht="72" customHeight="1">
      <c r="A45" s="23"/>
      <c r="B45" s="23"/>
      <c r="C45" s="23"/>
      <c r="D45" s="1" t="s">
        <v>271</v>
      </c>
      <c r="E45" s="29">
        <f t="shared" si="8"/>
        <v>11500</v>
      </c>
      <c r="F45" s="29">
        <v>11500</v>
      </c>
      <c r="G45" s="27"/>
      <c r="H45" s="27"/>
      <c r="I45" s="27"/>
      <c r="J45" s="27">
        <f t="shared" ref="J45:J49" si="13">L45+O45</f>
        <v>0</v>
      </c>
      <c r="K45" s="27"/>
      <c r="L45" s="27"/>
      <c r="M45" s="27"/>
      <c r="N45" s="27"/>
      <c r="O45" s="27"/>
      <c r="P45" s="29">
        <f t="shared" si="0"/>
        <v>11500</v>
      </c>
      <c r="S45" s="34"/>
    </row>
    <row r="46" spans="1:19" ht="93" customHeight="1">
      <c r="A46" s="23"/>
      <c r="B46" s="23"/>
      <c r="C46" s="23"/>
      <c r="D46" s="1" t="s">
        <v>289</v>
      </c>
      <c r="E46" s="29">
        <f t="shared" si="8"/>
        <v>132900</v>
      </c>
      <c r="F46" s="29"/>
      <c r="G46" s="27"/>
      <c r="H46" s="27"/>
      <c r="I46" s="29">
        <v>132900</v>
      </c>
      <c r="J46" s="27">
        <f t="shared" si="13"/>
        <v>0</v>
      </c>
      <c r="K46" s="27"/>
      <c r="L46" s="27"/>
      <c r="M46" s="27"/>
      <c r="N46" s="27"/>
      <c r="O46" s="27"/>
      <c r="P46" s="29">
        <f t="shared" si="0"/>
        <v>132900</v>
      </c>
      <c r="S46" s="34"/>
    </row>
    <row r="47" spans="1:19" ht="53.25" customHeight="1">
      <c r="A47" s="23"/>
      <c r="B47" s="23"/>
      <c r="C47" s="23"/>
      <c r="D47" s="1" t="s">
        <v>290</v>
      </c>
      <c r="E47" s="29">
        <f t="shared" si="8"/>
        <v>125900</v>
      </c>
      <c r="F47" s="29">
        <v>125900</v>
      </c>
      <c r="G47" s="27"/>
      <c r="H47" s="27"/>
      <c r="I47" s="27"/>
      <c r="J47" s="27">
        <f t="shared" si="13"/>
        <v>0</v>
      </c>
      <c r="K47" s="27"/>
      <c r="L47" s="27"/>
      <c r="M47" s="27"/>
      <c r="N47" s="27"/>
      <c r="O47" s="27"/>
      <c r="P47" s="29">
        <f t="shared" si="0"/>
        <v>125900</v>
      </c>
      <c r="S47" s="34"/>
    </row>
    <row r="48" spans="1:19" ht="53.25" customHeight="1">
      <c r="A48" s="23" t="s">
        <v>331</v>
      </c>
      <c r="B48" s="23" t="s">
        <v>332</v>
      </c>
      <c r="C48" s="23" t="s">
        <v>334</v>
      </c>
      <c r="D48" s="8" t="s">
        <v>333</v>
      </c>
      <c r="E48" s="27">
        <f>F48+I48</f>
        <v>500000</v>
      </c>
      <c r="F48" s="27"/>
      <c r="G48" s="27"/>
      <c r="H48" s="27"/>
      <c r="I48" s="27">
        <v>500000</v>
      </c>
      <c r="J48" s="27">
        <f t="shared" si="13"/>
        <v>0</v>
      </c>
      <c r="K48" s="27"/>
      <c r="L48" s="27"/>
      <c r="M48" s="27"/>
      <c r="N48" s="27"/>
      <c r="O48" s="27"/>
      <c r="P48" s="27">
        <f>E48 + J48</f>
        <v>500000</v>
      </c>
      <c r="S48" s="34"/>
    </row>
    <row r="49" spans="1:19" ht="39" customHeight="1">
      <c r="A49" s="23" t="s">
        <v>351</v>
      </c>
      <c r="B49" s="23" t="s">
        <v>352</v>
      </c>
      <c r="C49" s="23" t="s">
        <v>354</v>
      </c>
      <c r="D49" s="8" t="s">
        <v>353</v>
      </c>
      <c r="E49" s="27">
        <f>F49+I49</f>
        <v>374197</v>
      </c>
      <c r="F49" s="27"/>
      <c r="G49" s="27"/>
      <c r="H49" s="27"/>
      <c r="I49" s="27">
        <v>374197</v>
      </c>
      <c r="J49" s="27">
        <f t="shared" si="13"/>
        <v>0</v>
      </c>
      <c r="K49" s="27"/>
      <c r="L49" s="27"/>
      <c r="M49" s="27"/>
      <c r="N49" s="27"/>
      <c r="O49" s="27"/>
      <c r="P49" s="27">
        <f>E49 + J49</f>
        <v>374197</v>
      </c>
      <c r="S49" s="34"/>
    </row>
    <row r="50" spans="1:19" ht="31.2">
      <c r="A50" s="24" t="s">
        <v>56</v>
      </c>
      <c r="B50" s="24" t="s">
        <v>57</v>
      </c>
      <c r="C50" s="24" t="s">
        <v>58</v>
      </c>
      <c r="D50" s="8" t="s">
        <v>59</v>
      </c>
      <c r="E50" s="27">
        <f>F50+I50</f>
        <v>232000</v>
      </c>
      <c r="F50" s="27">
        <v>232000</v>
      </c>
      <c r="G50" s="27">
        <v>0</v>
      </c>
      <c r="H50" s="27">
        <v>0</v>
      </c>
      <c r="I50" s="27">
        <v>0</v>
      </c>
      <c r="J50" s="27">
        <f>L50+O50</f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f>E50 + J50</f>
        <v>232000</v>
      </c>
      <c r="S50" s="34"/>
    </row>
    <row r="51" spans="1:19" ht="31.2">
      <c r="A51" s="23" t="s">
        <v>335</v>
      </c>
      <c r="B51" s="24">
        <v>7693</v>
      </c>
      <c r="C51" s="23" t="s">
        <v>58</v>
      </c>
      <c r="D51" s="8" t="s">
        <v>336</v>
      </c>
      <c r="E51" s="27">
        <f>F51+I51</f>
        <v>4668045</v>
      </c>
      <c r="F51" s="27">
        <f>154856938-977000-1040000-1500000-12000000-2000000-130430018-572350+470500-300000-1780025-60000</f>
        <v>4668045</v>
      </c>
      <c r="G51" s="27"/>
      <c r="H51" s="27"/>
      <c r="I51" s="27"/>
      <c r="J51" s="27">
        <f>L51+O51</f>
        <v>0</v>
      </c>
      <c r="K51" s="27">
        <f>1734800-1734800</f>
        <v>0</v>
      </c>
      <c r="L51" s="27"/>
      <c r="M51" s="27"/>
      <c r="N51" s="27"/>
      <c r="O51" s="27">
        <f>1734800-1734800</f>
        <v>0</v>
      </c>
      <c r="P51" s="27">
        <f>E51 + J51</f>
        <v>4668045</v>
      </c>
      <c r="S51" s="34"/>
    </row>
    <row r="52" spans="1:19" ht="46.8">
      <c r="A52" s="23" t="s">
        <v>276</v>
      </c>
      <c r="B52" s="23">
        <v>8110</v>
      </c>
      <c r="C52" s="23" t="s">
        <v>233</v>
      </c>
      <c r="D52" s="8" t="s">
        <v>234</v>
      </c>
      <c r="E52" s="27">
        <f>F52+I52</f>
        <v>12322520</v>
      </c>
      <c r="F52" s="27">
        <f>SUM(F53:F59)</f>
        <v>12322520</v>
      </c>
      <c r="G52" s="27"/>
      <c r="H52" s="27"/>
      <c r="I52" s="27"/>
      <c r="J52" s="27"/>
      <c r="K52" s="27"/>
      <c r="L52" s="27"/>
      <c r="M52" s="27"/>
      <c r="N52" s="27"/>
      <c r="O52" s="27"/>
      <c r="P52" s="27">
        <f>E52 + J52</f>
        <v>12322520</v>
      </c>
      <c r="S52" s="34"/>
    </row>
    <row r="53" spans="1:19" s="5" customFormat="1" ht="46.8">
      <c r="A53" s="11"/>
      <c r="B53" s="11"/>
      <c r="C53" s="11"/>
      <c r="D53" s="1" t="s">
        <v>19</v>
      </c>
      <c r="E53" s="29">
        <f t="shared" ref="E53:E57" si="14">F53+I53</f>
        <v>10864920</v>
      </c>
      <c r="F53" s="29">
        <f>301900+105000-64050+11000+15000+10496070</f>
        <v>10864920</v>
      </c>
      <c r="G53" s="29"/>
      <c r="H53" s="29"/>
      <c r="I53" s="29"/>
      <c r="J53" s="29"/>
      <c r="K53" s="29"/>
      <c r="L53" s="29"/>
      <c r="M53" s="29"/>
      <c r="N53" s="29"/>
      <c r="O53" s="29"/>
      <c r="P53" s="29">
        <f t="shared" ref="P53:P59" si="15">E53 + J53</f>
        <v>10864920</v>
      </c>
      <c r="S53" s="34"/>
    </row>
    <row r="54" spans="1:19" s="5" customFormat="1" ht="62.4">
      <c r="A54" s="11"/>
      <c r="B54" s="11"/>
      <c r="C54" s="11"/>
      <c r="D54" s="1" t="s">
        <v>269</v>
      </c>
      <c r="E54" s="29">
        <f t="shared" si="14"/>
        <v>116500</v>
      </c>
      <c r="F54" s="29">
        <f>15000+101500</f>
        <v>116500</v>
      </c>
      <c r="G54" s="29"/>
      <c r="H54" s="29"/>
      <c r="I54" s="29"/>
      <c r="J54" s="29"/>
      <c r="K54" s="29"/>
      <c r="L54" s="29"/>
      <c r="M54" s="29"/>
      <c r="N54" s="29"/>
      <c r="O54" s="29"/>
      <c r="P54" s="29">
        <f t="shared" si="15"/>
        <v>116500</v>
      </c>
      <c r="S54" s="34"/>
    </row>
    <row r="55" spans="1:19" s="5" customFormat="1" ht="62.4">
      <c r="A55" s="11"/>
      <c r="B55" s="11"/>
      <c r="C55" s="11"/>
      <c r="D55" s="1" t="s">
        <v>270</v>
      </c>
      <c r="E55" s="29">
        <f t="shared" si="14"/>
        <v>13000</v>
      </c>
      <c r="F55" s="29">
        <v>13000</v>
      </c>
      <c r="G55" s="29"/>
      <c r="H55" s="29"/>
      <c r="I55" s="29"/>
      <c r="J55" s="29"/>
      <c r="K55" s="29"/>
      <c r="L55" s="29"/>
      <c r="M55" s="29"/>
      <c r="N55" s="29"/>
      <c r="O55" s="29"/>
      <c r="P55" s="29">
        <f t="shared" si="15"/>
        <v>13000</v>
      </c>
      <c r="S55" s="34"/>
    </row>
    <row r="56" spans="1:19" s="5" customFormat="1" ht="46.8">
      <c r="A56" s="11"/>
      <c r="B56" s="11"/>
      <c r="C56" s="11"/>
      <c r="D56" s="1" t="s">
        <v>271</v>
      </c>
      <c r="E56" s="29">
        <f t="shared" si="14"/>
        <v>13000</v>
      </c>
      <c r="F56" s="29">
        <v>13000</v>
      </c>
      <c r="G56" s="29"/>
      <c r="H56" s="29"/>
      <c r="I56" s="29"/>
      <c r="J56" s="29"/>
      <c r="K56" s="29"/>
      <c r="L56" s="29"/>
      <c r="M56" s="29"/>
      <c r="N56" s="29"/>
      <c r="O56" s="29"/>
      <c r="P56" s="29">
        <f t="shared" si="15"/>
        <v>13000</v>
      </c>
      <c r="S56" s="34"/>
    </row>
    <row r="57" spans="1:19" s="5" customFormat="1" ht="46.8">
      <c r="A57" s="11"/>
      <c r="B57" s="11"/>
      <c r="C57" s="11"/>
      <c r="D57" s="1" t="s">
        <v>291</v>
      </c>
      <c r="E57" s="29">
        <f t="shared" si="14"/>
        <v>994500</v>
      </c>
      <c r="F57" s="29">
        <v>994500</v>
      </c>
      <c r="G57" s="29"/>
      <c r="H57" s="29"/>
      <c r="I57" s="29"/>
      <c r="J57" s="29"/>
      <c r="K57" s="29"/>
      <c r="L57" s="29"/>
      <c r="M57" s="29"/>
      <c r="N57" s="29"/>
      <c r="O57" s="29"/>
      <c r="P57" s="29">
        <f t="shared" si="15"/>
        <v>994500</v>
      </c>
      <c r="S57" s="34"/>
    </row>
    <row r="58" spans="1:19" s="5" customFormat="1" ht="62.4">
      <c r="A58" s="11"/>
      <c r="B58" s="11"/>
      <c r="C58" s="11"/>
      <c r="D58" s="1" t="s">
        <v>289</v>
      </c>
      <c r="E58" s="29">
        <f>F58+I58</f>
        <v>267100</v>
      </c>
      <c r="F58" s="29">
        <v>267100</v>
      </c>
      <c r="G58" s="29"/>
      <c r="H58" s="29"/>
      <c r="I58" s="29"/>
      <c r="J58" s="29"/>
      <c r="K58" s="29"/>
      <c r="L58" s="29"/>
      <c r="M58" s="29"/>
      <c r="N58" s="29"/>
      <c r="O58" s="29"/>
      <c r="P58" s="29">
        <f t="shared" si="15"/>
        <v>267100</v>
      </c>
      <c r="S58" s="34"/>
    </row>
    <row r="59" spans="1:19" s="5" customFormat="1" ht="62.4">
      <c r="A59" s="11"/>
      <c r="B59" s="11"/>
      <c r="C59" s="11"/>
      <c r="D59" s="1" t="s">
        <v>292</v>
      </c>
      <c r="E59" s="29">
        <f>F59+I59</f>
        <v>53500</v>
      </c>
      <c r="F59" s="29">
        <v>53500</v>
      </c>
      <c r="G59" s="29"/>
      <c r="H59" s="29"/>
      <c r="I59" s="29"/>
      <c r="J59" s="29"/>
      <c r="K59" s="29"/>
      <c r="L59" s="29"/>
      <c r="M59" s="29"/>
      <c r="N59" s="29"/>
      <c r="O59" s="29"/>
      <c r="P59" s="29">
        <f t="shared" si="15"/>
        <v>53500</v>
      </c>
      <c r="S59" s="34"/>
    </row>
    <row r="60" spans="1:19" ht="31.2">
      <c r="A60" s="24" t="s">
        <v>60</v>
      </c>
      <c r="B60" s="24" t="s">
        <v>61</v>
      </c>
      <c r="C60" s="24" t="s">
        <v>62</v>
      </c>
      <c r="D60" s="8" t="s">
        <v>63</v>
      </c>
      <c r="E60" s="27">
        <f t="shared" si="8"/>
        <v>28177825</v>
      </c>
      <c r="F60" s="27">
        <f>26495000+1139000+1100000-556175</f>
        <v>28177825</v>
      </c>
      <c r="G60" s="27">
        <f>23147800+1139000+1100000</f>
        <v>25386800</v>
      </c>
      <c r="H60" s="27">
        <v>58500</v>
      </c>
      <c r="I60" s="27">
        <v>0</v>
      </c>
      <c r="J60" s="27">
        <f t="shared" si="9"/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f t="shared" si="0"/>
        <v>28177825</v>
      </c>
      <c r="S60" s="34"/>
    </row>
    <row r="61" spans="1:19" ht="31.2">
      <c r="A61" s="24" t="s">
        <v>64</v>
      </c>
      <c r="B61" s="24" t="s">
        <v>65</v>
      </c>
      <c r="C61" s="24" t="s">
        <v>62</v>
      </c>
      <c r="D61" s="8" t="s">
        <v>66</v>
      </c>
      <c r="E61" s="27">
        <f t="shared" si="8"/>
        <v>873900</v>
      </c>
      <c r="F61" s="27">
        <v>873900</v>
      </c>
      <c r="G61" s="27">
        <v>0</v>
      </c>
      <c r="H61" s="27">
        <v>0</v>
      </c>
      <c r="I61" s="27">
        <v>0</v>
      </c>
      <c r="J61" s="27">
        <f t="shared" si="9"/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f t="shared" si="0"/>
        <v>873900</v>
      </c>
      <c r="S61" s="34"/>
    </row>
    <row r="62" spans="1:19" ht="31.2">
      <c r="A62" s="24" t="s">
        <v>67</v>
      </c>
      <c r="B62" s="24" t="s">
        <v>68</v>
      </c>
      <c r="C62" s="24" t="s">
        <v>62</v>
      </c>
      <c r="D62" s="8" t="s">
        <v>69</v>
      </c>
      <c r="E62" s="27">
        <f t="shared" si="8"/>
        <v>4652480</v>
      </c>
      <c r="F62" s="27">
        <f>3336000+405280+355025</f>
        <v>4096305</v>
      </c>
      <c r="G62" s="27">
        <v>0</v>
      </c>
      <c r="H62" s="27">
        <v>0</v>
      </c>
      <c r="I62" s="27">
        <f>556175</f>
        <v>556175</v>
      </c>
      <c r="J62" s="27">
        <f t="shared" si="9"/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f t="shared" si="0"/>
        <v>4652480</v>
      </c>
      <c r="S62" s="34"/>
    </row>
    <row r="63" spans="1:19" ht="31.2">
      <c r="A63" s="23" t="s">
        <v>355</v>
      </c>
      <c r="B63" s="23" t="s">
        <v>252</v>
      </c>
      <c r="C63" s="23" t="s">
        <v>62</v>
      </c>
      <c r="D63" s="8" t="s">
        <v>356</v>
      </c>
      <c r="E63" s="27">
        <f t="shared" si="8"/>
        <v>285480</v>
      </c>
      <c r="F63" s="27">
        <v>285480</v>
      </c>
      <c r="G63" s="27"/>
      <c r="H63" s="27"/>
      <c r="I63" s="27"/>
      <c r="J63" s="27">
        <f t="shared" si="9"/>
        <v>0</v>
      </c>
      <c r="K63" s="27"/>
      <c r="L63" s="27"/>
      <c r="M63" s="27"/>
      <c r="N63" s="27"/>
      <c r="O63" s="27"/>
      <c r="P63" s="27">
        <f t="shared" si="0"/>
        <v>285480</v>
      </c>
      <c r="S63" s="34"/>
    </row>
    <row r="64" spans="1:19" ht="31.2">
      <c r="A64" s="23" t="s">
        <v>268</v>
      </c>
      <c r="B64" s="24">
        <v>8340</v>
      </c>
      <c r="C64" s="24" t="s">
        <v>266</v>
      </c>
      <c r="D64" s="8" t="s">
        <v>267</v>
      </c>
      <c r="E64" s="27">
        <f t="shared" si="8"/>
        <v>0</v>
      </c>
      <c r="F64" s="27"/>
      <c r="G64" s="27"/>
      <c r="H64" s="27"/>
      <c r="I64" s="27"/>
      <c r="J64" s="27">
        <f t="shared" si="9"/>
        <v>100000</v>
      </c>
      <c r="K64" s="27"/>
      <c r="L64" s="27">
        <v>100000</v>
      </c>
      <c r="M64" s="27"/>
      <c r="N64" s="27"/>
      <c r="O64" s="27">
        <v>0</v>
      </c>
      <c r="P64" s="27">
        <f t="shared" si="0"/>
        <v>100000</v>
      </c>
      <c r="S64" s="34"/>
    </row>
    <row r="65" spans="1:19" ht="78">
      <c r="A65" s="23" t="s">
        <v>416</v>
      </c>
      <c r="B65" s="24">
        <v>8721</v>
      </c>
      <c r="C65" s="23" t="s">
        <v>47</v>
      </c>
      <c r="D65" s="8" t="s">
        <v>417</v>
      </c>
      <c r="E65" s="27">
        <f t="shared" si="8"/>
        <v>185000</v>
      </c>
      <c r="F65" s="27">
        <v>185000</v>
      </c>
      <c r="G65" s="27"/>
      <c r="H65" s="27"/>
      <c r="I65" s="27"/>
      <c r="J65" s="27"/>
      <c r="K65" s="27"/>
      <c r="L65" s="27"/>
      <c r="M65" s="27"/>
      <c r="N65" s="27"/>
      <c r="O65" s="27"/>
      <c r="P65" s="27">
        <f t="shared" si="0"/>
        <v>185000</v>
      </c>
      <c r="S65" s="34"/>
    </row>
    <row r="66" spans="1:19" ht="46.8">
      <c r="A66" s="6" t="s">
        <v>70</v>
      </c>
      <c r="B66" s="6" t="s">
        <v>18</v>
      </c>
      <c r="C66" s="6" t="s">
        <v>18</v>
      </c>
      <c r="D66" s="7" t="s">
        <v>71</v>
      </c>
      <c r="E66" s="26">
        <f>F66+I66</f>
        <v>541396559</v>
      </c>
      <c r="F66" s="26">
        <f>F67</f>
        <v>524774054.04999995</v>
      </c>
      <c r="G66" s="26">
        <f>G67</f>
        <v>358089442</v>
      </c>
      <c r="H66" s="26">
        <f>H67</f>
        <v>43078799.999999993</v>
      </c>
      <c r="I66" s="26">
        <f>I67</f>
        <v>16622504.949999999</v>
      </c>
      <c r="J66" s="26">
        <f>L66+O66</f>
        <v>24000958</v>
      </c>
      <c r="K66" s="26">
        <f>K67</f>
        <v>6179528</v>
      </c>
      <c r="L66" s="26">
        <f t="shared" ref="L66:O66" si="16">L67</f>
        <v>17821430</v>
      </c>
      <c r="M66" s="26">
        <f t="shared" si="16"/>
        <v>0</v>
      </c>
      <c r="N66" s="26">
        <f t="shared" si="16"/>
        <v>0</v>
      </c>
      <c r="O66" s="26">
        <f t="shared" si="16"/>
        <v>6179528</v>
      </c>
      <c r="P66" s="26">
        <f t="shared" si="0"/>
        <v>565397517</v>
      </c>
      <c r="Q66" s="34"/>
      <c r="S66" s="34"/>
    </row>
    <row r="67" spans="1:19" ht="46.8">
      <c r="A67" s="6" t="s">
        <v>72</v>
      </c>
      <c r="B67" s="6" t="s">
        <v>18</v>
      </c>
      <c r="C67" s="6" t="s">
        <v>18</v>
      </c>
      <c r="D67" s="7" t="s">
        <v>71</v>
      </c>
      <c r="E67" s="26">
        <f>F67+I67</f>
        <v>541396559</v>
      </c>
      <c r="F67" s="26">
        <f>SUM(F68:F96)-F75-F76</f>
        <v>524774054.04999995</v>
      </c>
      <c r="G67" s="26">
        <f t="shared" ref="G67:K67" si="17">SUM(G68:G96)-G75-G76</f>
        <v>358089442</v>
      </c>
      <c r="H67" s="26">
        <f t="shared" si="17"/>
        <v>43078799.999999993</v>
      </c>
      <c r="I67" s="26">
        <f t="shared" si="17"/>
        <v>16622504.949999999</v>
      </c>
      <c r="J67" s="26">
        <f>L67+O67</f>
        <v>24000958</v>
      </c>
      <c r="K67" s="26">
        <f t="shared" si="17"/>
        <v>6179528</v>
      </c>
      <c r="L67" s="26">
        <f t="shared" ref="L67" si="18">SUM(L68:L96)-L75-L76</f>
        <v>17821430</v>
      </c>
      <c r="M67" s="26">
        <f t="shared" ref="M67" si="19">SUM(M68:M96)-M75-M76</f>
        <v>0</v>
      </c>
      <c r="N67" s="26">
        <f t="shared" ref="N67" si="20">SUM(N68:N96)-N75-N76</f>
        <v>0</v>
      </c>
      <c r="O67" s="26">
        <f t="shared" ref="O67" si="21">SUM(O68:O96)-O75-O76</f>
        <v>6179528</v>
      </c>
      <c r="P67" s="26">
        <f>E67 + J67</f>
        <v>565397517</v>
      </c>
      <c r="S67" s="34"/>
    </row>
    <row r="68" spans="1:19" ht="55.5" customHeight="1">
      <c r="A68" s="24" t="s">
        <v>73</v>
      </c>
      <c r="B68" s="24" t="s">
        <v>74</v>
      </c>
      <c r="C68" s="24" t="s">
        <v>23</v>
      </c>
      <c r="D68" s="8" t="s">
        <v>75</v>
      </c>
      <c r="E68" s="27">
        <f>F68+I68</f>
        <v>6513630.8399999999</v>
      </c>
      <c r="F68" s="27">
        <f>6509700+3930.84</f>
        <v>6513630.8399999999</v>
      </c>
      <c r="G68" s="27">
        <v>6022100</v>
      </c>
      <c r="H68" s="27">
        <f>407800+3930.84</f>
        <v>411730.84</v>
      </c>
      <c r="I68" s="27">
        <v>0</v>
      </c>
      <c r="J68" s="27">
        <f>L68+O68</f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f t="shared" si="0"/>
        <v>6513630.8399999999</v>
      </c>
      <c r="S68" s="34"/>
    </row>
    <row r="69" spans="1:19" ht="46.8">
      <c r="A69" s="23" t="s">
        <v>337</v>
      </c>
      <c r="B69" s="24" t="s">
        <v>26</v>
      </c>
      <c r="C69" s="24" t="s">
        <v>27</v>
      </c>
      <c r="D69" s="8" t="s">
        <v>28</v>
      </c>
      <c r="E69" s="27">
        <f t="shared" ref="E69" si="22">F69+I69</f>
        <v>2700</v>
      </c>
      <c r="F69" s="27">
        <v>2700</v>
      </c>
      <c r="G69" s="27">
        <v>0</v>
      </c>
      <c r="H69" s="27">
        <v>0</v>
      </c>
      <c r="I69" s="27">
        <v>0</v>
      </c>
      <c r="J69" s="27">
        <f t="shared" ref="J69" si="23">L69+O69</f>
        <v>0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  <c r="P69" s="27">
        <f t="shared" ref="P69" si="24">E69 + J69</f>
        <v>2700</v>
      </c>
      <c r="S69" s="34"/>
    </row>
    <row r="70" spans="1:19" ht="22.5" customHeight="1">
      <c r="A70" s="24" t="s">
        <v>76</v>
      </c>
      <c r="B70" s="24" t="s">
        <v>77</v>
      </c>
      <c r="C70" s="24" t="s">
        <v>78</v>
      </c>
      <c r="D70" s="8" t="s">
        <v>79</v>
      </c>
      <c r="E70" s="27">
        <f t="shared" ref="E70:E95" si="25">F70+I70</f>
        <v>111817661.25</v>
      </c>
      <c r="F70" s="27">
        <f>113243600-1727900-1300000+1727900-2110600+111410+1389551.25+483700</f>
        <v>111817661.25</v>
      </c>
      <c r="G70" s="27">
        <f>85400000-2600000+111410</f>
        <v>82911410</v>
      </c>
      <c r="H70" s="27">
        <f>14999000+1489400+374551.25</f>
        <v>16862951.25</v>
      </c>
      <c r="I70" s="27">
        <v>0</v>
      </c>
      <c r="J70" s="27">
        <f t="shared" ref="J70:J96" si="26">L70+O70</f>
        <v>10286500</v>
      </c>
      <c r="K70" s="27">
        <v>0</v>
      </c>
      <c r="L70" s="27">
        <v>10286500</v>
      </c>
      <c r="M70" s="27">
        <v>0</v>
      </c>
      <c r="N70" s="27">
        <v>0</v>
      </c>
      <c r="O70" s="27">
        <v>0</v>
      </c>
      <c r="P70" s="27">
        <f t="shared" si="0"/>
        <v>122104161.25</v>
      </c>
      <c r="Q70" s="34"/>
      <c r="S70" s="34"/>
    </row>
    <row r="71" spans="1:19" ht="60.75" customHeight="1">
      <c r="A71" s="24" t="s">
        <v>80</v>
      </c>
      <c r="B71" s="24" t="s">
        <v>81</v>
      </c>
      <c r="C71" s="24" t="s">
        <v>82</v>
      </c>
      <c r="D71" s="8" t="s">
        <v>83</v>
      </c>
      <c r="E71" s="27">
        <f t="shared" si="25"/>
        <v>136791332.18000001</v>
      </c>
      <c r="F71" s="27">
        <f>130896400-5747800+1583000-326283+973745.05+214873+323342.18+959800+4900000</f>
        <v>133777077.23</v>
      </c>
      <c r="G71" s="27">
        <f>39122800+15000000+214873</f>
        <v>54337673</v>
      </c>
      <c r="H71" s="27">
        <f>18380000+1583000+351481.36-1002139.18</f>
        <v>19312342.18</v>
      </c>
      <c r="I71" s="27">
        <f>2438000+1550000-973745.05</f>
        <v>3014254.95</v>
      </c>
      <c r="J71" s="27">
        <f t="shared" si="26"/>
        <v>313499</v>
      </c>
      <c r="K71" s="27">
        <v>0</v>
      </c>
      <c r="L71" s="27">
        <v>313499</v>
      </c>
      <c r="M71" s="27">
        <v>0</v>
      </c>
      <c r="N71" s="27">
        <v>0</v>
      </c>
      <c r="O71" s="27">
        <v>0</v>
      </c>
      <c r="P71" s="27">
        <f t="shared" si="0"/>
        <v>137104831.18000001</v>
      </c>
      <c r="Q71" s="34"/>
      <c r="S71" s="34"/>
    </row>
    <row r="72" spans="1:19" ht="109.5" customHeight="1">
      <c r="A72" s="24" t="s">
        <v>84</v>
      </c>
      <c r="B72" s="24" t="s">
        <v>85</v>
      </c>
      <c r="C72" s="24" t="s">
        <v>86</v>
      </c>
      <c r="D72" s="8" t="s">
        <v>87</v>
      </c>
      <c r="E72" s="27">
        <f t="shared" si="25"/>
        <v>14880738.359999999</v>
      </c>
      <c r="F72" s="27">
        <f>15836500-712800-475000+98338.36+133700</f>
        <v>14880738.359999999</v>
      </c>
      <c r="G72" s="27">
        <f>8200000+1100000</f>
        <v>9300000</v>
      </c>
      <c r="H72" s="27">
        <f>1606900+25000+48338.36</f>
        <v>1680238.36</v>
      </c>
      <c r="I72" s="27">
        <v>0</v>
      </c>
      <c r="J72" s="27">
        <f t="shared" si="26"/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f t="shared" si="0"/>
        <v>14880738.359999999</v>
      </c>
      <c r="Q72" s="34"/>
      <c r="S72" s="34"/>
    </row>
    <row r="73" spans="1:19" s="12" customFormat="1" ht="53.25" customHeight="1">
      <c r="A73" s="24" t="s">
        <v>88</v>
      </c>
      <c r="B73" s="24" t="s">
        <v>89</v>
      </c>
      <c r="C73" s="24" t="s">
        <v>82</v>
      </c>
      <c r="D73" s="8" t="s">
        <v>90</v>
      </c>
      <c r="E73" s="27">
        <f t="shared" si="25"/>
        <v>124892200</v>
      </c>
      <c r="F73" s="27">
        <f>F75+F76</f>
        <v>124892200</v>
      </c>
      <c r="G73" s="27">
        <f t="shared" ref="G73:I73" si="27">G75+G76</f>
        <v>124892200</v>
      </c>
      <c r="H73" s="27">
        <f t="shared" si="27"/>
        <v>0</v>
      </c>
      <c r="I73" s="27">
        <f t="shared" si="27"/>
        <v>0</v>
      </c>
      <c r="J73" s="27">
        <f t="shared" si="26"/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f t="shared" si="0"/>
        <v>124892200</v>
      </c>
      <c r="Q73" s="36"/>
      <c r="S73" s="34"/>
    </row>
    <row r="74" spans="1:19" s="25" customFormat="1">
      <c r="A74" s="9"/>
      <c r="B74" s="9"/>
      <c r="C74" s="9"/>
      <c r="D74" s="1" t="s">
        <v>323</v>
      </c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S74" s="34"/>
    </row>
    <row r="75" spans="1:19" s="25" customFormat="1" ht="31.2">
      <c r="A75" s="9"/>
      <c r="B75" s="9"/>
      <c r="C75" s="9"/>
      <c r="D75" s="1" t="s">
        <v>324</v>
      </c>
      <c r="E75" s="29">
        <f t="shared" ref="E75:E76" si="28">F75+I75</f>
        <v>124668900</v>
      </c>
      <c r="F75" s="29">
        <v>124668900</v>
      </c>
      <c r="G75" s="29">
        <v>124668900</v>
      </c>
      <c r="H75" s="29"/>
      <c r="I75" s="29"/>
      <c r="J75" s="29"/>
      <c r="K75" s="29"/>
      <c r="L75" s="29"/>
      <c r="M75" s="29"/>
      <c r="N75" s="29"/>
      <c r="O75" s="29"/>
      <c r="P75" s="29">
        <f t="shared" si="0"/>
        <v>124668900</v>
      </c>
      <c r="S75" s="34"/>
    </row>
    <row r="76" spans="1:19" s="25" customFormat="1" ht="31.2">
      <c r="A76" s="9"/>
      <c r="B76" s="9"/>
      <c r="C76" s="9"/>
      <c r="D76" s="1" t="s">
        <v>358</v>
      </c>
      <c r="E76" s="29">
        <f t="shared" si="28"/>
        <v>223300</v>
      </c>
      <c r="F76" s="29">
        <f>223664-364</f>
        <v>223300</v>
      </c>
      <c r="G76" s="29">
        <f>223664-364</f>
        <v>223300</v>
      </c>
      <c r="H76" s="29"/>
      <c r="I76" s="29"/>
      <c r="J76" s="29"/>
      <c r="K76" s="29"/>
      <c r="L76" s="29"/>
      <c r="M76" s="29"/>
      <c r="N76" s="29"/>
      <c r="O76" s="29"/>
      <c r="P76" s="29">
        <f t="shared" si="0"/>
        <v>223300</v>
      </c>
      <c r="S76" s="34"/>
    </row>
    <row r="77" spans="1:19" s="12" customFormat="1" ht="107.25" customHeight="1">
      <c r="A77" s="24" t="s">
        <v>91</v>
      </c>
      <c r="B77" s="24" t="s">
        <v>92</v>
      </c>
      <c r="C77" s="24" t="s">
        <v>86</v>
      </c>
      <c r="D77" s="8" t="s">
        <v>93</v>
      </c>
      <c r="E77" s="27">
        <f t="shared" si="25"/>
        <v>12500000</v>
      </c>
      <c r="F77" s="27">
        <v>12500000</v>
      </c>
      <c r="G77" s="27">
        <v>12500000</v>
      </c>
      <c r="H77" s="27">
        <v>0</v>
      </c>
      <c r="I77" s="27">
        <v>0</v>
      </c>
      <c r="J77" s="27">
        <f t="shared" si="26"/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27">
        <f t="shared" si="0"/>
        <v>12500000</v>
      </c>
      <c r="S77" s="34"/>
    </row>
    <row r="78" spans="1:19" ht="57" customHeight="1">
      <c r="A78" s="24" t="s">
        <v>94</v>
      </c>
      <c r="B78" s="24" t="s">
        <v>95</v>
      </c>
      <c r="C78" s="24" t="s">
        <v>96</v>
      </c>
      <c r="D78" s="8" t="s">
        <v>97</v>
      </c>
      <c r="E78" s="27">
        <f t="shared" si="25"/>
        <v>23736459.100000001</v>
      </c>
      <c r="F78" s="27">
        <f>23353200+2600+265459.1+115200</f>
        <v>23736459.100000001</v>
      </c>
      <c r="G78" s="27">
        <v>19600000</v>
      </c>
      <c r="H78" s="27">
        <f>1122500+2600+205459.1</f>
        <v>1330559.1000000001</v>
      </c>
      <c r="I78" s="27">
        <v>0</v>
      </c>
      <c r="J78" s="27">
        <f t="shared" si="26"/>
        <v>200000</v>
      </c>
      <c r="K78" s="27">
        <v>0</v>
      </c>
      <c r="L78" s="27">
        <v>200000</v>
      </c>
      <c r="M78" s="27">
        <v>0</v>
      </c>
      <c r="N78" s="27">
        <v>0</v>
      </c>
      <c r="O78" s="27">
        <v>0</v>
      </c>
      <c r="P78" s="27">
        <f t="shared" si="0"/>
        <v>23936459.100000001</v>
      </c>
      <c r="Q78" s="34"/>
      <c r="S78" s="34"/>
    </row>
    <row r="79" spans="1:19" ht="48.75" customHeight="1">
      <c r="A79" s="24" t="s">
        <v>98</v>
      </c>
      <c r="B79" s="24" t="s">
        <v>99</v>
      </c>
      <c r="C79" s="24" t="s">
        <v>100</v>
      </c>
      <c r="D79" s="8" t="s">
        <v>101</v>
      </c>
      <c r="E79" s="27">
        <f t="shared" si="25"/>
        <v>16500</v>
      </c>
      <c r="F79" s="27">
        <v>16500</v>
      </c>
      <c r="G79" s="27">
        <v>0</v>
      </c>
      <c r="H79" s="27">
        <v>0</v>
      </c>
      <c r="I79" s="27">
        <v>0</v>
      </c>
      <c r="J79" s="27">
        <f t="shared" si="26"/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f t="shared" si="0"/>
        <v>16500</v>
      </c>
      <c r="Q79" s="34"/>
      <c r="S79" s="34"/>
    </row>
    <row r="80" spans="1:19" ht="41.25" customHeight="1">
      <c r="A80" s="24" t="s">
        <v>102</v>
      </c>
      <c r="B80" s="24" t="s">
        <v>103</v>
      </c>
      <c r="C80" s="24" t="s">
        <v>104</v>
      </c>
      <c r="D80" s="8" t="s">
        <v>105</v>
      </c>
      <c r="E80" s="27">
        <f t="shared" si="25"/>
        <v>21453971.73</v>
      </c>
      <c r="F80" s="27">
        <f>20988600+406971.73+58400</f>
        <v>21453971.73</v>
      </c>
      <c r="G80" s="27">
        <v>15470000</v>
      </c>
      <c r="H80" s="27">
        <f>2173900+8971.73</f>
        <v>2182871.73</v>
      </c>
      <c r="I80" s="27"/>
      <c r="J80" s="27">
        <f t="shared" si="26"/>
        <v>1</v>
      </c>
      <c r="K80" s="27">
        <v>0</v>
      </c>
      <c r="L80" s="27">
        <v>1</v>
      </c>
      <c r="M80" s="27">
        <v>0</v>
      </c>
      <c r="N80" s="27">
        <v>0</v>
      </c>
      <c r="O80" s="27">
        <v>0</v>
      </c>
      <c r="P80" s="27">
        <f t="shared" si="0"/>
        <v>21453972.73</v>
      </c>
      <c r="S80" s="34"/>
    </row>
    <row r="81" spans="1:19" ht="60" customHeight="1">
      <c r="A81" s="24" t="s">
        <v>106</v>
      </c>
      <c r="B81" s="24" t="s">
        <v>107</v>
      </c>
      <c r="C81" s="24" t="s">
        <v>104</v>
      </c>
      <c r="D81" s="8" t="s">
        <v>108</v>
      </c>
      <c r="E81" s="27">
        <f t="shared" si="25"/>
        <v>741202.88</v>
      </c>
      <c r="F81" s="27">
        <f>707400+30002.88+3800</f>
        <v>741202.88</v>
      </c>
      <c r="G81" s="27">
        <v>227200</v>
      </c>
      <c r="H81" s="27">
        <f>203600+2.88</f>
        <v>203602.88</v>
      </c>
      <c r="I81" s="27">
        <v>0</v>
      </c>
      <c r="J81" s="27">
        <f t="shared" si="26"/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f t="shared" si="0"/>
        <v>741202.88</v>
      </c>
      <c r="Q81" s="34"/>
      <c r="S81" s="34"/>
    </row>
    <row r="82" spans="1:19" ht="60" customHeight="1">
      <c r="A82" s="23" t="s">
        <v>359</v>
      </c>
      <c r="B82" s="23" t="s">
        <v>360</v>
      </c>
      <c r="C82" s="23" t="s">
        <v>104</v>
      </c>
      <c r="D82" s="8" t="s">
        <v>361</v>
      </c>
      <c r="E82" s="27">
        <f t="shared" si="25"/>
        <v>1234759</v>
      </c>
      <c r="F82" s="27">
        <v>1234759</v>
      </c>
      <c r="G82" s="27">
        <v>1234759</v>
      </c>
      <c r="H82" s="27"/>
      <c r="I82" s="27"/>
      <c r="J82" s="27">
        <f t="shared" si="26"/>
        <v>0</v>
      </c>
      <c r="K82" s="27"/>
      <c r="L82" s="27"/>
      <c r="M82" s="27"/>
      <c r="N82" s="27"/>
      <c r="O82" s="27"/>
      <c r="P82" s="27">
        <f t="shared" si="0"/>
        <v>1234759</v>
      </c>
      <c r="S82" s="34"/>
    </row>
    <row r="83" spans="1:19" ht="60" customHeight="1">
      <c r="A83" s="24" t="s">
        <v>109</v>
      </c>
      <c r="B83" s="24" t="s">
        <v>110</v>
      </c>
      <c r="C83" s="24" t="s">
        <v>104</v>
      </c>
      <c r="D83" s="8" t="s">
        <v>111</v>
      </c>
      <c r="E83" s="27">
        <f t="shared" si="25"/>
        <v>4598469.4800000004</v>
      </c>
      <c r="F83" s="27">
        <f>4591700+6769.48</f>
        <v>4598469.4800000004</v>
      </c>
      <c r="G83" s="27">
        <v>4179100</v>
      </c>
      <c r="H83" s="27">
        <f>44500+1769.48</f>
        <v>46269.48</v>
      </c>
      <c r="I83" s="27">
        <v>0</v>
      </c>
      <c r="J83" s="27">
        <f t="shared" si="26"/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f t="shared" si="0"/>
        <v>4598469.4800000004</v>
      </c>
      <c r="S83" s="34"/>
    </row>
    <row r="84" spans="1:19" ht="124.8">
      <c r="A84" s="23" t="s">
        <v>402</v>
      </c>
      <c r="B84" s="23" t="s">
        <v>404</v>
      </c>
      <c r="C84" s="23" t="s">
        <v>104</v>
      </c>
      <c r="D84" s="8" t="s">
        <v>406</v>
      </c>
      <c r="E84" s="27">
        <f t="shared" si="25"/>
        <v>0</v>
      </c>
      <c r="F84" s="27"/>
      <c r="G84" s="27"/>
      <c r="H84" s="27"/>
      <c r="I84" s="27"/>
      <c r="J84" s="27">
        <f t="shared" si="26"/>
        <v>685800</v>
      </c>
      <c r="K84" s="27">
        <f>606500+79300</f>
        <v>685800</v>
      </c>
      <c r="L84" s="27"/>
      <c r="M84" s="27"/>
      <c r="N84" s="27"/>
      <c r="O84" s="27">
        <f>606500+79300</f>
        <v>685800</v>
      </c>
      <c r="P84" s="27">
        <f t="shared" si="0"/>
        <v>685800</v>
      </c>
      <c r="S84" s="34"/>
    </row>
    <row r="85" spans="1:19" ht="124.8">
      <c r="A85" s="23" t="s">
        <v>403</v>
      </c>
      <c r="B85" s="23" t="s">
        <v>405</v>
      </c>
      <c r="C85" s="23" t="s">
        <v>104</v>
      </c>
      <c r="D85" s="8" t="s">
        <v>407</v>
      </c>
      <c r="E85" s="27">
        <f t="shared" si="25"/>
        <v>0</v>
      </c>
      <c r="F85" s="27"/>
      <c r="G85" s="27"/>
      <c r="H85" s="27"/>
      <c r="I85" s="27"/>
      <c r="J85" s="27">
        <f t="shared" si="26"/>
        <v>1600100</v>
      </c>
      <c r="K85" s="27">
        <f>1415100+185000</f>
        <v>1600100</v>
      </c>
      <c r="L85" s="27"/>
      <c r="M85" s="27"/>
      <c r="N85" s="27"/>
      <c r="O85" s="27">
        <f>1415100+185000</f>
        <v>1600100</v>
      </c>
      <c r="P85" s="27">
        <f t="shared" si="0"/>
        <v>1600100</v>
      </c>
      <c r="S85" s="34"/>
    </row>
    <row r="86" spans="1:19" ht="60" customHeight="1">
      <c r="A86" s="23" t="s">
        <v>400</v>
      </c>
      <c r="B86" s="24">
        <v>1200</v>
      </c>
      <c r="C86" s="23" t="s">
        <v>104</v>
      </c>
      <c r="D86" s="8" t="s">
        <v>401</v>
      </c>
      <c r="E86" s="27">
        <f t="shared" si="25"/>
        <v>327700</v>
      </c>
      <c r="F86" s="27">
        <v>327700</v>
      </c>
      <c r="G86" s="27"/>
      <c r="H86" s="27"/>
      <c r="I86" s="27"/>
      <c r="J86" s="27">
        <f t="shared" si="26"/>
        <v>0</v>
      </c>
      <c r="K86" s="27"/>
      <c r="L86" s="27"/>
      <c r="M86" s="27"/>
      <c r="N86" s="27"/>
      <c r="O86" s="27"/>
      <c r="P86" s="27">
        <f t="shared" si="0"/>
        <v>327700</v>
      </c>
      <c r="S86" s="34"/>
    </row>
    <row r="87" spans="1:19" ht="111" customHeight="1">
      <c r="A87" s="23" t="s">
        <v>362</v>
      </c>
      <c r="B87" s="23" t="s">
        <v>363</v>
      </c>
      <c r="C87" s="23" t="s">
        <v>104</v>
      </c>
      <c r="D87" s="8" t="s">
        <v>364</v>
      </c>
      <c r="E87" s="27">
        <f t="shared" si="25"/>
        <v>0</v>
      </c>
      <c r="F87" s="27"/>
      <c r="G87" s="27"/>
      <c r="H87" s="27"/>
      <c r="I87" s="27"/>
      <c r="J87" s="27">
        <f t="shared" si="26"/>
        <v>4508100</v>
      </c>
      <c r="K87" s="27"/>
      <c r="L87" s="27">
        <v>4508100</v>
      </c>
      <c r="M87" s="27"/>
      <c r="N87" s="27"/>
      <c r="O87" s="27"/>
      <c r="P87" s="27">
        <f t="shared" si="0"/>
        <v>4508100</v>
      </c>
      <c r="S87" s="34"/>
    </row>
    <row r="88" spans="1:19" ht="60" customHeight="1">
      <c r="A88" s="23" t="s">
        <v>365</v>
      </c>
      <c r="B88" s="23" t="s">
        <v>366</v>
      </c>
      <c r="C88" s="23" t="s">
        <v>104</v>
      </c>
      <c r="D88" s="8" t="s">
        <v>367</v>
      </c>
      <c r="E88" s="27">
        <f t="shared" si="25"/>
        <v>0</v>
      </c>
      <c r="F88" s="27"/>
      <c r="G88" s="27"/>
      <c r="H88" s="27"/>
      <c r="I88" s="27"/>
      <c r="J88" s="27">
        <f t="shared" si="26"/>
        <v>3893628</v>
      </c>
      <c r="K88" s="27">
        <f>11843628-950000-3000000-4000000</f>
        <v>3893628</v>
      </c>
      <c r="L88" s="27"/>
      <c r="M88" s="27"/>
      <c r="N88" s="27"/>
      <c r="O88" s="27">
        <f>11843628-950000-3000000-4000000</f>
        <v>3893628</v>
      </c>
      <c r="P88" s="27">
        <f t="shared" si="0"/>
        <v>3893628</v>
      </c>
      <c r="S88" s="34"/>
    </row>
    <row r="89" spans="1:19" ht="60" customHeight="1">
      <c r="A89" s="23" t="s">
        <v>368</v>
      </c>
      <c r="B89" s="23" t="s">
        <v>369</v>
      </c>
      <c r="C89" s="23" t="s">
        <v>104</v>
      </c>
      <c r="D89" s="8" t="s">
        <v>370</v>
      </c>
      <c r="E89" s="27">
        <f t="shared" si="25"/>
        <v>15857800</v>
      </c>
      <c r="F89" s="27">
        <v>15857800</v>
      </c>
      <c r="G89" s="27">
        <v>15857800</v>
      </c>
      <c r="H89" s="27"/>
      <c r="I89" s="27"/>
      <c r="J89" s="27">
        <f t="shared" si="26"/>
        <v>0</v>
      </c>
      <c r="K89" s="27"/>
      <c r="L89" s="27"/>
      <c r="M89" s="27"/>
      <c r="N89" s="27"/>
      <c r="O89" s="27"/>
      <c r="P89" s="27">
        <f t="shared" si="0"/>
        <v>15857800</v>
      </c>
      <c r="S89" s="34"/>
    </row>
    <row r="90" spans="1:19" ht="102" customHeight="1">
      <c r="A90" s="23" t="s">
        <v>371</v>
      </c>
      <c r="B90" s="23" t="s">
        <v>372</v>
      </c>
      <c r="C90" s="23" t="s">
        <v>104</v>
      </c>
      <c r="D90" s="8" t="s">
        <v>373</v>
      </c>
      <c r="E90" s="27">
        <f t="shared" si="25"/>
        <v>0</v>
      </c>
      <c r="F90" s="27"/>
      <c r="G90" s="27"/>
      <c r="H90" s="27"/>
      <c r="I90" s="27"/>
      <c r="J90" s="27">
        <f t="shared" si="26"/>
        <v>2513330</v>
      </c>
      <c r="K90" s="27"/>
      <c r="L90" s="27">
        <v>2513330</v>
      </c>
      <c r="M90" s="27"/>
      <c r="N90" s="27"/>
      <c r="O90" s="27"/>
      <c r="P90" s="27">
        <f t="shared" si="0"/>
        <v>2513330</v>
      </c>
      <c r="S90" s="34"/>
    </row>
    <row r="91" spans="1:19" ht="60" customHeight="1">
      <c r="A91" s="23" t="s">
        <v>374</v>
      </c>
      <c r="B91" s="23" t="s">
        <v>375</v>
      </c>
      <c r="C91" s="23" t="s">
        <v>104</v>
      </c>
      <c r="D91" s="8" t="s">
        <v>376</v>
      </c>
      <c r="E91" s="27">
        <f t="shared" si="25"/>
        <v>29075900</v>
      </c>
      <c r="F91" s="27">
        <v>29075900</v>
      </c>
      <c r="G91" s="27"/>
      <c r="H91" s="27"/>
      <c r="I91" s="27"/>
      <c r="J91" s="27">
        <f t="shared" si="26"/>
        <v>0</v>
      </c>
      <c r="K91" s="27"/>
      <c r="L91" s="27"/>
      <c r="M91" s="27"/>
      <c r="N91" s="27"/>
      <c r="O91" s="27"/>
      <c r="P91" s="27">
        <f t="shared" si="0"/>
        <v>29075900</v>
      </c>
      <c r="S91" s="34"/>
    </row>
    <row r="92" spans="1:19" ht="100.5" customHeight="1">
      <c r="A92" s="24" t="s">
        <v>112</v>
      </c>
      <c r="B92" s="24" t="s">
        <v>113</v>
      </c>
      <c r="C92" s="24" t="s">
        <v>114</v>
      </c>
      <c r="D92" s="8" t="s">
        <v>115</v>
      </c>
      <c r="E92" s="27">
        <f t="shared" si="25"/>
        <v>3140700</v>
      </c>
      <c r="F92" s="27">
        <f>3220000-79300</f>
        <v>3140700</v>
      </c>
      <c r="G92" s="27">
        <v>0</v>
      </c>
      <c r="H92" s="28">
        <v>0</v>
      </c>
      <c r="I92" s="27">
        <v>0</v>
      </c>
      <c r="J92" s="27">
        <f t="shared" si="26"/>
        <v>0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  <c r="P92" s="27">
        <f t="shared" si="0"/>
        <v>3140700</v>
      </c>
      <c r="S92" s="34"/>
    </row>
    <row r="93" spans="1:19" ht="46.8">
      <c r="A93" s="24" t="s">
        <v>116</v>
      </c>
      <c r="B93" s="24" t="s">
        <v>50</v>
      </c>
      <c r="C93" s="24" t="s">
        <v>51</v>
      </c>
      <c r="D93" s="8" t="s">
        <v>349</v>
      </c>
      <c r="E93" s="27">
        <f t="shared" si="25"/>
        <v>723100</v>
      </c>
      <c r="F93" s="27">
        <v>723100</v>
      </c>
      <c r="G93" s="27">
        <v>0</v>
      </c>
      <c r="H93" s="27">
        <v>0</v>
      </c>
      <c r="I93" s="27">
        <v>0</v>
      </c>
      <c r="J93" s="27">
        <f t="shared" si="26"/>
        <v>0</v>
      </c>
      <c r="K93" s="27">
        <v>0</v>
      </c>
      <c r="L93" s="27">
        <v>0</v>
      </c>
      <c r="M93" s="27">
        <v>0</v>
      </c>
      <c r="N93" s="27">
        <v>0</v>
      </c>
      <c r="O93" s="27">
        <v>0</v>
      </c>
      <c r="P93" s="27">
        <f t="shared" si="0"/>
        <v>723100</v>
      </c>
      <c r="S93" s="34"/>
    </row>
    <row r="94" spans="1:19" ht="74.25" customHeight="1">
      <c r="A94" s="24" t="s">
        <v>117</v>
      </c>
      <c r="B94" s="24" t="s">
        <v>118</v>
      </c>
      <c r="C94" s="24" t="s">
        <v>119</v>
      </c>
      <c r="D94" s="8" t="s">
        <v>322</v>
      </c>
      <c r="E94" s="27">
        <f t="shared" si="25"/>
        <v>14711034.18</v>
      </c>
      <c r="F94" s="27">
        <f>14415000+250634.18+45400</f>
        <v>14711034.18</v>
      </c>
      <c r="G94" s="27">
        <v>11557200</v>
      </c>
      <c r="H94" s="27">
        <f>1040600+7634.18</f>
        <v>1048234.18</v>
      </c>
      <c r="I94" s="27">
        <v>0</v>
      </c>
      <c r="J94" s="27">
        <f t="shared" si="26"/>
        <v>0</v>
      </c>
      <c r="K94" s="27">
        <v>0</v>
      </c>
      <c r="L94" s="27">
        <v>0</v>
      </c>
      <c r="M94" s="27">
        <v>0</v>
      </c>
      <c r="N94" s="27">
        <v>0</v>
      </c>
      <c r="O94" s="27">
        <v>0</v>
      </c>
      <c r="P94" s="27">
        <f t="shared" ref="P94:P166" si="29">E94 + J94</f>
        <v>14711034.18</v>
      </c>
      <c r="S94" s="34"/>
    </row>
    <row r="95" spans="1:19" ht="35.25" customHeight="1">
      <c r="A95" s="23" t="s">
        <v>277</v>
      </c>
      <c r="B95" s="23" t="s">
        <v>273</v>
      </c>
      <c r="C95" s="23" t="s">
        <v>275</v>
      </c>
      <c r="D95" s="8" t="s">
        <v>274</v>
      </c>
      <c r="E95" s="27">
        <f t="shared" si="25"/>
        <v>2729900</v>
      </c>
      <c r="F95" s="27">
        <f>1929900+500000+300000</f>
        <v>2729900</v>
      </c>
      <c r="G95" s="27"/>
      <c r="H95" s="27"/>
      <c r="I95" s="27"/>
      <c r="J95" s="27">
        <f t="shared" si="26"/>
        <v>0</v>
      </c>
      <c r="K95" s="27"/>
      <c r="L95" s="27"/>
      <c r="M95" s="27"/>
      <c r="N95" s="27"/>
      <c r="O95" s="27"/>
      <c r="P95" s="27">
        <f t="shared" si="29"/>
        <v>2729900</v>
      </c>
      <c r="S95" s="34"/>
    </row>
    <row r="96" spans="1:19" ht="54.75" customHeight="1">
      <c r="A96" s="23" t="s">
        <v>278</v>
      </c>
      <c r="B96" s="23">
        <v>8110</v>
      </c>
      <c r="C96" s="23" t="s">
        <v>233</v>
      </c>
      <c r="D96" s="8" t="s">
        <v>234</v>
      </c>
      <c r="E96" s="27">
        <f>F96+I96</f>
        <v>15650800</v>
      </c>
      <c r="F96" s="27">
        <f>667550+1300000+75000</f>
        <v>2042550</v>
      </c>
      <c r="G96" s="27"/>
      <c r="H96" s="27"/>
      <c r="I96" s="27">
        <f>6694750-606500-1780000+9300000</f>
        <v>13608250</v>
      </c>
      <c r="J96" s="27">
        <f t="shared" si="26"/>
        <v>0</v>
      </c>
      <c r="K96" s="27">
        <v>0</v>
      </c>
      <c r="L96" s="27"/>
      <c r="M96" s="27"/>
      <c r="N96" s="27"/>
      <c r="O96" s="27">
        <v>0</v>
      </c>
      <c r="P96" s="27">
        <f>E96 + J96</f>
        <v>15650800</v>
      </c>
      <c r="S96" s="34"/>
    </row>
    <row r="97" spans="1:19" ht="58.5" customHeight="1">
      <c r="A97" s="6" t="s">
        <v>120</v>
      </c>
      <c r="B97" s="6" t="s">
        <v>18</v>
      </c>
      <c r="C97" s="6" t="s">
        <v>18</v>
      </c>
      <c r="D97" s="7" t="s">
        <v>121</v>
      </c>
      <c r="E97" s="26">
        <f>F97+I97</f>
        <v>152454559</v>
      </c>
      <c r="F97" s="26">
        <f>F98</f>
        <v>134551537</v>
      </c>
      <c r="G97" s="26">
        <f>G98</f>
        <v>57387620</v>
      </c>
      <c r="H97" s="26">
        <f>H98</f>
        <v>1162316.52</v>
      </c>
      <c r="I97" s="26">
        <f>I98</f>
        <v>17903022</v>
      </c>
      <c r="J97" s="26">
        <f>L97+O97</f>
        <v>180000</v>
      </c>
      <c r="K97" s="26">
        <f>K98</f>
        <v>0</v>
      </c>
      <c r="L97" s="26">
        <f t="shared" ref="L97:O97" si="30">L98</f>
        <v>55000</v>
      </c>
      <c r="M97" s="26">
        <f t="shared" si="30"/>
        <v>0</v>
      </c>
      <c r="N97" s="26">
        <f t="shared" si="30"/>
        <v>0</v>
      </c>
      <c r="O97" s="26">
        <f t="shared" si="30"/>
        <v>125000</v>
      </c>
      <c r="P97" s="26">
        <f t="shared" si="29"/>
        <v>152634559</v>
      </c>
      <c r="Q97" s="34"/>
      <c r="S97" s="34"/>
    </row>
    <row r="98" spans="1:19" ht="60.75" customHeight="1">
      <c r="A98" s="6" t="s">
        <v>122</v>
      </c>
      <c r="B98" s="6" t="s">
        <v>18</v>
      </c>
      <c r="C98" s="6" t="s">
        <v>18</v>
      </c>
      <c r="D98" s="7" t="s">
        <v>121</v>
      </c>
      <c r="E98" s="26">
        <f>F98+I98</f>
        <v>152454559</v>
      </c>
      <c r="F98" s="26">
        <f>SUM(F99:F120)+F124</f>
        <v>134551537</v>
      </c>
      <c r="G98" s="26">
        <f t="shared" ref="G98:K98" si="31">SUM(G99:G120)+G124</f>
        <v>57387620</v>
      </c>
      <c r="H98" s="26">
        <f t="shared" si="31"/>
        <v>1162316.52</v>
      </c>
      <c r="I98" s="26">
        <f t="shared" si="31"/>
        <v>17903022</v>
      </c>
      <c r="J98" s="26">
        <f>L98+O98</f>
        <v>180000</v>
      </c>
      <c r="K98" s="26">
        <f t="shared" si="31"/>
        <v>0</v>
      </c>
      <c r="L98" s="26">
        <f t="shared" ref="L98" si="32">SUM(L99:L120)+L124</f>
        <v>55000</v>
      </c>
      <c r="M98" s="26">
        <f t="shared" ref="M98" si="33">SUM(M99:M120)+M124</f>
        <v>0</v>
      </c>
      <c r="N98" s="26">
        <f t="shared" ref="N98" si="34">SUM(N99:N120)+N124</f>
        <v>0</v>
      </c>
      <c r="O98" s="26">
        <f t="shared" ref="O98" si="35">SUM(O99:O120)+O124</f>
        <v>125000</v>
      </c>
      <c r="P98" s="26">
        <f t="shared" si="29"/>
        <v>152634559</v>
      </c>
      <c r="S98" s="34"/>
    </row>
    <row r="99" spans="1:19" ht="69.75" customHeight="1">
      <c r="A99" s="24" t="s">
        <v>123</v>
      </c>
      <c r="B99" s="24" t="s">
        <v>74</v>
      </c>
      <c r="C99" s="24" t="s">
        <v>23</v>
      </c>
      <c r="D99" s="8" t="s">
        <v>75</v>
      </c>
      <c r="E99" s="27">
        <f>F99+I99</f>
        <v>23512500</v>
      </c>
      <c r="F99" s="27">
        <v>23512500</v>
      </c>
      <c r="G99" s="27">
        <v>22122300</v>
      </c>
      <c r="H99" s="27">
        <v>934000</v>
      </c>
      <c r="I99" s="27">
        <v>0</v>
      </c>
      <c r="J99" s="27">
        <f>L99+O99</f>
        <v>0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  <c r="P99" s="27">
        <f t="shared" si="29"/>
        <v>23512500</v>
      </c>
      <c r="S99" s="34"/>
    </row>
    <row r="100" spans="1:19" ht="46.8">
      <c r="A100" s="23" t="s">
        <v>338</v>
      </c>
      <c r="B100" s="24" t="s">
        <v>26</v>
      </c>
      <c r="C100" s="24" t="s">
        <v>27</v>
      </c>
      <c r="D100" s="8" t="s">
        <v>28</v>
      </c>
      <c r="E100" s="27">
        <f t="shared" ref="E100" si="36">F100+I100</f>
        <v>9000</v>
      </c>
      <c r="F100" s="27">
        <v>9000</v>
      </c>
      <c r="G100" s="27">
        <v>0</v>
      </c>
      <c r="H100" s="27">
        <v>0</v>
      </c>
      <c r="I100" s="27">
        <v>0</v>
      </c>
      <c r="J100" s="27">
        <f t="shared" ref="J100" si="37">L100+O100</f>
        <v>0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  <c r="P100" s="27">
        <f t="shared" si="29"/>
        <v>9000</v>
      </c>
      <c r="S100" s="34"/>
    </row>
    <row r="101" spans="1:19" ht="42.75" customHeight="1">
      <c r="A101" s="24" t="s">
        <v>124</v>
      </c>
      <c r="B101" s="24" t="s">
        <v>30</v>
      </c>
      <c r="C101" s="24" t="s">
        <v>31</v>
      </c>
      <c r="D101" s="8" t="s">
        <v>32</v>
      </c>
      <c r="E101" s="27">
        <f t="shared" ref="E101:E172" si="38">F101+I101</f>
        <v>162700</v>
      </c>
      <c r="F101" s="27">
        <f>63500+99200</f>
        <v>162700</v>
      </c>
      <c r="G101" s="27">
        <v>0</v>
      </c>
      <c r="H101" s="27">
        <v>0</v>
      </c>
      <c r="I101" s="27">
        <v>0</v>
      </c>
      <c r="J101" s="27">
        <f t="shared" ref="J101:J204" si="39">L101+O101</f>
        <v>0</v>
      </c>
      <c r="K101" s="27">
        <v>0</v>
      </c>
      <c r="L101" s="27">
        <v>0</v>
      </c>
      <c r="M101" s="27">
        <v>0</v>
      </c>
      <c r="N101" s="27">
        <v>0</v>
      </c>
      <c r="O101" s="27">
        <v>0</v>
      </c>
      <c r="P101" s="27">
        <f t="shared" si="29"/>
        <v>162700</v>
      </c>
      <c r="S101" s="34"/>
    </row>
    <row r="102" spans="1:19" ht="37.5" customHeight="1">
      <c r="A102" s="24" t="s">
        <v>126</v>
      </c>
      <c r="B102" s="24" t="s">
        <v>127</v>
      </c>
      <c r="C102" s="24" t="s">
        <v>95</v>
      </c>
      <c r="D102" s="8" t="s">
        <v>128</v>
      </c>
      <c r="E102" s="27">
        <f t="shared" si="38"/>
        <v>3400</v>
      </c>
      <c r="F102" s="27">
        <v>3400</v>
      </c>
      <c r="G102" s="27">
        <v>0</v>
      </c>
      <c r="H102" s="27">
        <v>0</v>
      </c>
      <c r="I102" s="27">
        <v>0</v>
      </c>
      <c r="J102" s="27">
        <f t="shared" si="39"/>
        <v>0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  <c r="P102" s="27">
        <f t="shared" si="29"/>
        <v>3400</v>
      </c>
      <c r="S102" s="34"/>
    </row>
    <row r="103" spans="1:19" ht="46.8">
      <c r="A103" s="23" t="s">
        <v>377</v>
      </c>
      <c r="B103" s="23" t="s">
        <v>378</v>
      </c>
      <c r="C103" s="23" t="s">
        <v>95</v>
      </c>
      <c r="D103" s="8" t="s">
        <v>379</v>
      </c>
      <c r="E103" s="27">
        <f t="shared" si="38"/>
        <v>161000</v>
      </c>
      <c r="F103" s="27">
        <f>8000+153000</f>
        <v>161000</v>
      </c>
      <c r="G103" s="27"/>
      <c r="H103" s="27"/>
      <c r="I103" s="27"/>
      <c r="J103" s="27">
        <f t="shared" si="39"/>
        <v>0</v>
      </c>
      <c r="K103" s="27"/>
      <c r="L103" s="27"/>
      <c r="M103" s="27"/>
      <c r="N103" s="27"/>
      <c r="O103" s="27"/>
      <c r="P103" s="27">
        <f t="shared" si="29"/>
        <v>161000</v>
      </c>
      <c r="S103" s="34"/>
    </row>
    <row r="104" spans="1:19" s="12" customFormat="1" ht="57" customHeight="1">
      <c r="A104" s="24" t="s">
        <v>129</v>
      </c>
      <c r="B104" s="24" t="s">
        <v>130</v>
      </c>
      <c r="C104" s="24" t="s">
        <v>95</v>
      </c>
      <c r="D104" s="8" t="s">
        <v>131</v>
      </c>
      <c r="E104" s="27">
        <f t="shared" si="38"/>
        <v>482313</v>
      </c>
      <c r="F104" s="27">
        <v>482313</v>
      </c>
      <c r="G104" s="27">
        <v>0</v>
      </c>
      <c r="H104" s="27">
        <v>0</v>
      </c>
      <c r="I104" s="27">
        <v>0</v>
      </c>
      <c r="J104" s="27">
        <f t="shared" si="39"/>
        <v>0</v>
      </c>
      <c r="K104" s="27">
        <v>0</v>
      </c>
      <c r="L104" s="27">
        <v>0</v>
      </c>
      <c r="M104" s="27">
        <v>0</v>
      </c>
      <c r="N104" s="27">
        <v>0</v>
      </c>
      <c r="O104" s="27">
        <v>0</v>
      </c>
      <c r="P104" s="27">
        <f t="shared" si="29"/>
        <v>482313</v>
      </c>
      <c r="S104" s="34"/>
    </row>
    <row r="105" spans="1:19" s="12" customFormat="1" ht="57" customHeight="1">
      <c r="A105" s="24" t="s">
        <v>132</v>
      </c>
      <c r="B105" s="24" t="s">
        <v>133</v>
      </c>
      <c r="C105" s="24" t="s">
        <v>125</v>
      </c>
      <c r="D105" s="8" t="s">
        <v>134</v>
      </c>
      <c r="E105" s="27">
        <f t="shared" si="38"/>
        <v>151514</v>
      </c>
      <c r="F105" s="27">
        <v>151514</v>
      </c>
      <c r="G105" s="27">
        <v>0</v>
      </c>
      <c r="H105" s="27">
        <v>0</v>
      </c>
      <c r="I105" s="27">
        <v>0</v>
      </c>
      <c r="J105" s="27">
        <f t="shared" si="39"/>
        <v>0</v>
      </c>
      <c r="K105" s="27">
        <v>0</v>
      </c>
      <c r="L105" s="27">
        <v>0</v>
      </c>
      <c r="M105" s="27">
        <v>0</v>
      </c>
      <c r="N105" s="27">
        <v>0</v>
      </c>
      <c r="O105" s="27">
        <v>0</v>
      </c>
      <c r="P105" s="27">
        <f t="shared" si="29"/>
        <v>151514</v>
      </c>
      <c r="S105" s="34"/>
    </row>
    <row r="106" spans="1:19" ht="87.75" customHeight="1">
      <c r="A106" s="24" t="s">
        <v>135</v>
      </c>
      <c r="B106" s="24" t="s">
        <v>136</v>
      </c>
      <c r="C106" s="24" t="s">
        <v>137</v>
      </c>
      <c r="D106" s="8" t="s">
        <v>138</v>
      </c>
      <c r="E106" s="27">
        <f t="shared" si="38"/>
        <v>23423800</v>
      </c>
      <c r="F106" s="27">
        <f>21799800+2360000-1000000+264000</f>
        <v>23423800</v>
      </c>
      <c r="G106" s="27">
        <f>20540700+2360000-1000000+264000</f>
        <v>22164700</v>
      </c>
      <c r="H106" s="27">
        <f>334900-175700-945.93-154237.55</f>
        <v>4016.5200000000186</v>
      </c>
      <c r="I106" s="27">
        <v>0</v>
      </c>
      <c r="J106" s="27">
        <f t="shared" si="39"/>
        <v>180000</v>
      </c>
      <c r="K106" s="27">
        <v>0</v>
      </c>
      <c r="L106" s="27">
        <v>55000</v>
      </c>
      <c r="M106" s="27">
        <v>0</v>
      </c>
      <c r="N106" s="27">
        <v>0</v>
      </c>
      <c r="O106" s="27">
        <v>125000</v>
      </c>
      <c r="P106" s="27">
        <f t="shared" si="29"/>
        <v>23603800</v>
      </c>
      <c r="S106" s="34"/>
    </row>
    <row r="107" spans="1:19" ht="126.75" customHeight="1">
      <c r="A107" s="24" t="s">
        <v>139</v>
      </c>
      <c r="B107" s="24" t="s">
        <v>140</v>
      </c>
      <c r="C107" s="24" t="s">
        <v>114</v>
      </c>
      <c r="D107" s="8" t="s">
        <v>320</v>
      </c>
      <c r="E107" s="27">
        <f t="shared" si="38"/>
        <v>13255500</v>
      </c>
      <c r="F107" s="27">
        <f>12988200+100000-408900-430000+800000+206200</f>
        <v>13255500</v>
      </c>
      <c r="G107" s="27">
        <f>9691500+1285000-478100-430000+800000</f>
        <v>10868400</v>
      </c>
      <c r="H107" s="27">
        <f>362300-56300-81700</f>
        <v>224300</v>
      </c>
      <c r="I107" s="27">
        <v>0</v>
      </c>
      <c r="J107" s="27">
        <f t="shared" si="39"/>
        <v>0</v>
      </c>
      <c r="K107" s="27">
        <v>0</v>
      </c>
      <c r="L107" s="27">
        <v>0</v>
      </c>
      <c r="M107" s="27">
        <v>0</v>
      </c>
      <c r="N107" s="27">
        <v>0</v>
      </c>
      <c r="O107" s="27">
        <v>0</v>
      </c>
      <c r="P107" s="27">
        <f t="shared" si="29"/>
        <v>13255500</v>
      </c>
      <c r="S107" s="34"/>
    </row>
    <row r="108" spans="1:19" ht="44.25" customHeight="1">
      <c r="A108" s="24" t="s">
        <v>141</v>
      </c>
      <c r="B108" s="24" t="s">
        <v>142</v>
      </c>
      <c r="C108" s="24" t="s">
        <v>114</v>
      </c>
      <c r="D108" s="8" t="s">
        <v>143</v>
      </c>
      <c r="E108" s="27">
        <f t="shared" si="38"/>
        <v>507500</v>
      </c>
      <c r="F108" s="27">
        <v>507500</v>
      </c>
      <c r="G108" s="27">
        <v>0</v>
      </c>
      <c r="H108" s="27">
        <v>0</v>
      </c>
      <c r="I108" s="27">
        <v>0</v>
      </c>
      <c r="J108" s="27">
        <f t="shared" si="39"/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f t="shared" si="29"/>
        <v>507500</v>
      </c>
      <c r="S108" s="34"/>
    </row>
    <row r="109" spans="1:19" ht="93.6">
      <c r="A109" s="23" t="s">
        <v>279</v>
      </c>
      <c r="B109" s="24" t="s">
        <v>113</v>
      </c>
      <c r="C109" s="24" t="s">
        <v>114</v>
      </c>
      <c r="D109" s="8" t="s">
        <v>115</v>
      </c>
      <c r="E109" s="27">
        <f t="shared" si="38"/>
        <v>1300000</v>
      </c>
      <c r="F109" s="27">
        <v>1300000</v>
      </c>
      <c r="G109" s="27">
        <v>0</v>
      </c>
      <c r="H109" s="27">
        <v>0</v>
      </c>
      <c r="I109" s="27">
        <v>0</v>
      </c>
      <c r="J109" s="27">
        <f t="shared" si="39"/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f t="shared" si="29"/>
        <v>1300000</v>
      </c>
      <c r="S109" s="34"/>
    </row>
    <row r="110" spans="1:19" ht="121.5" customHeight="1">
      <c r="A110" s="24" t="s">
        <v>144</v>
      </c>
      <c r="B110" s="24" t="s">
        <v>145</v>
      </c>
      <c r="C110" s="24" t="s">
        <v>77</v>
      </c>
      <c r="D110" s="8" t="s">
        <v>146</v>
      </c>
      <c r="E110" s="27">
        <f t="shared" si="38"/>
        <v>2900000</v>
      </c>
      <c r="F110" s="27">
        <v>2900000</v>
      </c>
      <c r="G110" s="27">
        <v>0</v>
      </c>
      <c r="H110" s="27">
        <v>0</v>
      </c>
      <c r="I110" s="27">
        <v>0</v>
      </c>
      <c r="J110" s="27">
        <f t="shared" si="39"/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f t="shared" si="29"/>
        <v>2900000</v>
      </c>
      <c r="S110" s="34"/>
    </row>
    <row r="111" spans="1:19" s="12" customFormat="1" ht="86.25" customHeight="1">
      <c r="A111" s="24" t="s">
        <v>147</v>
      </c>
      <c r="B111" s="24" t="s">
        <v>148</v>
      </c>
      <c r="C111" s="24" t="s">
        <v>77</v>
      </c>
      <c r="D111" s="8" t="s">
        <v>149</v>
      </c>
      <c r="E111" s="27">
        <f t="shared" si="38"/>
        <v>31190</v>
      </c>
      <c r="F111" s="27">
        <v>31190</v>
      </c>
      <c r="G111" s="27">
        <v>0</v>
      </c>
      <c r="H111" s="27">
        <v>0</v>
      </c>
      <c r="I111" s="27">
        <v>0</v>
      </c>
      <c r="J111" s="27">
        <f t="shared" si="39"/>
        <v>0</v>
      </c>
      <c r="K111" s="27">
        <v>0</v>
      </c>
      <c r="L111" s="27">
        <v>0</v>
      </c>
      <c r="M111" s="27">
        <v>0</v>
      </c>
      <c r="N111" s="27">
        <v>0</v>
      </c>
      <c r="O111" s="27">
        <v>0</v>
      </c>
      <c r="P111" s="27">
        <f t="shared" si="29"/>
        <v>31190</v>
      </c>
      <c r="S111" s="34"/>
    </row>
    <row r="112" spans="1:19" ht="93.6">
      <c r="A112" s="24" t="s">
        <v>150</v>
      </c>
      <c r="B112" s="24" t="s">
        <v>151</v>
      </c>
      <c r="C112" s="24" t="s">
        <v>152</v>
      </c>
      <c r="D112" s="8" t="s">
        <v>153</v>
      </c>
      <c r="E112" s="27">
        <f t="shared" si="38"/>
        <v>1120000</v>
      </c>
      <c r="F112" s="27">
        <v>1120000</v>
      </c>
      <c r="G112" s="27">
        <v>0</v>
      </c>
      <c r="H112" s="27">
        <v>0</v>
      </c>
      <c r="I112" s="27">
        <v>0</v>
      </c>
      <c r="J112" s="27">
        <f t="shared" si="39"/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  <c r="P112" s="27">
        <f t="shared" si="29"/>
        <v>1120000</v>
      </c>
      <c r="S112" s="34"/>
    </row>
    <row r="113" spans="1:19" ht="31.2">
      <c r="A113" s="23" t="s">
        <v>380</v>
      </c>
      <c r="B113" s="23">
        <v>3191</v>
      </c>
      <c r="C113" s="23" t="s">
        <v>125</v>
      </c>
      <c r="D113" s="8" t="s">
        <v>381</v>
      </c>
      <c r="E113" s="27">
        <f t="shared" si="38"/>
        <v>24713400</v>
      </c>
      <c r="F113" s="27">
        <f>22866400-153000+2000000</f>
        <v>24713400</v>
      </c>
      <c r="G113" s="27"/>
      <c r="H113" s="27"/>
      <c r="I113" s="27"/>
      <c r="J113" s="27">
        <f t="shared" si="39"/>
        <v>0</v>
      </c>
      <c r="K113" s="27"/>
      <c r="L113" s="27"/>
      <c r="M113" s="27"/>
      <c r="N113" s="27"/>
      <c r="O113" s="27"/>
      <c r="P113" s="27">
        <f t="shared" si="29"/>
        <v>24713400</v>
      </c>
      <c r="S113" s="34"/>
    </row>
    <row r="114" spans="1:19" ht="79.5" customHeight="1">
      <c r="A114" s="24" t="s">
        <v>154</v>
      </c>
      <c r="B114" s="24" t="s">
        <v>155</v>
      </c>
      <c r="C114" s="24" t="s">
        <v>125</v>
      </c>
      <c r="D114" s="8" t="s">
        <v>156</v>
      </c>
      <c r="E114" s="27">
        <f t="shared" si="38"/>
        <v>71000</v>
      </c>
      <c r="F114" s="27">
        <v>71000</v>
      </c>
      <c r="G114" s="27">
        <v>0</v>
      </c>
      <c r="H114" s="27">
        <v>0</v>
      </c>
      <c r="I114" s="27">
        <v>0</v>
      </c>
      <c r="J114" s="27">
        <f t="shared" si="39"/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f t="shared" si="29"/>
        <v>71000</v>
      </c>
      <c r="S114" s="34"/>
    </row>
    <row r="115" spans="1:19" ht="93.6">
      <c r="A115" s="23" t="s">
        <v>382</v>
      </c>
      <c r="B115" s="23" t="s">
        <v>383</v>
      </c>
      <c r="C115" s="23" t="s">
        <v>125</v>
      </c>
      <c r="D115" s="8" t="s">
        <v>384</v>
      </c>
      <c r="E115" s="27">
        <f t="shared" si="38"/>
        <v>2072420</v>
      </c>
      <c r="F115" s="27">
        <f>1057100+880320-65000+200000-84000</f>
        <v>1988420</v>
      </c>
      <c r="G115" s="27">
        <f>880320+678100-65000+200000</f>
        <v>1693420</v>
      </c>
      <c r="H115" s="27"/>
      <c r="I115" s="27">
        <v>84000</v>
      </c>
      <c r="J115" s="27"/>
      <c r="K115" s="27"/>
      <c r="L115" s="27"/>
      <c r="M115" s="27"/>
      <c r="N115" s="27"/>
      <c r="O115" s="27"/>
      <c r="P115" s="27">
        <f t="shared" si="29"/>
        <v>2072420</v>
      </c>
      <c r="S115" s="34"/>
    </row>
    <row r="116" spans="1:19" ht="409.6">
      <c r="A116" s="23" t="s">
        <v>410</v>
      </c>
      <c r="B116" s="23" t="s">
        <v>411</v>
      </c>
      <c r="C116" s="23" t="s">
        <v>152</v>
      </c>
      <c r="D116" s="8" t="s">
        <v>412</v>
      </c>
      <c r="E116" s="27">
        <f t="shared" si="38"/>
        <v>16808022</v>
      </c>
      <c r="F116" s="27"/>
      <c r="G116" s="27"/>
      <c r="H116" s="27"/>
      <c r="I116" s="27">
        <v>16808022</v>
      </c>
      <c r="J116" s="27"/>
      <c r="K116" s="27"/>
      <c r="L116" s="27"/>
      <c r="M116" s="27"/>
      <c r="N116" s="27"/>
      <c r="O116" s="27"/>
      <c r="P116" s="27">
        <f t="shared" si="29"/>
        <v>16808022</v>
      </c>
      <c r="S116" s="34"/>
    </row>
    <row r="117" spans="1:19" ht="72.75" customHeight="1">
      <c r="A117" s="24" t="s">
        <v>157</v>
      </c>
      <c r="B117" s="24" t="s">
        <v>158</v>
      </c>
      <c r="C117" s="24" t="s">
        <v>95</v>
      </c>
      <c r="D117" s="8" t="s">
        <v>159</v>
      </c>
      <c r="E117" s="27">
        <f t="shared" si="38"/>
        <v>1097600</v>
      </c>
      <c r="F117" s="27">
        <v>1097600</v>
      </c>
      <c r="G117" s="27">
        <v>0</v>
      </c>
      <c r="H117" s="27">
        <v>0</v>
      </c>
      <c r="I117" s="27">
        <v>0</v>
      </c>
      <c r="J117" s="27">
        <f t="shared" si="39"/>
        <v>0</v>
      </c>
      <c r="K117" s="27">
        <v>0</v>
      </c>
      <c r="L117" s="27">
        <v>0</v>
      </c>
      <c r="M117" s="27">
        <v>0</v>
      </c>
      <c r="N117" s="27">
        <v>0</v>
      </c>
      <c r="O117" s="27">
        <v>0</v>
      </c>
      <c r="P117" s="27">
        <f t="shared" si="29"/>
        <v>1097600</v>
      </c>
      <c r="S117" s="34"/>
    </row>
    <row r="118" spans="1:19" ht="46.8">
      <c r="A118" s="24" t="s">
        <v>160</v>
      </c>
      <c r="B118" s="24" t="s">
        <v>50</v>
      </c>
      <c r="C118" s="24" t="s">
        <v>51</v>
      </c>
      <c r="D118" s="8" t="s">
        <v>349</v>
      </c>
      <c r="E118" s="27">
        <f t="shared" si="38"/>
        <v>37789600</v>
      </c>
      <c r="F118" s="27">
        <f>59503000-19713400-2000000</f>
        <v>37789600</v>
      </c>
      <c r="G118" s="27">
        <v>0</v>
      </c>
      <c r="H118" s="27">
        <v>0</v>
      </c>
      <c r="I118" s="27">
        <v>0</v>
      </c>
      <c r="J118" s="27">
        <f t="shared" si="39"/>
        <v>0</v>
      </c>
      <c r="K118" s="27">
        <v>0</v>
      </c>
      <c r="L118" s="27">
        <v>0</v>
      </c>
      <c r="M118" s="27">
        <v>0</v>
      </c>
      <c r="N118" s="27">
        <v>0</v>
      </c>
      <c r="O118" s="27">
        <v>0</v>
      </c>
      <c r="P118" s="27">
        <f t="shared" si="29"/>
        <v>37789600</v>
      </c>
      <c r="S118" s="34"/>
    </row>
    <row r="119" spans="1:19" ht="46.8">
      <c r="A119" s="23" t="s">
        <v>385</v>
      </c>
      <c r="B119" s="23" t="s">
        <v>386</v>
      </c>
      <c r="C119" s="23" t="s">
        <v>51</v>
      </c>
      <c r="D119" s="8" t="s">
        <v>387</v>
      </c>
      <c r="E119" s="27">
        <f t="shared" si="38"/>
        <v>1832800</v>
      </c>
      <c r="F119" s="27">
        <f>901800-20000</f>
        <v>881800</v>
      </c>
      <c r="G119" s="27">
        <f>558800-20000</f>
        <v>538800</v>
      </c>
      <c r="H119" s="27"/>
      <c r="I119" s="27">
        <v>951000</v>
      </c>
      <c r="J119" s="27">
        <f t="shared" si="39"/>
        <v>0</v>
      </c>
      <c r="K119" s="27"/>
      <c r="L119" s="27"/>
      <c r="M119" s="27"/>
      <c r="N119" s="27"/>
      <c r="O119" s="27"/>
      <c r="P119" s="27">
        <f t="shared" si="29"/>
        <v>1832800</v>
      </c>
      <c r="S119" s="34"/>
    </row>
    <row r="120" spans="1:19" ht="31.2">
      <c r="A120" s="23" t="s">
        <v>280</v>
      </c>
      <c r="B120" s="23" t="s">
        <v>273</v>
      </c>
      <c r="C120" s="23" t="s">
        <v>275</v>
      </c>
      <c r="D120" s="8" t="s">
        <v>274</v>
      </c>
      <c r="E120" s="27">
        <f t="shared" si="38"/>
        <v>989300</v>
      </c>
      <c r="F120" s="27">
        <f>SUM(F121:F123)</f>
        <v>929300</v>
      </c>
      <c r="G120" s="27">
        <f t="shared" ref="G120:I120" si="40">SUM(G121:G123)</f>
        <v>0</v>
      </c>
      <c r="H120" s="27">
        <f t="shared" si="40"/>
        <v>0</v>
      </c>
      <c r="I120" s="27">
        <f t="shared" si="40"/>
        <v>60000</v>
      </c>
      <c r="J120" s="27">
        <f t="shared" si="39"/>
        <v>0</v>
      </c>
      <c r="K120" s="27"/>
      <c r="L120" s="27"/>
      <c r="M120" s="27"/>
      <c r="N120" s="27"/>
      <c r="O120" s="27"/>
      <c r="P120" s="27">
        <f t="shared" si="29"/>
        <v>989300</v>
      </c>
      <c r="S120" s="34"/>
    </row>
    <row r="121" spans="1:19" s="5" customFormat="1" ht="46.8">
      <c r="A121" s="11"/>
      <c r="B121" s="11"/>
      <c r="C121" s="11"/>
      <c r="D121" s="1" t="s">
        <v>293</v>
      </c>
      <c r="E121" s="29">
        <f t="shared" si="38"/>
        <v>168100</v>
      </c>
      <c r="F121" s="29">
        <v>168100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>
        <f t="shared" si="29"/>
        <v>168100</v>
      </c>
      <c r="S121" s="34"/>
    </row>
    <row r="122" spans="1:19" s="5" customFormat="1" ht="62.4">
      <c r="A122" s="11"/>
      <c r="B122" s="11"/>
      <c r="C122" s="11"/>
      <c r="D122" s="1" t="s">
        <v>298</v>
      </c>
      <c r="E122" s="29">
        <f t="shared" si="38"/>
        <v>757300</v>
      </c>
      <c r="F122" s="29">
        <f>350900+406400-60000</f>
        <v>697300</v>
      </c>
      <c r="G122" s="29"/>
      <c r="H122" s="29"/>
      <c r="I122" s="29">
        <v>60000</v>
      </c>
      <c r="J122" s="29"/>
      <c r="K122" s="29"/>
      <c r="L122" s="29"/>
      <c r="M122" s="29"/>
      <c r="N122" s="29"/>
      <c r="O122" s="29"/>
      <c r="P122" s="29">
        <f t="shared" si="29"/>
        <v>757300</v>
      </c>
      <c r="S122" s="34"/>
    </row>
    <row r="123" spans="1:19" s="5" customFormat="1" ht="78">
      <c r="A123" s="11"/>
      <c r="B123" s="11"/>
      <c r="C123" s="11"/>
      <c r="D123" s="1" t="s">
        <v>297</v>
      </c>
      <c r="E123" s="29">
        <f t="shared" si="38"/>
        <v>63900</v>
      </c>
      <c r="F123" s="29">
        <v>63900</v>
      </c>
      <c r="G123" s="29"/>
      <c r="H123" s="29"/>
      <c r="I123" s="29"/>
      <c r="J123" s="29"/>
      <c r="K123" s="29"/>
      <c r="L123" s="29"/>
      <c r="M123" s="29"/>
      <c r="N123" s="29"/>
      <c r="O123" s="29"/>
      <c r="P123" s="29">
        <f t="shared" si="29"/>
        <v>63900</v>
      </c>
      <c r="S123" s="34"/>
    </row>
    <row r="124" spans="1:19" ht="54.75" customHeight="1">
      <c r="A124" s="23" t="s">
        <v>339</v>
      </c>
      <c r="B124" s="23">
        <v>8110</v>
      </c>
      <c r="C124" s="23" t="s">
        <v>233</v>
      </c>
      <c r="D124" s="8" t="s">
        <v>234</v>
      </c>
      <c r="E124" s="27">
        <f>F124+I124</f>
        <v>60000</v>
      </c>
      <c r="F124" s="27">
        <f>F125</f>
        <v>60000</v>
      </c>
      <c r="G124" s="27"/>
      <c r="H124" s="27"/>
      <c r="I124" s="27"/>
      <c r="J124" s="27">
        <f t="shared" ref="J124" si="41">L124+O124</f>
        <v>0</v>
      </c>
      <c r="K124" s="27">
        <v>0</v>
      </c>
      <c r="L124" s="27"/>
      <c r="M124" s="27"/>
      <c r="N124" s="27"/>
      <c r="O124" s="27">
        <v>0</v>
      </c>
      <c r="P124" s="27">
        <f>E124 + J124</f>
        <v>60000</v>
      </c>
      <c r="S124" s="34"/>
    </row>
    <row r="125" spans="1:19" s="5" customFormat="1" ht="78">
      <c r="A125" s="11"/>
      <c r="B125" s="11"/>
      <c r="C125" s="11"/>
      <c r="D125" s="1" t="s">
        <v>297</v>
      </c>
      <c r="E125" s="29">
        <f t="shared" ref="E125" si="42">F125+I125</f>
        <v>60000</v>
      </c>
      <c r="F125" s="29">
        <v>60000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>
        <f t="shared" ref="P125" si="43">E125 + J125</f>
        <v>60000</v>
      </c>
      <c r="S125" s="34"/>
    </row>
    <row r="126" spans="1:19" ht="46.8">
      <c r="A126" s="6" t="s">
        <v>161</v>
      </c>
      <c r="B126" s="6" t="s">
        <v>18</v>
      </c>
      <c r="C126" s="6" t="s">
        <v>18</v>
      </c>
      <c r="D126" s="7" t="s">
        <v>162</v>
      </c>
      <c r="E126" s="26">
        <f t="shared" si="38"/>
        <v>3818800</v>
      </c>
      <c r="F126" s="26">
        <f>F127</f>
        <v>3818800</v>
      </c>
      <c r="G126" s="26">
        <f t="shared" ref="G126:I126" si="44">G127</f>
        <v>3396800</v>
      </c>
      <c r="H126" s="26">
        <f t="shared" si="44"/>
        <v>0</v>
      </c>
      <c r="I126" s="26">
        <f t="shared" si="44"/>
        <v>0</v>
      </c>
      <c r="J126" s="26">
        <f t="shared" si="39"/>
        <v>0</v>
      </c>
      <c r="K126" s="26">
        <f>K127</f>
        <v>0</v>
      </c>
      <c r="L126" s="26">
        <f t="shared" ref="L126:O126" si="45">L127</f>
        <v>0</v>
      </c>
      <c r="M126" s="26">
        <f t="shared" si="45"/>
        <v>0</v>
      </c>
      <c r="N126" s="26">
        <f t="shared" si="45"/>
        <v>0</v>
      </c>
      <c r="O126" s="26">
        <f t="shared" si="45"/>
        <v>0</v>
      </c>
      <c r="P126" s="26">
        <f t="shared" si="29"/>
        <v>3818800</v>
      </c>
      <c r="S126" s="34"/>
    </row>
    <row r="127" spans="1:19" ht="46.8">
      <c r="A127" s="6" t="s">
        <v>163</v>
      </c>
      <c r="B127" s="6" t="s">
        <v>18</v>
      </c>
      <c r="C127" s="6" t="s">
        <v>18</v>
      </c>
      <c r="D127" s="7" t="s">
        <v>162</v>
      </c>
      <c r="E127" s="26">
        <f t="shared" si="38"/>
        <v>3818800</v>
      </c>
      <c r="F127" s="26">
        <f>SUM(F128:F131)</f>
        <v>3818800</v>
      </c>
      <c r="G127" s="26">
        <f>SUM(G128:G131)</f>
        <v>3396800</v>
      </c>
      <c r="H127" s="26">
        <f>SUM(H128:H131)</f>
        <v>0</v>
      </c>
      <c r="I127" s="26">
        <f>SUM(I128:I131)</f>
        <v>0</v>
      </c>
      <c r="J127" s="26">
        <f t="shared" si="39"/>
        <v>0</v>
      </c>
      <c r="K127" s="26">
        <f>SUM(K128:K131)</f>
        <v>0</v>
      </c>
      <c r="L127" s="26">
        <f>SUM(L128:L131)</f>
        <v>0</v>
      </c>
      <c r="M127" s="26">
        <f>SUM(M128:M131)</f>
        <v>0</v>
      </c>
      <c r="N127" s="26">
        <f>SUM(N128:N131)</f>
        <v>0</v>
      </c>
      <c r="O127" s="26">
        <f>SUM(O128:O131)</f>
        <v>0</v>
      </c>
      <c r="P127" s="26">
        <f t="shared" si="29"/>
        <v>3818800</v>
      </c>
      <c r="S127" s="34"/>
    </row>
    <row r="128" spans="1:19" ht="66" customHeight="1">
      <c r="A128" s="24" t="s">
        <v>164</v>
      </c>
      <c r="B128" s="24" t="s">
        <v>74</v>
      </c>
      <c r="C128" s="24" t="s">
        <v>23</v>
      </c>
      <c r="D128" s="8" t="s">
        <v>75</v>
      </c>
      <c r="E128" s="27">
        <f t="shared" si="38"/>
        <v>3465300</v>
      </c>
      <c r="F128" s="27">
        <f>3475300-10000</f>
        <v>3465300</v>
      </c>
      <c r="G128" s="27">
        <v>3396800</v>
      </c>
      <c r="H128" s="27">
        <v>0</v>
      </c>
      <c r="I128" s="27">
        <v>0</v>
      </c>
      <c r="J128" s="27">
        <f t="shared" si="39"/>
        <v>0</v>
      </c>
      <c r="K128" s="27">
        <v>0</v>
      </c>
      <c r="L128" s="27">
        <v>0</v>
      </c>
      <c r="M128" s="27">
        <v>0</v>
      </c>
      <c r="N128" s="27">
        <v>0</v>
      </c>
      <c r="O128" s="27">
        <v>0</v>
      </c>
      <c r="P128" s="27">
        <f t="shared" si="29"/>
        <v>3465300</v>
      </c>
      <c r="S128" s="34"/>
    </row>
    <row r="129" spans="1:19" ht="46.8">
      <c r="A129" s="23" t="s">
        <v>340</v>
      </c>
      <c r="B129" s="24" t="s">
        <v>26</v>
      </c>
      <c r="C129" s="24" t="s">
        <v>27</v>
      </c>
      <c r="D129" s="8" t="s">
        <v>28</v>
      </c>
      <c r="E129" s="27">
        <f t="shared" si="38"/>
        <v>6500</v>
      </c>
      <c r="F129" s="27">
        <v>6500</v>
      </c>
      <c r="G129" s="27">
        <v>0</v>
      </c>
      <c r="H129" s="27">
        <v>0</v>
      </c>
      <c r="I129" s="27">
        <v>0</v>
      </c>
      <c r="J129" s="27">
        <f t="shared" si="39"/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  <c r="P129" s="27">
        <f t="shared" ref="P129" si="46">E129 + J129</f>
        <v>6500</v>
      </c>
      <c r="S129" s="34"/>
    </row>
    <row r="130" spans="1:19" ht="31.2">
      <c r="A130" s="24" t="s">
        <v>165</v>
      </c>
      <c r="B130" s="24" t="s">
        <v>166</v>
      </c>
      <c r="C130" s="24" t="s">
        <v>114</v>
      </c>
      <c r="D130" s="8" t="s">
        <v>167</v>
      </c>
      <c r="E130" s="27">
        <f t="shared" si="38"/>
        <v>328000</v>
      </c>
      <c r="F130" s="27">
        <f>278000+50000</f>
        <v>328000</v>
      </c>
      <c r="G130" s="27">
        <v>0</v>
      </c>
      <c r="H130" s="27">
        <v>0</v>
      </c>
      <c r="I130" s="27">
        <v>0</v>
      </c>
      <c r="J130" s="27">
        <f t="shared" si="39"/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  <c r="P130" s="27">
        <f t="shared" si="29"/>
        <v>328000</v>
      </c>
      <c r="S130" s="34"/>
    </row>
    <row r="131" spans="1:19" ht="31.2">
      <c r="A131" s="23" t="s">
        <v>281</v>
      </c>
      <c r="B131" s="23" t="s">
        <v>273</v>
      </c>
      <c r="C131" s="23" t="s">
        <v>275</v>
      </c>
      <c r="D131" s="8" t="s">
        <v>274</v>
      </c>
      <c r="E131" s="27">
        <f t="shared" si="38"/>
        <v>19000</v>
      </c>
      <c r="F131" s="27">
        <f>9000+10000</f>
        <v>19000</v>
      </c>
      <c r="G131" s="27"/>
      <c r="H131" s="27"/>
      <c r="I131" s="27"/>
      <c r="J131" s="27">
        <f t="shared" si="39"/>
        <v>0</v>
      </c>
      <c r="K131" s="27"/>
      <c r="L131" s="27"/>
      <c r="M131" s="27"/>
      <c r="N131" s="27"/>
      <c r="O131" s="27"/>
      <c r="P131" s="27">
        <f t="shared" si="29"/>
        <v>19000</v>
      </c>
      <c r="S131" s="34"/>
    </row>
    <row r="132" spans="1:19" ht="46.8">
      <c r="A132" s="6" t="s">
        <v>168</v>
      </c>
      <c r="B132" s="6" t="s">
        <v>18</v>
      </c>
      <c r="C132" s="6" t="s">
        <v>18</v>
      </c>
      <c r="D132" s="7" t="s">
        <v>169</v>
      </c>
      <c r="E132" s="26">
        <f t="shared" si="38"/>
        <v>70817374</v>
      </c>
      <c r="F132" s="26">
        <f>F133</f>
        <v>70535400</v>
      </c>
      <c r="G132" s="26">
        <f t="shared" ref="G132:I132" si="47">G133</f>
        <v>57986500</v>
      </c>
      <c r="H132" s="26">
        <f t="shared" si="47"/>
        <v>3851880</v>
      </c>
      <c r="I132" s="26">
        <f t="shared" si="47"/>
        <v>281974</v>
      </c>
      <c r="J132" s="26">
        <f t="shared" si="39"/>
        <v>1400000</v>
      </c>
      <c r="K132" s="26">
        <f>K133</f>
        <v>0</v>
      </c>
      <c r="L132" s="26">
        <f t="shared" ref="L132:O132" si="48">L133</f>
        <v>1170000</v>
      </c>
      <c r="M132" s="26">
        <f t="shared" si="48"/>
        <v>511100</v>
      </c>
      <c r="N132" s="26">
        <f t="shared" si="48"/>
        <v>0</v>
      </c>
      <c r="O132" s="26">
        <f t="shared" si="48"/>
        <v>230000</v>
      </c>
      <c r="P132" s="26">
        <f t="shared" si="29"/>
        <v>72217374</v>
      </c>
      <c r="S132" s="34"/>
    </row>
    <row r="133" spans="1:19" ht="46.8">
      <c r="A133" s="6" t="s">
        <v>170</v>
      </c>
      <c r="B133" s="6" t="s">
        <v>18</v>
      </c>
      <c r="C133" s="6" t="s">
        <v>18</v>
      </c>
      <c r="D133" s="7" t="s">
        <v>169</v>
      </c>
      <c r="E133" s="26">
        <f t="shared" si="38"/>
        <v>70817374</v>
      </c>
      <c r="F133" s="26">
        <f>SUM(F134:F145)</f>
        <v>70535400</v>
      </c>
      <c r="G133" s="26">
        <f t="shared" ref="G133:K133" si="49">SUM(G134:G145)</f>
        <v>57986500</v>
      </c>
      <c r="H133" s="26">
        <f t="shared" si="49"/>
        <v>3851880</v>
      </c>
      <c r="I133" s="26">
        <f t="shared" si="49"/>
        <v>281974</v>
      </c>
      <c r="J133" s="26">
        <f t="shared" si="39"/>
        <v>1400000</v>
      </c>
      <c r="K133" s="26">
        <f t="shared" si="49"/>
        <v>0</v>
      </c>
      <c r="L133" s="26">
        <f t="shared" ref="L133" si="50">SUM(L134:L145)</f>
        <v>1170000</v>
      </c>
      <c r="M133" s="26">
        <f t="shared" ref="M133" si="51">SUM(M134:M145)</f>
        <v>511100</v>
      </c>
      <c r="N133" s="26">
        <f t="shared" ref="N133" si="52">SUM(N134:N145)</f>
        <v>0</v>
      </c>
      <c r="O133" s="26">
        <f t="shared" ref="O133" si="53">SUM(O134:O145)</f>
        <v>230000</v>
      </c>
      <c r="P133" s="26">
        <f t="shared" si="29"/>
        <v>72217374</v>
      </c>
      <c r="S133" s="34"/>
    </row>
    <row r="134" spans="1:19" ht="54" customHeight="1">
      <c r="A134" s="24" t="s">
        <v>171</v>
      </c>
      <c r="B134" s="24" t="s">
        <v>74</v>
      </c>
      <c r="C134" s="24" t="s">
        <v>23</v>
      </c>
      <c r="D134" s="8" t="s">
        <v>75</v>
      </c>
      <c r="E134" s="27">
        <f t="shared" si="38"/>
        <v>1373800</v>
      </c>
      <c r="F134" s="27">
        <v>1373800</v>
      </c>
      <c r="G134" s="27">
        <v>1342800</v>
      </c>
      <c r="H134" s="27">
        <v>0</v>
      </c>
      <c r="I134" s="27">
        <v>0</v>
      </c>
      <c r="J134" s="27">
        <f t="shared" si="39"/>
        <v>0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  <c r="P134" s="27">
        <f t="shared" si="29"/>
        <v>1373800</v>
      </c>
      <c r="S134" s="34"/>
    </row>
    <row r="135" spans="1:19" ht="46.8">
      <c r="A135" s="23" t="s">
        <v>341</v>
      </c>
      <c r="B135" s="24" t="s">
        <v>26</v>
      </c>
      <c r="C135" s="24" t="s">
        <v>27</v>
      </c>
      <c r="D135" s="8" t="s">
        <v>28</v>
      </c>
      <c r="E135" s="27">
        <f t="shared" ref="E135" si="54">F135+I135</f>
        <v>4000</v>
      </c>
      <c r="F135" s="27">
        <v>4000</v>
      </c>
      <c r="G135" s="27">
        <v>0</v>
      </c>
      <c r="H135" s="27">
        <v>0</v>
      </c>
      <c r="I135" s="27">
        <v>0</v>
      </c>
      <c r="J135" s="27">
        <f t="shared" ref="J135" si="55">L135+O135</f>
        <v>0</v>
      </c>
      <c r="K135" s="27">
        <v>0</v>
      </c>
      <c r="L135" s="27">
        <v>0</v>
      </c>
      <c r="M135" s="27">
        <v>0</v>
      </c>
      <c r="N135" s="27">
        <v>0</v>
      </c>
      <c r="O135" s="27">
        <v>0</v>
      </c>
      <c r="P135" s="27">
        <f t="shared" si="29"/>
        <v>4000</v>
      </c>
      <c r="S135" s="34"/>
    </row>
    <row r="136" spans="1:19" ht="31.2">
      <c r="A136" s="24" t="s">
        <v>172</v>
      </c>
      <c r="B136" s="24" t="s">
        <v>173</v>
      </c>
      <c r="C136" s="24" t="s">
        <v>96</v>
      </c>
      <c r="D136" s="8" t="s">
        <v>174</v>
      </c>
      <c r="E136" s="27">
        <f t="shared" si="38"/>
        <v>32288400</v>
      </c>
      <c r="F136" s="27">
        <f>29010800+3900000+740000-1574400+112000+100000</f>
        <v>32288400</v>
      </c>
      <c r="G136" s="27">
        <f>27112900+4640000-1574400+112000</f>
        <v>30290500</v>
      </c>
      <c r="H136" s="27">
        <v>735900</v>
      </c>
      <c r="I136" s="27">
        <v>0</v>
      </c>
      <c r="J136" s="27">
        <f t="shared" si="39"/>
        <v>1090000</v>
      </c>
      <c r="K136" s="27">
        <v>0</v>
      </c>
      <c r="L136" s="27">
        <v>890000</v>
      </c>
      <c r="M136" s="27">
        <v>499100</v>
      </c>
      <c r="N136" s="27">
        <v>0</v>
      </c>
      <c r="O136" s="27">
        <v>200000</v>
      </c>
      <c r="P136" s="27">
        <f t="shared" si="29"/>
        <v>33378400</v>
      </c>
      <c r="S136" s="34"/>
    </row>
    <row r="137" spans="1:19" ht="108.75" customHeight="1">
      <c r="A137" s="24" t="s">
        <v>175</v>
      </c>
      <c r="B137" s="24" t="s">
        <v>113</v>
      </c>
      <c r="C137" s="24" t="s">
        <v>114</v>
      </c>
      <c r="D137" s="8" t="s">
        <v>115</v>
      </c>
      <c r="E137" s="27">
        <f t="shared" si="38"/>
        <v>170000</v>
      </c>
      <c r="F137" s="27">
        <v>170000</v>
      </c>
      <c r="G137" s="27">
        <v>0</v>
      </c>
      <c r="H137" s="27">
        <v>0</v>
      </c>
      <c r="I137" s="27">
        <v>0</v>
      </c>
      <c r="J137" s="27">
        <f t="shared" si="39"/>
        <v>0</v>
      </c>
      <c r="K137" s="27">
        <v>0</v>
      </c>
      <c r="L137" s="27">
        <v>0</v>
      </c>
      <c r="M137" s="27">
        <v>0</v>
      </c>
      <c r="N137" s="27">
        <v>0</v>
      </c>
      <c r="O137" s="27">
        <v>0</v>
      </c>
      <c r="P137" s="27">
        <f t="shared" si="29"/>
        <v>170000</v>
      </c>
      <c r="S137" s="34"/>
    </row>
    <row r="138" spans="1:19" ht="46.8">
      <c r="A138" s="24">
        <v>1013242</v>
      </c>
      <c r="B138" s="24">
        <v>3242</v>
      </c>
      <c r="C138" s="24">
        <v>1090</v>
      </c>
      <c r="D138" s="8" t="s">
        <v>349</v>
      </c>
      <c r="E138" s="27">
        <f t="shared" si="38"/>
        <v>48000</v>
      </c>
      <c r="F138" s="27">
        <v>48000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>
        <f t="shared" si="29"/>
        <v>48000</v>
      </c>
      <c r="S138" s="34"/>
    </row>
    <row r="139" spans="1:19">
      <c r="A139" s="24" t="s">
        <v>176</v>
      </c>
      <c r="B139" s="24" t="s">
        <v>177</v>
      </c>
      <c r="C139" s="24" t="s">
        <v>178</v>
      </c>
      <c r="D139" s="8" t="s">
        <v>179</v>
      </c>
      <c r="E139" s="27">
        <f t="shared" si="38"/>
        <v>11344475</v>
      </c>
      <c r="F139" s="27">
        <f>11148800+40000</f>
        <v>11188800</v>
      </c>
      <c r="G139" s="27">
        <v>8446400</v>
      </c>
      <c r="H139" s="27">
        <v>1273200</v>
      </c>
      <c r="I139" s="27">
        <v>155675</v>
      </c>
      <c r="J139" s="27">
        <f t="shared" si="39"/>
        <v>80000</v>
      </c>
      <c r="K139" s="27">
        <v>0</v>
      </c>
      <c r="L139" s="27">
        <f>80000</f>
        <v>80000</v>
      </c>
      <c r="M139" s="27">
        <v>0</v>
      </c>
      <c r="N139" s="27">
        <v>0</v>
      </c>
      <c r="O139" s="27">
        <v>0</v>
      </c>
      <c r="P139" s="27">
        <f t="shared" si="29"/>
        <v>11424475</v>
      </c>
      <c r="S139" s="34"/>
    </row>
    <row r="140" spans="1:19" ht="31.2">
      <c r="A140" s="24" t="s">
        <v>180</v>
      </c>
      <c r="B140" s="24" t="s">
        <v>181</v>
      </c>
      <c r="C140" s="24" t="s">
        <v>178</v>
      </c>
      <c r="D140" s="8" t="s">
        <v>182</v>
      </c>
      <c r="E140" s="27">
        <f t="shared" si="38"/>
        <v>5129900</v>
      </c>
      <c r="F140" s="27">
        <f>4329900+375000+325000+100000</f>
        <v>5129900</v>
      </c>
      <c r="G140" s="27">
        <v>2944500</v>
      </c>
      <c r="H140" s="27">
        <v>553800</v>
      </c>
      <c r="I140" s="27">
        <f>40000-40000</f>
        <v>0</v>
      </c>
      <c r="J140" s="27">
        <f t="shared" si="39"/>
        <v>40000</v>
      </c>
      <c r="K140" s="27">
        <v>0</v>
      </c>
      <c r="L140" s="27">
        <v>40000</v>
      </c>
      <c r="M140" s="27">
        <v>0</v>
      </c>
      <c r="N140" s="27">
        <v>0</v>
      </c>
      <c r="O140" s="27">
        <v>0</v>
      </c>
      <c r="P140" s="27">
        <f t="shared" si="29"/>
        <v>5169900</v>
      </c>
      <c r="S140" s="34"/>
    </row>
    <row r="141" spans="1:19" ht="46.8">
      <c r="A141" s="24" t="s">
        <v>183</v>
      </c>
      <c r="B141" s="24" t="s">
        <v>184</v>
      </c>
      <c r="C141" s="24" t="s">
        <v>185</v>
      </c>
      <c r="D141" s="8" t="s">
        <v>186</v>
      </c>
      <c r="E141" s="27">
        <f t="shared" si="38"/>
        <v>16130199</v>
      </c>
      <c r="F141" s="27">
        <f>15603900+390000+40000</f>
        <v>16033900</v>
      </c>
      <c r="G141" s="27">
        <v>12105600</v>
      </c>
      <c r="H141" s="27">
        <f>1194900+90000</f>
        <v>1284900</v>
      </c>
      <c r="I141" s="27">
        <v>96299</v>
      </c>
      <c r="J141" s="27">
        <f t="shared" si="39"/>
        <v>190000</v>
      </c>
      <c r="K141" s="27">
        <v>0</v>
      </c>
      <c r="L141" s="27">
        <v>160000</v>
      </c>
      <c r="M141" s="27">
        <f>10000+2000</f>
        <v>12000</v>
      </c>
      <c r="N141" s="27">
        <v>0</v>
      </c>
      <c r="O141" s="27">
        <v>30000</v>
      </c>
      <c r="P141" s="27">
        <f t="shared" si="29"/>
        <v>16320199</v>
      </c>
      <c r="S141" s="34"/>
    </row>
    <row r="142" spans="1:19" ht="31.2">
      <c r="A142" s="24" t="s">
        <v>187</v>
      </c>
      <c r="B142" s="24" t="s">
        <v>188</v>
      </c>
      <c r="C142" s="24" t="s">
        <v>189</v>
      </c>
      <c r="D142" s="8" t="s">
        <v>190</v>
      </c>
      <c r="E142" s="27">
        <f t="shared" si="38"/>
        <v>2999300</v>
      </c>
      <c r="F142" s="27">
        <v>2999300</v>
      </c>
      <c r="G142" s="27">
        <v>2856700</v>
      </c>
      <c r="H142" s="27">
        <f>74600-70520</f>
        <v>4080</v>
      </c>
      <c r="I142" s="27">
        <v>0</v>
      </c>
      <c r="J142" s="27">
        <f t="shared" si="39"/>
        <v>0</v>
      </c>
      <c r="K142" s="27">
        <v>0</v>
      </c>
      <c r="L142" s="27">
        <v>0</v>
      </c>
      <c r="M142" s="27">
        <v>0</v>
      </c>
      <c r="N142" s="27">
        <v>0</v>
      </c>
      <c r="O142" s="27">
        <v>0</v>
      </c>
      <c r="P142" s="27">
        <f t="shared" si="29"/>
        <v>2999300</v>
      </c>
      <c r="S142" s="34"/>
    </row>
    <row r="143" spans="1:19" ht="31.2">
      <c r="A143" s="24" t="s">
        <v>191</v>
      </c>
      <c r="B143" s="24" t="s">
        <v>192</v>
      </c>
      <c r="C143" s="24" t="s">
        <v>189</v>
      </c>
      <c r="D143" s="8" t="s">
        <v>193</v>
      </c>
      <c r="E143" s="27">
        <f t="shared" si="38"/>
        <v>979000</v>
      </c>
      <c r="F143" s="27">
        <f>750000+129000+100000</f>
        <v>979000</v>
      </c>
      <c r="G143" s="27">
        <v>0</v>
      </c>
      <c r="H143" s="27">
        <v>0</v>
      </c>
      <c r="I143" s="27">
        <v>0</v>
      </c>
      <c r="J143" s="27">
        <f t="shared" si="39"/>
        <v>0</v>
      </c>
      <c r="K143" s="27">
        <v>0</v>
      </c>
      <c r="L143" s="27">
        <v>0</v>
      </c>
      <c r="M143" s="27">
        <v>0</v>
      </c>
      <c r="N143" s="27">
        <v>0</v>
      </c>
      <c r="O143" s="27">
        <v>0</v>
      </c>
      <c r="P143" s="27">
        <f t="shared" si="29"/>
        <v>979000</v>
      </c>
      <c r="S143" s="34"/>
    </row>
    <row r="144" spans="1:19" ht="31.2">
      <c r="A144" s="23" t="s">
        <v>282</v>
      </c>
      <c r="B144" s="23" t="s">
        <v>273</v>
      </c>
      <c r="C144" s="23" t="s">
        <v>275</v>
      </c>
      <c r="D144" s="8" t="s">
        <v>274</v>
      </c>
      <c r="E144" s="27">
        <f t="shared" si="38"/>
        <v>285300</v>
      </c>
      <c r="F144" s="27">
        <f>205000+50300</f>
        <v>255300</v>
      </c>
      <c r="G144" s="27"/>
      <c r="H144" s="27"/>
      <c r="I144" s="27">
        <v>30000</v>
      </c>
      <c r="J144" s="27">
        <f t="shared" si="39"/>
        <v>0</v>
      </c>
      <c r="K144" s="27">
        <v>0</v>
      </c>
      <c r="L144" s="27"/>
      <c r="M144" s="27"/>
      <c r="N144" s="27"/>
      <c r="O144" s="27">
        <v>0</v>
      </c>
      <c r="P144" s="27">
        <f t="shared" si="29"/>
        <v>285300</v>
      </c>
      <c r="S144" s="34"/>
    </row>
    <row r="145" spans="1:19" ht="54.75" customHeight="1">
      <c r="A145" s="23" t="s">
        <v>342</v>
      </c>
      <c r="B145" s="23">
        <v>8110</v>
      </c>
      <c r="C145" s="23" t="s">
        <v>233</v>
      </c>
      <c r="D145" s="8" t="s">
        <v>234</v>
      </c>
      <c r="E145" s="27">
        <f>F145+I145</f>
        <v>65000</v>
      </c>
      <c r="F145" s="27">
        <v>65000</v>
      </c>
      <c r="G145" s="27"/>
      <c r="H145" s="27"/>
      <c r="I145" s="27">
        <f>550000-550000</f>
        <v>0</v>
      </c>
      <c r="J145" s="27">
        <f t="shared" si="39"/>
        <v>0</v>
      </c>
      <c r="K145" s="27">
        <v>0</v>
      </c>
      <c r="L145" s="27"/>
      <c r="M145" s="27"/>
      <c r="N145" s="27"/>
      <c r="O145" s="27">
        <v>0</v>
      </c>
      <c r="P145" s="27">
        <f>E145 + J145</f>
        <v>65000</v>
      </c>
      <c r="S145" s="34"/>
    </row>
    <row r="146" spans="1:19" ht="46.8">
      <c r="A146" s="6" t="s">
        <v>194</v>
      </c>
      <c r="B146" s="6" t="s">
        <v>18</v>
      </c>
      <c r="C146" s="6" t="s">
        <v>18</v>
      </c>
      <c r="D146" s="7" t="s">
        <v>195</v>
      </c>
      <c r="E146" s="26">
        <f t="shared" si="38"/>
        <v>20937150</v>
      </c>
      <c r="F146" s="26">
        <f>F147</f>
        <v>12501300</v>
      </c>
      <c r="G146" s="26">
        <f t="shared" ref="G146:I146" si="56">G147</f>
        <v>3696300</v>
      </c>
      <c r="H146" s="26">
        <f t="shared" si="56"/>
        <v>78300</v>
      </c>
      <c r="I146" s="26">
        <f t="shared" si="56"/>
        <v>8435850</v>
      </c>
      <c r="J146" s="26">
        <f t="shared" si="39"/>
        <v>4340995.8600000003</v>
      </c>
      <c r="K146" s="26">
        <f>K147</f>
        <v>0</v>
      </c>
      <c r="L146" s="26">
        <f t="shared" ref="L146:O146" si="57">L147</f>
        <v>0</v>
      </c>
      <c r="M146" s="26">
        <f t="shared" si="57"/>
        <v>0</v>
      </c>
      <c r="N146" s="26">
        <f t="shared" si="57"/>
        <v>0</v>
      </c>
      <c r="O146" s="26">
        <f t="shared" si="57"/>
        <v>4340995.8600000003</v>
      </c>
      <c r="P146" s="26">
        <f t="shared" si="29"/>
        <v>25278145.859999999</v>
      </c>
      <c r="S146" s="34"/>
    </row>
    <row r="147" spans="1:19" ht="46.8">
      <c r="A147" s="6" t="s">
        <v>196</v>
      </c>
      <c r="B147" s="6" t="s">
        <v>18</v>
      </c>
      <c r="C147" s="6" t="s">
        <v>18</v>
      </c>
      <c r="D147" s="7" t="s">
        <v>195</v>
      </c>
      <c r="E147" s="26">
        <f t="shared" si="38"/>
        <v>20937150</v>
      </c>
      <c r="F147" s="26">
        <f>SUM(F148:F157)</f>
        <v>12501300</v>
      </c>
      <c r="G147" s="26">
        <f t="shared" ref="G147:K147" si="58">SUM(G148:G157)</f>
        <v>3696300</v>
      </c>
      <c r="H147" s="26">
        <f t="shared" si="58"/>
        <v>78300</v>
      </c>
      <c r="I147" s="26">
        <f t="shared" si="58"/>
        <v>8435850</v>
      </c>
      <c r="J147" s="26">
        <f t="shared" si="39"/>
        <v>4340995.8600000003</v>
      </c>
      <c r="K147" s="26">
        <f t="shared" si="58"/>
        <v>0</v>
      </c>
      <c r="L147" s="26">
        <f t="shared" ref="L147" si="59">SUM(L148:L157)</f>
        <v>0</v>
      </c>
      <c r="M147" s="26">
        <f t="shared" ref="M147" si="60">SUM(M148:M157)</f>
        <v>0</v>
      </c>
      <c r="N147" s="26">
        <f t="shared" ref="N147" si="61">SUM(N148:N157)</f>
        <v>0</v>
      </c>
      <c r="O147" s="26">
        <f t="shared" ref="O147" si="62">SUM(O148:O157)</f>
        <v>4340995.8600000003</v>
      </c>
      <c r="P147" s="26">
        <f t="shared" si="29"/>
        <v>25278145.859999999</v>
      </c>
      <c r="S147" s="34"/>
    </row>
    <row r="148" spans="1:19" ht="71.25" customHeight="1">
      <c r="A148" s="24" t="s">
        <v>197</v>
      </c>
      <c r="B148" s="24" t="s">
        <v>74</v>
      </c>
      <c r="C148" s="24" t="s">
        <v>23</v>
      </c>
      <c r="D148" s="8" t="s">
        <v>75</v>
      </c>
      <c r="E148" s="27">
        <f t="shared" si="38"/>
        <v>3006000</v>
      </c>
      <c r="F148" s="27">
        <v>3006000</v>
      </c>
      <c r="G148" s="27">
        <v>2895700</v>
      </c>
      <c r="H148" s="27">
        <v>0</v>
      </c>
      <c r="I148" s="27">
        <v>0</v>
      </c>
      <c r="J148" s="27">
        <f t="shared" si="39"/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0</v>
      </c>
      <c r="P148" s="27">
        <f t="shared" si="29"/>
        <v>3006000</v>
      </c>
      <c r="S148" s="34"/>
    </row>
    <row r="149" spans="1:19" ht="46.8">
      <c r="A149" s="23" t="s">
        <v>343</v>
      </c>
      <c r="B149" s="24" t="s">
        <v>26</v>
      </c>
      <c r="C149" s="24" t="s">
        <v>27</v>
      </c>
      <c r="D149" s="8" t="s">
        <v>28</v>
      </c>
      <c r="E149" s="27">
        <f t="shared" si="38"/>
        <v>9000</v>
      </c>
      <c r="F149" s="27">
        <v>9000</v>
      </c>
      <c r="G149" s="27">
        <v>0</v>
      </c>
      <c r="H149" s="27">
        <v>0</v>
      </c>
      <c r="I149" s="27">
        <v>0</v>
      </c>
      <c r="J149" s="27">
        <f t="shared" si="39"/>
        <v>0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  <c r="P149" s="27">
        <f t="shared" ref="P149" si="63">E149 + J149</f>
        <v>9000</v>
      </c>
      <c r="S149" s="34"/>
    </row>
    <row r="150" spans="1:19" ht="62.4">
      <c r="A150" s="24" t="s">
        <v>198</v>
      </c>
      <c r="B150" s="24" t="s">
        <v>199</v>
      </c>
      <c r="C150" s="24" t="s">
        <v>114</v>
      </c>
      <c r="D150" s="8" t="s">
        <v>321</v>
      </c>
      <c r="E150" s="27">
        <f t="shared" si="38"/>
        <v>2429000</v>
      </c>
      <c r="F150" s="27">
        <v>2429000</v>
      </c>
      <c r="G150" s="27">
        <v>800600</v>
      </c>
      <c r="H150" s="27">
        <v>78300</v>
      </c>
      <c r="I150" s="27">
        <v>0</v>
      </c>
      <c r="J150" s="27">
        <f t="shared" si="39"/>
        <v>0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  <c r="P150" s="27">
        <f t="shared" si="29"/>
        <v>2429000</v>
      </c>
      <c r="S150" s="34"/>
    </row>
    <row r="151" spans="1:19" ht="46.8">
      <c r="A151" s="24" t="s">
        <v>200</v>
      </c>
      <c r="B151" s="24" t="s">
        <v>201</v>
      </c>
      <c r="C151" s="24" t="s">
        <v>119</v>
      </c>
      <c r="D151" s="8" t="s">
        <v>202</v>
      </c>
      <c r="E151" s="27">
        <f t="shared" si="38"/>
        <v>1514500</v>
      </c>
      <c r="F151" s="27">
        <f>1529900+49500-64900</f>
        <v>1514500</v>
      </c>
      <c r="G151" s="27">
        <v>0</v>
      </c>
      <c r="H151" s="27">
        <v>0</v>
      </c>
      <c r="I151" s="27">
        <v>0</v>
      </c>
      <c r="J151" s="27">
        <f t="shared" si="39"/>
        <v>0</v>
      </c>
      <c r="K151" s="27">
        <v>0</v>
      </c>
      <c r="L151" s="27">
        <v>0</v>
      </c>
      <c r="M151" s="27">
        <v>0</v>
      </c>
      <c r="N151" s="27">
        <v>0</v>
      </c>
      <c r="O151" s="27">
        <v>0</v>
      </c>
      <c r="P151" s="27">
        <f t="shared" si="29"/>
        <v>1514500</v>
      </c>
      <c r="S151" s="34"/>
    </row>
    <row r="152" spans="1:19" ht="46.8">
      <c r="A152" s="24" t="s">
        <v>203</v>
      </c>
      <c r="B152" s="24" t="s">
        <v>204</v>
      </c>
      <c r="C152" s="24" t="s">
        <v>119</v>
      </c>
      <c r="D152" s="8" t="s">
        <v>205</v>
      </c>
      <c r="E152" s="27">
        <f t="shared" si="38"/>
        <v>965738</v>
      </c>
      <c r="F152" s="27">
        <f>1055000+49500-138762</f>
        <v>965738</v>
      </c>
      <c r="G152" s="27">
        <v>0</v>
      </c>
      <c r="H152" s="27">
        <v>0</v>
      </c>
      <c r="I152" s="27">
        <v>0</v>
      </c>
      <c r="J152" s="27">
        <f t="shared" si="39"/>
        <v>0</v>
      </c>
      <c r="K152" s="27">
        <v>0</v>
      </c>
      <c r="L152" s="27">
        <v>0</v>
      </c>
      <c r="M152" s="27">
        <v>0</v>
      </c>
      <c r="N152" s="27">
        <v>0</v>
      </c>
      <c r="O152" s="27">
        <v>0</v>
      </c>
      <c r="P152" s="27">
        <f t="shared" si="29"/>
        <v>965738</v>
      </c>
      <c r="S152" s="34"/>
    </row>
    <row r="153" spans="1:19" ht="35.4" customHeight="1">
      <c r="A153" s="24">
        <v>1115048</v>
      </c>
      <c r="B153" s="24">
        <v>5048</v>
      </c>
      <c r="C153" s="23" t="s">
        <v>119</v>
      </c>
      <c r="D153" s="8" t="s">
        <v>399</v>
      </c>
      <c r="E153" s="27">
        <f>F153+I153</f>
        <v>8435850</v>
      </c>
      <c r="F153" s="27"/>
      <c r="G153" s="27"/>
      <c r="H153" s="27"/>
      <c r="I153" s="27">
        <v>8435850</v>
      </c>
      <c r="J153" s="27">
        <f>L153+O153</f>
        <v>0</v>
      </c>
      <c r="K153" s="27"/>
      <c r="L153" s="27"/>
      <c r="M153" s="27"/>
      <c r="N153" s="27"/>
      <c r="O153" s="27"/>
      <c r="P153" s="27">
        <f>E153 + J153</f>
        <v>8435850</v>
      </c>
      <c r="S153" s="34"/>
    </row>
    <row r="154" spans="1:19" ht="84" customHeight="1">
      <c r="A154" s="24" t="s">
        <v>206</v>
      </c>
      <c r="B154" s="24" t="s">
        <v>207</v>
      </c>
      <c r="C154" s="24" t="s">
        <v>119</v>
      </c>
      <c r="D154" s="8" t="s">
        <v>350</v>
      </c>
      <c r="E154" s="27">
        <f t="shared" si="38"/>
        <v>4200462</v>
      </c>
      <c r="F154" s="27">
        <f>4296800-96338</f>
        <v>4200462</v>
      </c>
      <c r="G154" s="27">
        <v>0</v>
      </c>
      <c r="H154" s="27">
        <v>0</v>
      </c>
      <c r="I154" s="27">
        <v>0</v>
      </c>
      <c r="J154" s="27">
        <f t="shared" si="39"/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  <c r="P154" s="27">
        <f t="shared" si="29"/>
        <v>4200462</v>
      </c>
      <c r="S154" s="34"/>
    </row>
    <row r="155" spans="1:19" ht="62.4">
      <c r="A155" s="24">
        <v>1115062</v>
      </c>
      <c r="B155" s="24">
        <v>5062</v>
      </c>
      <c r="C155" s="23" t="s">
        <v>119</v>
      </c>
      <c r="D155" s="8" t="s">
        <v>413</v>
      </c>
      <c r="E155" s="27">
        <f t="shared" si="38"/>
        <v>300000</v>
      </c>
      <c r="F155" s="27">
        <v>300000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>
        <f t="shared" si="29"/>
        <v>300000</v>
      </c>
      <c r="S155" s="34"/>
    </row>
    <row r="156" spans="1:19" ht="31.2">
      <c r="A156" s="23" t="s">
        <v>283</v>
      </c>
      <c r="B156" s="23" t="s">
        <v>273</v>
      </c>
      <c r="C156" s="23" t="s">
        <v>275</v>
      </c>
      <c r="D156" s="8" t="s">
        <v>274</v>
      </c>
      <c r="E156" s="27">
        <f t="shared" si="38"/>
        <v>76600</v>
      </c>
      <c r="F156" s="27">
        <v>76600</v>
      </c>
      <c r="G156" s="27"/>
      <c r="H156" s="27"/>
      <c r="I156" s="27"/>
      <c r="J156" s="27">
        <f t="shared" ref="J156:J157" si="64">L156+O156</f>
        <v>0</v>
      </c>
      <c r="K156" s="27"/>
      <c r="L156" s="27"/>
      <c r="M156" s="27"/>
      <c r="N156" s="27"/>
      <c r="O156" s="27"/>
      <c r="P156" s="27">
        <f t="shared" si="29"/>
        <v>76600</v>
      </c>
      <c r="S156" s="34"/>
    </row>
    <row r="157" spans="1:19" ht="140.4">
      <c r="A157" s="23" t="s">
        <v>388</v>
      </c>
      <c r="B157" s="23" t="s">
        <v>389</v>
      </c>
      <c r="C157" s="23" t="s">
        <v>58</v>
      </c>
      <c r="D157" s="8" t="s">
        <v>390</v>
      </c>
      <c r="E157" s="27">
        <f t="shared" si="38"/>
        <v>0</v>
      </c>
      <c r="F157" s="27"/>
      <c r="G157" s="27"/>
      <c r="H157" s="27"/>
      <c r="I157" s="27"/>
      <c r="J157" s="27">
        <f t="shared" si="64"/>
        <v>4340995.8600000003</v>
      </c>
      <c r="K157" s="27"/>
      <c r="L157" s="27"/>
      <c r="M157" s="27"/>
      <c r="N157" s="27"/>
      <c r="O157" s="27">
        <v>4340995.8600000003</v>
      </c>
      <c r="P157" s="27">
        <f t="shared" si="29"/>
        <v>4340995.8600000003</v>
      </c>
      <c r="S157" s="34"/>
    </row>
    <row r="158" spans="1:19" ht="62.4">
      <c r="A158" s="6" t="s">
        <v>208</v>
      </c>
      <c r="B158" s="6" t="s">
        <v>18</v>
      </c>
      <c r="C158" s="6" t="s">
        <v>18</v>
      </c>
      <c r="D158" s="7" t="s">
        <v>209</v>
      </c>
      <c r="E158" s="26">
        <f t="shared" si="38"/>
        <v>242290017</v>
      </c>
      <c r="F158" s="26">
        <f>F159</f>
        <v>50987427</v>
      </c>
      <c r="G158" s="26">
        <f t="shared" ref="G158:I158" si="65">G159</f>
        <v>5752900</v>
      </c>
      <c r="H158" s="26">
        <f t="shared" si="65"/>
        <v>15900</v>
      </c>
      <c r="I158" s="26">
        <f t="shared" si="65"/>
        <v>191302590</v>
      </c>
      <c r="J158" s="26">
        <f t="shared" si="39"/>
        <v>11447090.67</v>
      </c>
      <c r="K158" s="26">
        <f>K159</f>
        <v>4777000</v>
      </c>
      <c r="L158" s="26">
        <f t="shared" ref="L158:O158" si="66">L159</f>
        <v>989184</v>
      </c>
      <c r="M158" s="26">
        <f t="shared" si="66"/>
        <v>0</v>
      </c>
      <c r="N158" s="26">
        <f t="shared" si="66"/>
        <v>0</v>
      </c>
      <c r="O158" s="26">
        <f t="shared" si="66"/>
        <v>10457906.67</v>
      </c>
      <c r="P158" s="26">
        <f t="shared" si="29"/>
        <v>253737107.66999999</v>
      </c>
      <c r="S158" s="34"/>
    </row>
    <row r="159" spans="1:19" ht="62.4">
      <c r="A159" s="6" t="s">
        <v>210</v>
      </c>
      <c r="B159" s="6" t="s">
        <v>18</v>
      </c>
      <c r="C159" s="6" t="s">
        <v>18</v>
      </c>
      <c r="D159" s="7" t="s">
        <v>209</v>
      </c>
      <c r="E159" s="26">
        <f>F159+I159</f>
        <v>242290017</v>
      </c>
      <c r="F159" s="26">
        <f>SUM(F160:F176)</f>
        <v>50987427</v>
      </c>
      <c r="G159" s="26">
        <f t="shared" ref="G159:K159" si="67">SUM(G160:G176)</f>
        <v>5752900</v>
      </c>
      <c r="H159" s="26">
        <f t="shared" si="67"/>
        <v>15900</v>
      </c>
      <c r="I159" s="26">
        <f t="shared" si="67"/>
        <v>191302590</v>
      </c>
      <c r="J159" s="26">
        <f t="shared" si="39"/>
        <v>11447090.67</v>
      </c>
      <c r="K159" s="26">
        <f t="shared" si="67"/>
        <v>4777000</v>
      </c>
      <c r="L159" s="26">
        <f t="shared" ref="L159" si="68">SUM(L160:L176)</f>
        <v>989184</v>
      </c>
      <c r="M159" s="26">
        <f t="shared" ref="M159" si="69">SUM(M160:M176)</f>
        <v>0</v>
      </c>
      <c r="N159" s="26">
        <f t="shared" ref="N159" si="70">SUM(N160:N176)</f>
        <v>0</v>
      </c>
      <c r="O159" s="26">
        <f t="shared" ref="O159" si="71">SUM(O160:O176)</f>
        <v>10457906.67</v>
      </c>
      <c r="P159" s="26">
        <f>E159 + J159</f>
        <v>253737107.66999999</v>
      </c>
      <c r="S159" s="34"/>
    </row>
    <row r="160" spans="1:19" ht="46.8">
      <c r="A160" s="24" t="s">
        <v>211</v>
      </c>
      <c r="B160" s="24" t="s">
        <v>74</v>
      </c>
      <c r="C160" s="24" t="s">
        <v>23</v>
      </c>
      <c r="D160" s="8" t="s">
        <v>75</v>
      </c>
      <c r="E160" s="27">
        <f t="shared" si="38"/>
        <v>6165580</v>
      </c>
      <c r="F160" s="27">
        <f>6100200+65380</f>
        <v>6165580</v>
      </c>
      <c r="G160" s="27">
        <v>5752900</v>
      </c>
      <c r="H160" s="27">
        <v>15900</v>
      </c>
      <c r="I160" s="27">
        <v>0</v>
      </c>
      <c r="J160" s="27">
        <f t="shared" si="39"/>
        <v>0</v>
      </c>
      <c r="K160" s="27">
        <v>0</v>
      </c>
      <c r="L160" s="27">
        <v>0</v>
      </c>
      <c r="M160" s="27">
        <v>0</v>
      </c>
      <c r="N160" s="27">
        <v>0</v>
      </c>
      <c r="O160" s="27">
        <v>0</v>
      </c>
      <c r="P160" s="27">
        <f t="shared" si="29"/>
        <v>6165580</v>
      </c>
      <c r="S160" s="34"/>
    </row>
    <row r="161" spans="1:19" ht="46.8">
      <c r="A161" s="24" t="s">
        <v>212</v>
      </c>
      <c r="B161" s="24" t="s">
        <v>26</v>
      </c>
      <c r="C161" s="24" t="s">
        <v>27</v>
      </c>
      <c r="D161" s="8" t="s">
        <v>28</v>
      </c>
      <c r="E161" s="27">
        <f t="shared" si="38"/>
        <v>10000</v>
      </c>
      <c r="F161" s="27">
        <v>10000</v>
      </c>
      <c r="G161" s="27">
        <v>0</v>
      </c>
      <c r="H161" s="27">
        <v>0</v>
      </c>
      <c r="I161" s="27">
        <v>0</v>
      </c>
      <c r="J161" s="27">
        <f t="shared" si="39"/>
        <v>0</v>
      </c>
      <c r="K161" s="27">
        <v>0</v>
      </c>
      <c r="L161" s="27">
        <v>0</v>
      </c>
      <c r="M161" s="27">
        <v>0</v>
      </c>
      <c r="N161" s="27">
        <v>0</v>
      </c>
      <c r="O161" s="27">
        <v>0</v>
      </c>
      <c r="P161" s="27">
        <f t="shared" si="29"/>
        <v>10000</v>
      </c>
      <c r="S161" s="34"/>
    </row>
    <row r="162" spans="1:19" ht="31.2">
      <c r="A162" s="24" t="s">
        <v>213</v>
      </c>
      <c r="B162" s="24" t="s">
        <v>214</v>
      </c>
      <c r="C162" s="24" t="s">
        <v>215</v>
      </c>
      <c r="D162" s="8" t="s">
        <v>216</v>
      </c>
      <c r="E162" s="27">
        <f t="shared" si="38"/>
        <v>30000</v>
      </c>
      <c r="F162" s="27">
        <f>50000-20000</f>
        <v>30000</v>
      </c>
      <c r="G162" s="27">
        <v>0</v>
      </c>
      <c r="H162" s="27">
        <v>0</v>
      </c>
      <c r="I162" s="27">
        <v>0</v>
      </c>
      <c r="J162" s="27">
        <f t="shared" si="39"/>
        <v>0</v>
      </c>
      <c r="K162" s="27">
        <v>0</v>
      </c>
      <c r="L162" s="27">
        <v>0</v>
      </c>
      <c r="M162" s="27">
        <v>0</v>
      </c>
      <c r="N162" s="27">
        <v>0</v>
      </c>
      <c r="O162" s="27">
        <v>0</v>
      </c>
      <c r="P162" s="27">
        <f t="shared" si="29"/>
        <v>30000</v>
      </c>
      <c r="S162" s="34"/>
    </row>
    <row r="163" spans="1:19" ht="31.2">
      <c r="A163" s="24">
        <v>1216011</v>
      </c>
      <c r="B163" s="24">
        <v>6011</v>
      </c>
      <c r="C163" s="23" t="s">
        <v>392</v>
      </c>
      <c r="D163" s="8" t="s">
        <v>391</v>
      </c>
      <c r="E163" s="27">
        <f t="shared" si="38"/>
        <v>3910472</v>
      </c>
      <c r="F163" s="27">
        <f>227819-227819</f>
        <v>0</v>
      </c>
      <c r="G163" s="27"/>
      <c r="H163" s="27"/>
      <c r="I163" s="27">
        <f>1724120+227819+1958533</f>
        <v>3910472</v>
      </c>
      <c r="J163" s="27">
        <f t="shared" si="39"/>
        <v>0</v>
      </c>
      <c r="K163" s="27"/>
      <c r="L163" s="27"/>
      <c r="M163" s="27"/>
      <c r="N163" s="27"/>
      <c r="O163" s="27"/>
      <c r="P163" s="27">
        <f t="shared" si="29"/>
        <v>3910472</v>
      </c>
      <c r="S163" s="34"/>
    </row>
    <row r="164" spans="1:19" ht="31.2">
      <c r="A164" s="24">
        <v>1216013</v>
      </c>
      <c r="B164" s="24">
        <v>6013</v>
      </c>
      <c r="C164" s="23" t="s">
        <v>54</v>
      </c>
      <c r="D164" s="8" t="s">
        <v>393</v>
      </c>
      <c r="E164" s="27">
        <f t="shared" si="38"/>
        <v>4343800</v>
      </c>
      <c r="F164" s="27"/>
      <c r="G164" s="27"/>
      <c r="H164" s="27"/>
      <c r="I164" s="27">
        <f>4161800+182000</f>
        <v>4343800</v>
      </c>
      <c r="J164" s="27">
        <f t="shared" si="39"/>
        <v>0</v>
      </c>
      <c r="K164" s="27"/>
      <c r="L164" s="27"/>
      <c r="M164" s="27"/>
      <c r="N164" s="27"/>
      <c r="O164" s="27"/>
      <c r="P164" s="27">
        <f t="shared" si="29"/>
        <v>4343800</v>
      </c>
      <c r="S164" s="34"/>
    </row>
    <row r="165" spans="1:19" ht="31.2">
      <c r="A165" s="24" t="s">
        <v>217</v>
      </c>
      <c r="B165" s="24" t="s">
        <v>218</v>
      </c>
      <c r="C165" s="24" t="s">
        <v>54</v>
      </c>
      <c r="D165" s="8" t="s">
        <v>219</v>
      </c>
      <c r="E165" s="27">
        <f t="shared" si="38"/>
        <v>300000</v>
      </c>
      <c r="F165" s="27"/>
      <c r="G165" s="27">
        <v>0</v>
      </c>
      <c r="H165" s="27">
        <v>0</v>
      </c>
      <c r="I165" s="27">
        <v>300000</v>
      </c>
      <c r="J165" s="27">
        <f t="shared" si="39"/>
        <v>0</v>
      </c>
      <c r="K165" s="27">
        <v>0</v>
      </c>
      <c r="L165" s="27">
        <v>0</v>
      </c>
      <c r="M165" s="27">
        <v>0</v>
      </c>
      <c r="N165" s="27">
        <v>0</v>
      </c>
      <c r="O165" s="27">
        <v>0</v>
      </c>
      <c r="P165" s="27">
        <f t="shared" si="29"/>
        <v>300000</v>
      </c>
      <c r="S165" s="34"/>
    </row>
    <row r="166" spans="1:19" ht="46.8">
      <c r="A166" s="24" t="s">
        <v>220</v>
      </c>
      <c r="B166" s="24" t="s">
        <v>221</v>
      </c>
      <c r="C166" s="24" t="s">
        <v>54</v>
      </c>
      <c r="D166" s="8" t="s">
        <v>222</v>
      </c>
      <c r="E166" s="27">
        <f t="shared" si="38"/>
        <v>2940200</v>
      </c>
      <c r="F166" s="27">
        <v>0</v>
      </c>
      <c r="G166" s="27">
        <v>0</v>
      </c>
      <c r="H166" s="27">
        <v>0</v>
      </c>
      <c r="I166" s="27">
        <f>2440200+500000</f>
        <v>2940200</v>
      </c>
      <c r="J166" s="27">
        <f t="shared" si="39"/>
        <v>0</v>
      </c>
      <c r="K166" s="27">
        <v>0</v>
      </c>
      <c r="L166" s="27">
        <v>0</v>
      </c>
      <c r="M166" s="27">
        <v>0</v>
      </c>
      <c r="N166" s="27">
        <v>0</v>
      </c>
      <c r="O166" s="27">
        <v>0</v>
      </c>
      <c r="P166" s="27">
        <f t="shared" si="29"/>
        <v>2940200</v>
      </c>
      <c r="S166" s="34"/>
    </row>
    <row r="167" spans="1:19" ht="31.2">
      <c r="A167" s="24" t="s">
        <v>223</v>
      </c>
      <c r="B167" s="24" t="s">
        <v>53</v>
      </c>
      <c r="C167" s="24" t="s">
        <v>54</v>
      </c>
      <c r="D167" s="8" t="s">
        <v>55</v>
      </c>
      <c r="E167" s="27">
        <f t="shared" si="38"/>
        <v>102133222</v>
      </c>
      <c r="F167" s="27">
        <f>10001000+15450000-18500000+180000+169000+1000000-119000+180000+10000</f>
        <v>8371000</v>
      </c>
      <c r="G167" s="27">
        <v>0</v>
      </c>
      <c r="H167" s="27">
        <v>0</v>
      </c>
      <c r="I167" s="27">
        <f>18500000+47970000+22000000+600000+1500000-169000+387732+119000+329500-180000+1064900+700700+123500-10000+839500-13610</f>
        <v>93762222</v>
      </c>
      <c r="J167" s="27">
        <f t="shared" si="39"/>
        <v>0</v>
      </c>
      <c r="K167" s="27">
        <v>0</v>
      </c>
      <c r="L167" s="27">
        <v>0</v>
      </c>
      <c r="M167" s="27">
        <v>0</v>
      </c>
      <c r="N167" s="27">
        <v>0</v>
      </c>
      <c r="O167" s="27">
        <v>0</v>
      </c>
      <c r="P167" s="27">
        <f t="shared" ref="P167:P213" si="72">E167 + J167</f>
        <v>102133222</v>
      </c>
      <c r="S167" s="34"/>
    </row>
    <row r="168" spans="1:19" ht="78">
      <c r="A168" s="24">
        <v>1216091</v>
      </c>
      <c r="B168" s="24">
        <v>6091</v>
      </c>
      <c r="C168" s="23" t="s">
        <v>295</v>
      </c>
      <c r="D168" s="8" t="s">
        <v>394</v>
      </c>
      <c r="E168" s="27">
        <f t="shared" si="38"/>
        <v>0</v>
      </c>
      <c r="F168" s="27"/>
      <c r="G168" s="27"/>
      <c r="H168" s="27"/>
      <c r="I168" s="27"/>
      <c r="J168" s="27">
        <f t="shared" si="39"/>
        <v>4777000</v>
      </c>
      <c r="K168" s="27">
        <f>5116500-839500+500000</f>
        <v>4777000</v>
      </c>
      <c r="L168" s="27"/>
      <c r="M168" s="27"/>
      <c r="N168" s="27"/>
      <c r="O168" s="27">
        <f>5116500-839500+500000</f>
        <v>4777000</v>
      </c>
      <c r="P168" s="27">
        <f t="shared" si="72"/>
        <v>4777000</v>
      </c>
      <c r="S168" s="34"/>
    </row>
    <row r="169" spans="1:19" ht="46.8">
      <c r="A169" s="24" t="s">
        <v>224</v>
      </c>
      <c r="B169" s="24" t="s">
        <v>225</v>
      </c>
      <c r="C169" s="24" t="s">
        <v>226</v>
      </c>
      <c r="D169" s="8" t="s">
        <v>227</v>
      </c>
      <c r="E169" s="27">
        <f t="shared" si="38"/>
        <v>32000000</v>
      </c>
      <c r="F169" s="27">
        <v>32000000</v>
      </c>
      <c r="G169" s="27">
        <v>0</v>
      </c>
      <c r="H169" s="27">
        <v>0</v>
      </c>
      <c r="I169" s="27">
        <v>0</v>
      </c>
      <c r="J169" s="27">
        <f t="shared" si="39"/>
        <v>0</v>
      </c>
      <c r="K169" s="27">
        <v>0</v>
      </c>
      <c r="L169" s="27">
        <v>0</v>
      </c>
      <c r="M169" s="27">
        <v>0</v>
      </c>
      <c r="N169" s="27">
        <v>0</v>
      </c>
      <c r="O169" s="27">
        <v>0</v>
      </c>
      <c r="P169" s="27">
        <f t="shared" si="72"/>
        <v>32000000</v>
      </c>
      <c r="S169" s="34"/>
    </row>
    <row r="170" spans="1:19" ht="31.2">
      <c r="A170" s="23" t="s">
        <v>284</v>
      </c>
      <c r="B170" s="23" t="s">
        <v>273</v>
      </c>
      <c r="C170" s="23" t="s">
        <v>275</v>
      </c>
      <c r="D170" s="8" t="s">
        <v>274</v>
      </c>
      <c r="E170" s="27">
        <f t="shared" si="38"/>
        <v>86420</v>
      </c>
      <c r="F170" s="27">
        <f>551800-400000-65380</f>
        <v>86420</v>
      </c>
      <c r="G170" s="27"/>
      <c r="H170" s="27"/>
      <c r="I170" s="27"/>
      <c r="J170" s="27">
        <f t="shared" si="39"/>
        <v>0</v>
      </c>
      <c r="K170" s="27">
        <f>36000-36000</f>
        <v>0</v>
      </c>
      <c r="L170" s="27"/>
      <c r="M170" s="27"/>
      <c r="N170" s="27"/>
      <c r="O170" s="27">
        <f>36000-36000</f>
        <v>0</v>
      </c>
      <c r="P170" s="27">
        <f t="shared" si="72"/>
        <v>86420</v>
      </c>
      <c r="S170" s="34"/>
    </row>
    <row r="171" spans="1:19">
      <c r="A171" s="23" t="s">
        <v>395</v>
      </c>
      <c r="B171" s="23" t="s">
        <v>352</v>
      </c>
      <c r="C171" s="23" t="s">
        <v>354</v>
      </c>
      <c r="D171" s="8" t="s">
        <v>353</v>
      </c>
      <c r="E171" s="27">
        <f t="shared" si="38"/>
        <v>97505</v>
      </c>
      <c r="F171" s="27"/>
      <c r="G171" s="27"/>
      <c r="H171" s="27"/>
      <c r="I171" s="27">
        <v>97505</v>
      </c>
      <c r="J171" s="27">
        <f t="shared" si="39"/>
        <v>0</v>
      </c>
      <c r="K171" s="27"/>
      <c r="L171" s="27"/>
      <c r="M171" s="27"/>
      <c r="N171" s="27"/>
      <c r="O171" s="27"/>
      <c r="P171" s="27">
        <f t="shared" si="72"/>
        <v>97505</v>
      </c>
      <c r="S171" s="34"/>
    </row>
    <row r="172" spans="1:19" ht="140.4">
      <c r="A172" s="23" t="s">
        <v>396</v>
      </c>
      <c r="B172" s="23" t="s">
        <v>389</v>
      </c>
      <c r="C172" s="23" t="s">
        <v>58</v>
      </c>
      <c r="D172" s="8" t="s">
        <v>390</v>
      </c>
      <c r="E172" s="27">
        <f t="shared" si="38"/>
        <v>0</v>
      </c>
      <c r="F172" s="27"/>
      <c r="G172" s="27"/>
      <c r="H172" s="27"/>
      <c r="I172" s="27"/>
      <c r="J172" s="27">
        <f t="shared" si="39"/>
        <v>5580906.6699999999</v>
      </c>
      <c r="K172" s="27"/>
      <c r="L172" s="27"/>
      <c r="M172" s="27"/>
      <c r="N172" s="27"/>
      <c r="O172" s="27">
        <f>5363291.67+217615</f>
        <v>5580906.6699999999</v>
      </c>
      <c r="P172" s="27">
        <f t="shared" si="72"/>
        <v>5580906.6699999999</v>
      </c>
      <c r="S172" s="34"/>
    </row>
    <row r="173" spans="1:19" ht="31.2">
      <c r="A173" s="24" t="s">
        <v>228</v>
      </c>
      <c r="B173" s="24" t="s">
        <v>229</v>
      </c>
      <c r="C173" s="24" t="s">
        <v>58</v>
      </c>
      <c r="D173" s="8" t="s">
        <v>230</v>
      </c>
      <c r="E173" s="27">
        <f t="shared" ref="E173:E203" si="73">F173+I173</f>
        <v>85948391</v>
      </c>
      <c r="F173" s="27">
        <v>0</v>
      </c>
      <c r="G173" s="27">
        <v>0</v>
      </c>
      <c r="H173" s="27">
        <v>0</v>
      </c>
      <c r="I173" s="27">
        <f>3600000+20000000+30000000+12000000+19266781+600000+468000+13610</f>
        <v>85948391</v>
      </c>
      <c r="J173" s="27">
        <f t="shared" si="39"/>
        <v>0</v>
      </c>
      <c r="K173" s="27">
        <v>0</v>
      </c>
      <c r="L173" s="27">
        <v>0</v>
      </c>
      <c r="M173" s="27">
        <v>0</v>
      </c>
      <c r="N173" s="27">
        <v>0</v>
      </c>
      <c r="O173" s="27">
        <v>0</v>
      </c>
      <c r="P173" s="27">
        <f t="shared" si="72"/>
        <v>85948391</v>
      </c>
      <c r="S173" s="34"/>
    </row>
    <row r="174" spans="1:19" ht="46.8">
      <c r="A174" s="24" t="s">
        <v>231</v>
      </c>
      <c r="B174" s="24" t="s">
        <v>232</v>
      </c>
      <c r="C174" s="24" t="s">
        <v>233</v>
      </c>
      <c r="D174" s="8" t="s">
        <v>234</v>
      </c>
      <c r="E174" s="27">
        <f t="shared" si="73"/>
        <v>2990000</v>
      </c>
      <c r="F174" s="27">
        <f>2300000+650000+40000</f>
        <v>2990000</v>
      </c>
      <c r="G174" s="27">
        <v>0</v>
      </c>
      <c r="H174" s="27">
        <v>0</v>
      </c>
      <c r="I174" s="27">
        <v>0</v>
      </c>
      <c r="J174" s="27">
        <f t="shared" si="39"/>
        <v>0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  <c r="P174" s="27">
        <f t="shared" si="72"/>
        <v>2990000</v>
      </c>
      <c r="S174" s="34"/>
    </row>
    <row r="175" spans="1:19" ht="31.2">
      <c r="A175" s="23" t="s">
        <v>329</v>
      </c>
      <c r="B175" s="24">
        <v>8340</v>
      </c>
      <c r="C175" s="24" t="s">
        <v>266</v>
      </c>
      <c r="D175" s="8" t="s">
        <v>267</v>
      </c>
      <c r="E175" s="27">
        <f t="shared" si="73"/>
        <v>0</v>
      </c>
      <c r="F175" s="27"/>
      <c r="G175" s="27"/>
      <c r="H175" s="27"/>
      <c r="I175" s="27"/>
      <c r="J175" s="27">
        <f t="shared" si="39"/>
        <v>1089184</v>
      </c>
      <c r="K175" s="27"/>
      <c r="L175" s="27">
        <f>550000+439184</f>
        <v>989184</v>
      </c>
      <c r="M175" s="27"/>
      <c r="N175" s="27"/>
      <c r="O175" s="27">
        <v>100000</v>
      </c>
      <c r="P175" s="27">
        <f t="shared" si="72"/>
        <v>1089184</v>
      </c>
      <c r="S175" s="34"/>
    </row>
    <row r="176" spans="1:19" ht="93.6">
      <c r="A176" s="23" t="s">
        <v>418</v>
      </c>
      <c r="B176" s="24">
        <v>8746</v>
      </c>
      <c r="C176" s="23" t="s">
        <v>295</v>
      </c>
      <c r="D176" s="8" t="s">
        <v>419</v>
      </c>
      <c r="E176" s="27">
        <f t="shared" si="73"/>
        <v>1334427</v>
      </c>
      <c r="F176" s="27">
        <v>1334427</v>
      </c>
      <c r="G176" s="27"/>
      <c r="H176" s="27"/>
      <c r="I176" s="27"/>
      <c r="J176" s="27"/>
      <c r="K176" s="27"/>
      <c r="L176" s="27"/>
      <c r="M176" s="27"/>
      <c r="N176" s="27"/>
      <c r="O176" s="27"/>
      <c r="P176" s="27">
        <f t="shared" si="72"/>
        <v>1334427</v>
      </c>
      <c r="S176" s="34"/>
    </row>
    <row r="177" spans="1:19" ht="62.4">
      <c r="A177" s="6" t="s">
        <v>235</v>
      </c>
      <c r="B177" s="6" t="s">
        <v>18</v>
      </c>
      <c r="C177" s="6" t="s">
        <v>18</v>
      </c>
      <c r="D177" s="7" t="s">
        <v>236</v>
      </c>
      <c r="E177" s="26">
        <f t="shared" si="73"/>
        <v>25280251</v>
      </c>
      <c r="F177" s="26">
        <f>F178</f>
        <v>7363900</v>
      </c>
      <c r="G177" s="26">
        <f t="shared" ref="G177:I177" si="74">G178</f>
        <v>7006100</v>
      </c>
      <c r="H177" s="26">
        <f t="shared" si="74"/>
        <v>0</v>
      </c>
      <c r="I177" s="26">
        <f t="shared" si="74"/>
        <v>17916351</v>
      </c>
      <c r="J177" s="26">
        <f t="shared" si="39"/>
        <v>106059833.20999999</v>
      </c>
      <c r="K177" s="26">
        <f>K178</f>
        <v>104425542.5</v>
      </c>
      <c r="L177" s="26">
        <f t="shared" ref="L177:O177" si="75">L178</f>
        <v>0</v>
      </c>
      <c r="M177" s="26">
        <f t="shared" si="75"/>
        <v>0</v>
      </c>
      <c r="N177" s="26">
        <f t="shared" si="75"/>
        <v>0</v>
      </c>
      <c r="O177" s="26">
        <f t="shared" si="75"/>
        <v>106059833.20999999</v>
      </c>
      <c r="P177" s="26">
        <f t="shared" si="72"/>
        <v>131340084.20999999</v>
      </c>
      <c r="S177" s="34"/>
    </row>
    <row r="178" spans="1:19" ht="62.4">
      <c r="A178" s="6" t="s">
        <v>237</v>
      </c>
      <c r="B178" s="6" t="s">
        <v>18</v>
      </c>
      <c r="C178" s="6" t="s">
        <v>18</v>
      </c>
      <c r="D178" s="7" t="s">
        <v>236</v>
      </c>
      <c r="E178" s="26">
        <f t="shared" si="73"/>
        <v>25280251</v>
      </c>
      <c r="F178" s="26">
        <f>SUM(F179:F191)</f>
        <v>7363900</v>
      </c>
      <c r="G178" s="26">
        <f>SUM(G179:G191)</f>
        <v>7006100</v>
      </c>
      <c r="H178" s="26">
        <f>SUM(H179:H191)</f>
        <v>0</v>
      </c>
      <c r="I178" s="26">
        <f>SUM(I179:I191)</f>
        <v>17916351</v>
      </c>
      <c r="J178" s="26">
        <f t="shared" si="39"/>
        <v>106059833.20999999</v>
      </c>
      <c r="K178" s="26">
        <f>SUM(K179:K191)</f>
        <v>104425542.5</v>
      </c>
      <c r="L178" s="26">
        <f>SUM(L179:L191)</f>
        <v>0</v>
      </c>
      <c r="M178" s="26">
        <f>SUM(M179:M191)</f>
        <v>0</v>
      </c>
      <c r="N178" s="26">
        <f>SUM(N179:N191)</f>
        <v>0</v>
      </c>
      <c r="O178" s="26">
        <f>SUM(O179:O191)</f>
        <v>106059833.20999999</v>
      </c>
      <c r="P178" s="26">
        <f t="shared" si="72"/>
        <v>131340084.20999999</v>
      </c>
      <c r="S178" s="34"/>
    </row>
    <row r="179" spans="1:19" ht="93.6">
      <c r="A179" s="23">
        <v>1510150</v>
      </c>
      <c r="B179" s="23" t="s">
        <v>22</v>
      </c>
      <c r="C179" s="23" t="s">
        <v>23</v>
      </c>
      <c r="D179" s="8" t="s">
        <v>24</v>
      </c>
      <c r="E179" s="27">
        <f t="shared" si="73"/>
        <v>541176</v>
      </c>
      <c r="F179" s="27"/>
      <c r="G179" s="27"/>
      <c r="H179" s="27"/>
      <c r="I179" s="27">
        <v>541176</v>
      </c>
      <c r="J179" s="27"/>
      <c r="K179" s="27"/>
      <c r="L179" s="27"/>
      <c r="M179" s="27"/>
      <c r="N179" s="27"/>
      <c r="O179" s="27"/>
      <c r="P179" s="27">
        <f t="shared" si="72"/>
        <v>541176</v>
      </c>
      <c r="S179" s="34"/>
    </row>
    <row r="180" spans="1:19" ht="46.8">
      <c r="A180" s="24" t="s">
        <v>238</v>
      </c>
      <c r="B180" s="24" t="s">
        <v>74</v>
      </c>
      <c r="C180" s="24" t="s">
        <v>23</v>
      </c>
      <c r="D180" s="8" t="s">
        <v>75</v>
      </c>
      <c r="E180" s="27">
        <f t="shared" si="73"/>
        <v>7164900</v>
      </c>
      <c r="F180" s="27">
        <f>7114900+50000</f>
        <v>7164900</v>
      </c>
      <c r="G180" s="27">
        <v>7006100</v>
      </c>
      <c r="H180" s="27">
        <v>0</v>
      </c>
      <c r="I180" s="27">
        <v>0</v>
      </c>
      <c r="J180" s="27">
        <f t="shared" si="39"/>
        <v>0</v>
      </c>
      <c r="K180" s="27">
        <v>0</v>
      </c>
      <c r="L180" s="27">
        <v>0</v>
      </c>
      <c r="M180" s="27">
        <v>0</v>
      </c>
      <c r="N180" s="27">
        <v>0</v>
      </c>
      <c r="O180" s="27">
        <v>0</v>
      </c>
      <c r="P180" s="27">
        <f t="shared" si="72"/>
        <v>7164900</v>
      </c>
      <c r="S180" s="34"/>
    </row>
    <row r="181" spans="1:19" ht="46.8">
      <c r="A181" s="24">
        <v>1510170</v>
      </c>
      <c r="B181" s="24" t="s">
        <v>26</v>
      </c>
      <c r="C181" s="24" t="s">
        <v>27</v>
      </c>
      <c r="D181" s="8" t="s">
        <v>28</v>
      </c>
      <c r="E181" s="27">
        <f t="shared" si="73"/>
        <v>15000</v>
      </c>
      <c r="F181" s="27">
        <v>15000</v>
      </c>
      <c r="G181" s="27">
        <v>0</v>
      </c>
      <c r="H181" s="27">
        <v>0</v>
      </c>
      <c r="I181" s="27">
        <v>0</v>
      </c>
      <c r="J181" s="27">
        <f t="shared" ref="J181:J184" si="76">L181+O181</f>
        <v>0</v>
      </c>
      <c r="K181" s="27">
        <v>0</v>
      </c>
      <c r="L181" s="27">
        <v>0</v>
      </c>
      <c r="M181" s="27">
        <v>0</v>
      </c>
      <c r="N181" s="27">
        <v>0</v>
      </c>
      <c r="O181" s="27">
        <v>0</v>
      </c>
      <c r="P181" s="27">
        <f t="shared" si="72"/>
        <v>15000</v>
      </c>
      <c r="S181" s="34"/>
    </row>
    <row r="182" spans="1:19" ht="42.75" customHeight="1">
      <c r="A182" s="24">
        <v>1510180</v>
      </c>
      <c r="B182" s="24" t="s">
        <v>30</v>
      </c>
      <c r="C182" s="24" t="s">
        <v>31</v>
      </c>
      <c r="D182" s="8" t="s">
        <v>32</v>
      </c>
      <c r="E182" s="27">
        <f t="shared" si="73"/>
        <v>100000</v>
      </c>
      <c r="F182" s="27">
        <f>150000-50000</f>
        <v>100000</v>
      </c>
      <c r="G182" s="27">
        <v>0</v>
      </c>
      <c r="H182" s="27">
        <v>0</v>
      </c>
      <c r="I182" s="27">
        <v>0</v>
      </c>
      <c r="J182" s="27">
        <f t="shared" si="76"/>
        <v>0</v>
      </c>
      <c r="K182" s="27">
        <v>0</v>
      </c>
      <c r="L182" s="27">
        <v>0</v>
      </c>
      <c r="M182" s="27">
        <v>0</v>
      </c>
      <c r="N182" s="27">
        <v>0</v>
      </c>
      <c r="O182" s="27">
        <v>0</v>
      </c>
      <c r="P182" s="27">
        <f t="shared" si="72"/>
        <v>100000</v>
      </c>
      <c r="S182" s="34"/>
    </row>
    <row r="183" spans="1:19" ht="42.75" customHeight="1">
      <c r="A183" s="24">
        <v>1511300</v>
      </c>
      <c r="B183" s="24">
        <v>1300</v>
      </c>
      <c r="C183" s="23" t="s">
        <v>104</v>
      </c>
      <c r="D183" s="8" t="s">
        <v>367</v>
      </c>
      <c r="E183" s="27">
        <f t="shared" si="73"/>
        <v>0</v>
      </c>
      <c r="F183" s="27"/>
      <c r="G183" s="27"/>
      <c r="H183" s="27"/>
      <c r="I183" s="27"/>
      <c r="J183" s="27">
        <f t="shared" si="76"/>
        <v>67371232.5</v>
      </c>
      <c r="K183" s="27">
        <v>67371232.5</v>
      </c>
      <c r="L183" s="27"/>
      <c r="M183" s="27"/>
      <c r="N183" s="27"/>
      <c r="O183" s="27">
        <v>67371232.5</v>
      </c>
      <c r="P183" s="27">
        <f t="shared" si="72"/>
        <v>67371232.5</v>
      </c>
      <c r="S183" s="34"/>
    </row>
    <row r="184" spans="1:19" ht="78">
      <c r="A184" s="24">
        <v>1512171</v>
      </c>
      <c r="B184" s="24">
        <v>2171</v>
      </c>
      <c r="C184" s="23" t="s">
        <v>47</v>
      </c>
      <c r="D184" s="8" t="s">
        <v>397</v>
      </c>
      <c r="E184" s="27">
        <f t="shared" si="73"/>
        <v>2050730</v>
      </c>
      <c r="F184" s="27"/>
      <c r="G184" s="27"/>
      <c r="H184" s="27"/>
      <c r="I184" s="27">
        <v>2050730</v>
      </c>
      <c r="J184" s="27">
        <f t="shared" si="76"/>
        <v>5000000</v>
      </c>
      <c r="K184" s="27">
        <f>7050730-2050730</f>
        <v>5000000</v>
      </c>
      <c r="L184" s="27"/>
      <c r="M184" s="27"/>
      <c r="N184" s="27"/>
      <c r="O184" s="27">
        <f>7050730-2050730</f>
        <v>5000000</v>
      </c>
      <c r="P184" s="27">
        <f t="shared" si="72"/>
        <v>7050730</v>
      </c>
      <c r="S184" s="34"/>
    </row>
    <row r="185" spans="1:19" ht="46.8">
      <c r="A185" s="24">
        <v>1516012</v>
      </c>
      <c r="B185" s="24">
        <v>6012</v>
      </c>
      <c r="C185" s="23" t="s">
        <v>54</v>
      </c>
      <c r="D185" s="8" t="s">
        <v>414</v>
      </c>
      <c r="E185" s="27">
        <f t="shared" si="73"/>
        <v>5280000</v>
      </c>
      <c r="F185" s="27"/>
      <c r="G185" s="27"/>
      <c r="H185" s="27"/>
      <c r="I185" s="27">
        <v>5280000</v>
      </c>
      <c r="J185" s="27"/>
      <c r="K185" s="27"/>
      <c r="L185" s="27"/>
      <c r="M185" s="27"/>
      <c r="N185" s="27"/>
      <c r="O185" s="27"/>
      <c r="P185" s="27">
        <f t="shared" si="72"/>
        <v>5280000</v>
      </c>
      <c r="S185" s="34"/>
    </row>
    <row r="186" spans="1:19" ht="31.2">
      <c r="A186" s="24">
        <v>1516015</v>
      </c>
      <c r="B186" s="24">
        <v>6015</v>
      </c>
      <c r="C186" s="23" t="s">
        <v>54</v>
      </c>
      <c r="D186" s="8" t="s">
        <v>219</v>
      </c>
      <c r="E186" s="27">
        <f t="shared" si="73"/>
        <v>402000</v>
      </c>
      <c r="F186" s="27"/>
      <c r="G186" s="27"/>
      <c r="H186" s="27"/>
      <c r="I186" s="27">
        <v>402000</v>
      </c>
      <c r="J186" s="27"/>
      <c r="K186" s="27"/>
      <c r="L186" s="27"/>
      <c r="M186" s="27"/>
      <c r="N186" s="27"/>
      <c r="O186" s="27"/>
      <c r="P186" s="27">
        <f t="shared" si="72"/>
        <v>402000</v>
      </c>
      <c r="S186" s="34"/>
    </row>
    <row r="187" spans="1:19" ht="78">
      <c r="A187" s="24">
        <v>1516091</v>
      </c>
      <c r="B187" s="24">
        <v>6091</v>
      </c>
      <c r="C187" s="23" t="s">
        <v>295</v>
      </c>
      <c r="D187" s="8" t="s">
        <v>394</v>
      </c>
      <c r="E187" s="27">
        <f t="shared" si="73"/>
        <v>0</v>
      </c>
      <c r="F187" s="27"/>
      <c r="G187" s="27"/>
      <c r="H187" s="27"/>
      <c r="I187" s="27"/>
      <c r="J187" s="27">
        <f>L187+O187</f>
        <v>32054310</v>
      </c>
      <c r="K187" s="27">
        <f>32334310-5280000+5000000</f>
        <v>32054310</v>
      </c>
      <c r="L187" s="27"/>
      <c r="M187" s="27"/>
      <c r="N187" s="27"/>
      <c r="O187" s="27">
        <f>32334310-5280000+5000000</f>
        <v>32054310</v>
      </c>
      <c r="P187" s="27">
        <f t="shared" si="72"/>
        <v>32054310</v>
      </c>
      <c r="S187" s="34"/>
    </row>
    <row r="188" spans="1:19" ht="46.8">
      <c r="A188" s="24">
        <v>1517370</v>
      </c>
      <c r="B188" s="24">
        <v>7370</v>
      </c>
      <c r="C188" s="23" t="s">
        <v>58</v>
      </c>
      <c r="D188" s="8" t="s">
        <v>415</v>
      </c>
      <c r="E188" s="27">
        <f t="shared" si="73"/>
        <v>8972445</v>
      </c>
      <c r="F188" s="27"/>
      <c r="G188" s="27"/>
      <c r="H188" s="27"/>
      <c r="I188" s="27">
        <v>8972445</v>
      </c>
      <c r="J188" s="27"/>
      <c r="K188" s="27"/>
      <c r="L188" s="27"/>
      <c r="M188" s="27"/>
      <c r="N188" s="27"/>
      <c r="O188" s="27"/>
      <c r="P188" s="27">
        <f t="shared" si="72"/>
        <v>8972445</v>
      </c>
      <c r="S188" s="34"/>
    </row>
    <row r="189" spans="1:19" ht="31.2">
      <c r="A189" s="23" t="s">
        <v>285</v>
      </c>
      <c r="B189" s="23" t="s">
        <v>273</v>
      </c>
      <c r="C189" s="23" t="s">
        <v>275</v>
      </c>
      <c r="D189" s="8" t="s">
        <v>274</v>
      </c>
      <c r="E189" s="27">
        <f t="shared" si="73"/>
        <v>84000</v>
      </c>
      <c r="F189" s="27">
        <v>84000</v>
      </c>
      <c r="G189" s="27"/>
      <c r="H189" s="27"/>
      <c r="I189" s="27"/>
      <c r="J189" s="27">
        <f t="shared" si="39"/>
        <v>0</v>
      </c>
      <c r="K189" s="27"/>
      <c r="L189" s="27"/>
      <c r="M189" s="27"/>
      <c r="N189" s="27"/>
      <c r="O189" s="27"/>
      <c r="P189" s="27">
        <f t="shared" si="72"/>
        <v>84000</v>
      </c>
      <c r="S189" s="34"/>
    </row>
    <row r="190" spans="1:19" ht="140.4">
      <c r="A190" s="23" t="s">
        <v>398</v>
      </c>
      <c r="B190" s="23" t="s">
        <v>389</v>
      </c>
      <c r="C190" s="23" t="s">
        <v>58</v>
      </c>
      <c r="D190" s="8" t="s">
        <v>390</v>
      </c>
      <c r="E190" s="27">
        <f t="shared" si="73"/>
        <v>0</v>
      </c>
      <c r="F190" s="27"/>
      <c r="G190" s="27"/>
      <c r="H190" s="27"/>
      <c r="I190" s="27"/>
      <c r="J190" s="27">
        <f t="shared" ref="J190:J191" si="77">L190+O190</f>
        <v>1634290.71</v>
      </c>
      <c r="K190" s="27"/>
      <c r="L190" s="27"/>
      <c r="M190" s="27"/>
      <c r="N190" s="27"/>
      <c r="O190" s="27">
        <v>1634290.71</v>
      </c>
      <c r="P190" s="27">
        <f t="shared" ref="P190:P191" si="78">E190 + J190</f>
        <v>1634290.71</v>
      </c>
      <c r="S190" s="34"/>
    </row>
    <row r="191" spans="1:19" ht="46.8">
      <c r="A191" s="24">
        <v>1518110</v>
      </c>
      <c r="B191" s="24" t="s">
        <v>232</v>
      </c>
      <c r="C191" s="24" t="s">
        <v>233</v>
      </c>
      <c r="D191" s="8" t="s">
        <v>234</v>
      </c>
      <c r="E191" s="27">
        <f t="shared" ref="E191" si="79">F191+I191</f>
        <v>670000</v>
      </c>
      <c r="F191" s="27"/>
      <c r="G191" s="27">
        <v>0</v>
      </c>
      <c r="H191" s="27">
        <v>0</v>
      </c>
      <c r="I191" s="27">
        <f>270000+400000</f>
        <v>670000</v>
      </c>
      <c r="J191" s="27">
        <f t="shared" si="77"/>
        <v>0</v>
      </c>
      <c r="K191" s="27">
        <v>0</v>
      </c>
      <c r="L191" s="27">
        <v>0</v>
      </c>
      <c r="M191" s="27">
        <v>0</v>
      </c>
      <c r="N191" s="27">
        <v>0</v>
      </c>
      <c r="O191" s="27">
        <v>0</v>
      </c>
      <c r="P191" s="27">
        <f t="shared" si="78"/>
        <v>670000</v>
      </c>
      <c r="S191" s="34"/>
    </row>
    <row r="192" spans="1:19" ht="68.400000000000006" customHeight="1">
      <c r="A192" s="6" t="s">
        <v>239</v>
      </c>
      <c r="B192" s="6" t="s">
        <v>18</v>
      </c>
      <c r="C192" s="6" t="s">
        <v>18</v>
      </c>
      <c r="D192" s="7" t="s">
        <v>240</v>
      </c>
      <c r="E192" s="26">
        <f t="shared" si="73"/>
        <v>32429071</v>
      </c>
      <c r="F192" s="26">
        <f>F193</f>
        <v>7893800</v>
      </c>
      <c r="G192" s="26">
        <f t="shared" ref="G192:I192" si="80">G193</f>
        <v>5785700</v>
      </c>
      <c r="H192" s="26">
        <f t="shared" si="80"/>
        <v>0</v>
      </c>
      <c r="I192" s="26">
        <f t="shared" si="80"/>
        <v>24535271</v>
      </c>
      <c r="J192" s="26">
        <f t="shared" si="39"/>
        <v>0</v>
      </c>
      <c r="K192" s="26">
        <f>K193</f>
        <v>0</v>
      </c>
      <c r="L192" s="26">
        <f t="shared" ref="L192:O192" si="81">L193</f>
        <v>0</v>
      </c>
      <c r="M192" s="26">
        <f t="shared" si="81"/>
        <v>0</v>
      </c>
      <c r="N192" s="26">
        <f t="shared" si="81"/>
        <v>0</v>
      </c>
      <c r="O192" s="26">
        <f t="shared" si="81"/>
        <v>0</v>
      </c>
      <c r="P192" s="26">
        <f t="shared" si="72"/>
        <v>32429071</v>
      </c>
      <c r="S192" s="34"/>
    </row>
    <row r="193" spans="1:19" ht="66.599999999999994" customHeight="1">
      <c r="A193" s="6" t="s">
        <v>241</v>
      </c>
      <c r="B193" s="6" t="s">
        <v>18</v>
      </c>
      <c r="C193" s="6" t="s">
        <v>18</v>
      </c>
      <c r="D193" s="7" t="s">
        <v>240</v>
      </c>
      <c r="E193" s="26">
        <f t="shared" si="73"/>
        <v>32429071</v>
      </c>
      <c r="F193" s="26">
        <f>SUM(F194:F203)</f>
        <v>7893800</v>
      </c>
      <c r="G193" s="26">
        <f t="shared" ref="G193:K193" si="82">SUM(G194:G203)</f>
        <v>5785700</v>
      </c>
      <c r="H193" s="26">
        <f t="shared" si="82"/>
        <v>0</v>
      </c>
      <c r="I193" s="26">
        <f t="shared" si="82"/>
        <v>24535271</v>
      </c>
      <c r="J193" s="26">
        <f t="shared" si="39"/>
        <v>0</v>
      </c>
      <c r="K193" s="26">
        <f t="shared" si="82"/>
        <v>0</v>
      </c>
      <c r="L193" s="26">
        <f t="shared" ref="L193" si="83">SUM(L194:L203)</f>
        <v>0</v>
      </c>
      <c r="M193" s="26">
        <f t="shared" ref="M193" si="84">SUM(M194:M203)</f>
        <v>0</v>
      </c>
      <c r="N193" s="26">
        <f t="shared" ref="N193" si="85">SUM(N194:N203)</f>
        <v>0</v>
      </c>
      <c r="O193" s="26">
        <f t="shared" ref="O193" si="86">SUM(O194:O203)</f>
        <v>0</v>
      </c>
      <c r="P193" s="26">
        <f t="shared" si="72"/>
        <v>32429071</v>
      </c>
      <c r="S193" s="34"/>
    </row>
    <row r="194" spans="1:19" ht="51" customHeight="1">
      <c r="A194" s="24" t="s">
        <v>242</v>
      </c>
      <c r="B194" s="24" t="s">
        <v>74</v>
      </c>
      <c r="C194" s="24" t="s">
        <v>23</v>
      </c>
      <c r="D194" s="8" t="s">
        <v>75</v>
      </c>
      <c r="E194" s="27">
        <f t="shared" si="73"/>
        <v>6006000</v>
      </c>
      <c r="F194" s="27">
        <f>5908000+98000</f>
        <v>6006000</v>
      </c>
      <c r="G194" s="27">
        <v>5785700</v>
      </c>
      <c r="H194" s="27">
        <v>0</v>
      </c>
      <c r="I194" s="27">
        <v>0</v>
      </c>
      <c r="J194" s="27">
        <f t="shared" si="39"/>
        <v>0</v>
      </c>
      <c r="K194" s="27">
        <v>0</v>
      </c>
      <c r="L194" s="27">
        <v>0</v>
      </c>
      <c r="M194" s="27">
        <v>0</v>
      </c>
      <c r="N194" s="27">
        <v>0</v>
      </c>
      <c r="O194" s="27">
        <v>0</v>
      </c>
      <c r="P194" s="27">
        <f t="shared" si="72"/>
        <v>6006000</v>
      </c>
      <c r="S194" s="34"/>
    </row>
    <row r="195" spans="1:19" ht="46.8">
      <c r="A195" s="24">
        <v>3110170</v>
      </c>
      <c r="B195" s="24" t="s">
        <v>26</v>
      </c>
      <c r="C195" s="24" t="s">
        <v>27</v>
      </c>
      <c r="D195" s="8" t="s">
        <v>28</v>
      </c>
      <c r="E195" s="27">
        <f t="shared" ref="E195" si="87">F195+I195</f>
        <v>4500</v>
      </c>
      <c r="F195" s="27">
        <v>4500</v>
      </c>
      <c r="G195" s="27">
        <v>0</v>
      </c>
      <c r="H195" s="27">
        <v>0</v>
      </c>
      <c r="I195" s="27">
        <v>0</v>
      </c>
      <c r="J195" s="27">
        <f t="shared" si="39"/>
        <v>0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  <c r="P195" s="27">
        <f t="shared" ref="P195" si="88">E195 + J195</f>
        <v>4500</v>
      </c>
      <c r="S195" s="34"/>
    </row>
    <row r="196" spans="1:19" ht="44.25" customHeight="1">
      <c r="A196" s="24" t="s">
        <v>243</v>
      </c>
      <c r="B196" s="24" t="s">
        <v>30</v>
      </c>
      <c r="C196" s="24" t="s">
        <v>31</v>
      </c>
      <c r="D196" s="8" t="s">
        <v>32</v>
      </c>
      <c r="E196" s="27">
        <f t="shared" si="73"/>
        <v>65000</v>
      </c>
      <c r="F196" s="27">
        <v>65000</v>
      </c>
      <c r="G196" s="27">
        <v>0</v>
      </c>
      <c r="H196" s="27">
        <v>0</v>
      </c>
      <c r="I196" s="27">
        <v>0</v>
      </c>
      <c r="J196" s="27">
        <f t="shared" si="39"/>
        <v>0</v>
      </c>
      <c r="K196" s="27">
        <v>0</v>
      </c>
      <c r="L196" s="27">
        <v>0</v>
      </c>
      <c r="M196" s="27">
        <v>0</v>
      </c>
      <c r="N196" s="27">
        <v>0</v>
      </c>
      <c r="O196" s="27">
        <v>0</v>
      </c>
      <c r="P196" s="27">
        <f t="shared" si="72"/>
        <v>65000</v>
      </c>
      <c r="S196" s="34"/>
    </row>
    <row r="197" spans="1:19" ht="56.25" customHeight="1">
      <c r="A197" s="24" t="s">
        <v>244</v>
      </c>
      <c r="B197" s="24" t="s">
        <v>221</v>
      </c>
      <c r="C197" s="24" t="s">
        <v>54</v>
      </c>
      <c r="D197" s="8" t="s">
        <v>222</v>
      </c>
      <c r="E197" s="27">
        <f t="shared" si="73"/>
        <v>232200</v>
      </c>
      <c r="F197" s="27">
        <f>227200+5000</f>
        <v>232200</v>
      </c>
      <c r="G197" s="27">
        <v>0</v>
      </c>
      <c r="H197" s="27">
        <v>0</v>
      </c>
      <c r="I197" s="27">
        <v>0</v>
      </c>
      <c r="J197" s="27">
        <f t="shared" si="39"/>
        <v>0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  <c r="P197" s="27">
        <f t="shared" si="72"/>
        <v>232200</v>
      </c>
      <c r="S197" s="34"/>
    </row>
    <row r="198" spans="1:19" s="12" customFormat="1" ht="42.75" customHeight="1">
      <c r="A198" s="23" t="s">
        <v>296</v>
      </c>
      <c r="B198" s="24">
        <v>6090</v>
      </c>
      <c r="C198" s="23" t="s">
        <v>295</v>
      </c>
      <c r="D198" s="8" t="s">
        <v>294</v>
      </c>
      <c r="E198" s="27">
        <f t="shared" si="73"/>
        <v>1150000</v>
      </c>
      <c r="F198" s="27"/>
      <c r="G198" s="27">
        <v>0</v>
      </c>
      <c r="H198" s="27">
        <v>0</v>
      </c>
      <c r="I198" s="27">
        <v>1150000</v>
      </c>
      <c r="J198" s="27">
        <f t="shared" si="39"/>
        <v>0</v>
      </c>
      <c r="K198" s="27">
        <v>0</v>
      </c>
      <c r="L198" s="27">
        <v>0</v>
      </c>
      <c r="M198" s="27">
        <v>0</v>
      </c>
      <c r="N198" s="27">
        <v>0</v>
      </c>
      <c r="O198" s="27">
        <v>0</v>
      </c>
      <c r="P198" s="27">
        <f t="shared" si="72"/>
        <v>1150000</v>
      </c>
      <c r="S198" s="34"/>
    </row>
    <row r="199" spans="1:19" ht="28.2" customHeight="1">
      <c r="A199" s="24" t="s">
        <v>245</v>
      </c>
      <c r="B199" s="24" t="s">
        <v>246</v>
      </c>
      <c r="C199" s="24" t="s">
        <v>247</v>
      </c>
      <c r="D199" s="8" t="s">
        <v>248</v>
      </c>
      <c r="E199" s="27">
        <f t="shared" si="73"/>
        <v>1197000</v>
      </c>
      <c r="F199" s="27">
        <f>1200000-103000</f>
        <v>1097000</v>
      </c>
      <c r="G199" s="27">
        <v>0</v>
      </c>
      <c r="H199" s="27">
        <v>0</v>
      </c>
      <c r="I199" s="27">
        <v>100000</v>
      </c>
      <c r="J199" s="27">
        <f t="shared" si="39"/>
        <v>0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  <c r="P199" s="27">
        <f t="shared" si="72"/>
        <v>1197000</v>
      </c>
      <c r="S199" s="34"/>
    </row>
    <row r="200" spans="1:19" ht="41.25" customHeight="1">
      <c r="A200" s="23" t="s">
        <v>286</v>
      </c>
      <c r="B200" s="23" t="s">
        <v>273</v>
      </c>
      <c r="C200" s="23" t="s">
        <v>275</v>
      </c>
      <c r="D200" s="8" t="s">
        <v>274</v>
      </c>
      <c r="E200" s="27">
        <f t="shared" si="73"/>
        <v>23100</v>
      </c>
      <c r="F200" s="27">
        <v>23100</v>
      </c>
      <c r="G200" s="27"/>
      <c r="H200" s="27"/>
      <c r="I200" s="27"/>
      <c r="J200" s="27">
        <f t="shared" si="39"/>
        <v>0</v>
      </c>
      <c r="K200" s="27"/>
      <c r="L200" s="27"/>
      <c r="M200" s="27"/>
      <c r="N200" s="27"/>
      <c r="O200" s="27"/>
      <c r="P200" s="27">
        <f t="shared" si="72"/>
        <v>23100</v>
      </c>
      <c r="S200" s="34"/>
    </row>
    <row r="201" spans="1:19" ht="40.5" customHeight="1">
      <c r="A201" s="24" t="s">
        <v>250</v>
      </c>
      <c r="B201" s="24" t="s">
        <v>229</v>
      </c>
      <c r="C201" s="24" t="s">
        <v>58</v>
      </c>
      <c r="D201" s="8" t="s">
        <v>230</v>
      </c>
      <c r="E201" s="27">
        <f t="shared" si="73"/>
        <v>23285271</v>
      </c>
      <c r="F201" s="27">
        <v>0</v>
      </c>
      <c r="G201" s="27">
        <v>0</v>
      </c>
      <c r="H201" s="27">
        <v>0</v>
      </c>
      <c r="I201" s="27">
        <f>22049300+791571+31400+413000</f>
        <v>23285271</v>
      </c>
      <c r="J201" s="27">
        <f t="shared" si="39"/>
        <v>0</v>
      </c>
      <c r="K201" s="27">
        <v>0</v>
      </c>
      <c r="L201" s="27">
        <v>0</v>
      </c>
      <c r="M201" s="27">
        <v>0</v>
      </c>
      <c r="N201" s="27">
        <v>0</v>
      </c>
      <c r="O201" s="27">
        <v>0</v>
      </c>
      <c r="P201" s="27">
        <f t="shared" si="72"/>
        <v>23285271</v>
      </c>
      <c r="S201" s="34"/>
    </row>
    <row r="202" spans="1:19" ht="46.8">
      <c r="A202" s="24">
        <v>3118110</v>
      </c>
      <c r="B202" s="24">
        <v>8110</v>
      </c>
      <c r="C202" s="24" t="s">
        <v>233</v>
      </c>
      <c r="D202" s="8" t="s">
        <v>234</v>
      </c>
      <c r="E202" s="27">
        <f t="shared" si="73"/>
        <v>300000</v>
      </c>
      <c r="F202" s="27">
        <v>300000</v>
      </c>
      <c r="G202" s="27"/>
      <c r="H202" s="27"/>
      <c r="I202" s="27"/>
      <c r="J202" s="27">
        <f t="shared" si="39"/>
        <v>0</v>
      </c>
      <c r="K202" s="27"/>
      <c r="L202" s="27"/>
      <c r="M202" s="27"/>
      <c r="N202" s="27"/>
      <c r="O202" s="27"/>
      <c r="P202" s="27">
        <f t="shared" si="72"/>
        <v>300000</v>
      </c>
      <c r="S202" s="34"/>
    </row>
    <row r="203" spans="1:19" ht="40.5" customHeight="1">
      <c r="A203" s="24" t="s">
        <v>251</v>
      </c>
      <c r="B203" s="24" t="s">
        <v>252</v>
      </c>
      <c r="C203" s="24" t="s">
        <v>62</v>
      </c>
      <c r="D203" s="8" t="s">
        <v>253</v>
      </c>
      <c r="E203" s="27">
        <f t="shared" si="73"/>
        <v>166000</v>
      </c>
      <c r="F203" s="27">
        <v>166000</v>
      </c>
      <c r="G203" s="27">
        <v>0</v>
      </c>
      <c r="H203" s="27">
        <v>0</v>
      </c>
      <c r="I203" s="27">
        <v>0</v>
      </c>
      <c r="J203" s="27">
        <f t="shared" si="39"/>
        <v>0</v>
      </c>
      <c r="K203" s="27">
        <v>0</v>
      </c>
      <c r="L203" s="27">
        <v>0</v>
      </c>
      <c r="M203" s="27">
        <v>0</v>
      </c>
      <c r="N203" s="27">
        <v>0</v>
      </c>
      <c r="O203" s="27">
        <v>0</v>
      </c>
      <c r="P203" s="27">
        <f t="shared" si="72"/>
        <v>166000</v>
      </c>
      <c r="S203" s="34"/>
    </row>
    <row r="204" spans="1:19" ht="60.75" customHeight="1">
      <c r="A204" s="6" t="s">
        <v>254</v>
      </c>
      <c r="B204" s="6" t="s">
        <v>18</v>
      </c>
      <c r="C204" s="6" t="s">
        <v>18</v>
      </c>
      <c r="D204" s="7" t="s">
        <v>255</v>
      </c>
      <c r="E204" s="26">
        <f>E205</f>
        <v>172115585</v>
      </c>
      <c r="F204" s="26">
        <f>F205</f>
        <v>130407012</v>
      </c>
      <c r="G204" s="26">
        <f t="shared" ref="G204:I204" si="89">G205</f>
        <v>8142800</v>
      </c>
      <c r="H204" s="26">
        <f t="shared" si="89"/>
        <v>0</v>
      </c>
      <c r="I204" s="26">
        <f t="shared" si="89"/>
        <v>34028000</v>
      </c>
      <c r="J204" s="26">
        <f t="shared" si="39"/>
        <v>1680000</v>
      </c>
      <c r="K204" s="26">
        <f>K205</f>
        <v>1680000</v>
      </c>
      <c r="L204" s="26">
        <f t="shared" ref="L204:O204" si="90">L205</f>
        <v>0</v>
      </c>
      <c r="M204" s="26">
        <f t="shared" si="90"/>
        <v>0</v>
      </c>
      <c r="N204" s="26">
        <f t="shared" si="90"/>
        <v>0</v>
      </c>
      <c r="O204" s="26">
        <f t="shared" si="90"/>
        <v>1680000</v>
      </c>
      <c r="P204" s="26">
        <f t="shared" si="72"/>
        <v>173795585</v>
      </c>
      <c r="S204" s="34"/>
    </row>
    <row r="205" spans="1:19" ht="60" customHeight="1">
      <c r="A205" s="6" t="s">
        <v>256</v>
      </c>
      <c r="B205" s="6" t="s">
        <v>18</v>
      </c>
      <c r="C205" s="6" t="s">
        <v>18</v>
      </c>
      <c r="D205" s="7" t="s">
        <v>255</v>
      </c>
      <c r="E205" s="26">
        <f>F205+I205+E208</f>
        <v>172115585</v>
      </c>
      <c r="F205" s="26">
        <f>F206+F207+F208+F209+F210+F211+F212</f>
        <v>130407012</v>
      </c>
      <c r="G205" s="26">
        <f t="shared" ref="G205:K205" si="91">G206+G207+G208+G209+G210+G211+G212</f>
        <v>8142800</v>
      </c>
      <c r="H205" s="26">
        <f t="shared" si="91"/>
        <v>0</v>
      </c>
      <c r="I205" s="26">
        <f t="shared" si="91"/>
        <v>34028000</v>
      </c>
      <c r="J205" s="26">
        <f t="shared" ref="J205:J210" si="92">L205+O205</f>
        <v>1680000</v>
      </c>
      <c r="K205" s="26">
        <f t="shared" si="91"/>
        <v>1680000</v>
      </c>
      <c r="L205" s="26">
        <f t="shared" ref="L205" si="93">L206+L207+L208+L209+L210+L211+L212</f>
        <v>0</v>
      </c>
      <c r="M205" s="26">
        <f t="shared" ref="M205" si="94">M206+M207+M208+M209+M210+M211+M212</f>
        <v>0</v>
      </c>
      <c r="N205" s="26">
        <f t="shared" ref="N205" si="95">N206+N207+N208+N209+N210+N211+N212</f>
        <v>0</v>
      </c>
      <c r="O205" s="26">
        <f t="shared" ref="O205" si="96">O206+O207+O208+O209+O210+O211+O212</f>
        <v>1680000</v>
      </c>
      <c r="P205" s="26">
        <f t="shared" si="72"/>
        <v>173795585</v>
      </c>
      <c r="S205" s="34"/>
    </row>
    <row r="206" spans="1:19" ht="70.5" customHeight="1">
      <c r="A206" s="24" t="s">
        <v>257</v>
      </c>
      <c r="B206" s="24" t="s">
        <v>74</v>
      </c>
      <c r="C206" s="24" t="s">
        <v>23</v>
      </c>
      <c r="D206" s="8" t="s">
        <v>75</v>
      </c>
      <c r="E206" s="27">
        <f>F206+I206</f>
        <v>8517700</v>
      </c>
      <c r="F206" s="27">
        <f>8469200-3000</f>
        <v>8466200</v>
      </c>
      <c r="G206" s="27">
        <v>8142800</v>
      </c>
      <c r="H206" s="27">
        <v>0</v>
      </c>
      <c r="I206" s="27">
        <f>99000-47500</f>
        <v>51500</v>
      </c>
      <c r="J206" s="27">
        <f t="shared" si="92"/>
        <v>0</v>
      </c>
      <c r="K206" s="27"/>
      <c r="L206" s="27">
        <v>0</v>
      </c>
      <c r="M206" s="27">
        <v>0</v>
      </c>
      <c r="N206" s="27">
        <v>0</v>
      </c>
      <c r="O206" s="27"/>
      <c r="P206" s="27">
        <f t="shared" si="72"/>
        <v>8517700</v>
      </c>
      <c r="S206" s="34"/>
    </row>
    <row r="207" spans="1:19" ht="31.2">
      <c r="A207" s="23" t="s">
        <v>287</v>
      </c>
      <c r="B207" s="23" t="s">
        <v>273</v>
      </c>
      <c r="C207" s="23" t="s">
        <v>275</v>
      </c>
      <c r="D207" s="8" t="s">
        <v>274</v>
      </c>
      <c r="E207" s="27">
        <f t="shared" ref="E207" si="97">F207+I207</f>
        <v>169100</v>
      </c>
      <c r="F207" s="27">
        <f>118600+50500-30000</f>
        <v>139100</v>
      </c>
      <c r="G207" s="27"/>
      <c r="H207" s="27"/>
      <c r="I207" s="27">
        <v>30000</v>
      </c>
      <c r="J207" s="27">
        <f t="shared" si="92"/>
        <v>0</v>
      </c>
      <c r="K207" s="27">
        <v>0</v>
      </c>
      <c r="L207" s="27"/>
      <c r="M207" s="27"/>
      <c r="N207" s="27"/>
      <c r="O207" s="27">
        <v>0</v>
      </c>
      <c r="P207" s="27">
        <f t="shared" si="72"/>
        <v>169100</v>
      </c>
      <c r="S207" s="34"/>
    </row>
    <row r="208" spans="1:19" ht="23.4" customHeight="1">
      <c r="A208" s="24" t="s">
        <v>258</v>
      </c>
      <c r="B208" s="24" t="s">
        <v>259</v>
      </c>
      <c r="C208" s="24" t="s">
        <v>31</v>
      </c>
      <c r="D208" s="8" t="s">
        <v>260</v>
      </c>
      <c r="E208" s="27">
        <f>10000000-500000-300000-1519427</f>
        <v>7680573</v>
      </c>
      <c r="F208" s="27">
        <v>0</v>
      </c>
      <c r="G208" s="27">
        <v>0</v>
      </c>
      <c r="H208" s="27">
        <v>0</v>
      </c>
      <c r="I208" s="27">
        <v>0</v>
      </c>
      <c r="J208" s="27">
        <f t="shared" si="92"/>
        <v>0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  <c r="P208" s="27">
        <f t="shared" si="72"/>
        <v>7680573</v>
      </c>
      <c r="S208" s="34"/>
    </row>
    <row r="209" spans="1:19" ht="23.4" customHeight="1">
      <c r="A209" s="24">
        <v>3719110</v>
      </c>
      <c r="B209" s="24">
        <v>9110</v>
      </c>
      <c r="C209" s="23" t="s">
        <v>30</v>
      </c>
      <c r="D209" s="8" t="s">
        <v>288</v>
      </c>
      <c r="E209" s="27">
        <f>F209+I209</f>
        <v>79482900</v>
      </c>
      <c r="F209" s="27">
        <v>79482900</v>
      </c>
      <c r="G209" s="27"/>
      <c r="H209" s="27"/>
      <c r="I209" s="27"/>
      <c r="J209" s="27">
        <f t="shared" si="92"/>
        <v>0</v>
      </c>
      <c r="K209" s="27"/>
      <c r="L209" s="27"/>
      <c r="M209" s="27"/>
      <c r="N209" s="27"/>
      <c r="O209" s="27"/>
      <c r="P209" s="27">
        <f t="shared" si="72"/>
        <v>79482900</v>
      </c>
      <c r="S209" s="34"/>
    </row>
    <row r="210" spans="1:19" ht="62.4">
      <c r="A210" s="24">
        <v>3719720</v>
      </c>
      <c r="B210" s="24">
        <v>9720</v>
      </c>
      <c r="C210" s="23" t="s">
        <v>30</v>
      </c>
      <c r="D210" s="8" t="s">
        <v>409</v>
      </c>
      <c r="E210" s="27">
        <f>F210+I210</f>
        <v>0</v>
      </c>
      <c r="F210" s="27"/>
      <c r="G210" s="27"/>
      <c r="H210" s="27"/>
      <c r="I210" s="27"/>
      <c r="J210" s="27">
        <f t="shared" si="92"/>
        <v>1680000</v>
      </c>
      <c r="K210" s="27">
        <v>1680000</v>
      </c>
      <c r="L210" s="27"/>
      <c r="M210" s="27"/>
      <c r="N210" s="27"/>
      <c r="O210" s="27">
        <v>1680000</v>
      </c>
      <c r="P210" s="27">
        <f t="shared" si="72"/>
        <v>1680000</v>
      </c>
      <c r="S210" s="34"/>
    </row>
    <row r="211" spans="1:19" ht="23.4" customHeight="1">
      <c r="A211" s="24" t="s">
        <v>261</v>
      </c>
      <c r="B211" s="24" t="s">
        <v>262</v>
      </c>
      <c r="C211" s="24" t="s">
        <v>30</v>
      </c>
      <c r="D211" s="8" t="s">
        <v>263</v>
      </c>
      <c r="E211" s="27">
        <f>F211+I211</f>
        <v>5402800</v>
      </c>
      <c r="F211" s="27">
        <f>5924800-2000000+404500+578000+400000</f>
        <v>5307300</v>
      </c>
      <c r="G211" s="27"/>
      <c r="H211" s="27"/>
      <c r="I211" s="27">
        <f>500000-404500</f>
        <v>95500</v>
      </c>
      <c r="J211" s="27"/>
      <c r="K211" s="27"/>
      <c r="L211" s="27"/>
      <c r="M211" s="27"/>
      <c r="N211" s="27"/>
      <c r="O211" s="27"/>
      <c r="P211" s="27">
        <f t="shared" si="72"/>
        <v>5402800</v>
      </c>
      <c r="S211" s="34"/>
    </row>
    <row r="212" spans="1:19" s="12" customFormat="1" ht="62.4">
      <c r="A212" s="24">
        <v>3719800</v>
      </c>
      <c r="B212" s="24">
        <v>9800</v>
      </c>
      <c r="C212" s="23" t="s">
        <v>30</v>
      </c>
      <c r="D212" s="37" t="s">
        <v>325</v>
      </c>
      <c r="E212" s="27">
        <f t="shared" ref="E212" si="98">F212+I212</f>
        <v>70862512</v>
      </c>
      <c r="F212" s="27">
        <f>2625212+1890000+48000000+500000-5000000-11000000-3700</f>
        <v>37011512</v>
      </c>
      <c r="G212" s="27"/>
      <c r="H212" s="27"/>
      <c r="I212" s="27">
        <f>4000000+1110000+12000000+5000000+610000+11000000-419000+550000</f>
        <v>33851000</v>
      </c>
      <c r="J212" s="27"/>
      <c r="K212" s="27"/>
      <c r="L212" s="27"/>
      <c r="M212" s="27"/>
      <c r="N212" s="27"/>
      <c r="O212" s="27"/>
      <c r="P212" s="27">
        <f t="shared" si="72"/>
        <v>70862512</v>
      </c>
      <c r="Q212" s="2"/>
      <c r="S212" s="34"/>
    </row>
    <row r="213" spans="1:19" ht="19.95" customHeight="1">
      <c r="A213" s="6" t="s">
        <v>265</v>
      </c>
      <c r="B213" s="6" t="s">
        <v>265</v>
      </c>
      <c r="C213" s="6" t="s">
        <v>265</v>
      </c>
      <c r="D213" s="10" t="s">
        <v>264</v>
      </c>
      <c r="E213" s="26">
        <f>E18+E66+E97+E126+E132+E146+E158+E177+E192+E204</f>
        <v>1527265799</v>
      </c>
      <c r="F213" s="26">
        <f>F18+F66+F97+F126+F132+F146+F158+F177+F192+F204</f>
        <v>1203005788.05</v>
      </c>
      <c r="G213" s="26">
        <f>G18+G66+G97+G126+G132+G146+G158+G177+G192+G204</f>
        <v>634259062</v>
      </c>
      <c r="H213" s="26">
        <f>H18+H66+H97+H126+H132+H146+H158+H177+H192+H204</f>
        <v>53836796.519999996</v>
      </c>
      <c r="I213" s="26">
        <f>I18+I66+I97+I126+I132+I146+I158+I177+I192+I204</f>
        <v>316579437.94999999</v>
      </c>
      <c r="J213" s="26">
        <f>L213+O213</f>
        <v>153005998.74000001</v>
      </c>
      <c r="K213" s="26">
        <f>K18+K66+K97+K126+K132+K146+K158+K177+K192+K204</f>
        <v>120739191.5</v>
      </c>
      <c r="L213" s="26">
        <f>L18+L66+L97+L126+L132+L146+L158+L177+L192+L204</f>
        <v>20255614</v>
      </c>
      <c r="M213" s="26">
        <f>M18+M66+M97+M126+M132+M146+M158+M177+M192+M204</f>
        <v>511100</v>
      </c>
      <c r="N213" s="26">
        <f>N18+N66+N97+N126+N132+N146+N158+N177+N192+N204</f>
        <v>0</v>
      </c>
      <c r="O213" s="26">
        <f>O18+O66+O97+O126+O132+O146+O158+O177+O192+O204</f>
        <v>132750384.73999999</v>
      </c>
      <c r="P213" s="26">
        <f t="shared" si="72"/>
        <v>1680271797.74</v>
      </c>
      <c r="Q213" s="12"/>
      <c r="S213" s="34"/>
    </row>
    <row r="214" spans="1:19" ht="9" customHeight="1">
      <c r="A214" s="13"/>
      <c r="B214" s="13"/>
      <c r="C214" s="13"/>
      <c r="D214" s="14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S214" s="34"/>
    </row>
    <row r="215" spans="1:19" s="18" customFormat="1" ht="18">
      <c r="A215" s="15"/>
      <c r="B215" s="15"/>
      <c r="C215" s="16" t="s">
        <v>299</v>
      </c>
      <c r="D215" s="17" t="s">
        <v>300</v>
      </c>
      <c r="E215" s="31">
        <f t="shared" ref="E215:O215" si="99">E20+E25+E26+E68+E69+E99+E100+E101+E128+E129+E134+E135+E148+E149+E160+E161+E179+E180+E181+E182+E194+E195+E196+E206</f>
        <v>183848586.84</v>
      </c>
      <c r="F215" s="31">
        <f t="shared" si="99"/>
        <v>183255910.84</v>
      </c>
      <c r="G215" s="31">
        <f t="shared" si="99"/>
        <v>164095300</v>
      </c>
      <c r="H215" s="31">
        <f t="shared" si="99"/>
        <v>6952730.8399999999</v>
      </c>
      <c r="I215" s="31">
        <f t="shared" si="99"/>
        <v>592676</v>
      </c>
      <c r="J215" s="31">
        <f t="shared" si="99"/>
        <v>120000</v>
      </c>
      <c r="K215" s="31">
        <f t="shared" si="99"/>
        <v>0</v>
      </c>
      <c r="L215" s="31">
        <f t="shared" si="99"/>
        <v>120000</v>
      </c>
      <c r="M215" s="31">
        <f t="shared" si="99"/>
        <v>0</v>
      </c>
      <c r="N215" s="31">
        <f t="shared" si="99"/>
        <v>0</v>
      </c>
      <c r="O215" s="31">
        <f t="shared" si="99"/>
        <v>0</v>
      </c>
      <c r="P215" s="31">
        <f>E215+J215</f>
        <v>183968586.84</v>
      </c>
      <c r="Q215" s="2"/>
      <c r="S215" s="34"/>
    </row>
    <row r="216" spans="1:19" s="18" customFormat="1" ht="18">
      <c r="A216" s="15"/>
      <c r="B216" s="15"/>
      <c r="C216" s="16" t="s">
        <v>301</v>
      </c>
      <c r="D216" s="17" t="s">
        <v>302</v>
      </c>
      <c r="E216" s="31">
        <f t="shared" ref="E216:O216" si="100">E70+E71+E72+E73+E77+E78+E79+E80+E81+E82+E83+E84+E85+E86+E87+E88+E89+E90+E91+E136+E183</f>
        <v>530213093.98000008</v>
      </c>
      <c r="F216" s="31">
        <f t="shared" si="100"/>
        <v>527198839.03000009</v>
      </c>
      <c r="G216" s="31">
        <f t="shared" si="100"/>
        <v>370800642</v>
      </c>
      <c r="H216" s="31">
        <f t="shared" si="100"/>
        <v>42354734.979999997</v>
      </c>
      <c r="I216" s="31">
        <f t="shared" si="100"/>
        <v>3014254.95</v>
      </c>
      <c r="J216" s="31">
        <f t="shared" si="100"/>
        <v>92462190.5</v>
      </c>
      <c r="K216" s="31">
        <f t="shared" si="100"/>
        <v>73550760.5</v>
      </c>
      <c r="L216" s="31">
        <f t="shared" si="100"/>
        <v>18711430</v>
      </c>
      <c r="M216" s="31">
        <f t="shared" si="100"/>
        <v>499100</v>
      </c>
      <c r="N216" s="31">
        <f t="shared" si="100"/>
        <v>0</v>
      </c>
      <c r="O216" s="31">
        <f t="shared" si="100"/>
        <v>73750760.5</v>
      </c>
      <c r="P216" s="31">
        <f>E216+J216</f>
        <v>622675284.48000002</v>
      </c>
      <c r="S216" s="34"/>
    </row>
    <row r="217" spans="1:19" s="18" customFormat="1" ht="18">
      <c r="A217" s="15"/>
      <c r="B217" s="15"/>
      <c r="C217" s="16" t="s">
        <v>303</v>
      </c>
      <c r="D217" s="17" t="s">
        <v>304</v>
      </c>
      <c r="E217" s="31">
        <f t="shared" ref="E217:O217" si="101">E27+E28+E29+E30+E34+E184</f>
        <v>74736016</v>
      </c>
      <c r="F217" s="31">
        <f t="shared" si="101"/>
        <v>68924483</v>
      </c>
      <c r="G217" s="31">
        <f t="shared" si="101"/>
        <v>0</v>
      </c>
      <c r="H217" s="31">
        <f t="shared" si="101"/>
        <v>0</v>
      </c>
      <c r="I217" s="31">
        <f t="shared" si="101"/>
        <v>5811533</v>
      </c>
      <c r="J217" s="31">
        <f t="shared" si="101"/>
        <v>7333054</v>
      </c>
      <c r="K217" s="31">
        <f t="shared" si="101"/>
        <v>7333054</v>
      </c>
      <c r="L217" s="31">
        <f t="shared" si="101"/>
        <v>0</v>
      </c>
      <c r="M217" s="31">
        <f t="shared" si="101"/>
        <v>0</v>
      </c>
      <c r="N217" s="31">
        <f t="shared" si="101"/>
        <v>0</v>
      </c>
      <c r="O217" s="31">
        <f t="shared" si="101"/>
        <v>7333054</v>
      </c>
      <c r="P217" s="31">
        <f t="shared" ref="P217:P225" si="102">E217+J217</f>
        <v>82069070</v>
      </c>
      <c r="S217" s="34"/>
    </row>
    <row r="218" spans="1:19" s="18" customFormat="1" ht="31.8">
      <c r="A218" s="15"/>
      <c r="B218" s="15"/>
      <c r="C218" s="16" t="s">
        <v>305</v>
      </c>
      <c r="D218" s="17" t="s">
        <v>306</v>
      </c>
      <c r="E218" s="31">
        <f t="shared" ref="E218:O218" si="103">E35+E92+E93+E102+E103+E104+E105+E106+E107+E108+E109+E110+E111+E112+E113+E114+E115+E116+E117+E118+E119+E130+E137+E138+E150+E162</f>
        <v>137589859</v>
      </c>
      <c r="F218" s="31">
        <f t="shared" si="103"/>
        <v>119746837</v>
      </c>
      <c r="G218" s="31">
        <f t="shared" si="103"/>
        <v>36065920</v>
      </c>
      <c r="H218" s="31">
        <f t="shared" si="103"/>
        <v>306616.52</v>
      </c>
      <c r="I218" s="31">
        <f t="shared" si="103"/>
        <v>17843022</v>
      </c>
      <c r="J218" s="31">
        <f t="shared" si="103"/>
        <v>180000</v>
      </c>
      <c r="K218" s="31">
        <f t="shared" si="103"/>
        <v>0</v>
      </c>
      <c r="L218" s="31">
        <f t="shared" si="103"/>
        <v>55000</v>
      </c>
      <c r="M218" s="31">
        <f t="shared" si="103"/>
        <v>0</v>
      </c>
      <c r="N218" s="31">
        <f t="shared" si="103"/>
        <v>0</v>
      </c>
      <c r="O218" s="31">
        <f t="shared" si="103"/>
        <v>125000</v>
      </c>
      <c r="P218" s="31">
        <f t="shared" si="102"/>
        <v>137769859</v>
      </c>
      <c r="S218" s="34"/>
    </row>
    <row r="219" spans="1:19" s="18" customFormat="1" ht="18">
      <c r="A219" s="15"/>
      <c r="B219" s="15"/>
      <c r="C219" s="16" t="s">
        <v>307</v>
      </c>
      <c r="D219" s="17" t="s">
        <v>308</v>
      </c>
      <c r="E219" s="31">
        <f t="shared" ref="E219:O219" si="104">E139+E140+E141+E142+E143</f>
        <v>36582874</v>
      </c>
      <c r="F219" s="31">
        <f t="shared" si="104"/>
        <v>36330900</v>
      </c>
      <c r="G219" s="31">
        <f t="shared" si="104"/>
        <v>26353200</v>
      </c>
      <c r="H219" s="31">
        <f t="shared" si="104"/>
        <v>3115980</v>
      </c>
      <c r="I219" s="31">
        <f t="shared" si="104"/>
        <v>251974</v>
      </c>
      <c r="J219" s="31">
        <f t="shared" si="104"/>
        <v>310000</v>
      </c>
      <c r="K219" s="31">
        <f t="shared" si="104"/>
        <v>0</v>
      </c>
      <c r="L219" s="31">
        <f t="shared" si="104"/>
        <v>280000</v>
      </c>
      <c r="M219" s="31">
        <f t="shared" si="104"/>
        <v>12000</v>
      </c>
      <c r="N219" s="31">
        <f t="shared" si="104"/>
        <v>0</v>
      </c>
      <c r="O219" s="31">
        <f t="shared" si="104"/>
        <v>30000</v>
      </c>
      <c r="P219" s="31">
        <f t="shared" si="102"/>
        <v>36892874</v>
      </c>
      <c r="S219" s="34"/>
    </row>
    <row r="220" spans="1:19" s="18" customFormat="1" ht="18">
      <c r="A220" s="15"/>
      <c r="B220" s="15"/>
      <c r="C220" s="16" t="s">
        <v>309</v>
      </c>
      <c r="D220" s="17" t="s">
        <v>310</v>
      </c>
      <c r="E220" s="31">
        <f t="shared" ref="E220:O220" si="105">E94+E151+E152+E154+E153+E155</f>
        <v>30127584.18</v>
      </c>
      <c r="F220" s="31">
        <f t="shared" si="105"/>
        <v>21691734.18</v>
      </c>
      <c r="G220" s="31">
        <f t="shared" si="105"/>
        <v>11557200</v>
      </c>
      <c r="H220" s="31">
        <f t="shared" si="105"/>
        <v>1048234.18</v>
      </c>
      <c r="I220" s="31">
        <f t="shared" si="105"/>
        <v>8435850</v>
      </c>
      <c r="J220" s="31">
        <f t="shared" si="105"/>
        <v>0</v>
      </c>
      <c r="K220" s="31">
        <f t="shared" si="105"/>
        <v>0</v>
      </c>
      <c r="L220" s="31">
        <f t="shared" si="105"/>
        <v>0</v>
      </c>
      <c r="M220" s="31">
        <f t="shared" si="105"/>
        <v>0</v>
      </c>
      <c r="N220" s="31">
        <f t="shared" si="105"/>
        <v>0</v>
      </c>
      <c r="O220" s="31">
        <f t="shared" si="105"/>
        <v>0</v>
      </c>
      <c r="P220" s="31">
        <f t="shared" si="102"/>
        <v>30127584.18</v>
      </c>
      <c r="S220" s="34"/>
    </row>
    <row r="221" spans="1:19" s="18" customFormat="1" ht="18">
      <c r="A221" s="15"/>
      <c r="B221" s="15"/>
      <c r="C221" s="16" t="s">
        <v>311</v>
      </c>
      <c r="D221" s="17" t="s">
        <v>312</v>
      </c>
      <c r="E221" s="31">
        <f t="shared" ref="E221:O221" si="106">E36+E163+E164+E168+E165+E166+E167+E185+E186+E187+E197+E198</f>
        <v>139465794</v>
      </c>
      <c r="F221" s="31">
        <f t="shared" si="106"/>
        <v>27377100</v>
      </c>
      <c r="G221" s="31">
        <f t="shared" si="106"/>
        <v>0</v>
      </c>
      <c r="H221" s="31">
        <f t="shared" si="106"/>
        <v>0</v>
      </c>
      <c r="I221" s="31">
        <f t="shared" si="106"/>
        <v>112088694</v>
      </c>
      <c r="J221" s="31">
        <f t="shared" si="106"/>
        <v>36831310</v>
      </c>
      <c r="K221" s="31">
        <f t="shared" si="106"/>
        <v>36831310</v>
      </c>
      <c r="L221" s="31">
        <f t="shared" si="106"/>
        <v>0</v>
      </c>
      <c r="M221" s="31">
        <f t="shared" si="106"/>
        <v>0</v>
      </c>
      <c r="N221" s="31">
        <f t="shared" si="106"/>
        <v>0</v>
      </c>
      <c r="O221" s="31">
        <f t="shared" si="106"/>
        <v>36831310</v>
      </c>
      <c r="P221" s="31">
        <f t="shared" si="102"/>
        <v>176297104</v>
      </c>
      <c r="S221" s="34"/>
    </row>
    <row r="222" spans="1:19" s="18" customFormat="1" ht="18">
      <c r="A222" s="15"/>
      <c r="B222" s="15"/>
      <c r="C222" s="16" t="s">
        <v>313</v>
      </c>
      <c r="D222" s="17" t="s">
        <v>314</v>
      </c>
      <c r="E222" s="31">
        <f>E40+E41+E48+E49+E50+E51+E95+E120+E131+E144+E156+E157+E169+E170+E171+E172+E173+E188+E189+E190+E199+E200+E201+E207</f>
        <v>163539774</v>
      </c>
      <c r="F222" s="31">
        <f t="shared" ref="F222:O222" si="107">F40+F41+F48+F49+F50+F51+F95+F120+F131+F144+F156+F157+F169+F170+F171+F172+F173+F188+F189+F190+F199+F200+F201+F207</f>
        <v>43779265</v>
      </c>
      <c r="G222" s="31">
        <f t="shared" si="107"/>
        <v>0</v>
      </c>
      <c r="H222" s="31">
        <f t="shared" si="107"/>
        <v>0</v>
      </c>
      <c r="I222" s="31">
        <f t="shared" si="107"/>
        <v>119760509</v>
      </c>
      <c r="J222" s="31">
        <f t="shared" si="107"/>
        <v>12900260.240000002</v>
      </c>
      <c r="K222" s="31">
        <f t="shared" si="107"/>
        <v>1344067</v>
      </c>
      <c r="L222" s="31">
        <f t="shared" si="107"/>
        <v>0</v>
      </c>
      <c r="M222" s="31">
        <f t="shared" si="107"/>
        <v>0</v>
      </c>
      <c r="N222" s="31">
        <f t="shared" si="107"/>
        <v>0</v>
      </c>
      <c r="O222" s="31">
        <f t="shared" si="107"/>
        <v>12900260.240000002</v>
      </c>
      <c r="P222" s="31">
        <f t="shared" si="102"/>
        <v>176440034.24000001</v>
      </c>
      <c r="S222" s="34"/>
    </row>
    <row r="223" spans="1:19" s="19" customFormat="1" ht="18">
      <c r="A223" s="15"/>
      <c r="B223" s="15"/>
      <c r="C223" s="16" t="s">
        <v>315</v>
      </c>
      <c r="D223" s="17" t="s">
        <v>316</v>
      </c>
      <c r="E223" s="31">
        <f>E52+E60+E61+E62+E63+E64+E65+E96+E124+E145+E174+E175+E176+E191+E202+E203+E208</f>
        <v>75414005</v>
      </c>
      <c r="F223" s="31">
        <f t="shared" ref="F223:O223" si="108">F52+F60+F61+F62+F63+F64+F65+F96+F124+F145+F174+F175+F176+F191+F202+F203+F208</f>
        <v>52899007</v>
      </c>
      <c r="G223" s="31">
        <f t="shared" si="108"/>
        <v>25386800</v>
      </c>
      <c r="H223" s="31">
        <f t="shared" si="108"/>
        <v>58500</v>
      </c>
      <c r="I223" s="31">
        <f t="shared" si="108"/>
        <v>14834425</v>
      </c>
      <c r="J223" s="31">
        <f t="shared" si="108"/>
        <v>1189184</v>
      </c>
      <c r="K223" s="31">
        <f t="shared" si="108"/>
        <v>0</v>
      </c>
      <c r="L223" s="31">
        <f t="shared" si="108"/>
        <v>1089184</v>
      </c>
      <c r="M223" s="31">
        <f t="shared" si="108"/>
        <v>0</v>
      </c>
      <c r="N223" s="31">
        <f t="shared" si="108"/>
        <v>0</v>
      </c>
      <c r="O223" s="31">
        <f t="shared" si="108"/>
        <v>100000</v>
      </c>
      <c r="P223" s="31">
        <f t="shared" si="102"/>
        <v>76603189</v>
      </c>
      <c r="Q223" s="18"/>
      <c r="S223" s="34"/>
    </row>
    <row r="224" spans="1:19" s="12" customFormat="1" ht="18">
      <c r="A224" s="15"/>
      <c r="B224" s="15"/>
      <c r="C224" s="16" t="s">
        <v>317</v>
      </c>
      <c r="D224" s="17" t="s">
        <v>318</v>
      </c>
      <c r="E224" s="31">
        <f>E209+E210+E211+E212</f>
        <v>155748212</v>
      </c>
      <c r="F224" s="31">
        <f t="shared" ref="F224:O224" si="109">F209+F210+F211+F212</f>
        <v>121801712</v>
      </c>
      <c r="G224" s="31">
        <f t="shared" si="109"/>
        <v>0</v>
      </c>
      <c r="H224" s="31">
        <f t="shared" si="109"/>
        <v>0</v>
      </c>
      <c r="I224" s="31">
        <f t="shared" si="109"/>
        <v>33946500</v>
      </c>
      <c r="J224" s="31">
        <f t="shared" si="109"/>
        <v>1680000</v>
      </c>
      <c r="K224" s="31">
        <f t="shared" si="109"/>
        <v>1680000</v>
      </c>
      <c r="L224" s="31">
        <f t="shared" si="109"/>
        <v>0</v>
      </c>
      <c r="M224" s="31">
        <f t="shared" si="109"/>
        <v>0</v>
      </c>
      <c r="N224" s="31">
        <f t="shared" si="109"/>
        <v>0</v>
      </c>
      <c r="O224" s="31">
        <f t="shared" si="109"/>
        <v>1680000</v>
      </c>
      <c r="P224" s="31">
        <f t="shared" si="102"/>
        <v>157428212</v>
      </c>
      <c r="Q224" s="19"/>
      <c r="S224" s="34"/>
    </row>
    <row r="225" spans="1:19" s="12" customFormat="1">
      <c r="A225" s="20"/>
      <c r="B225" s="20"/>
      <c r="C225" s="20"/>
      <c r="D225" s="20" t="s">
        <v>16</v>
      </c>
      <c r="E225" s="32">
        <f>SUM(E215:E224)</f>
        <v>1527265799</v>
      </c>
      <c r="F225" s="32">
        <f>SUM(F215:F224)</f>
        <v>1203005788.0500002</v>
      </c>
      <c r="G225" s="32">
        <f>SUM(G215:G224)</f>
        <v>634259062</v>
      </c>
      <c r="H225" s="32">
        <f t="shared" ref="H225:O225" si="110">SUM(H215:H224)</f>
        <v>53836796.519999996</v>
      </c>
      <c r="I225" s="32">
        <f t="shared" si="110"/>
        <v>316579437.94999999</v>
      </c>
      <c r="J225" s="32">
        <f t="shared" si="110"/>
        <v>153005998.74000001</v>
      </c>
      <c r="K225" s="32">
        <f>SUM(K215:K224)</f>
        <v>120739191.5</v>
      </c>
      <c r="L225" s="32">
        <f t="shared" si="110"/>
        <v>20255614</v>
      </c>
      <c r="M225" s="32">
        <f t="shared" si="110"/>
        <v>511100</v>
      </c>
      <c r="N225" s="32">
        <f t="shared" si="110"/>
        <v>0</v>
      </c>
      <c r="O225" s="32">
        <f t="shared" si="110"/>
        <v>132750384.74000001</v>
      </c>
      <c r="P225" s="32">
        <f t="shared" si="102"/>
        <v>1680271797.74</v>
      </c>
      <c r="S225" s="34"/>
    </row>
    <row r="226" spans="1:19" s="21" customFormat="1">
      <c r="E226" s="33">
        <f>E213-E225</f>
        <v>0</v>
      </c>
      <c r="F226" s="33">
        <f t="shared" ref="F226:P226" si="111">F213-F225</f>
        <v>0</v>
      </c>
      <c r="G226" s="33">
        <f t="shared" si="111"/>
        <v>0</v>
      </c>
      <c r="H226" s="33">
        <f t="shared" si="111"/>
        <v>0</v>
      </c>
      <c r="I226" s="33">
        <f t="shared" si="111"/>
        <v>0</v>
      </c>
      <c r="J226" s="33">
        <f t="shared" si="111"/>
        <v>0</v>
      </c>
      <c r="K226" s="33">
        <f t="shared" si="111"/>
        <v>0</v>
      </c>
      <c r="L226" s="33">
        <f t="shared" si="111"/>
        <v>0</v>
      </c>
      <c r="M226" s="33">
        <f t="shared" si="111"/>
        <v>0</v>
      </c>
      <c r="N226" s="33">
        <f t="shared" si="111"/>
        <v>0</v>
      </c>
      <c r="O226" s="33">
        <f t="shared" si="111"/>
        <v>0</v>
      </c>
      <c r="P226" s="33">
        <f t="shared" si="111"/>
        <v>0</v>
      </c>
    </row>
    <row r="227" spans="1:19">
      <c r="D227" s="2" t="s">
        <v>420</v>
      </c>
      <c r="J227" s="2" t="s">
        <v>421</v>
      </c>
    </row>
    <row r="228" spans="1:19">
      <c r="P228" s="22"/>
    </row>
    <row r="229" spans="1:19"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</row>
    <row r="230" spans="1:19"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</row>
    <row r="231" spans="1:19"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</row>
    <row r="232" spans="1:19"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</row>
    <row r="233" spans="1:19">
      <c r="H233" s="34"/>
      <c r="K233" s="34"/>
    </row>
    <row r="234" spans="1:19">
      <c r="H234" s="34"/>
      <c r="K234" s="34"/>
    </row>
    <row r="240" spans="1:19">
      <c r="P240" s="22"/>
    </row>
  </sheetData>
  <mergeCells count="22">
    <mergeCell ref="O14:O16"/>
    <mergeCell ref="G15:G16"/>
    <mergeCell ref="H15:H16"/>
    <mergeCell ref="M15:M16"/>
    <mergeCell ref="N15:N16"/>
    <mergeCell ref="L14:L16"/>
    <mergeCell ref="A9:P9"/>
    <mergeCell ref="A10:P10"/>
    <mergeCell ref="A13:A16"/>
    <mergeCell ref="B13:B16"/>
    <mergeCell ref="C13:C16"/>
    <mergeCell ref="D13:D16"/>
    <mergeCell ref="E13:I13"/>
    <mergeCell ref="J13:O13"/>
    <mergeCell ref="P13:P16"/>
    <mergeCell ref="E14:E16"/>
    <mergeCell ref="F14:F16"/>
    <mergeCell ref="G14:H14"/>
    <mergeCell ref="I14:I16"/>
    <mergeCell ref="J14:J16"/>
    <mergeCell ref="K14:K16"/>
    <mergeCell ref="M14:N14"/>
  </mergeCells>
  <pageMargins left="0.19685039370078741" right="0.19685039370078741" top="0.39370078740157483" bottom="0.39370078740157483" header="0" footer="0"/>
  <pageSetup paperSize="9" scale="46" fitToWidth="11" fitToHeight="11" orientation="landscape" r:id="rId1"/>
  <headerFooter differentFirst="1">
    <oddHeader>&amp;C&amp;P</oddHeader>
  </headerFooter>
  <rowBreaks count="1" manualBreakCount="1">
    <brk id="19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220FU5</dc:creator>
  <cp:lastModifiedBy>Tofan</cp:lastModifiedBy>
  <cp:lastPrinted>2026-07-17T11:50:10Z</cp:lastPrinted>
  <dcterms:created xsi:type="dcterms:W3CDTF">2023-12-16T13:37:11Z</dcterms:created>
  <dcterms:modified xsi:type="dcterms:W3CDTF">2026-07-27T06:59:27Z</dcterms:modified>
</cp:coreProperties>
</file>