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5 сесія 02.12.2022\№ 266 Зміни до бюджету 22\"/>
    </mc:Choice>
  </mc:AlternateContent>
  <xr:revisionPtr revIDLastSave="0" documentId="13_ncr:1_{153B5354-B4E1-406C-BDCF-1D53FC0D960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із змінами грудень" sheetId="3" r:id="rId1"/>
  </sheets>
  <definedNames>
    <definedName name="_xlnm.Print_Titles" localSheetId="0">'із змінами грудень'!$15:$19</definedName>
    <definedName name="_xlnm.Print_Area" localSheetId="0">'із змінами грудень'!$A$1:$P$207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3" l="1"/>
  <c r="F23" i="3"/>
  <c r="F132" i="3" l="1"/>
  <c r="I126" i="3"/>
  <c r="F126" i="3"/>
  <c r="F42" i="3" l="1"/>
  <c r="O130" i="3" l="1"/>
  <c r="H161" i="3" l="1"/>
  <c r="G197" i="3"/>
  <c r="H197" i="3"/>
  <c r="I197" i="3"/>
  <c r="L197" i="3"/>
  <c r="M197" i="3"/>
  <c r="N197" i="3"/>
  <c r="G162" i="3"/>
  <c r="G161" i="3" s="1"/>
  <c r="F162" i="3"/>
  <c r="F161" i="3" s="1"/>
  <c r="G139" i="3"/>
  <c r="F139" i="3"/>
  <c r="G117" i="3"/>
  <c r="F117" i="3"/>
  <c r="G109" i="3"/>
  <c r="F109" i="3"/>
  <c r="G98" i="3"/>
  <c r="F98" i="3"/>
  <c r="G81" i="3"/>
  <c r="F81" i="3"/>
  <c r="G53" i="3"/>
  <c r="F53" i="3"/>
  <c r="G26" i="3"/>
  <c r="F26" i="3"/>
  <c r="G25" i="3"/>
  <c r="F25" i="3"/>
  <c r="G23" i="3"/>
  <c r="F182" i="3"/>
  <c r="F181" i="3"/>
  <c r="F171" i="3"/>
  <c r="J166" i="3"/>
  <c r="E166" i="3"/>
  <c r="O133" i="3"/>
  <c r="O132" i="3"/>
  <c r="K132" i="3"/>
  <c r="F106" i="3"/>
  <c r="F105" i="3"/>
  <c r="G104" i="3"/>
  <c r="F104" i="3"/>
  <c r="G100" i="3"/>
  <c r="F100" i="3"/>
  <c r="F78" i="3"/>
  <c r="G66" i="3"/>
  <c r="F66" i="3"/>
  <c r="G63" i="3"/>
  <c r="F63" i="3"/>
  <c r="G57" i="3"/>
  <c r="F57" i="3"/>
  <c r="G55" i="3"/>
  <c r="F45" i="3"/>
  <c r="J43" i="3"/>
  <c r="F43" i="3"/>
  <c r="F38" i="3"/>
  <c r="F36" i="3"/>
  <c r="F29" i="3"/>
  <c r="F24" i="3"/>
  <c r="P166" i="3" l="1"/>
  <c r="O126" i="3"/>
  <c r="K126" i="3"/>
  <c r="G102" i="3"/>
  <c r="O155" i="3" l="1"/>
  <c r="K155" i="3"/>
  <c r="J30" i="3" l="1"/>
  <c r="G196" i="3" l="1"/>
  <c r="H196" i="3"/>
  <c r="K196" i="3"/>
  <c r="M196" i="3"/>
  <c r="N196" i="3"/>
  <c r="E173" i="3"/>
  <c r="K200" i="3"/>
  <c r="L200" i="3"/>
  <c r="M200" i="3"/>
  <c r="N200" i="3"/>
  <c r="O200" i="3"/>
  <c r="G200" i="3"/>
  <c r="H200" i="3"/>
  <c r="I200" i="3"/>
  <c r="H137" i="3"/>
  <c r="I137" i="3"/>
  <c r="L137" i="3"/>
  <c r="M137" i="3"/>
  <c r="N137" i="3"/>
  <c r="E158" i="3"/>
  <c r="O180" i="3"/>
  <c r="K180" i="3"/>
  <c r="I165" i="3"/>
  <c r="I161" i="3" s="1"/>
  <c r="L133" i="3"/>
  <c r="L116" i="3" s="1"/>
  <c r="I131" i="3"/>
  <c r="M116" i="3"/>
  <c r="N116" i="3"/>
  <c r="H116" i="3"/>
  <c r="I196" i="3" l="1"/>
  <c r="I125" i="3"/>
  <c r="F88" i="3" l="1"/>
  <c r="F87" i="3"/>
  <c r="H56" i="3"/>
  <c r="F56" i="3"/>
  <c r="L50" i="3"/>
  <c r="F30" i="3"/>
  <c r="F37" i="3"/>
  <c r="H25" i="3"/>
  <c r="O25" i="3"/>
  <c r="K25" i="3"/>
  <c r="H26" i="3"/>
  <c r="O26" i="3"/>
  <c r="K26" i="3"/>
  <c r="O24" i="3"/>
  <c r="K24" i="3"/>
  <c r="J132" i="3" l="1"/>
  <c r="H24" i="3" l="1"/>
  <c r="F35" i="3" l="1"/>
  <c r="L172" i="3"/>
  <c r="L196" i="3" s="1"/>
  <c r="J25" i="3"/>
  <c r="G60" i="3"/>
  <c r="F60" i="3"/>
  <c r="G87" i="3" l="1"/>
  <c r="K108" i="3" l="1"/>
  <c r="K107" i="3" s="1"/>
  <c r="O108" i="3"/>
  <c r="O107" i="3" s="1"/>
  <c r="K199" i="3"/>
  <c r="L199" i="3"/>
  <c r="M199" i="3"/>
  <c r="N199" i="3"/>
  <c r="G170" i="3"/>
  <c r="F170" i="3"/>
  <c r="G137" i="3"/>
  <c r="G116" i="3"/>
  <c r="G24" i="3"/>
  <c r="F159" i="3"/>
  <c r="F200" i="3" s="1"/>
  <c r="J156" i="3"/>
  <c r="P156" i="3" s="1"/>
  <c r="O142" i="3"/>
  <c r="K142" i="3"/>
  <c r="I121" i="3"/>
  <c r="G103" i="3"/>
  <c r="F103" i="3"/>
  <c r="J109" i="3"/>
  <c r="J108" i="3" s="1"/>
  <c r="J107" i="3" s="1"/>
  <c r="F95" i="3"/>
  <c r="F94" i="3"/>
  <c r="F90" i="3"/>
  <c r="O68" i="3"/>
  <c r="K68" i="3"/>
  <c r="E68" i="3"/>
  <c r="G56" i="3"/>
  <c r="O48" i="3"/>
  <c r="K48" i="3"/>
  <c r="G46" i="3"/>
  <c r="F46" i="3"/>
  <c r="F32" i="3"/>
  <c r="F137" i="3" l="1"/>
  <c r="O182" i="3"/>
  <c r="E183" i="3"/>
  <c r="P183" i="3" s="1"/>
  <c r="F175" i="3" l="1"/>
  <c r="F177" i="3" l="1"/>
  <c r="J159" i="3"/>
  <c r="E159" i="3"/>
  <c r="J135" i="3"/>
  <c r="J200" i="3" s="1"/>
  <c r="E135" i="3"/>
  <c r="F77" i="3"/>
  <c r="G75" i="3"/>
  <c r="F75" i="3"/>
  <c r="G74" i="3"/>
  <c r="F74" i="3"/>
  <c r="F64" i="3"/>
  <c r="F61" i="3"/>
  <c r="F28" i="3"/>
  <c r="P135" i="3" l="1"/>
  <c r="P159" i="3"/>
  <c r="G72" i="3"/>
  <c r="G71" i="3"/>
  <c r="O189" i="3" l="1"/>
  <c r="G189" i="3"/>
  <c r="O80" i="3"/>
  <c r="G80" i="3"/>
  <c r="N52" i="3"/>
  <c r="M52" i="3"/>
  <c r="L52" i="3"/>
  <c r="I52" i="3"/>
  <c r="O23" i="3" l="1"/>
  <c r="O22" i="3" s="1"/>
  <c r="J22" i="3" s="1"/>
  <c r="K23" i="3"/>
  <c r="K22" i="3" s="1"/>
  <c r="I198" i="3" l="1"/>
  <c r="K198" i="3"/>
  <c r="L198" i="3"/>
  <c r="M198" i="3"/>
  <c r="N198" i="3"/>
  <c r="O198" i="3"/>
  <c r="O138" i="3"/>
  <c r="K138" i="3"/>
  <c r="F128" i="3" l="1"/>
  <c r="F116" i="3" s="1"/>
  <c r="I122" i="3"/>
  <c r="L97" i="3"/>
  <c r="M97" i="3"/>
  <c r="O97" i="3"/>
  <c r="K97" i="3"/>
  <c r="H97" i="3"/>
  <c r="J106" i="3"/>
  <c r="E106" i="3"/>
  <c r="H88" i="3"/>
  <c r="H189" i="3" s="1"/>
  <c r="H81" i="3"/>
  <c r="J78" i="3"/>
  <c r="F76" i="3"/>
  <c r="H64" i="3"/>
  <c r="H61" i="3"/>
  <c r="O56" i="3"/>
  <c r="K56" i="3"/>
  <c r="H55" i="3"/>
  <c r="H53" i="3"/>
  <c r="F48" i="3"/>
  <c r="F39" i="3"/>
  <c r="F196" i="3" s="1"/>
  <c r="H23" i="3"/>
  <c r="H80" i="3" l="1"/>
  <c r="H52" i="3"/>
  <c r="P106" i="3"/>
  <c r="G97" i="3"/>
  <c r="F97" i="3"/>
  <c r="I194" i="3" l="1"/>
  <c r="I116" i="3"/>
  <c r="E134" i="3" l="1"/>
  <c r="E200" i="3" s="1"/>
  <c r="P200" i="3" s="1"/>
  <c r="P134" i="3" l="1"/>
  <c r="K71" i="3"/>
  <c r="O71" i="3"/>
  <c r="O72" i="3"/>
  <c r="K72" i="3"/>
  <c r="F71" i="3"/>
  <c r="F72" i="3"/>
  <c r="F47" i="3" l="1"/>
  <c r="I192" i="3" l="1"/>
  <c r="O141" i="3" l="1"/>
  <c r="K141" i="3"/>
  <c r="E78" i="3"/>
  <c r="P78" i="3" s="1"/>
  <c r="F54" i="3"/>
  <c r="G198" i="3"/>
  <c r="K195" i="3" l="1"/>
  <c r="O195" i="3"/>
  <c r="K96" i="3"/>
  <c r="M51" i="3"/>
  <c r="N51" i="3"/>
  <c r="I51" i="3"/>
  <c r="M21" i="3"/>
  <c r="M20" i="3" s="1"/>
  <c r="N21" i="3"/>
  <c r="N20" i="3" s="1"/>
  <c r="I21" i="3"/>
  <c r="I20" i="3" s="1"/>
  <c r="L136" i="3"/>
  <c r="M136" i="3"/>
  <c r="N136" i="3"/>
  <c r="H136" i="3"/>
  <c r="I136" i="3"/>
  <c r="J152" i="3"/>
  <c r="P152" i="3" s="1"/>
  <c r="F195" i="3" l="1"/>
  <c r="E94" i="3"/>
  <c r="P94" i="3" s="1"/>
  <c r="F85" i="3"/>
  <c r="F80" i="3" s="1"/>
  <c r="E171" i="3" l="1"/>
  <c r="J155" i="3" l="1"/>
  <c r="E155" i="3"/>
  <c r="P155" i="3" l="1"/>
  <c r="O178" i="3" l="1"/>
  <c r="K182" i="3"/>
  <c r="K178" i="3" s="1"/>
  <c r="K169" i="3" s="1"/>
  <c r="K41" i="3"/>
  <c r="K197" i="3" s="1"/>
  <c r="O41" i="3"/>
  <c r="O197" i="3" s="1"/>
  <c r="K21" i="3" l="1"/>
  <c r="J178" i="3"/>
  <c r="O169" i="3"/>
  <c r="G64" i="3"/>
  <c r="G61" i="3"/>
  <c r="J42" i="3"/>
  <c r="J41" i="3" s="1"/>
  <c r="J197" i="3" s="1"/>
  <c r="N204" i="3" l="1"/>
  <c r="N212" i="3" s="1"/>
  <c r="L169" i="3"/>
  <c r="L168" i="3" s="1"/>
  <c r="E182" i="3" l="1"/>
  <c r="J182" i="3"/>
  <c r="P182" i="3" l="1"/>
  <c r="G67" i="3" l="1"/>
  <c r="F67" i="3"/>
  <c r="J180" i="3" l="1"/>
  <c r="F180" i="3"/>
  <c r="F178" i="3" s="1"/>
  <c r="O168" i="3" l="1"/>
  <c r="O203" i="3"/>
  <c r="J203" i="3" s="1"/>
  <c r="K203" i="3"/>
  <c r="J172" i="3"/>
  <c r="P172" i="3" s="1"/>
  <c r="E121" i="3"/>
  <c r="G59" i="3"/>
  <c r="F59" i="3"/>
  <c r="G58" i="3"/>
  <c r="F58" i="3"/>
  <c r="O149" i="3"/>
  <c r="K149" i="3"/>
  <c r="J151" i="3"/>
  <c r="E178" i="3" l="1"/>
  <c r="P151" i="3"/>
  <c r="J195" i="3"/>
  <c r="E167" i="3"/>
  <c r="P167" i="3" s="1"/>
  <c r="F49" i="3"/>
  <c r="F198" i="3" s="1"/>
  <c r="O154" i="3" l="1"/>
  <c r="O196" i="3"/>
  <c r="E181" i="3" l="1"/>
  <c r="P181" i="3" s="1"/>
  <c r="E132" i="3"/>
  <c r="P132" i="3" s="1"/>
  <c r="G70" i="3"/>
  <c r="J48" i="3"/>
  <c r="F41" i="3"/>
  <c r="F197" i="3" s="1"/>
  <c r="E42" i="3"/>
  <c r="P42" i="3" s="1"/>
  <c r="E43" i="3"/>
  <c r="P43" i="3" s="1"/>
  <c r="E44" i="3"/>
  <c r="P44" i="3" s="1"/>
  <c r="E45" i="3"/>
  <c r="P45" i="3" s="1"/>
  <c r="E41" i="3" l="1"/>
  <c r="E197" i="3" s="1"/>
  <c r="G187" i="3"/>
  <c r="H187" i="3"/>
  <c r="L187" i="3"/>
  <c r="M187" i="3"/>
  <c r="K70" i="3"/>
  <c r="K52" i="3" s="1"/>
  <c r="F70" i="3"/>
  <c r="O70" i="3"/>
  <c r="J72" i="3"/>
  <c r="J71" i="3"/>
  <c r="E72" i="3"/>
  <c r="E71" i="3"/>
  <c r="H46" i="3"/>
  <c r="H198" i="3" s="1"/>
  <c r="J70" i="3" l="1"/>
  <c r="O52" i="3"/>
  <c r="P41" i="3"/>
  <c r="P197" i="3" s="1"/>
  <c r="P72" i="3"/>
  <c r="P71" i="3"/>
  <c r="E70" i="3"/>
  <c r="P70" i="3" l="1"/>
  <c r="E131" i="3"/>
  <c r="P131" i="3" s="1"/>
  <c r="E123" i="3"/>
  <c r="F31" i="3"/>
  <c r="J49" i="3" l="1"/>
  <c r="E49" i="3"/>
  <c r="P49" i="3" l="1"/>
  <c r="F202" i="3"/>
  <c r="F203" i="3" l="1"/>
  <c r="F201" i="3"/>
  <c r="I204" i="3"/>
  <c r="I212" i="3" s="1"/>
  <c r="H191" i="3"/>
  <c r="G191" i="3"/>
  <c r="O190" i="3"/>
  <c r="M190" i="3"/>
  <c r="M204" i="3" s="1"/>
  <c r="M212" i="3" s="1"/>
  <c r="L190" i="3"/>
  <c r="H190" i="3"/>
  <c r="G190" i="3"/>
  <c r="F190" i="3"/>
  <c r="O188" i="3"/>
  <c r="K188" i="3"/>
  <c r="L186" i="3"/>
  <c r="E180" i="3"/>
  <c r="P180" i="3" s="1"/>
  <c r="P178" i="3"/>
  <c r="E177" i="3"/>
  <c r="P177" i="3" s="1"/>
  <c r="E175" i="3"/>
  <c r="E202" i="3" s="1"/>
  <c r="P202" i="3" s="1"/>
  <c r="E174" i="3"/>
  <c r="P174" i="3" s="1"/>
  <c r="P173" i="3"/>
  <c r="K168" i="3"/>
  <c r="G169" i="3"/>
  <c r="G168" i="3" s="1"/>
  <c r="E170" i="3"/>
  <c r="E165" i="3"/>
  <c r="P165" i="3" s="1"/>
  <c r="E164" i="3"/>
  <c r="P164" i="3" s="1"/>
  <c r="E163" i="3"/>
  <c r="P163" i="3" s="1"/>
  <c r="G160" i="3"/>
  <c r="F160" i="3"/>
  <c r="J157" i="3"/>
  <c r="P157" i="3" s="1"/>
  <c r="J154" i="3"/>
  <c r="J153" i="3"/>
  <c r="P153" i="3" s="1"/>
  <c r="J150" i="3"/>
  <c r="P150" i="3" s="1"/>
  <c r="J149" i="3"/>
  <c r="E149" i="3"/>
  <c r="J148" i="3"/>
  <c r="P148" i="3" s="1"/>
  <c r="O147" i="3"/>
  <c r="J147" i="3" s="1"/>
  <c r="P147" i="3" s="1"/>
  <c r="K147" i="3"/>
  <c r="J146" i="3"/>
  <c r="P146" i="3" s="1"/>
  <c r="O145" i="3"/>
  <c r="K145" i="3"/>
  <c r="K144" i="3"/>
  <c r="J144" i="3"/>
  <c r="P144" i="3" s="1"/>
  <c r="J143" i="3"/>
  <c r="P143" i="3" s="1"/>
  <c r="J141" i="3"/>
  <c r="J188" i="3" s="1"/>
  <c r="E140" i="3"/>
  <c r="P140" i="3" s="1"/>
  <c r="E139" i="3"/>
  <c r="P139" i="3" s="1"/>
  <c r="J138" i="3"/>
  <c r="J130" i="3"/>
  <c r="J129" i="3"/>
  <c r="E128" i="3"/>
  <c r="E195" i="3" s="1"/>
  <c r="O127" i="3"/>
  <c r="J127" i="3" s="1"/>
  <c r="P127" i="3" s="1"/>
  <c r="K127" i="3"/>
  <c r="J126" i="3"/>
  <c r="E126" i="3"/>
  <c r="E125" i="3"/>
  <c r="O124" i="3"/>
  <c r="J124" i="3" s="1"/>
  <c r="K124" i="3"/>
  <c r="E124" i="3"/>
  <c r="O123" i="3"/>
  <c r="K123" i="3"/>
  <c r="E122" i="3"/>
  <c r="P122" i="3" s="1"/>
  <c r="J121" i="3"/>
  <c r="E120" i="3"/>
  <c r="P120" i="3" s="1"/>
  <c r="E119" i="3"/>
  <c r="P119" i="3" s="1"/>
  <c r="E118" i="3"/>
  <c r="P118" i="3" s="1"/>
  <c r="G115" i="3"/>
  <c r="F115" i="3"/>
  <c r="L115" i="3"/>
  <c r="I115" i="3"/>
  <c r="E114" i="3"/>
  <c r="P114" i="3" s="1"/>
  <c r="E113" i="3"/>
  <c r="P113" i="3" s="1"/>
  <c r="F112" i="3"/>
  <c r="F191" i="3" s="1"/>
  <c r="F111" i="3"/>
  <c r="E110" i="3"/>
  <c r="P110" i="3" s="1"/>
  <c r="G108" i="3"/>
  <c r="G107" i="3" s="1"/>
  <c r="E109" i="3"/>
  <c r="P109" i="3" s="1"/>
  <c r="E105" i="3"/>
  <c r="P105" i="3" s="1"/>
  <c r="E104" i="3"/>
  <c r="P104" i="3" s="1"/>
  <c r="J103" i="3"/>
  <c r="E103" i="3"/>
  <c r="J102" i="3"/>
  <c r="E102" i="3"/>
  <c r="J101" i="3"/>
  <c r="E101" i="3"/>
  <c r="J100" i="3"/>
  <c r="E100" i="3"/>
  <c r="E99" i="3"/>
  <c r="P99" i="3" s="1"/>
  <c r="G96" i="3"/>
  <c r="O96" i="3"/>
  <c r="M96" i="3"/>
  <c r="H96" i="3"/>
  <c r="N210" i="3"/>
  <c r="L96" i="3"/>
  <c r="E95" i="3"/>
  <c r="E93" i="3"/>
  <c r="P93" i="3" s="1"/>
  <c r="E92" i="3"/>
  <c r="P92" i="3" s="1"/>
  <c r="E91" i="3"/>
  <c r="P91" i="3" s="1"/>
  <c r="E90" i="3"/>
  <c r="P90" i="3" s="1"/>
  <c r="E89" i="3"/>
  <c r="P89" i="3" s="1"/>
  <c r="E88" i="3"/>
  <c r="P88" i="3" s="1"/>
  <c r="J87" i="3"/>
  <c r="J189" i="3" s="1"/>
  <c r="E87" i="3"/>
  <c r="E86" i="3"/>
  <c r="P86" i="3" s="1"/>
  <c r="E85" i="3"/>
  <c r="P85" i="3" s="1"/>
  <c r="E84" i="3"/>
  <c r="P84" i="3" s="1"/>
  <c r="E83" i="3"/>
  <c r="P83" i="3" s="1"/>
  <c r="E82" i="3"/>
  <c r="P82" i="3" s="1"/>
  <c r="F79" i="3"/>
  <c r="E79" i="3" s="1"/>
  <c r="O79" i="3"/>
  <c r="J79" i="3" s="1"/>
  <c r="H79" i="3"/>
  <c r="E77" i="3"/>
  <c r="P77" i="3" s="1"/>
  <c r="E76" i="3"/>
  <c r="P76" i="3" s="1"/>
  <c r="E75" i="3"/>
  <c r="P75" i="3" s="1"/>
  <c r="E74" i="3"/>
  <c r="P74" i="3" s="1"/>
  <c r="F73" i="3"/>
  <c r="F52" i="3" s="1"/>
  <c r="J69" i="3"/>
  <c r="P69" i="3" s="1"/>
  <c r="J68" i="3"/>
  <c r="P68" i="3" s="1"/>
  <c r="E67" i="3"/>
  <c r="P67" i="3" s="1"/>
  <c r="E66" i="3"/>
  <c r="P66" i="3" s="1"/>
  <c r="E65" i="3"/>
  <c r="P65" i="3" s="1"/>
  <c r="J64" i="3"/>
  <c r="E64" i="3"/>
  <c r="E63" i="3"/>
  <c r="P63" i="3" s="1"/>
  <c r="E62" i="3"/>
  <c r="P62" i="3" s="1"/>
  <c r="J61" i="3"/>
  <c r="E61" i="3"/>
  <c r="E60" i="3"/>
  <c r="P60" i="3" s="1"/>
  <c r="E59" i="3"/>
  <c r="P59" i="3" s="1"/>
  <c r="E58" i="3"/>
  <c r="P58" i="3" s="1"/>
  <c r="E57" i="3"/>
  <c r="P57" i="3" s="1"/>
  <c r="E56" i="3"/>
  <c r="J55" i="3"/>
  <c r="E55" i="3"/>
  <c r="E54" i="3"/>
  <c r="P54" i="3" s="1"/>
  <c r="G52" i="3"/>
  <c r="L51" i="3"/>
  <c r="H51" i="3"/>
  <c r="L21" i="3"/>
  <c r="L20" i="3" s="1"/>
  <c r="E48" i="3"/>
  <c r="P48" i="3" s="1"/>
  <c r="J47" i="3"/>
  <c r="E47" i="3"/>
  <c r="E46" i="3"/>
  <c r="E40" i="3"/>
  <c r="P40" i="3" s="1"/>
  <c r="E39" i="3"/>
  <c r="E38" i="3"/>
  <c r="P38" i="3" s="1"/>
  <c r="E37" i="3"/>
  <c r="P37" i="3" s="1"/>
  <c r="E36" i="3"/>
  <c r="P36" i="3" s="1"/>
  <c r="F192" i="3"/>
  <c r="F34" i="3"/>
  <c r="F189" i="3" s="1"/>
  <c r="E33" i="3"/>
  <c r="E32" i="3"/>
  <c r="P32" i="3" s="1"/>
  <c r="E31" i="3"/>
  <c r="P31" i="3" s="1"/>
  <c r="F188" i="3"/>
  <c r="E29" i="3"/>
  <c r="P29" i="3" s="1"/>
  <c r="E28" i="3"/>
  <c r="P28" i="3" s="1"/>
  <c r="E27" i="3"/>
  <c r="P27" i="3" s="1"/>
  <c r="J26" i="3"/>
  <c r="E26" i="3"/>
  <c r="E25" i="3"/>
  <c r="P25" i="3" s="1"/>
  <c r="J24" i="3"/>
  <c r="E24" i="3"/>
  <c r="J23" i="3"/>
  <c r="E23" i="3"/>
  <c r="O21" i="3"/>
  <c r="O20" i="3" s="1"/>
  <c r="K20" i="3"/>
  <c r="O116" i="3" l="1"/>
  <c r="O137" i="3"/>
  <c r="O136" i="3" s="1"/>
  <c r="J136" i="3" s="1"/>
  <c r="K137" i="3"/>
  <c r="J196" i="3"/>
  <c r="E196" i="3"/>
  <c r="J198" i="3"/>
  <c r="K194" i="3"/>
  <c r="J123" i="3"/>
  <c r="P123" i="3" s="1"/>
  <c r="K116" i="3"/>
  <c r="K115" i="3" s="1"/>
  <c r="J133" i="3"/>
  <c r="O199" i="3"/>
  <c r="P138" i="3"/>
  <c r="J186" i="3"/>
  <c r="J145" i="3"/>
  <c r="P145" i="3" s="1"/>
  <c r="P121" i="3"/>
  <c r="F187" i="3"/>
  <c r="J50" i="3"/>
  <c r="J21" i="3" s="1"/>
  <c r="E198" i="3"/>
  <c r="K192" i="3"/>
  <c r="E161" i="3"/>
  <c r="P161" i="3" s="1"/>
  <c r="E34" i="3"/>
  <c r="P34" i="3" s="1"/>
  <c r="E98" i="3"/>
  <c r="P98" i="3" s="1"/>
  <c r="E30" i="3"/>
  <c r="P30" i="3" s="1"/>
  <c r="E35" i="3"/>
  <c r="P35" i="3" s="1"/>
  <c r="F108" i="3"/>
  <c r="E108" i="3" s="1"/>
  <c r="P108" i="3" s="1"/>
  <c r="E169" i="3"/>
  <c r="E162" i="3"/>
  <c r="P162" i="3" s="1"/>
  <c r="F169" i="3"/>
  <c r="F168" i="3" s="1"/>
  <c r="G51" i="3"/>
  <c r="E137" i="3"/>
  <c r="G22" i="3"/>
  <c r="G21" i="3" s="1"/>
  <c r="G20" i="3" s="1"/>
  <c r="E81" i="3"/>
  <c r="P81" i="3" s="1"/>
  <c r="G136" i="3"/>
  <c r="F22" i="3"/>
  <c r="F21" i="3" s="1"/>
  <c r="F20" i="3" s="1"/>
  <c r="E20" i="3" s="1"/>
  <c r="G79" i="3"/>
  <c r="E111" i="3"/>
  <c r="P111" i="3" s="1"/>
  <c r="O194" i="3"/>
  <c r="K136" i="3"/>
  <c r="H22" i="3"/>
  <c r="E112" i="3"/>
  <c r="E191" i="3" s="1"/>
  <c r="P191" i="3" s="1"/>
  <c r="O192" i="3"/>
  <c r="E53" i="3"/>
  <c r="P53" i="3" s="1"/>
  <c r="J56" i="3"/>
  <c r="P56" i="3" s="1"/>
  <c r="P141" i="3"/>
  <c r="P95" i="3"/>
  <c r="E97" i="3"/>
  <c r="F96" i="3"/>
  <c r="E96" i="3" s="1"/>
  <c r="E73" i="3"/>
  <c r="P73" i="3" s="1"/>
  <c r="L204" i="3"/>
  <c r="L212" i="3" s="1"/>
  <c r="K51" i="3"/>
  <c r="K187" i="3"/>
  <c r="P87" i="3"/>
  <c r="E117" i="3"/>
  <c r="P117" i="3" s="1"/>
  <c r="K186" i="3"/>
  <c r="E201" i="3"/>
  <c r="P201" i="3" s="1"/>
  <c r="O187" i="3"/>
  <c r="J142" i="3"/>
  <c r="P142" i="3" s="1"/>
  <c r="O186" i="3"/>
  <c r="P129" i="3"/>
  <c r="P175" i="3"/>
  <c r="P126" i="3"/>
  <c r="E203" i="3"/>
  <c r="P203" i="3" s="1"/>
  <c r="P149" i="3"/>
  <c r="P194" i="3" s="1"/>
  <c r="P103" i="3"/>
  <c r="P100" i="3"/>
  <c r="P130" i="3"/>
  <c r="E80" i="3"/>
  <c r="P39" i="3"/>
  <c r="P26" i="3"/>
  <c r="P47" i="3"/>
  <c r="P23" i="3"/>
  <c r="P24" i="3"/>
  <c r="P79" i="3"/>
  <c r="E115" i="3"/>
  <c r="J20" i="3"/>
  <c r="E194" i="3"/>
  <c r="P61" i="3"/>
  <c r="E190" i="3"/>
  <c r="J194" i="3"/>
  <c r="P55" i="3"/>
  <c r="P101" i="3"/>
  <c r="P124" i="3"/>
  <c r="J169" i="3"/>
  <c r="M184" i="3"/>
  <c r="J168" i="3"/>
  <c r="P193" i="3"/>
  <c r="P154" i="3"/>
  <c r="P128" i="3"/>
  <c r="P195" i="3" s="1"/>
  <c r="O115" i="3"/>
  <c r="J115" i="3" s="1"/>
  <c r="P170" i="3"/>
  <c r="I160" i="3"/>
  <c r="E160" i="3" s="1"/>
  <c r="P160" i="3" s="1"/>
  <c r="P125" i="3"/>
  <c r="E116" i="3"/>
  <c r="J96" i="3"/>
  <c r="J190" i="3"/>
  <c r="P102" i="3"/>
  <c r="J97" i="3"/>
  <c r="J80" i="3"/>
  <c r="P64" i="3"/>
  <c r="L184" i="3"/>
  <c r="P46" i="3"/>
  <c r="P33" i="3"/>
  <c r="P196" i="3" l="1"/>
  <c r="P133" i="3"/>
  <c r="J116" i="3"/>
  <c r="P116" i="3" s="1"/>
  <c r="P50" i="3"/>
  <c r="J199" i="3"/>
  <c r="P199" i="3" s="1"/>
  <c r="H21" i="3"/>
  <c r="H20" i="3" s="1"/>
  <c r="H184" i="3" s="1"/>
  <c r="H186" i="3"/>
  <c r="H204" i="3" s="1"/>
  <c r="H212" i="3" s="1"/>
  <c r="E188" i="3"/>
  <c r="P188" i="3" s="1"/>
  <c r="J187" i="3"/>
  <c r="E189" i="3"/>
  <c r="P189" i="3" s="1"/>
  <c r="P198" i="3"/>
  <c r="F107" i="3"/>
  <c r="E107" i="3" s="1"/>
  <c r="P107" i="3" s="1"/>
  <c r="P112" i="3"/>
  <c r="K204" i="3"/>
  <c r="K212" i="3" s="1"/>
  <c r="E192" i="3"/>
  <c r="G186" i="3"/>
  <c r="G204" i="3" s="1"/>
  <c r="G212" i="3" s="1"/>
  <c r="F186" i="3"/>
  <c r="F204" i="3" s="1"/>
  <c r="F212" i="3" s="1"/>
  <c r="E22" i="3"/>
  <c r="P22" i="3" s="1"/>
  <c r="F136" i="3"/>
  <c r="E136" i="3" s="1"/>
  <c r="P136" i="3" s="1"/>
  <c r="K184" i="3"/>
  <c r="G184" i="3"/>
  <c r="J137" i="3"/>
  <c r="E187" i="3"/>
  <c r="P96" i="3"/>
  <c r="P97" i="3"/>
  <c r="J192" i="3"/>
  <c r="E21" i="3"/>
  <c r="J52" i="3"/>
  <c r="O51" i="3"/>
  <c r="O204" i="3"/>
  <c r="O212" i="3" s="1"/>
  <c r="E52" i="3"/>
  <c r="F51" i="3"/>
  <c r="P169" i="3"/>
  <c r="P80" i="3"/>
  <c r="M210" i="3"/>
  <c r="P187" i="3"/>
  <c r="P20" i="3"/>
  <c r="P171" i="3"/>
  <c r="P192" i="3"/>
  <c r="P115" i="3"/>
  <c r="P190" i="3"/>
  <c r="P137" i="3"/>
  <c r="I184" i="3"/>
  <c r="I210" i="3" s="1"/>
  <c r="L210" i="3"/>
  <c r="J204" i="3" l="1"/>
  <c r="J212" i="3" s="1"/>
  <c r="P21" i="3"/>
  <c r="K210" i="3"/>
  <c r="G210" i="3"/>
  <c r="P186" i="3"/>
  <c r="E186" i="3"/>
  <c r="E204" i="3" s="1"/>
  <c r="E212" i="3" s="1"/>
  <c r="H210" i="3"/>
  <c r="P52" i="3"/>
  <c r="E168" i="3"/>
  <c r="P168" i="3" s="1"/>
  <c r="E51" i="3"/>
  <c r="E184" i="3" s="1"/>
  <c r="F184" i="3"/>
  <c r="F210" i="3" s="1"/>
  <c r="J51" i="3"/>
  <c r="O184" i="3"/>
  <c r="O210" i="3" s="1"/>
  <c r="P204" i="3" l="1"/>
  <c r="P212" i="3" s="1"/>
  <c r="E210" i="3"/>
  <c r="P51" i="3"/>
  <c r="J184" i="3"/>
  <c r="J210" i="3" s="1"/>
  <c r="P184" i="3" l="1"/>
  <c r="P210" i="3" s="1"/>
</calcChain>
</file>

<file path=xl/sharedStrings.xml><?xml version="1.0" encoding="utf-8"?>
<sst xmlns="http://schemas.openxmlformats.org/spreadsheetml/2006/main" count="604" uniqueCount="377">
  <si>
    <t>РОЗПОДІЛ</t>
  </si>
  <si>
    <t>15589000000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</si>
  <si>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</si>
  <si>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</si>
  <si>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</si>
  <si>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</si>
  <si>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</si>
  <si>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</si>
  <si>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</si>
  <si>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</si>
  <si>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</si>
  <si>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</si>
  <si>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</si>
  <si>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</si>
  <si>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</si>
  <si>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</si>
  <si>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</si>
  <si>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</si>
  <si>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</si>
  <si>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</si>
  <si>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</si>
  <si>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</si>
  <si>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</si>
  <si>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</si>
  <si>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</si>
  <si>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</si>
  <si>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</si>
  <si>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</si>
  <si>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</si>
  <si>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</si>
  <si>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</si>
  <si>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</si>
  <si>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</si>
  <si>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</si>
  <si>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</si>
  <si>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</si>
  <si>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</si>
  <si>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</si>
  <si>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</si>
  <si>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</si>
  <si>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</si>
  <si>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</si>
  <si>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</si>
  <si>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</si>
  <si>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здоров`я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</si>
  <si>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</si>
  <si>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</si>
  <si>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</si>
  <si>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</si>
  <si>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</si>
  <si>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</si>
  <si>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</si>
  <si>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</si>
  <si>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</si>
  <si>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</si>
  <si>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</si>
  <si>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</si>
  <si>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0217640</t>
  </si>
  <si>
    <t>7640</t>
  </si>
  <si>
    <t>0470</t>
  </si>
  <si>
    <t>Заходи з енергозбереження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</si>
  <si>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</si>
  <si>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</si>
  <si>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</si>
  <si>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</si>
  <si>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</si>
  <si>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</si>
  <si>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</si>
  <si>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</si>
  <si>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</si>
  <si>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</si>
  <si>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</si>
  <si>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</si>
  <si>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</si>
  <si>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</si>
  <si>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</si>
  <si>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</si>
  <si>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</si>
  <si>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</si>
  <si>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</si>
  <si>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</si>
  <si>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</si>
  <si>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</si>
  <si>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</si>
  <si>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</si>
  <si>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</si>
  <si>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</si>
  <si>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</si>
  <si>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</si>
  <si>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</si>
  <si>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</si>
  <si>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</si>
  <si>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</si>
  <si>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</si>
  <si>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</si>
  <si>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</si>
  <si>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</si>
  <si>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</si>
  <si>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</si>
  <si>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</si>
  <si>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</si>
  <si>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</si>
  <si>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</si>
  <si>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</si>
  <si>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</si>
  <si>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</si>
  <si>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</si>
  <si>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</si>
  <si>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</si>
  <si>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</si>
  <si>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</si>
  <si>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</si>
  <si>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</si>
  <si>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</si>
  <si>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</si>
  <si>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</si>
  <si>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</si>
  <si>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</si>
  <si>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</si>
  <si>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</si>
  <si>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</si>
  <si>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</si>
  <si>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</si>
  <si>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</si>
  <si>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</si>
  <si>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</si>
  <si>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</si>
  <si>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</si>
  <si>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</si>
  <si>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</si>
  <si>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</si>
  <si>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</si>
  <si>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</si>
  <si>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</si>
  <si>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</si>
  <si>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</si>
  <si>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</si>
  <si>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</si>
  <si>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</si>
  <si>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</si>
  <si>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</si>
  <si>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</si>
  <si>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</si>
  <si>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</si>
  <si>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</si>
  <si>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</si>
  <si>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</si>
  <si>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</si>
  <si>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</si>
  <si>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</si>
  <si>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</si>
  <si>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</si>
  <si>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</si>
  <si>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</si>
  <si>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</si>
  <si>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</si>
  <si>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</si>
  <si>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</si>
  <si>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</si>
  <si>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</si>
  <si>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</si>
  <si>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</si>
  <si>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</si>
  <si>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</si>
  <si>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</si>
  <si>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</si>
  <si>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</si>
  <si>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</si>
  <si>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</si>
  <si>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</si>
  <si>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</si>
  <si>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</si>
  <si>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</si>
  <si>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</si>
  <si>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</si>
  <si>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</si>
  <si>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</si>
  <si>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</si>
  <si>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</si>
  <si>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</si>
  <si>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</si>
  <si>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</si>
  <si>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</si>
  <si>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</si>
  <si>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</si>
  <si>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</si>
  <si>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</si>
  <si>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</si>
  <si>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</si>
  <si>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</si>
  <si>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</si>
  <si>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</si>
  <si>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</si>
  <si>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</si>
  <si>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</si>
  <si>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</si>
  <si>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</si>
  <si>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</si>
  <si>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</si>
  <si>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</si>
  <si>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</si>
  <si>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</si>
  <si>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</si>
  <si>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</si>
  <si>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</si>
  <si>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</si>
  <si>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</si>
  <si>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</si>
  <si>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</si>
  <si>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</si>
  <si>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</si>
  <si>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</si>
  <si>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</si>
  <si>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</si>
  <si>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</si>
  <si>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</si>
  <si>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</si>
  <si>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</si>
  <si>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</si>
  <si>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</si>
  <si>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</si>
  <si>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</si>
  <si>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</si>
  <si>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</si>
  <si>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</si>
  <si>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</si>
  <si>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</si>
  <si>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</si>
  <si>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</si>
  <si>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</si>
  <si>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</si>
  <si>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</si>
  <si>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</si>
  <si>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</si>
  <si>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</si>
  <si>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</si>
  <si>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</si>
  <si>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</si>
  <si>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</si>
  <si>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</si>
  <si>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</si>
  <si>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</si>
  <si>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</si>
  <si>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</si>
  <si>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</si>
  <si>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</si>
  <si>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</si>
  <si>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</si>
  <si>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</si>
  <si>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</si>
  <si>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Інші заходи, пов`язані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</si>
  <si>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</si>
  <si>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</si>
  <si>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</si>
  <si>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</si>
  <si>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</si>
  <si>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</si>
  <si>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</si>
  <si>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</si>
  <si>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</si>
  <si>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</si>
  <si>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</si>
  <si>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</si>
  <si>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</si>
  <si>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</si>
  <si>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</si>
  <si>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</si>
  <si>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</si>
  <si>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</si>
  <si>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</si>
  <si>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</si>
  <si>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</si>
  <si>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</si>
  <si>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</si>
  <si>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</si>
  <si>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</si>
  <si>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</si>
  <si>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</si>
  <si>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</si>
  <si>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</si>
  <si>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</si>
  <si>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</si>
  <si>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</si>
  <si>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</si>
  <si>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</si>
  <si>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</si>
  <si>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</si>
  <si>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</si>
  <si>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</si>
  <si>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</si>
  <si>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</si>
  <si>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</si>
  <si>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</si>
  <si>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8700</t>
  </si>
  <si>
    <t>Резервний фонд  місцевого бюджету</t>
  </si>
  <si>
    <t>9100</t>
  </si>
  <si>
    <t>Дотації з місцевого бюджету іншим бюджетам</t>
  </si>
  <si>
    <t>перевірка</t>
  </si>
  <si>
    <t>оплата праці і нарахування на заробітну плату</t>
  </si>
  <si>
    <t>видатків бюджету Чорноморської міської територіальної громади на 2022 рік</t>
  </si>
  <si>
    <t>від 23.12.2021 № 146 - VIII</t>
  </si>
  <si>
    <t>Заходи та роботи з мобілізаційної підготовки місцевого значення</t>
  </si>
  <si>
    <t>0218220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</si>
  <si>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</si>
  <si>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</si>
  <si>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Реалізація інших заходів щодо соціально-економічного розвитку територій</t>
  </si>
  <si>
    <t>0443</t>
  </si>
  <si>
    <t>Будівництво 1 об'єктів житлово-комунального господарства</t>
  </si>
  <si>
    <t>Будівництво 1 інших об'єктів комунальної власності</t>
  </si>
  <si>
    <t>Будівництво 1 освітніх установ та закладів</t>
  </si>
  <si>
    <t>Розвиток мережі центрів надання адміністративних послуг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</si>
  <si>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</si>
  <si>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Субвенція з місцевого бюджету державному бюджету на виконання програм соціально-економічного розвитку регіонів</t>
  </si>
  <si>
    <t>9800</t>
  </si>
  <si>
    <t>0611061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</si>
  <si>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</si>
  <si>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</si>
  <si>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</si>
  <si>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</si>
  <si>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</si>
  <si>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1510150</t>
  </si>
  <si>
    <t>Вiддiл молодi та спорту Чорноморської мiської ради Одеського району Одеської областi</t>
  </si>
  <si>
    <t>Первинна медична допомога населенню, що надається центрами первинної медичної (медико-санітарної) допомоги</t>
  </si>
  <si>
    <t>0212111</t>
  </si>
  <si>
    <t>0726</t>
  </si>
  <si>
    <t>0611171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</si>
  <si>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</si>
  <si>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</si>
  <si>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</si>
  <si>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в т.ч. за програмами:</t>
  </si>
  <si>
    <t>0611154</t>
  </si>
  <si>
    <t>1154</t>
  </si>
  <si>
    <t>Забезпечення діяльності інклюзивно-ресурсних центрів за рахунок залишку коштів за освітньою субвенцією (крім залишку коштів, що мають цільове призначення, виділених відповідно до рішень Кабінету Міністрів України у попередньому бюджетному періоді)</t>
  </si>
  <si>
    <t>Інші субвенції з місцевого бюджету</t>
  </si>
  <si>
    <t xml:space="preserve">Міська цільова програма
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2022 рік       
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</si>
  <si>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</si>
  <si>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</si>
  <si>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"Додаток 3</t>
  </si>
  <si>
    <t>0218240</t>
  </si>
  <si>
    <t>8240</t>
  </si>
  <si>
    <t>Заходи та роботи з територіальної оборони</t>
  </si>
  <si>
    <t>Чорноморської міської ради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</si>
  <si>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</si>
  <si>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</si>
  <si>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</si>
  <si>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</si>
  <si>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(оплата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освіти)</t>
  </si>
  <si>
    <t>Заходи із запобігання та ліквідації надзвичайних ситуацій та наслідків стихійного лиха</t>
  </si>
  <si>
    <t>0218110</t>
  </si>
  <si>
    <t>0320</t>
  </si>
  <si>
    <t>Міська програма протидії злочинності та посилення громадської безпеки на території Чорноморської міської ради Одеської області на 2019-2022 роки</t>
  </si>
  <si>
    <t>8100</t>
  </si>
  <si>
    <t>Захист населення і територій від надзвичайних ситуацій техногенного та природного характеру</t>
  </si>
  <si>
    <t>3118240</t>
  </si>
  <si>
    <t xml:space="preserve"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2022 рік </t>
  </si>
  <si>
    <t>попередній бюджет</t>
  </si>
  <si>
    <t>зміни</t>
  </si>
  <si>
    <t>1518110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</si>
  <si>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</si>
  <si>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</si>
  <si>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Утримання та розвиток автомобільних доріг та дорожньої інфраструктури за рахунок субвенції з державного бюджету</t>
  </si>
  <si>
    <t>0618110</t>
  </si>
  <si>
    <t>0610</t>
  </si>
  <si>
    <t>Заходи із запобігання та ліквідації наслідків надзвичайної ситуації в системах забезпечення населення питною водою за рахунок коштів резервного фонду місцевого бюджету</t>
  </si>
  <si>
    <t>0640</t>
  </si>
  <si>
    <t>Інші заходи за рахунок коштів резервного фонду місцевого бюджету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</si>
  <si>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2022 рік</t>
  </si>
  <si>
    <t>1518311</t>
  </si>
  <si>
    <t>Охорона та раціональне використання природних ресурсів</t>
  </si>
  <si>
    <t>0511</t>
  </si>
  <si>
    <t>Додаток 3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</si>
  <si>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</si>
  <si>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 xml:space="preserve">до рішення </t>
  </si>
  <si>
    <t>Начальник фінансового управління</t>
  </si>
  <si>
    <t>Ольга ЯКОВЕНКО</t>
  </si>
  <si>
    <t>3118110</t>
  </si>
  <si>
    <t>від 02.12.2022 № 266 -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</si>
</sst>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1" fillId="0" borderId="0"/>
    <xf numFmtId="0" fontId="13" fillId="0" borderId="0"/>
    <xf numFmtId="0" fontId="14" fillId="0" borderId="0"/>
  </cellStyleXfs>
  <cellXfs count="58">
    <xf numFmtId="0" fontId="0" fillId="0" borderId="0" xfId="0"/>
    <xf numFmtId="49" fontId="7" fillId="2" borderId="1" xfId="0" applyNumberFormat="1" applyFont="1" applyFill="1" applyBorder="1" applyAlignment="1">
      <alignment horizontal="center"/>
    </xf>
    <xf numFmtId="0" fontId="9" fillId="2" borderId="0" xfId="0" applyFont="1" applyFill="1"/>
    <xf numFmtId="164" fontId="9" fillId="2" borderId="1" xfId="1" applyNumberFormat="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10" fillId="2" borderId="0" xfId="0" applyFont="1" applyFill="1"/>
    <xf numFmtId="49" fontId="7" fillId="2" borderId="1" xfId="0" applyNumberFormat="1" applyFont="1" applyFill="1" applyBorder="1" applyAlignment="1"/>
    <xf numFmtId="0" fontId="7" fillId="2" borderId="1" xfId="0" applyFont="1" applyFill="1" applyBorder="1" applyAlignment="1"/>
    <xf numFmtId="0" fontId="3" fillId="2" borderId="0" xfId="0" applyFont="1" applyFill="1"/>
    <xf numFmtId="0" fontId="5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quotePrefix="1" applyFont="1" applyFill="1" applyBorder="1" applyAlignment="1">
      <alignment vertical="center" wrapText="1"/>
    </xf>
    <xf numFmtId="0" fontId="6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wrapText="1"/>
    </xf>
    <xf numFmtId="0" fontId="12" fillId="2" borderId="1" xfId="1" applyFont="1" applyFill="1" applyBorder="1" applyAlignment="1">
      <alignment wrapText="1"/>
    </xf>
    <xf numFmtId="2" fontId="3" fillId="2" borderId="1" xfId="0" applyNumberFormat="1" applyFont="1" applyFill="1" applyBorder="1" applyAlignment="1">
      <alignment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2" fontId="3" fillId="2" borderId="0" xfId="0" applyNumberFormat="1" applyFont="1" applyFill="1"/>
    <xf numFmtId="1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9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/>
    </xf>
    <xf numFmtId="4" fontId="3" fillId="2" borderId="0" xfId="0" applyNumberFormat="1" applyFont="1" applyFill="1" applyAlignment="1">
      <alignment horizontal="right"/>
    </xf>
    <xf numFmtId="4" fontId="9" fillId="2" borderId="1" xfId="1" applyNumberFormat="1" applyFont="1" applyFill="1" applyBorder="1" applyAlignment="1">
      <alignment horizontal="right"/>
    </xf>
    <xf numFmtId="4" fontId="9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3" fillId="2" borderId="2" xfId="0" quotePrefix="1" applyFont="1" applyFill="1" applyBorder="1" applyAlignment="1">
      <alignment vertical="center" wrapText="1"/>
    </xf>
    <xf numFmtId="4" fontId="3" fillId="2" borderId="0" xfId="0" applyNumberFormat="1" applyFont="1" applyFill="1"/>
    <xf numFmtId="0" fontId="9" fillId="0" borderId="1" xfId="1" applyFont="1" applyFill="1" applyBorder="1" applyAlignment="1">
      <alignment wrapText="1"/>
    </xf>
    <xf numFmtId="49" fontId="12" fillId="0" borderId="1" xfId="2" applyNumberFormat="1" applyFont="1" applyFill="1" applyBorder="1" applyAlignment="1">
      <alignment horizontal="center"/>
    </xf>
    <xf numFmtId="1" fontId="12" fillId="0" borderId="1" xfId="4" applyNumberFormat="1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49" fontId="9" fillId="0" borderId="1" xfId="2" applyNumberFormat="1" applyFont="1" applyFill="1" applyBorder="1" applyAlignment="1">
      <alignment horizontal="left"/>
    </xf>
    <xf numFmtId="0" fontId="6" fillId="0" borderId="1" xfId="0" applyFont="1" applyBorder="1" applyAlignment="1">
      <alignment wrapText="1"/>
    </xf>
    <xf numFmtId="0" fontId="6" fillId="2" borderId="1" xfId="0" quotePrefix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quotePrefix="1" applyFont="1" applyBorder="1" applyAlignment="1">
      <alignment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5">
    <cellStyle name="Звичайний" xfId="0" builtinId="0"/>
    <cellStyle name="Обычный 2" xfId="2" xr:uid="{00000000-0005-0000-0000-000001000000}"/>
    <cellStyle name="Обычный 3" xfId="3" xr:uid="{00000000-0005-0000-0000-000002000000}"/>
    <cellStyle name="Обычный_дод 3" xfId="1" xr:uid="{00000000-0005-0000-0000-000003000000}"/>
    <cellStyle name="Обычный_Лист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4"/>
  <sheetViews>
    <sheetView tabSelected="1" view="pageBreakPreview" zoomScale="58" zoomScaleNormal="58" zoomScaleSheetLayoutView="58" workbookViewId="0">
      <pane xSplit="4" ySplit="19" topLeftCell="E50" activePane="bottomRight" state="frozen"/>
      <selection pane="topRight" activeCell="E1" sqref="E1"/>
      <selection pane="bottomLeft" activeCell="A20" sqref="A20"/>
      <selection pane="bottomRight" activeCell="G5" sqref="G5"/>
    </sheetView>
  </sheetViews>
  <sheetFormatPr defaultColWidth="8.88671875" defaultRowHeight="15.6" x14ac:dyDescent="0.3"/>
  <cols>
    <col min="1" max="3" width="12.109375" style="8" customWidth="1"/>
    <col min="4" max="4" width="37.88671875" style="8" customWidth="1"/>
    <col min="5" max="5" width="18.6640625" style="8" customWidth="1"/>
    <col min="6" max="6" width="18.109375" style="8" customWidth="1"/>
    <col min="7" max="7" width="17" style="8" customWidth="1"/>
    <col min="8" max="8" width="15.6640625" style="8" customWidth="1"/>
    <col min="9" max="9" width="17.44140625" style="8" customWidth="1"/>
    <col min="10" max="11" width="18.6640625" style="8" customWidth="1"/>
    <col min="12" max="12" width="17.109375" style="8" customWidth="1"/>
    <col min="13" max="13" width="16.44140625" style="8" customWidth="1"/>
    <col min="14" max="14" width="16.6640625" style="8" customWidth="1"/>
    <col min="15" max="15" width="17.44140625" style="8" customWidth="1"/>
    <col min="16" max="16" width="20" style="8" customWidth="1"/>
    <col min="17" max="16384" width="8.88671875" style="8"/>
  </cols>
  <sheetData>
    <row r="1" spans="1:16" x14ac:dyDescent="0.3">
      <c r="M1" s="8" t="s">
        <v>370</v>
      </c>
    </row>
    <row r="2" spans="1:16" x14ac:dyDescent="0.3">
      <c r="M2" s="8" t="s">
        <v>372</v>
      </c>
    </row>
    <row r="3" spans="1:16" x14ac:dyDescent="0.3">
      <c r="M3" s="8" t="s">
        <v>341</v>
      </c>
    </row>
    <row r="4" spans="1:16" x14ac:dyDescent="0.3">
      <c r="M4" s="8" t="s">
        <v>265</v>
      </c>
    </row>
    <row r="5" spans="1:16" x14ac:dyDescent="0.3">
      <c r="M5" s="8" t="s">
        <v>376</v>
      </c>
    </row>
    <row r="7" spans="1:16" x14ac:dyDescent="0.3">
      <c r="M7" s="8" t="s">
        <v>337</v>
      </c>
    </row>
    <row r="8" spans="1:16" x14ac:dyDescent="0.3">
      <c r="M8" s="8" t="s">
        <v>264</v>
      </c>
    </row>
    <row r="9" spans="1:16" x14ac:dyDescent="0.3">
      <c r="M9" s="8" t="s">
        <v>265</v>
      </c>
    </row>
    <row r="10" spans="1:16" x14ac:dyDescent="0.3">
      <c r="M10" s="8" t="s">
        <v>300</v>
      </c>
    </row>
    <row r="11" spans="1:16" x14ac:dyDescent="0.3">
      <c r="A11" s="54" t="s">
        <v>0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x14ac:dyDescent="0.3">
      <c r="A12" s="54" t="s">
        <v>299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3">
      <c r="A13" s="9" t="s">
        <v>1</v>
      </c>
    </row>
    <row r="14" spans="1:16" x14ac:dyDescent="0.3">
      <c r="A14" s="8" t="s">
        <v>2</v>
      </c>
      <c r="P14" s="10" t="s">
        <v>3</v>
      </c>
    </row>
    <row r="15" spans="1:16" s="11" customFormat="1" ht="13.2" x14ac:dyDescent="0.25">
      <c r="A15" s="56" t="s">
        <v>4</v>
      </c>
      <c r="B15" s="56" t="s">
        <v>5</v>
      </c>
      <c r="C15" s="56" t="s">
        <v>6</v>
      </c>
      <c r="D15" s="56" t="s">
        <v>7</v>
      </c>
      <c r="E15" s="57" t="s">
        <v>8</v>
      </c>
      <c r="F15" s="57"/>
      <c r="G15" s="57"/>
      <c r="H15" s="57"/>
      <c r="I15" s="57"/>
      <c r="J15" s="57" t="s">
        <v>14</v>
      </c>
      <c r="K15" s="57"/>
      <c r="L15" s="57"/>
      <c r="M15" s="57"/>
      <c r="N15" s="57"/>
      <c r="O15" s="57"/>
      <c r="P15" s="57" t="s">
        <v>16</v>
      </c>
    </row>
    <row r="16" spans="1:16" s="11" customFormat="1" ht="13.2" x14ac:dyDescent="0.25">
      <c r="A16" s="56"/>
      <c r="B16" s="56"/>
      <c r="C16" s="56"/>
      <c r="D16" s="56"/>
      <c r="E16" s="57" t="s">
        <v>9</v>
      </c>
      <c r="F16" s="57" t="s">
        <v>10</v>
      </c>
      <c r="G16" s="57" t="s">
        <v>11</v>
      </c>
      <c r="H16" s="57"/>
      <c r="I16" s="57" t="s">
        <v>13</v>
      </c>
      <c r="J16" s="57" t="s">
        <v>9</v>
      </c>
      <c r="K16" s="57" t="s">
        <v>15</v>
      </c>
      <c r="L16" s="57" t="s">
        <v>10</v>
      </c>
      <c r="M16" s="57" t="s">
        <v>11</v>
      </c>
      <c r="N16" s="57"/>
      <c r="O16" s="57" t="s">
        <v>13</v>
      </c>
      <c r="P16" s="57"/>
    </row>
    <row r="17" spans="1:16" s="11" customFormat="1" ht="13.2" x14ac:dyDescent="0.25">
      <c r="A17" s="56"/>
      <c r="B17" s="56"/>
      <c r="C17" s="56"/>
      <c r="D17" s="56"/>
      <c r="E17" s="57"/>
      <c r="F17" s="57"/>
      <c r="G17" s="57" t="s">
        <v>298</v>
      </c>
      <c r="H17" s="57" t="s">
        <v>12</v>
      </c>
      <c r="I17" s="57"/>
      <c r="J17" s="57"/>
      <c r="K17" s="57"/>
      <c r="L17" s="57"/>
      <c r="M17" s="57" t="s">
        <v>298</v>
      </c>
      <c r="N17" s="57" t="s">
        <v>12</v>
      </c>
      <c r="O17" s="57"/>
      <c r="P17" s="57"/>
    </row>
    <row r="18" spans="1:16" s="11" customFormat="1" ht="44.25" customHeight="1" x14ac:dyDescent="0.25">
      <c r="A18" s="56"/>
      <c r="B18" s="56"/>
      <c r="C18" s="56"/>
      <c r="D18" s="56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</row>
    <row r="19" spans="1:16" x14ac:dyDescent="0.3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</row>
    <row r="20" spans="1:16" ht="62.4" x14ac:dyDescent="0.3">
      <c r="A20" s="13" t="s">
        <v>17</v>
      </c>
      <c r="B20" s="13" t="s">
        <v>18</v>
      </c>
      <c r="C20" s="13" t="s">
        <v>18</v>
      </c>
      <c r="D20" s="14" t="s">
        <v>19</v>
      </c>
      <c r="E20" s="37">
        <f>F20+I20</f>
        <v>148864394</v>
      </c>
      <c r="F20" s="37">
        <f>F21</f>
        <v>148864394</v>
      </c>
      <c r="G20" s="37">
        <f>G21</f>
        <v>63130430</v>
      </c>
      <c r="H20" s="37">
        <f>H21</f>
        <v>4730540</v>
      </c>
      <c r="I20" s="37">
        <f>I21</f>
        <v>0</v>
      </c>
      <c r="J20" s="37">
        <f>L20+O20</f>
        <v>1826079.48</v>
      </c>
      <c r="K20" s="37">
        <f>K21</f>
        <v>1382079.48</v>
      </c>
      <c r="L20" s="37">
        <f>L21</f>
        <v>444000</v>
      </c>
      <c r="M20" s="37">
        <f t="shared" ref="M20:N20" si="0">M21</f>
        <v>0</v>
      </c>
      <c r="N20" s="37">
        <f t="shared" si="0"/>
        <v>0</v>
      </c>
      <c r="O20" s="37">
        <f>O21</f>
        <v>1382079.48</v>
      </c>
      <c r="P20" s="37">
        <f>E20+J20</f>
        <v>150690473.47999999</v>
      </c>
    </row>
    <row r="21" spans="1:16" ht="62.4" x14ac:dyDescent="0.3">
      <c r="A21" s="13" t="s">
        <v>20</v>
      </c>
      <c r="B21" s="13" t="s">
        <v>18</v>
      </c>
      <c r="C21" s="13" t="s">
        <v>18</v>
      </c>
      <c r="D21" s="14" t="s">
        <v>19</v>
      </c>
      <c r="E21" s="37">
        <f>F21+I21</f>
        <v>148864394</v>
      </c>
      <c r="F21" s="37">
        <f>F22+F27+F28+F29+F30+F31+F32+F33+F34+F35+F39+F40+F41+F46+F47+F48+F49+F50</f>
        <v>148864394</v>
      </c>
      <c r="G21" s="37">
        <f t="shared" ref="G21:H21" si="1">G22+G27+G28+G29+G30+G31+G32+G33+G34+G35+G39+G40+G46+G47+G48+G49+G50</f>
        <v>63130430</v>
      </c>
      <c r="H21" s="37">
        <f t="shared" si="1"/>
        <v>4730540</v>
      </c>
      <c r="I21" s="37">
        <f t="shared" ref="I21" si="2">I22+I27+I28+I29+I30+I31+I32+I33+I34+I35+I39+I40+I46+I47+I48+I49+I50</f>
        <v>0</v>
      </c>
      <c r="J21" s="37">
        <f>J22+J27+J28+J29+J30+J31+J32+J33+J34+J35+J39+J40+J41+J46+J47+J48+J49+J50</f>
        <v>1826079.48</v>
      </c>
      <c r="K21" s="37">
        <f>K22+K27+K28+K29+K30+K31+K32+K33+K34+K35+K39+K40+K41+K46+K47+K48+K49+K50</f>
        <v>1382079.48</v>
      </c>
      <c r="L21" s="37">
        <f t="shared" ref="L21:O21" si="3">L22+L27+L28+L29+L30+L31+L32+L33+L34+L35+L39+L40+L41+L46+L47+L48+L49+L50</f>
        <v>444000</v>
      </c>
      <c r="M21" s="37">
        <f t="shared" ref="M21:N21" si="4">M22+M27+M28+M29+M30+M31+M32+M33+M34+M35+M39+M40+M41+M46+M47+M48+M49+M50</f>
        <v>0</v>
      </c>
      <c r="N21" s="37">
        <f t="shared" si="4"/>
        <v>0</v>
      </c>
      <c r="O21" s="37">
        <f t="shared" si="3"/>
        <v>1382079.48</v>
      </c>
      <c r="P21" s="37">
        <f>E21+J21</f>
        <v>150690473.47999999</v>
      </c>
    </row>
    <row r="22" spans="1:16" ht="96" customHeight="1" x14ac:dyDescent="0.3">
      <c r="A22" s="15" t="s">
        <v>21</v>
      </c>
      <c r="B22" s="15" t="s">
        <v>22</v>
      </c>
      <c r="C22" s="15" t="s">
        <v>23</v>
      </c>
      <c r="D22" s="16" t="s">
        <v>24</v>
      </c>
      <c r="E22" s="33">
        <f>F22+I22</f>
        <v>55577501</v>
      </c>
      <c r="F22" s="33">
        <f>F23+F24+F25+F26</f>
        <v>55577501</v>
      </c>
      <c r="G22" s="33">
        <f>G23+G24+G25+G26</f>
        <v>46655400</v>
      </c>
      <c r="H22" s="33">
        <f>H23+H24+H25+H26</f>
        <v>4396000</v>
      </c>
      <c r="I22" s="33"/>
      <c r="J22" s="33">
        <f>L22+O22</f>
        <v>463459.48</v>
      </c>
      <c r="K22" s="33">
        <f>K23+K24+K25+K26</f>
        <v>324959.48</v>
      </c>
      <c r="L22" s="33">
        <v>138500</v>
      </c>
      <c r="M22" s="33"/>
      <c r="N22" s="33"/>
      <c r="O22" s="33">
        <f>O23+O24+O25+O26</f>
        <v>324959.48</v>
      </c>
      <c r="P22" s="33">
        <f>E22+J22</f>
        <v>56040960.479999997</v>
      </c>
    </row>
    <row r="23" spans="1:16" s="19" customFormat="1" ht="56.25" customHeight="1" x14ac:dyDescent="0.3">
      <c r="A23" s="17"/>
      <c r="B23" s="17"/>
      <c r="C23" s="17"/>
      <c r="D23" s="18" t="s">
        <v>19</v>
      </c>
      <c r="E23" s="33">
        <f t="shared" ref="E23:E49" si="5">F23+I23</f>
        <v>49089800</v>
      </c>
      <c r="F23" s="36">
        <f>45699300+2754500-160000+50000+470000-180000-190000-59900+200000-24000+199900+180000+50000+100000</f>
        <v>49089800</v>
      </c>
      <c r="G23" s="36">
        <f>31964500+7032200+2754500-160000-59900-24000+180000</f>
        <v>41687300</v>
      </c>
      <c r="H23" s="36">
        <f>1883100+80200+2206200+28500-180000</f>
        <v>4018000</v>
      </c>
      <c r="I23" s="36"/>
      <c r="J23" s="36">
        <f t="shared" ref="J23:J50" si="6">L23+O23</f>
        <v>182657.48</v>
      </c>
      <c r="K23" s="36">
        <f>44159.48</f>
        <v>44159.48</v>
      </c>
      <c r="L23" s="36">
        <v>138498</v>
      </c>
      <c r="M23" s="36"/>
      <c r="N23" s="36"/>
      <c r="O23" s="36">
        <f>44159.48</f>
        <v>44159.48</v>
      </c>
      <c r="P23" s="36">
        <f t="shared" ref="P23:P50" si="7">E23+J23</f>
        <v>49272457.479999997</v>
      </c>
    </row>
    <row r="24" spans="1:16" s="19" customFormat="1" ht="62.4" customHeight="1" x14ac:dyDescent="0.3">
      <c r="A24" s="17"/>
      <c r="B24" s="17"/>
      <c r="C24" s="17"/>
      <c r="D24" s="18" t="s">
        <v>266</v>
      </c>
      <c r="E24" s="33">
        <f t="shared" si="5"/>
        <v>2569700</v>
      </c>
      <c r="F24" s="36">
        <f>2178300+124200+74000+4100+16500+11200+120000+3000+14400+24000</f>
        <v>2569700</v>
      </c>
      <c r="G24" s="36">
        <f>1388400+325000+124200+74000+11200</f>
        <v>1922800</v>
      </c>
      <c r="H24" s="36">
        <f>41800+101700+600+70000</f>
        <v>214100</v>
      </c>
      <c r="I24" s="36"/>
      <c r="J24" s="36">
        <f t="shared" si="6"/>
        <v>172801</v>
      </c>
      <c r="K24" s="36">
        <f>150000+22800</f>
        <v>172800</v>
      </c>
      <c r="L24" s="36">
        <v>1</v>
      </c>
      <c r="M24" s="36"/>
      <c r="N24" s="36"/>
      <c r="O24" s="36">
        <f>150000+22800</f>
        <v>172800</v>
      </c>
      <c r="P24" s="36">
        <f t="shared" si="7"/>
        <v>2742501</v>
      </c>
    </row>
    <row r="25" spans="1:16" s="19" customFormat="1" ht="71.400000000000006" customHeight="1" x14ac:dyDescent="0.3">
      <c r="A25" s="17"/>
      <c r="B25" s="17"/>
      <c r="C25" s="17"/>
      <c r="D25" s="18" t="s">
        <v>267</v>
      </c>
      <c r="E25" s="33">
        <f t="shared" si="5"/>
        <v>1773300</v>
      </c>
      <c r="F25" s="36">
        <f>1526900+91000+10000+25000+26900+18000+33000+5000+12000+25500</f>
        <v>1773300</v>
      </c>
      <c r="G25" s="36">
        <f>969600+224300+91000+25000+26900+18000+25500</f>
        <v>1380300</v>
      </c>
      <c r="H25" s="36">
        <f>5300+15800+28300+5000+12000</f>
        <v>66400</v>
      </c>
      <c r="I25" s="36"/>
      <c r="J25" s="36">
        <f t="shared" si="6"/>
        <v>54000</v>
      </c>
      <c r="K25" s="36">
        <f>50000+4000</f>
        <v>54000</v>
      </c>
      <c r="L25" s="36"/>
      <c r="M25" s="36"/>
      <c r="N25" s="36"/>
      <c r="O25" s="36">
        <f>50000+4000</f>
        <v>54000</v>
      </c>
      <c r="P25" s="36">
        <f t="shared" si="7"/>
        <v>1827300</v>
      </c>
    </row>
    <row r="26" spans="1:16" s="19" customFormat="1" ht="64.95" customHeight="1" x14ac:dyDescent="0.3">
      <c r="A26" s="17"/>
      <c r="B26" s="17"/>
      <c r="C26" s="17"/>
      <c r="D26" s="18" t="s">
        <v>268</v>
      </c>
      <c r="E26" s="33">
        <f t="shared" si="5"/>
        <v>2144701</v>
      </c>
      <c r="F26" s="36">
        <f>1874300+105900+61000+48401+21800+6000+5000+22300</f>
        <v>2144701</v>
      </c>
      <c r="G26" s="36">
        <f>1175300+272700+105900+61000+21800+6000+22300</f>
        <v>1665000</v>
      </c>
      <c r="H26" s="36">
        <f>36700+55800+5000</f>
        <v>97500</v>
      </c>
      <c r="I26" s="36"/>
      <c r="J26" s="36">
        <f t="shared" si="6"/>
        <v>54001</v>
      </c>
      <c r="K26" s="36">
        <f>54000</f>
        <v>54000</v>
      </c>
      <c r="L26" s="36">
        <v>1</v>
      </c>
      <c r="M26" s="36"/>
      <c r="N26" s="36"/>
      <c r="O26" s="36">
        <f>54000</f>
        <v>54000</v>
      </c>
      <c r="P26" s="36">
        <f t="shared" si="7"/>
        <v>2198702</v>
      </c>
    </row>
    <row r="27" spans="1:16" ht="59.25" customHeight="1" x14ac:dyDescent="0.3">
      <c r="A27" s="15" t="s">
        <v>25</v>
      </c>
      <c r="B27" s="15" t="s">
        <v>26</v>
      </c>
      <c r="C27" s="15" t="s">
        <v>27</v>
      </c>
      <c r="D27" s="16" t="s">
        <v>28</v>
      </c>
      <c r="E27" s="33">
        <f t="shared" si="5"/>
        <v>50000</v>
      </c>
      <c r="F27" s="33">
        <v>50000</v>
      </c>
      <c r="G27" s="33"/>
      <c r="H27" s="33"/>
      <c r="I27" s="33"/>
      <c r="J27" s="33"/>
      <c r="K27" s="33"/>
      <c r="L27" s="33"/>
      <c r="M27" s="33"/>
      <c r="N27" s="33"/>
      <c r="O27" s="33"/>
      <c r="P27" s="33">
        <f t="shared" si="7"/>
        <v>50000</v>
      </c>
    </row>
    <row r="28" spans="1:16" ht="39" customHeight="1" x14ac:dyDescent="0.3">
      <c r="A28" s="15" t="s">
        <v>29</v>
      </c>
      <c r="B28" s="15" t="s">
        <v>30</v>
      </c>
      <c r="C28" s="15" t="s">
        <v>31</v>
      </c>
      <c r="D28" s="16" t="s">
        <v>32</v>
      </c>
      <c r="E28" s="33">
        <f t="shared" si="5"/>
        <v>1985300</v>
      </c>
      <c r="F28" s="33">
        <f>1825300+160000</f>
        <v>1985300</v>
      </c>
      <c r="G28" s="33"/>
      <c r="H28" s="33"/>
      <c r="I28" s="33"/>
      <c r="J28" s="33"/>
      <c r="K28" s="33"/>
      <c r="L28" s="33"/>
      <c r="M28" s="33"/>
      <c r="N28" s="33"/>
      <c r="O28" s="33"/>
      <c r="P28" s="33">
        <f t="shared" si="7"/>
        <v>1985300</v>
      </c>
    </row>
    <row r="29" spans="1:16" ht="33" customHeight="1" x14ac:dyDescent="0.3">
      <c r="A29" s="15" t="s">
        <v>33</v>
      </c>
      <c r="B29" s="15" t="s">
        <v>34</v>
      </c>
      <c r="C29" s="15" t="s">
        <v>35</v>
      </c>
      <c r="D29" s="16" t="s">
        <v>36</v>
      </c>
      <c r="E29" s="33">
        <f t="shared" si="5"/>
        <v>27533111.32</v>
      </c>
      <c r="F29" s="33">
        <f>26414000-1852100+500000+798000+923211.32+750000</f>
        <v>27533111.32</v>
      </c>
      <c r="G29" s="33"/>
      <c r="H29" s="33"/>
      <c r="I29" s="33"/>
      <c r="J29" s="33"/>
      <c r="K29" s="33"/>
      <c r="L29" s="33"/>
      <c r="M29" s="33"/>
      <c r="N29" s="33"/>
      <c r="O29" s="33"/>
      <c r="P29" s="33">
        <f t="shared" si="7"/>
        <v>27533111.32</v>
      </c>
    </row>
    <row r="30" spans="1:16" ht="28.5" customHeight="1" x14ac:dyDescent="0.3">
      <c r="A30" s="15" t="s">
        <v>37</v>
      </c>
      <c r="B30" s="15" t="s">
        <v>38</v>
      </c>
      <c r="C30" s="15" t="s">
        <v>39</v>
      </c>
      <c r="D30" s="16" t="s">
        <v>40</v>
      </c>
      <c r="E30" s="33">
        <f t="shared" si="5"/>
        <v>6399000</v>
      </c>
      <c r="F30" s="33">
        <f>7120500-632000+20500-110000</f>
        <v>6399000</v>
      </c>
      <c r="G30" s="33"/>
      <c r="H30" s="33"/>
      <c r="I30" s="33"/>
      <c r="J30" s="33">
        <f>L30+O30</f>
        <v>229120</v>
      </c>
      <c r="K30" s="33">
        <v>229120</v>
      </c>
      <c r="L30" s="33"/>
      <c r="M30" s="33"/>
      <c r="N30" s="33"/>
      <c r="O30" s="33">
        <v>229120</v>
      </c>
      <c r="P30" s="33">
        <f t="shared" si="7"/>
        <v>6628120</v>
      </c>
    </row>
    <row r="31" spans="1:16" ht="62.4" x14ac:dyDescent="0.3">
      <c r="A31" s="15" t="s">
        <v>323</v>
      </c>
      <c r="B31" s="22">
        <v>2111</v>
      </c>
      <c r="C31" s="15" t="s">
        <v>324</v>
      </c>
      <c r="D31" s="16" t="s">
        <v>322</v>
      </c>
      <c r="E31" s="33">
        <f t="shared" si="5"/>
        <v>665500</v>
      </c>
      <c r="F31" s="33">
        <f>319700+345800</f>
        <v>665500</v>
      </c>
      <c r="G31" s="33"/>
      <c r="H31" s="33"/>
      <c r="I31" s="33"/>
      <c r="J31" s="33"/>
      <c r="K31" s="33"/>
      <c r="L31" s="33"/>
      <c r="M31" s="33"/>
      <c r="N31" s="33"/>
      <c r="O31" s="33"/>
      <c r="P31" s="33">
        <f t="shared" si="7"/>
        <v>665500</v>
      </c>
    </row>
    <row r="32" spans="1:16" ht="31.2" x14ac:dyDescent="0.3">
      <c r="A32" s="15" t="s">
        <v>41</v>
      </c>
      <c r="B32" s="15" t="s">
        <v>42</v>
      </c>
      <c r="C32" s="15" t="s">
        <v>43</v>
      </c>
      <c r="D32" s="16" t="s">
        <v>44</v>
      </c>
      <c r="E32" s="33">
        <f t="shared" si="5"/>
        <v>6622300</v>
      </c>
      <c r="F32" s="33">
        <f>3500000+1415500+632000+1852100-777300</f>
        <v>6622300</v>
      </c>
      <c r="G32" s="33"/>
      <c r="H32" s="33"/>
      <c r="I32" s="33"/>
      <c r="J32" s="33"/>
      <c r="K32" s="33"/>
      <c r="L32" s="33"/>
      <c r="M32" s="33"/>
      <c r="N32" s="33"/>
      <c r="O32" s="33"/>
      <c r="P32" s="33">
        <f t="shared" si="7"/>
        <v>6622300</v>
      </c>
    </row>
    <row r="33" spans="1:16" ht="37.5" customHeight="1" x14ac:dyDescent="0.3">
      <c r="A33" s="15" t="s">
        <v>45</v>
      </c>
      <c r="B33" s="15" t="s">
        <v>46</v>
      </c>
      <c r="C33" s="15" t="s">
        <v>47</v>
      </c>
      <c r="D33" s="16" t="s">
        <v>48</v>
      </c>
      <c r="E33" s="33">
        <f t="shared" si="5"/>
        <v>96000</v>
      </c>
      <c r="F33" s="33">
        <v>96000</v>
      </c>
      <c r="G33" s="33"/>
      <c r="H33" s="33"/>
      <c r="I33" s="33"/>
      <c r="J33" s="33"/>
      <c r="K33" s="33"/>
      <c r="L33" s="33"/>
      <c r="M33" s="33"/>
      <c r="N33" s="33"/>
      <c r="O33" s="33"/>
      <c r="P33" s="33">
        <f t="shared" si="7"/>
        <v>96000</v>
      </c>
    </row>
    <row r="34" spans="1:16" ht="37.5" customHeight="1" x14ac:dyDescent="0.3">
      <c r="A34" s="15" t="s">
        <v>49</v>
      </c>
      <c r="B34" s="15" t="s">
        <v>50</v>
      </c>
      <c r="C34" s="15" t="s">
        <v>51</v>
      </c>
      <c r="D34" s="16" t="s">
        <v>52</v>
      </c>
      <c r="E34" s="33">
        <f t="shared" si="5"/>
        <v>4275100</v>
      </c>
      <c r="F34" s="33">
        <f>3775100+500000</f>
        <v>4275100</v>
      </c>
      <c r="G34" s="33"/>
      <c r="H34" s="33"/>
      <c r="I34" s="33"/>
      <c r="J34" s="33"/>
      <c r="K34" s="33"/>
      <c r="L34" s="33"/>
      <c r="M34" s="33"/>
      <c r="N34" s="33"/>
      <c r="O34" s="33"/>
      <c r="P34" s="33">
        <f t="shared" si="7"/>
        <v>4275100</v>
      </c>
    </row>
    <row r="35" spans="1:16" ht="40.5" customHeight="1" x14ac:dyDescent="0.3">
      <c r="A35" s="15" t="s">
        <v>53</v>
      </c>
      <c r="B35" s="15" t="s">
        <v>54</v>
      </c>
      <c r="C35" s="15" t="s">
        <v>55</v>
      </c>
      <c r="D35" s="16" t="s">
        <v>56</v>
      </c>
      <c r="E35" s="33">
        <f t="shared" si="5"/>
        <v>5559699</v>
      </c>
      <c r="F35" s="33">
        <f>F36+F37+F38</f>
        <v>5559699</v>
      </c>
      <c r="G35" s="33"/>
      <c r="H35" s="33"/>
      <c r="I35" s="33"/>
      <c r="J35" s="33"/>
      <c r="K35" s="33"/>
      <c r="L35" s="33"/>
      <c r="M35" s="33"/>
      <c r="N35" s="33"/>
      <c r="O35" s="33"/>
      <c r="P35" s="33">
        <f t="shared" si="7"/>
        <v>5559699</v>
      </c>
    </row>
    <row r="36" spans="1:16" s="19" customFormat="1" ht="62.4" x14ac:dyDescent="0.3">
      <c r="A36" s="17"/>
      <c r="B36" s="17"/>
      <c r="C36" s="17"/>
      <c r="D36" s="18" t="s">
        <v>266</v>
      </c>
      <c r="E36" s="36">
        <f t="shared" si="5"/>
        <v>2934200</v>
      </c>
      <c r="F36" s="36">
        <f>3350000-4100-16500-270000-34800-90400</f>
        <v>2934200</v>
      </c>
      <c r="G36" s="36"/>
      <c r="H36" s="36"/>
      <c r="I36" s="36"/>
      <c r="J36" s="36"/>
      <c r="K36" s="36"/>
      <c r="L36" s="36"/>
      <c r="M36" s="36"/>
      <c r="N36" s="36"/>
      <c r="O36" s="36"/>
      <c r="P36" s="36">
        <f t="shared" si="7"/>
        <v>2934200</v>
      </c>
    </row>
    <row r="37" spans="1:16" s="19" customFormat="1" ht="60.75" customHeight="1" x14ac:dyDescent="0.3">
      <c r="A37" s="17"/>
      <c r="B37" s="17"/>
      <c r="C37" s="17"/>
      <c r="D37" s="18" t="s">
        <v>267</v>
      </c>
      <c r="E37" s="36">
        <f t="shared" si="5"/>
        <v>1079900</v>
      </c>
      <c r="F37" s="36">
        <f>1195900-50000-66000</f>
        <v>1079900</v>
      </c>
      <c r="G37" s="36"/>
      <c r="H37" s="36"/>
      <c r="I37" s="36"/>
      <c r="J37" s="36"/>
      <c r="K37" s="36"/>
      <c r="L37" s="36"/>
      <c r="M37" s="36"/>
      <c r="N37" s="36"/>
      <c r="O37" s="36"/>
      <c r="P37" s="36">
        <f t="shared" si="7"/>
        <v>1079900</v>
      </c>
    </row>
    <row r="38" spans="1:16" s="19" customFormat="1" ht="66" customHeight="1" x14ac:dyDescent="0.3">
      <c r="A38" s="17"/>
      <c r="B38" s="17"/>
      <c r="C38" s="17"/>
      <c r="D38" s="18" t="s">
        <v>268</v>
      </c>
      <c r="E38" s="36">
        <f t="shared" si="5"/>
        <v>1545599</v>
      </c>
      <c r="F38" s="36">
        <f>1700000-48401-71000-35000</f>
        <v>1545599</v>
      </c>
      <c r="G38" s="36"/>
      <c r="H38" s="36"/>
      <c r="I38" s="36"/>
      <c r="J38" s="36"/>
      <c r="K38" s="36"/>
      <c r="L38" s="36"/>
      <c r="M38" s="36"/>
      <c r="N38" s="36"/>
      <c r="O38" s="36"/>
      <c r="P38" s="36">
        <f t="shared" si="7"/>
        <v>1545599</v>
      </c>
    </row>
    <row r="39" spans="1:16" ht="6" hidden="1" customHeight="1" x14ac:dyDescent="0.3">
      <c r="A39" s="15" t="s">
        <v>57</v>
      </c>
      <c r="B39" s="15" t="s">
        <v>58</v>
      </c>
      <c r="C39" s="15" t="s">
        <v>59</v>
      </c>
      <c r="D39" s="16" t="s">
        <v>60</v>
      </c>
      <c r="E39" s="33">
        <f t="shared" si="5"/>
        <v>0</v>
      </c>
      <c r="F39" s="33">
        <f>100000-100000</f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>
        <f t="shared" si="7"/>
        <v>0</v>
      </c>
    </row>
    <row r="40" spans="1:16" ht="36" customHeight="1" x14ac:dyDescent="0.3">
      <c r="A40" s="15" t="s">
        <v>61</v>
      </c>
      <c r="B40" s="15" t="s">
        <v>62</v>
      </c>
      <c r="C40" s="15" t="s">
        <v>63</v>
      </c>
      <c r="D40" s="16" t="s">
        <v>64</v>
      </c>
      <c r="E40" s="33">
        <f t="shared" si="5"/>
        <v>71400</v>
      </c>
      <c r="F40" s="33">
        <v>71400</v>
      </c>
      <c r="G40" s="33"/>
      <c r="H40" s="33"/>
      <c r="I40" s="33"/>
      <c r="J40" s="33"/>
      <c r="K40" s="33"/>
      <c r="L40" s="33"/>
      <c r="M40" s="33"/>
      <c r="N40" s="33"/>
      <c r="O40" s="33"/>
      <c r="P40" s="33">
        <f t="shared" si="7"/>
        <v>71400</v>
      </c>
    </row>
    <row r="41" spans="1:16" ht="51.75" customHeight="1" x14ac:dyDescent="0.3">
      <c r="A41" s="23" t="s">
        <v>348</v>
      </c>
      <c r="B41" s="22">
        <v>8110</v>
      </c>
      <c r="C41" s="24" t="s">
        <v>349</v>
      </c>
      <c r="D41" s="16" t="s">
        <v>347</v>
      </c>
      <c r="E41" s="33">
        <f t="shared" si="5"/>
        <v>10323088.68</v>
      </c>
      <c r="F41" s="33">
        <f>F42+F43+F44+F45</f>
        <v>10323088.68</v>
      </c>
      <c r="G41" s="33"/>
      <c r="H41" s="33"/>
      <c r="I41" s="33"/>
      <c r="J41" s="33">
        <f>J42+J43+J44+J45</f>
        <v>28000</v>
      </c>
      <c r="K41" s="33">
        <f t="shared" ref="K41:O41" si="8">K42+K43+K44+K45</f>
        <v>28000</v>
      </c>
      <c r="L41" s="33"/>
      <c r="M41" s="33"/>
      <c r="N41" s="33"/>
      <c r="O41" s="33">
        <f t="shared" si="8"/>
        <v>28000</v>
      </c>
      <c r="P41" s="33">
        <f t="shared" si="7"/>
        <v>10351088.68</v>
      </c>
    </row>
    <row r="42" spans="1:16" s="19" customFormat="1" ht="56.25" customHeight="1" x14ac:dyDescent="0.3">
      <c r="A42" s="17"/>
      <c r="B42" s="17"/>
      <c r="C42" s="17"/>
      <c r="D42" s="18" t="s">
        <v>19</v>
      </c>
      <c r="E42" s="36">
        <f t="shared" si="5"/>
        <v>9837088.6799999997</v>
      </c>
      <c r="F42" s="48">
        <f>67500+200000+500000+4200000+1500000+3000000+350000+49000-145911.32+116500</f>
        <v>9837088.6799999997</v>
      </c>
      <c r="G42" s="36"/>
      <c r="H42" s="36"/>
      <c r="I42" s="36"/>
      <c r="J42" s="36">
        <f>L42+O42</f>
        <v>0</v>
      </c>
      <c r="K42" s="36"/>
      <c r="L42" s="36"/>
      <c r="M42" s="36"/>
      <c r="N42" s="36"/>
      <c r="O42" s="36"/>
      <c r="P42" s="36">
        <f t="shared" si="7"/>
        <v>9837088.6799999997</v>
      </c>
    </row>
    <row r="43" spans="1:16" s="19" customFormat="1" ht="62.4" x14ac:dyDescent="0.3">
      <c r="A43" s="17"/>
      <c r="B43" s="17"/>
      <c r="C43" s="17"/>
      <c r="D43" s="18" t="s">
        <v>266</v>
      </c>
      <c r="E43" s="36">
        <f t="shared" si="5"/>
        <v>221000</v>
      </c>
      <c r="F43" s="48">
        <f>200000+21000</f>
        <v>221000</v>
      </c>
      <c r="G43" s="36"/>
      <c r="H43" s="36"/>
      <c r="I43" s="36"/>
      <c r="J43" s="36">
        <f>L43+O43</f>
        <v>28000</v>
      </c>
      <c r="K43" s="36">
        <v>28000</v>
      </c>
      <c r="L43" s="36"/>
      <c r="M43" s="36"/>
      <c r="N43" s="36"/>
      <c r="O43" s="36">
        <v>28000</v>
      </c>
      <c r="P43" s="36">
        <f t="shared" si="7"/>
        <v>249000</v>
      </c>
    </row>
    <row r="44" spans="1:16" s="19" customFormat="1" ht="62.4" x14ac:dyDescent="0.3">
      <c r="A44" s="17"/>
      <c r="B44" s="17"/>
      <c r="C44" s="17"/>
      <c r="D44" s="18" t="s">
        <v>267</v>
      </c>
      <c r="E44" s="36">
        <f t="shared" si="5"/>
        <v>80000</v>
      </c>
      <c r="F44" s="48">
        <v>80000</v>
      </c>
      <c r="G44" s="36"/>
      <c r="H44" s="36"/>
      <c r="I44" s="36"/>
      <c r="J44" s="36"/>
      <c r="K44" s="36"/>
      <c r="L44" s="36"/>
      <c r="M44" s="36"/>
      <c r="N44" s="36"/>
      <c r="O44" s="36"/>
      <c r="P44" s="36">
        <f t="shared" si="7"/>
        <v>80000</v>
      </c>
    </row>
    <row r="45" spans="1:16" s="19" customFormat="1" ht="56.25" customHeight="1" x14ac:dyDescent="0.3">
      <c r="A45" s="17"/>
      <c r="B45" s="17"/>
      <c r="C45" s="17"/>
      <c r="D45" s="18" t="s">
        <v>268</v>
      </c>
      <c r="E45" s="36">
        <f t="shared" si="5"/>
        <v>185000</v>
      </c>
      <c r="F45" s="48">
        <f>150000+35000</f>
        <v>185000</v>
      </c>
      <c r="G45" s="36"/>
      <c r="H45" s="36"/>
      <c r="I45" s="36"/>
      <c r="J45" s="36"/>
      <c r="K45" s="36"/>
      <c r="L45" s="36"/>
      <c r="M45" s="36"/>
      <c r="N45" s="36"/>
      <c r="O45" s="36"/>
      <c r="P45" s="36">
        <f t="shared" si="7"/>
        <v>185000</v>
      </c>
    </row>
    <row r="46" spans="1:16" ht="42" customHeight="1" x14ac:dyDescent="0.3">
      <c r="A46" s="15" t="s">
        <v>65</v>
      </c>
      <c r="B46" s="15" t="s">
        <v>66</v>
      </c>
      <c r="C46" s="15" t="s">
        <v>67</v>
      </c>
      <c r="D46" s="16" t="s">
        <v>68</v>
      </c>
      <c r="E46" s="33">
        <f t="shared" si="5"/>
        <v>18066270</v>
      </c>
      <c r="F46" s="33">
        <f>13508500+300400+951200+883060+341400+12100+851560+18050+1200000</f>
        <v>18066270</v>
      </c>
      <c r="G46" s="33">
        <f>12388200+851560+851560+353500-21350+851560+1200000</f>
        <v>16475030</v>
      </c>
      <c r="H46" s="33">
        <f>234900+99640</f>
        <v>334540</v>
      </c>
      <c r="I46" s="33"/>
      <c r="J46" s="33"/>
      <c r="K46" s="33"/>
      <c r="L46" s="33"/>
      <c r="M46" s="33"/>
      <c r="N46" s="33"/>
      <c r="O46" s="33"/>
      <c r="P46" s="33">
        <f t="shared" si="7"/>
        <v>18066270</v>
      </c>
    </row>
    <row r="47" spans="1:16" ht="40.5" customHeight="1" x14ac:dyDescent="0.3">
      <c r="A47" s="15" t="s">
        <v>302</v>
      </c>
      <c r="B47" s="22">
        <v>8220</v>
      </c>
      <c r="C47" s="15" t="s">
        <v>67</v>
      </c>
      <c r="D47" s="16" t="s">
        <v>301</v>
      </c>
      <c r="E47" s="33">
        <f t="shared" si="5"/>
        <v>785000</v>
      </c>
      <c r="F47" s="33">
        <f>185000+300000+300000</f>
        <v>785000</v>
      </c>
      <c r="G47" s="33"/>
      <c r="H47" s="33"/>
      <c r="I47" s="33"/>
      <c r="J47" s="33">
        <f t="shared" si="6"/>
        <v>300000</v>
      </c>
      <c r="K47" s="33">
        <v>300000</v>
      </c>
      <c r="L47" s="33"/>
      <c r="M47" s="33"/>
      <c r="N47" s="33"/>
      <c r="O47" s="33">
        <v>300000</v>
      </c>
      <c r="P47" s="33">
        <f t="shared" si="7"/>
        <v>1085000</v>
      </c>
    </row>
    <row r="48" spans="1:16" ht="37.5" customHeight="1" x14ac:dyDescent="0.3">
      <c r="A48" s="15" t="s">
        <v>69</v>
      </c>
      <c r="B48" s="15" t="s">
        <v>70</v>
      </c>
      <c r="C48" s="15" t="s">
        <v>67</v>
      </c>
      <c r="D48" s="16" t="s">
        <v>71</v>
      </c>
      <c r="E48" s="33">
        <f t="shared" si="5"/>
        <v>6673624</v>
      </c>
      <c r="F48" s="33">
        <f>1449800+2100000+200000+1637200-1200000+269500+638524+695000-12100-18050+913750</f>
        <v>6673624</v>
      </c>
      <c r="G48" s="33"/>
      <c r="H48" s="33"/>
      <c r="I48" s="33"/>
      <c r="J48" s="33">
        <f t="shared" si="6"/>
        <v>0</v>
      </c>
      <c r="K48" s="33">
        <f>1200000-1200000</f>
        <v>0</v>
      </c>
      <c r="L48" s="33"/>
      <c r="M48" s="33"/>
      <c r="N48" s="33"/>
      <c r="O48" s="33">
        <f>1200000-1200000</f>
        <v>0</v>
      </c>
      <c r="P48" s="33">
        <f t="shared" si="7"/>
        <v>6673624</v>
      </c>
    </row>
    <row r="49" spans="1:16" ht="36.75" customHeight="1" x14ac:dyDescent="0.3">
      <c r="A49" s="24" t="s">
        <v>338</v>
      </c>
      <c r="B49" s="24" t="s">
        <v>339</v>
      </c>
      <c r="C49" s="24" t="s">
        <v>67</v>
      </c>
      <c r="D49" s="43" t="s">
        <v>340</v>
      </c>
      <c r="E49" s="33">
        <f t="shared" si="5"/>
        <v>4181500</v>
      </c>
      <c r="F49" s="33">
        <f>949000+900000+1000000-67500+100000+1300000</f>
        <v>4181500</v>
      </c>
      <c r="G49" s="33"/>
      <c r="H49" s="33"/>
      <c r="I49" s="33"/>
      <c r="J49" s="33">
        <f t="shared" si="6"/>
        <v>500000</v>
      </c>
      <c r="K49" s="33">
        <v>500000</v>
      </c>
      <c r="L49" s="33"/>
      <c r="M49" s="33"/>
      <c r="N49" s="33"/>
      <c r="O49" s="33">
        <v>500000</v>
      </c>
      <c r="P49" s="33">
        <f t="shared" si="7"/>
        <v>4681500</v>
      </c>
    </row>
    <row r="50" spans="1:16" ht="31.2" x14ac:dyDescent="0.3">
      <c r="A50" s="15" t="s">
        <v>72</v>
      </c>
      <c r="B50" s="15" t="s">
        <v>73</v>
      </c>
      <c r="C50" s="15" t="s">
        <v>74</v>
      </c>
      <c r="D50" s="16" t="s">
        <v>75</v>
      </c>
      <c r="E50" s="33"/>
      <c r="F50" s="33"/>
      <c r="G50" s="33"/>
      <c r="H50" s="33"/>
      <c r="I50" s="33"/>
      <c r="J50" s="33">
        <f t="shared" si="6"/>
        <v>305500</v>
      </c>
      <c r="K50" s="33"/>
      <c r="L50" s="33">
        <f>350000+145500-190000</f>
        <v>305500</v>
      </c>
      <c r="M50" s="33"/>
      <c r="N50" s="33"/>
      <c r="O50" s="33"/>
      <c r="P50" s="33">
        <f t="shared" si="7"/>
        <v>305500</v>
      </c>
    </row>
    <row r="51" spans="1:16" ht="54.75" customHeight="1" x14ac:dyDescent="0.3">
      <c r="A51" s="13" t="s">
        <v>76</v>
      </c>
      <c r="B51" s="13" t="s">
        <v>18</v>
      </c>
      <c r="C51" s="13" t="s">
        <v>18</v>
      </c>
      <c r="D51" s="14" t="s">
        <v>77</v>
      </c>
      <c r="E51" s="37">
        <f>F51+I51</f>
        <v>424625267.25</v>
      </c>
      <c r="F51" s="37">
        <f>F52</f>
        <v>424625267.25</v>
      </c>
      <c r="G51" s="37">
        <f>G52</f>
        <v>345034975.25</v>
      </c>
      <c r="H51" s="37">
        <f>H52</f>
        <v>42362302</v>
      </c>
      <c r="I51" s="37">
        <f>I52</f>
        <v>0</v>
      </c>
      <c r="J51" s="37">
        <f>L51+O51</f>
        <v>11056018</v>
      </c>
      <c r="K51" s="37">
        <f>K52</f>
        <v>3586018</v>
      </c>
      <c r="L51" s="37">
        <f>L52</f>
        <v>7410000</v>
      </c>
      <c r="M51" s="37">
        <f t="shared" ref="M51:N51" si="9">M52</f>
        <v>0</v>
      </c>
      <c r="N51" s="37">
        <f t="shared" si="9"/>
        <v>0</v>
      </c>
      <c r="O51" s="37">
        <f>O52</f>
        <v>3646018</v>
      </c>
      <c r="P51" s="37">
        <f>E51+J51</f>
        <v>435681285.25</v>
      </c>
    </row>
    <row r="52" spans="1:16" ht="54.75" customHeight="1" x14ac:dyDescent="0.3">
      <c r="A52" s="13" t="s">
        <v>78</v>
      </c>
      <c r="B52" s="13" t="s">
        <v>18</v>
      </c>
      <c r="C52" s="13" t="s">
        <v>18</v>
      </c>
      <c r="D52" s="14" t="s">
        <v>77</v>
      </c>
      <c r="E52" s="37">
        <f>F52+I52</f>
        <v>424625267.25</v>
      </c>
      <c r="F52" s="37">
        <f>F53+F54+F55+F56+F57+F58+F59+F60+F61+F62+F63+F64+F65+F66+F67+F68+F69+F70+F73+F76+F77+F78</f>
        <v>424625267.25</v>
      </c>
      <c r="G52" s="37">
        <f>G53+G54+G55+G56+G57+G58+G59+G60+G61+G62+G63+G64+G65+G66+G67+G68+G69+G70+G73+G76+G77+G78</f>
        <v>345034975.25</v>
      </c>
      <c r="H52" s="37">
        <f>H53+H54+H55+H56+H57+H58+H59+H60+H61+H62+H63+H64+H65+H66+H67+H68+H69+H70+H73+H76+H77+H78</f>
        <v>42362302</v>
      </c>
      <c r="I52" s="37">
        <f>I53+I54+I55+I56+I57+I58+I59+I60+I61+I62+I63+I64+I65+I66+I67+I68+I69+I70+I73+I76+I77+I78</f>
        <v>0</v>
      </c>
      <c r="J52" s="37">
        <f>L52+O52</f>
        <v>11056018</v>
      </c>
      <c r="K52" s="37">
        <f>K53+K54+K55+K56+K57+K58+K59+K60+K61+K62+K63+K64+K65+K66+K67+K68+K69+K70+K73+K76+K77+K78</f>
        <v>3586018</v>
      </c>
      <c r="L52" s="37">
        <f>L53+L54+L55+L56+L57+L58+L59+L60+L61+L62+L63+L64+L65+L66+L67+L68+L69+L70+L73+L76+L77+L78</f>
        <v>7410000</v>
      </c>
      <c r="M52" s="37">
        <f>M53+M54+M55+M56+M57+M58+M59+M60+M61+M62+M63+M64+M65+M66+M67+M68+M69+M70+M73+M76+M77+M78</f>
        <v>0</v>
      </c>
      <c r="N52" s="37">
        <f>N53+N54+N55+N56+N57+N58+N59+N60+N61+N62+N63+N64+N65+N66+N67+N68+N69+N70+N73+N76+N77+N78</f>
        <v>0</v>
      </c>
      <c r="O52" s="37">
        <f>O53+O54+O55+O56+O57+O58+O59+O60+O61+O62+O63+O64+O65+O66+O67+O68+O69+O70+O73+O76+O77+O78</f>
        <v>3646018</v>
      </c>
      <c r="P52" s="37">
        <f>E52+J52</f>
        <v>435681285.25</v>
      </c>
    </row>
    <row r="53" spans="1:16" ht="64.2" customHeight="1" x14ac:dyDescent="0.3">
      <c r="A53" s="15" t="s">
        <v>79</v>
      </c>
      <c r="B53" s="15" t="s">
        <v>80</v>
      </c>
      <c r="C53" s="15" t="s">
        <v>23</v>
      </c>
      <c r="D53" s="16" t="s">
        <v>81</v>
      </c>
      <c r="E53" s="33">
        <f>F53+I53</f>
        <v>3505400</v>
      </c>
      <c r="F53" s="33">
        <f>3228100+198700+95000-16400</f>
        <v>3505400</v>
      </c>
      <c r="G53" s="33">
        <f>2255200+496200+198700-16400</f>
        <v>2933700</v>
      </c>
      <c r="H53" s="33">
        <f>425300+95000</f>
        <v>520300</v>
      </c>
      <c r="I53" s="33"/>
      <c r="J53" s="33"/>
      <c r="K53" s="33"/>
      <c r="L53" s="33"/>
      <c r="M53" s="33"/>
      <c r="N53" s="33"/>
      <c r="O53" s="33"/>
      <c r="P53" s="33">
        <f>E53+J53</f>
        <v>3505400</v>
      </c>
    </row>
    <row r="54" spans="1:16" ht="31.2" x14ac:dyDescent="0.3">
      <c r="A54" s="15" t="s">
        <v>82</v>
      </c>
      <c r="B54" s="15" t="s">
        <v>30</v>
      </c>
      <c r="C54" s="15" t="s">
        <v>31</v>
      </c>
      <c r="D54" s="16" t="s">
        <v>32</v>
      </c>
      <c r="E54" s="33">
        <f t="shared" ref="E54:E78" si="10">F54+I54</f>
        <v>319727</v>
      </c>
      <c r="F54" s="33">
        <f>319000+727</f>
        <v>319727</v>
      </c>
      <c r="G54" s="33"/>
      <c r="H54" s="33"/>
      <c r="I54" s="33"/>
      <c r="J54" s="33"/>
      <c r="K54" s="33"/>
      <c r="L54" s="33"/>
      <c r="M54" s="33"/>
      <c r="N54" s="33"/>
      <c r="O54" s="33"/>
      <c r="P54" s="33">
        <f t="shared" ref="P54:P78" si="11">E54+J54</f>
        <v>319727</v>
      </c>
    </row>
    <row r="55" spans="1:16" ht="24.75" customHeight="1" x14ac:dyDescent="0.3">
      <c r="A55" s="15" t="s">
        <v>83</v>
      </c>
      <c r="B55" s="15" t="s">
        <v>84</v>
      </c>
      <c r="C55" s="15" t="s">
        <v>85</v>
      </c>
      <c r="D55" s="16" t="s">
        <v>86</v>
      </c>
      <c r="E55" s="33">
        <f t="shared" si="10"/>
        <v>122634729</v>
      </c>
      <c r="F55" s="33">
        <f>143998300-1068000-2783000-4696658+1025180-3760000-1508283-2203950-6268860-100000</f>
        <v>122634729</v>
      </c>
      <c r="G55" s="33">
        <f>91100000+20050000-1068000-3760000-1508283-2203950-6268860</f>
        <v>96340907</v>
      </c>
      <c r="H55" s="33">
        <f>21712200-2696658</f>
        <v>19015542</v>
      </c>
      <c r="I55" s="33"/>
      <c r="J55" s="33">
        <f t="shared" ref="J55:J64" si="12">L55+O55</f>
        <v>7180000</v>
      </c>
      <c r="K55" s="33"/>
      <c r="L55" s="33">
        <v>7180000</v>
      </c>
      <c r="M55" s="33"/>
      <c r="N55" s="33"/>
      <c r="O55" s="33"/>
      <c r="P55" s="33">
        <f t="shared" si="11"/>
        <v>129814729</v>
      </c>
    </row>
    <row r="56" spans="1:16" ht="46.5" customHeight="1" x14ac:dyDescent="0.3">
      <c r="A56" s="15" t="s">
        <v>87</v>
      </c>
      <c r="B56" s="15" t="s">
        <v>88</v>
      </c>
      <c r="C56" s="15" t="s">
        <v>89</v>
      </c>
      <c r="D56" s="16" t="s">
        <v>90</v>
      </c>
      <c r="E56" s="33">
        <f t="shared" si="10"/>
        <v>73357673</v>
      </c>
      <c r="F56" s="33">
        <f>85621600-4702700-3873727-6000000+12500+3500000-900000-300000</f>
        <v>73357673</v>
      </c>
      <c r="G56" s="33">
        <f>36600000+8100000-825300+3500000</f>
        <v>47374700</v>
      </c>
      <c r="H56" s="33">
        <f>20991100-2000000-300000</f>
        <v>18691100</v>
      </c>
      <c r="I56" s="33"/>
      <c r="J56" s="33">
        <f t="shared" si="12"/>
        <v>1587000</v>
      </c>
      <c r="K56" s="33">
        <f>1175956+24044+207400</f>
        <v>1407400</v>
      </c>
      <c r="L56" s="33">
        <v>159600</v>
      </c>
      <c r="M56" s="33"/>
      <c r="N56" s="33"/>
      <c r="O56" s="33">
        <f>20000+1175956+24044+207400</f>
        <v>1427400</v>
      </c>
      <c r="P56" s="33">
        <f t="shared" si="11"/>
        <v>74944673</v>
      </c>
    </row>
    <row r="57" spans="1:16" ht="89.25" customHeight="1" x14ac:dyDescent="0.3">
      <c r="A57" s="15" t="s">
        <v>91</v>
      </c>
      <c r="B57" s="15" t="s">
        <v>92</v>
      </c>
      <c r="C57" s="15" t="s">
        <v>93</v>
      </c>
      <c r="D57" s="16" t="s">
        <v>94</v>
      </c>
      <c r="E57" s="33">
        <f t="shared" si="10"/>
        <v>4633700</v>
      </c>
      <c r="F57" s="33">
        <f>4543200-44500+135000</f>
        <v>4633700</v>
      </c>
      <c r="G57" s="33">
        <f>2200400-44500+135000</f>
        <v>2290900</v>
      </c>
      <c r="H57" s="33">
        <v>1208800</v>
      </c>
      <c r="I57" s="33"/>
      <c r="J57" s="33"/>
      <c r="K57" s="33"/>
      <c r="L57" s="33"/>
      <c r="M57" s="33"/>
      <c r="N57" s="33"/>
      <c r="O57" s="33"/>
      <c r="P57" s="33">
        <f t="shared" si="11"/>
        <v>4633700</v>
      </c>
    </row>
    <row r="58" spans="1:16" ht="51" customHeight="1" x14ac:dyDescent="0.3">
      <c r="A58" s="15" t="s">
        <v>95</v>
      </c>
      <c r="B58" s="15" t="s">
        <v>96</v>
      </c>
      <c r="C58" s="15" t="s">
        <v>89</v>
      </c>
      <c r="D58" s="16" t="s">
        <v>90</v>
      </c>
      <c r="E58" s="33">
        <f t="shared" si="10"/>
        <v>137030400</v>
      </c>
      <c r="F58" s="33">
        <f>152256000-15225600</f>
        <v>137030400</v>
      </c>
      <c r="G58" s="33">
        <f>152256000-15225600</f>
        <v>137030400</v>
      </c>
      <c r="H58" s="33"/>
      <c r="I58" s="33"/>
      <c r="J58" s="33"/>
      <c r="K58" s="33"/>
      <c r="L58" s="33"/>
      <c r="M58" s="33"/>
      <c r="N58" s="33"/>
      <c r="O58" s="33"/>
      <c r="P58" s="33">
        <f t="shared" si="11"/>
        <v>137030400</v>
      </c>
    </row>
    <row r="59" spans="1:16" ht="90.75" customHeight="1" x14ac:dyDescent="0.3">
      <c r="A59" s="15" t="s">
        <v>97</v>
      </c>
      <c r="B59" s="15" t="s">
        <v>98</v>
      </c>
      <c r="C59" s="15" t="s">
        <v>93</v>
      </c>
      <c r="D59" s="16" t="s">
        <v>94</v>
      </c>
      <c r="E59" s="33">
        <f t="shared" si="10"/>
        <v>11880100</v>
      </c>
      <c r="F59" s="33">
        <f>13200200-1320100</f>
        <v>11880100</v>
      </c>
      <c r="G59" s="33">
        <f>13200200-1320100</f>
        <v>11880100</v>
      </c>
      <c r="H59" s="33"/>
      <c r="I59" s="33"/>
      <c r="J59" s="33"/>
      <c r="K59" s="33"/>
      <c r="L59" s="33"/>
      <c r="M59" s="33"/>
      <c r="N59" s="33"/>
      <c r="O59" s="33"/>
      <c r="P59" s="33">
        <f t="shared" si="11"/>
        <v>11880100</v>
      </c>
    </row>
    <row r="60" spans="1:16" ht="48.75" customHeight="1" x14ac:dyDescent="0.3">
      <c r="A60" s="15" t="s">
        <v>314</v>
      </c>
      <c r="B60" s="22">
        <v>1061</v>
      </c>
      <c r="C60" s="15" t="s">
        <v>89</v>
      </c>
      <c r="D60" s="16" t="s">
        <v>90</v>
      </c>
      <c r="E60" s="33">
        <f>F60+I60</f>
        <v>733233.25</v>
      </c>
      <c r="F60" s="33">
        <f>89392.87+643840.38</f>
        <v>733233.25</v>
      </c>
      <c r="G60" s="33">
        <f>89392.87+643840.38</f>
        <v>733233.25</v>
      </c>
      <c r="H60" s="33"/>
      <c r="I60" s="33"/>
      <c r="J60" s="33"/>
      <c r="K60" s="33"/>
      <c r="L60" s="33"/>
      <c r="M60" s="33"/>
      <c r="N60" s="33"/>
      <c r="O60" s="33"/>
      <c r="P60" s="33">
        <f t="shared" si="11"/>
        <v>733233.25</v>
      </c>
    </row>
    <row r="61" spans="1:16" ht="62.4" x14ac:dyDescent="0.3">
      <c r="A61" s="15" t="s">
        <v>99</v>
      </c>
      <c r="B61" s="15" t="s">
        <v>100</v>
      </c>
      <c r="C61" s="15" t="s">
        <v>101</v>
      </c>
      <c r="D61" s="16" t="s">
        <v>102</v>
      </c>
      <c r="E61" s="33">
        <f t="shared" si="10"/>
        <v>22124180</v>
      </c>
      <c r="F61" s="33">
        <f>21876600-89000+100000+236580</f>
        <v>22124180</v>
      </c>
      <c r="G61" s="33">
        <f>18294100-89000</f>
        <v>18205100</v>
      </c>
      <c r="H61" s="33">
        <f>1125300+100000</f>
        <v>1225300</v>
      </c>
      <c r="I61" s="33"/>
      <c r="J61" s="33">
        <f t="shared" si="12"/>
        <v>110399</v>
      </c>
      <c r="K61" s="33"/>
      <c r="L61" s="33">
        <v>70399</v>
      </c>
      <c r="M61" s="33"/>
      <c r="N61" s="33"/>
      <c r="O61" s="33">
        <v>40000</v>
      </c>
      <c r="P61" s="33">
        <f t="shared" si="11"/>
        <v>22234579</v>
      </c>
    </row>
    <row r="62" spans="1:16" ht="46.8" x14ac:dyDescent="0.3">
      <c r="A62" s="15" t="s">
        <v>103</v>
      </c>
      <c r="B62" s="15" t="s">
        <v>104</v>
      </c>
      <c r="C62" s="15" t="s">
        <v>105</v>
      </c>
      <c r="D62" s="16" t="s">
        <v>106</v>
      </c>
      <c r="E62" s="33">
        <f t="shared" si="10"/>
        <v>30000</v>
      </c>
      <c r="F62" s="33">
        <v>30000</v>
      </c>
      <c r="G62" s="33"/>
      <c r="H62" s="33"/>
      <c r="I62" s="33"/>
      <c r="J62" s="33"/>
      <c r="K62" s="33"/>
      <c r="L62" s="33"/>
      <c r="M62" s="33"/>
      <c r="N62" s="33"/>
      <c r="O62" s="33"/>
      <c r="P62" s="33">
        <f t="shared" si="11"/>
        <v>30000</v>
      </c>
    </row>
    <row r="63" spans="1:16" ht="43.5" customHeight="1" x14ac:dyDescent="0.3">
      <c r="A63" s="15" t="s">
        <v>107</v>
      </c>
      <c r="B63" s="15" t="s">
        <v>108</v>
      </c>
      <c r="C63" s="15" t="s">
        <v>109</v>
      </c>
      <c r="D63" s="16" t="s">
        <v>110</v>
      </c>
      <c r="E63" s="33">
        <f t="shared" si="10"/>
        <v>3503560</v>
      </c>
      <c r="F63" s="33">
        <f>3115900+78860+260000+48800</f>
        <v>3503560</v>
      </c>
      <c r="G63" s="33">
        <f>2734500+260000+48800</f>
        <v>3043300</v>
      </c>
      <c r="H63" s="33">
        <v>37400</v>
      </c>
      <c r="I63" s="33"/>
      <c r="J63" s="33"/>
      <c r="K63" s="33"/>
      <c r="L63" s="33"/>
      <c r="M63" s="33"/>
      <c r="N63" s="33"/>
      <c r="O63" s="33"/>
      <c r="P63" s="33">
        <f t="shared" si="11"/>
        <v>3503560</v>
      </c>
    </row>
    <row r="64" spans="1:16" ht="31.2" x14ac:dyDescent="0.3">
      <c r="A64" s="15" t="s">
        <v>111</v>
      </c>
      <c r="B64" s="15" t="s">
        <v>112</v>
      </c>
      <c r="C64" s="15" t="s">
        <v>109</v>
      </c>
      <c r="D64" s="16" t="s">
        <v>113</v>
      </c>
      <c r="E64" s="33">
        <f t="shared" si="10"/>
        <v>15845760</v>
      </c>
      <c r="F64" s="33">
        <f>9537700+200000+5844200+60000+125000+78860</f>
        <v>15845760</v>
      </c>
      <c r="G64" s="33">
        <f>8267400+5844200</f>
        <v>14111600</v>
      </c>
      <c r="H64" s="33">
        <f>425260+125000</f>
        <v>550260</v>
      </c>
      <c r="I64" s="33"/>
      <c r="J64" s="33">
        <f t="shared" si="12"/>
        <v>900001</v>
      </c>
      <c r="K64" s="33">
        <v>900000</v>
      </c>
      <c r="L64" s="33">
        <v>1</v>
      </c>
      <c r="M64" s="33"/>
      <c r="N64" s="33"/>
      <c r="O64" s="33">
        <v>900000</v>
      </c>
      <c r="P64" s="33">
        <f t="shared" si="11"/>
        <v>16745761</v>
      </c>
    </row>
    <row r="65" spans="1:16" ht="31.2" x14ac:dyDescent="0.3">
      <c r="A65" s="15" t="s">
        <v>114</v>
      </c>
      <c r="B65" s="15" t="s">
        <v>115</v>
      </c>
      <c r="C65" s="15" t="s">
        <v>109</v>
      </c>
      <c r="D65" s="16" t="s">
        <v>116</v>
      </c>
      <c r="E65" s="33">
        <f t="shared" si="10"/>
        <v>30000</v>
      </c>
      <c r="F65" s="33">
        <v>30000</v>
      </c>
      <c r="G65" s="33"/>
      <c r="H65" s="33"/>
      <c r="I65" s="33"/>
      <c r="J65" s="33"/>
      <c r="K65" s="33"/>
      <c r="L65" s="33"/>
      <c r="M65" s="33"/>
      <c r="N65" s="33"/>
      <c r="O65" s="33"/>
      <c r="P65" s="33">
        <f t="shared" si="11"/>
        <v>30000</v>
      </c>
    </row>
    <row r="66" spans="1:16" ht="46.8" x14ac:dyDescent="0.3">
      <c r="A66" s="15" t="s">
        <v>117</v>
      </c>
      <c r="B66" s="15" t="s">
        <v>118</v>
      </c>
      <c r="C66" s="15" t="s">
        <v>109</v>
      </c>
      <c r="D66" s="16" t="s">
        <v>119</v>
      </c>
      <c r="E66" s="33">
        <f t="shared" si="10"/>
        <v>805900</v>
      </c>
      <c r="F66" s="33">
        <f>685100+78800+42000</f>
        <v>805900</v>
      </c>
      <c r="G66" s="33">
        <f>207500+42000</f>
        <v>249500</v>
      </c>
      <c r="H66" s="33">
        <v>278600</v>
      </c>
      <c r="I66" s="33"/>
      <c r="J66" s="33"/>
      <c r="K66" s="33"/>
      <c r="L66" s="33"/>
      <c r="M66" s="33"/>
      <c r="N66" s="33"/>
      <c r="O66" s="33"/>
      <c r="P66" s="33">
        <f t="shared" si="11"/>
        <v>805900</v>
      </c>
    </row>
    <row r="67" spans="1:16" ht="46.8" x14ac:dyDescent="0.3">
      <c r="A67" s="15" t="s">
        <v>120</v>
      </c>
      <c r="B67" s="15" t="s">
        <v>121</v>
      </c>
      <c r="C67" s="15" t="s">
        <v>109</v>
      </c>
      <c r="D67" s="16" t="s">
        <v>122</v>
      </c>
      <c r="E67" s="33">
        <f t="shared" si="10"/>
        <v>1645100</v>
      </c>
      <c r="F67" s="33">
        <f>1824000-178900</f>
        <v>1645100</v>
      </c>
      <c r="G67" s="33">
        <f>1824000-178900</f>
        <v>1645100</v>
      </c>
      <c r="H67" s="33"/>
      <c r="I67" s="33"/>
      <c r="J67" s="33"/>
      <c r="K67" s="33"/>
      <c r="L67" s="33"/>
      <c r="M67" s="33"/>
      <c r="N67" s="33"/>
      <c r="O67" s="33"/>
      <c r="P67" s="33">
        <f t="shared" si="11"/>
        <v>1645100</v>
      </c>
    </row>
    <row r="68" spans="1:16" ht="140.25" customHeight="1" x14ac:dyDescent="0.3">
      <c r="A68" s="23" t="s">
        <v>330</v>
      </c>
      <c r="B68" s="23" t="s">
        <v>331</v>
      </c>
      <c r="C68" s="24" t="s">
        <v>109</v>
      </c>
      <c r="D68" s="16" t="s">
        <v>332</v>
      </c>
      <c r="E68" s="33">
        <f>F68+I68</f>
        <v>200000</v>
      </c>
      <c r="F68" s="33">
        <v>200000</v>
      </c>
      <c r="G68" s="33">
        <v>200000</v>
      </c>
      <c r="H68" s="33"/>
      <c r="I68" s="33"/>
      <c r="J68" s="33">
        <f>L68+O68</f>
        <v>0</v>
      </c>
      <c r="K68" s="33">
        <f>843840.38-843840.38</f>
        <v>0</v>
      </c>
      <c r="L68" s="33"/>
      <c r="M68" s="33"/>
      <c r="N68" s="33"/>
      <c r="O68" s="33">
        <f>843840.38-843840.38</f>
        <v>0</v>
      </c>
      <c r="P68" s="33">
        <f t="shared" si="11"/>
        <v>200000</v>
      </c>
    </row>
    <row r="69" spans="1:16" ht="93.6" x14ac:dyDescent="0.3">
      <c r="A69" s="15" t="s">
        <v>325</v>
      </c>
      <c r="B69" s="15" t="s">
        <v>326</v>
      </c>
      <c r="C69" s="15" t="s">
        <v>109</v>
      </c>
      <c r="D69" s="16" t="s">
        <v>327</v>
      </c>
      <c r="E69" s="33"/>
      <c r="F69" s="33"/>
      <c r="G69" s="33"/>
      <c r="H69" s="33"/>
      <c r="I69" s="33"/>
      <c r="J69" s="33">
        <f>L69+O69</f>
        <v>660000</v>
      </c>
      <c r="K69" s="33">
        <v>660000</v>
      </c>
      <c r="L69" s="33"/>
      <c r="M69" s="33"/>
      <c r="N69" s="33"/>
      <c r="O69" s="33">
        <v>660000</v>
      </c>
      <c r="P69" s="33">
        <f t="shared" si="11"/>
        <v>660000</v>
      </c>
    </row>
    <row r="70" spans="1:16" ht="89.25" customHeight="1" x14ac:dyDescent="0.3">
      <c r="A70" s="49" t="s">
        <v>342</v>
      </c>
      <c r="B70" s="49" t="s">
        <v>343</v>
      </c>
      <c r="C70" s="49" t="s">
        <v>109</v>
      </c>
      <c r="D70" s="45" t="s">
        <v>344</v>
      </c>
      <c r="E70" s="33">
        <f t="shared" ref="E70:E75" si="13">F70+I70</f>
        <v>343605</v>
      </c>
      <c r="F70" s="33">
        <f>F71+F72</f>
        <v>343605</v>
      </c>
      <c r="G70" s="33">
        <f>G71+G72</f>
        <v>343605</v>
      </c>
      <c r="H70" s="33"/>
      <c r="I70" s="33"/>
      <c r="J70" s="33">
        <f>L70+O70</f>
        <v>108318</v>
      </c>
      <c r="K70" s="33">
        <f>K71+K72</f>
        <v>108318</v>
      </c>
      <c r="L70" s="33"/>
      <c r="M70" s="33"/>
      <c r="N70" s="33"/>
      <c r="O70" s="33">
        <f>O71+O72</f>
        <v>108318</v>
      </c>
      <c r="P70" s="33">
        <f>E70+J70</f>
        <v>451923</v>
      </c>
    </row>
    <row r="71" spans="1:16" ht="156" x14ac:dyDescent="0.3">
      <c r="A71" s="46"/>
      <c r="B71" s="46"/>
      <c r="C71" s="46"/>
      <c r="D71" s="47" t="s">
        <v>345</v>
      </c>
      <c r="E71" s="36">
        <f t="shared" si="13"/>
        <v>71905</v>
      </c>
      <c r="F71" s="36">
        <f>30195-800+42510</f>
        <v>71905</v>
      </c>
      <c r="G71" s="36">
        <f>30195-800+42510</f>
        <v>71905</v>
      </c>
      <c r="H71" s="36"/>
      <c r="I71" s="36"/>
      <c r="J71" s="36">
        <f>L71+O71</f>
        <v>22684</v>
      </c>
      <c r="K71" s="36">
        <f>16254-1380+7810</f>
        <v>22684</v>
      </c>
      <c r="L71" s="36"/>
      <c r="M71" s="36"/>
      <c r="N71" s="36"/>
      <c r="O71" s="36">
        <f>16254-1380+7810</f>
        <v>22684</v>
      </c>
      <c r="P71" s="36">
        <f>E71+J71</f>
        <v>94589</v>
      </c>
    </row>
    <row r="72" spans="1:16" ht="156" x14ac:dyDescent="0.3">
      <c r="A72" s="46"/>
      <c r="B72" s="46"/>
      <c r="C72" s="46"/>
      <c r="D72" s="47" t="s">
        <v>346</v>
      </c>
      <c r="E72" s="36">
        <f t="shared" si="13"/>
        <v>271700</v>
      </c>
      <c r="F72" s="36">
        <f>114070-3020+160650</f>
        <v>271700</v>
      </c>
      <c r="G72" s="36">
        <f>114070-3020+160650</f>
        <v>271700</v>
      </c>
      <c r="H72" s="36"/>
      <c r="I72" s="36"/>
      <c r="J72" s="36">
        <f>L72+O72</f>
        <v>85634</v>
      </c>
      <c r="K72" s="36">
        <f>61404-5280+29510</f>
        <v>85634</v>
      </c>
      <c r="L72" s="36"/>
      <c r="M72" s="36"/>
      <c r="N72" s="36"/>
      <c r="O72" s="36">
        <f>61404-5280+29510</f>
        <v>85634</v>
      </c>
      <c r="P72" s="36">
        <f>E72+J72</f>
        <v>357334</v>
      </c>
    </row>
    <row r="73" spans="1:16" ht="86.4" customHeight="1" x14ac:dyDescent="0.3">
      <c r="A73" s="15" t="s">
        <v>315</v>
      </c>
      <c r="B73" s="15" t="s">
        <v>316</v>
      </c>
      <c r="C73" s="15" t="s">
        <v>109</v>
      </c>
      <c r="D73" s="16" t="s">
        <v>317</v>
      </c>
      <c r="E73" s="33">
        <f t="shared" si="13"/>
        <v>217230</v>
      </c>
      <c r="F73" s="33">
        <f>F74+F75</f>
        <v>217230</v>
      </c>
      <c r="G73" s="33">
        <v>217230</v>
      </c>
      <c r="H73" s="33"/>
      <c r="I73" s="33"/>
      <c r="J73" s="33"/>
      <c r="K73" s="33"/>
      <c r="L73" s="33"/>
      <c r="M73" s="33"/>
      <c r="N73" s="33"/>
      <c r="O73" s="33"/>
      <c r="P73" s="33">
        <f t="shared" si="11"/>
        <v>217230</v>
      </c>
    </row>
    <row r="74" spans="1:16" s="19" customFormat="1" ht="86.4" customHeight="1" x14ac:dyDescent="0.3">
      <c r="A74" s="17"/>
      <c r="B74" s="17"/>
      <c r="C74" s="17"/>
      <c r="D74" s="18" t="s">
        <v>318</v>
      </c>
      <c r="E74" s="36">
        <f t="shared" si="13"/>
        <v>17112.05</v>
      </c>
      <c r="F74" s="36">
        <f>31477-14364.95</f>
        <v>17112.05</v>
      </c>
      <c r="G74" s="36">
        <f>31477-14364.95</f>
        <v>17112.05</v>
      </c>
      <c r="H74" s="36"/>
      <c r="I74" s="36"/>
      <c r="J74" s="36"/>
      <c r="K74" s="36"/>
      <c r="L74" s="36"/>
      <c r="M74" s="36"/>
      <c r="N74" s="36"/>
      <c r="O74" s="36"/>
      <c r="P74" s="36">
        <f t="shared" si="11"/>
        <v>17112.05</v>
      </c>
    </row>
    <row r="75" spans="1:16" s="19" customFormat="1" ht="86.4" customHeight="1" x14ac:dyDescent="0.3">
      <c r="A75" s="17"/>
      <c r="B75" s="17"/>
      <c r="C75" s="17"/>
      <c r="D75" s="18" t="s">
        <v>319</v>
      </c>
      <c r="E75" s="36">
        <f t="shared" si="13"/>
        <v>200117.95</v>
      </c>
      <c r="F75" s="36">
        <f>185753+14364.95</f>
        <v>200117.95</v>
      </c>
      <c r="G75" s="36">
        <f>185753+14364.95</f>
        <v>200117.95</v>
      </c>
      <c r="H75" s="36"/>
      <c r="I75" s="36"/>
      <c r="J75" s="36"/>
      <c r="K75" s="36"/>
      <c r="L75" s="36"/>
      <c r="M75" s="36"/>
      <c r="N75" s="36"/>
      <c r="O75" s="36"/>
      <c r="P75" s="36">
        <f t="shared" si="11"/>
        <v>200117.95</v>
      </c>
    </row>
    <row r="76" spans="1:16" ht="31.2" x14ac:dyDescent="0.3">
      <c r="A76" s="15" t="s">
        <v>123</v>
      </c>
      <c r="B76" s="15" t="s">
        <v>50</v>
      </c>
      <c r="C76" s="15" t="s">
        <v>51</v>
      </c>
      <c r="D76" s="16" t="s">
        <v>52</v>
      </c>
      <c r="E76" s="33">
        <f t="shared" si="10"/>
        <v>7879000</v>
      </c>
      <c r="F76" s="33">
        <f>2000200+1878800+4000000</f>
        <v>7879000</v>
      </c>
      <c r="G76" s="33"/>
      <c r="H76" s="33"/>
      <c r="I76" s="33"/>
      <c r="J76" s="33"/>
      <c r="K76" s="33"/>
      <c r="L76" s="33"/>
      <c r="M76" s="33"/>
      <c r="N76" s="33"/>
      <c r="O76" s="33"/>
      <c r="P76" s="33">
        <f t="shared" si="11"/>
        <v>7879000</v>
      </c>
    </row>
    <row r="77" spans="1:16" ht="46.8" x14ac:dyDescent="0.3">
      <c r="A77" s="15" t="s">
        <v>124</v>
      </c>
      <c r="B77" s="15" t="s">
        <v>125</v>
      </c>
      <c r="C77" s="15" t="s">
        <v>126</v>
      </c>
      <c r="D77" s="16" t="s">
        <v>127</v>
      </c>
      <c r="E77" s="33">
        <f t="shared" si="10"/>
        <v>10415320</v>
      </c>
      <c r="F77" s="33">
        <f>10257600+157720</f>
        <v>10415320</v>
      </c>
      <c r="G77" s="33">
        <v>8435600</v>
      </c>
      <c r="H77" s="33">
        <v>835000</v>
      </c>
      <c r="I77" s="33"/>
      <c r="J77" s="33"/>
      <c r="K77" s="33"/>
      <c r="L77" s="33"/>
      <c r="M77" s="33"/>
      <c r="N77" s="33"/>
      <c r="O77" s="33"/>
      <c r="P77" s="33">
        <f t="shared" si="11"/>
        <v>10415320</v>
      </c>
    </row>
    <row r="78" spans="1:16" ht="54.75" customHeight="1" x14ac:dyDescent="0.3">
      <c r="A78" s="23" t="s">
        <v>361</v>
      </c>
      <c r="B78" s="22">
        <v>8110</v>
      </c>
      <c r="C78" s="23" t="s">
        <v>349</v>
      </c>
      <c r="D78" s="16" t="s">
        <v>347</v>
      </c>
      <c r="E78" s="33">
        <f t="shared" si="10"/>
        <v>7490650</v>
      </c>
      <c r="F78" s="33">
        <f>5000000+1656000+37500-1656000+300000+175000+1978150</f>
        <v>7490650</v>
      </c>
      <c r="G78" s="33"/>
      <c r="H78" s="33"/>
      <c r="I78" s="33"/>
      <c r="J78" s="33">
        <f>L78+O78</f>
        <v>510300</v>
      </c>
      <c r="K78" s="33">
        <v>510300</v>
      </c>
      <c r="L78" s="33"/>
      <c r="M78" s="33"/>
      <c r="N78" s="33"/>
      <c r="O78" s="33">
        <v>510300</v>
      </c>
      <c r="P78" s="33">
        <f t="shared" si="11"/>
        <v>8000950</v>
      </c>
    </row>
    <row r="79" spans="1:16" ht="62.4" x14ac:dyDescent="0.3">
      <c r="A79" s="13" t="s">
        <v>128</v>
      </c>
      <c r="B79" s="13" t="s">
        <v>18</v>
      </c>
      <c r="C79" s="13" t="s">
        <v>18</v>
      </c>
      <c r="D79" s="14" t="s">
        <v>129</v>
      </c>
      <c r="E79" s="37">
        <f>F79+I79</f>
        <v>71212623</v>
      </c>
      <c r="F79" s="37">
        <f>F80</f>
        <v>71212623</v>
      </c>
      <c r="G79" s="37">
        <f>G80</f>
        <v>31622600</v>
      </c>
      <c r="H79" s="37">
        <f>H80</f>
        <v>980300</v>
      </c>
      <c r="I79" s="37"/>
      <c r="J79" s="37">
        <f>L79+O79</f>
        <v>68000</v>
      </c>
      <c r="K79" s="37"/>
      <c r="L79" s="37"/>
      <c r="M79" s="37"/>
      <c r="N79" s="37"/>
      <c r="O79" s="37">
        <f>O80</f>
        <v>68000</v>
      </c>
      <c r="P79" s="37">
        <f>E79+J79</f>
        <v>71280623</v>
      </c>
    </row>
    <row r="80" spans="1:16" ht="62.4" x14ac:dyDescent="0.3">
      <c r="A80" s="13" t="s">
        <v>130</v>
      </c>
      <c r="B80" s="13" t="s">
        <v>18</v>
      </c>
      <c r="C80" s="13" t="s">
        <v>18</v>
      </c>
      <c r="D80" s="14" t="s">
        <v>129</v>
      </c>
      <c r="E80" s="37">
        <f>F80+I80</f>
        <v>71212623</v>
      </c>
      <c r="F80" s="37">
        <f>F81+F82+F83+F84+F85+F86+F87+F88+F89+F90+F91+F92+F93+F94+F95</f>
        <v>71212623</v>
      </c>
      <c r="G80" s="37">
        <f>G81+G82+G83+G84+G85+G86+G87+G88+G89+G90+G91+G92+G93+G94+G95</f>
        <v>31622600</v>
      </c>
      <c r="H80" s="37">
        <f>H81+H82+H83+H84+H85+H86+H87+H88+H89+H90+H91+H92+H93+H94+H95</f>
        <v>980300</v>
      </c>
      <c r="I80" s="37"/>
      <c r="J80" s="37">
        <f>L80+O80</f>
        <v>68000</v>
      </c>
      <c r="K80" s="37"/>
      <c r="L80" s="37"/>
      <c r="M80" s="37"/>
      <c r="N80" s="37"/>
      <c r="O80" s="37">
        <f>O81+O82+O83+O84+O85+O86+O87+O88+O89+O90+O91+O92+O93+O95</f>
        <v>68000</v>
      </c>
      <c r="P80" s="37">
        <f>E80+J80</f>
        <v>71280623</v>
      </c>
    </row>
    <row r="81" spans="1:16" ht="64.2" customHeight="1" x14ac:dyDescent="0.3">
      <c r="A81" s="15" t="s">
        <v>131</v>
      </c>
      <c r="B81" s="15" t="s">
        <v>80</v>
      </c>
      <c r="C81" s="15" t="s">
        <v>23</v>
      </c>
      <c r="D81" s="16" t="s">
        <v>81</v>
      </c>
      <c r="E81" s="33">
        <f>F81+I81</f>
        <v>13055500</v>
      </c>
      <c r="F81" s="33">
        <f>11782300+799100+99800-45000+305000+114300</f>
        <v>13055500</v>
      </c>
      <c r="G81" s="33">
        <f>8699100+1913900+799100+305000+114300</f>
        <v>11831400</v>
      </c>
      <c r="H81" s="33">
        <f>568200+99800-45000</f>
        <v>623000</v>
      </c>
      <c r="I81" s="33"/>
      <c r="J81" s="33"/>
      <c r="K81" s="33"/>
      <c r="L81" s="33"/>
      <c r="M81" s="33"/>
      <c r="N81" s="33"/>
      <c r="O81" s="33"/>
      <c r="P81" s="33">
        <f>E81+J81</f>
        <v>13055500</v>
      </c>
    </row>
    <row r="82" spans="1:16" ht="31.2" x14ac:dyDescent="0.3">
      <c r="A82" s="15" t="s">
        <v>132</v>
      </c>
      <c r="B82" s="15" t="s">
        <v>30</v>
      </c>
      <c r="C82" s="15" t="s">
        <v>31</v>
      </c>
      <c r="D82" s="16" t="s">
        <v>32</v>
      </c>
      <c r="E82" s="33">
        <f t="shared" ref="E82:E95" si="14">F82+I82</f>
        <v>399000</v>
      </c>
      <c r="F82" s="33">
        <v>399000</v>
      </c>
      <c r="G82" s="33"/>
      <c r="H82" s="33"/>
      <c r="I82" s="33"/>
      <c r="J82" s="33"/>
      <c r="K82" s="33"/>
      <c r="L82" s="33"/>
      <c r="M82" s="33"/>
      <c r="N82" s="33"/>
      <c r="O82" s="33"/>
      <c r="P82" s="33">
        <f t="shared" ref="P82:P95" si="15">E82+J82</f>
        <v>399000</v>
      </c>
    </row>
    <row r="83" spans="1:16" ht="46.8" x14ac:dyDescent="0.3">
      <c r="A83" s="15" t="s">
        <v>133</v>
      </c>
      <c r="B83" s="15" t="s">
        <v>134</v>
      </c>
      <c r="C83" s="15" t="s">
        <v>135</v>
      </c>
      <c r="D83" s="16" t="s">
        <v>136</v>
      </c>
      <c r="E83" s="33">
        <f t="shared" si="14"/>
        <v>186000</v>
      </c>
      <c r="F83" s="33">
        <v>186000</v>
      </c>
      <c r="G83" s="33"/>
      <c r="H83" s="33"/>
      <c r="I83" s="33"/>
      <c r="J83" s="33"/>
      <c r="K83" s="33"/>
      <c r="L83" s="33"/>
      <c r="M83" s="33"/>
      <c r="N83" s="33"/>
      <c r="O83" s="33"/>
      <c r="P83" s="33">
        <f t="shared" si="15"/>
        <v>186000</v>
      </c>
    </row>
    <row r="84" spans="1:16" ht="37.5" customHeight="1" x14ac:dyDescent="0.3">
      <c r="A84" s="15" t="s">
        <v>137</v>
      </c>
      <c r="B84" s="15" t="s">
        <v>138</v>
      </c>
      <c r="C84" s="15" t="s">
        <v>100</v>
      </c>
      <c r="D84" s="16" t="s">
        <v>139</v>
      </c>
      <c r="E84" s="33">
        <f t="shared" si="14"/>
        <v>48000</v>
      </c>
      <c r="F84" s="33">
        <v>48000</v>
      </c>
      <c r="G84" s="33"/>
      <c r="H84" s="33"/>
      <c r="I84" s="33"/>
      <c r="J84" s="33"/>
      <c r="K84" s="33"/>
      <c r="L84" s="33"/>
      <c r="M84" s="33"/>
      <c r="N84" s="33"/>
      <c r="O84" s="33"/>
      <c r="P84" s="33">
        <f t="shared" si="15"/>
        <v>48000</v>
      </c>
    </row>
    <row r="85" spans="1:16" ht="46.8" x14ac:dyDescent="0.3">
      <c r="A85" s="15" t="s">
        <v>140</v>
      </c>
      <c r="B85" s="15" t="s">
        <v>141</v>
      </c>
      <c r="C85" s="15" t="s">
        <v>100</v>
      </c>
      <c r="D85" s="16" t="s">
        <v>142</v>
      </c>
      <c r="E85" s="33">
        <f t="shared" si="14"/>
        <v>301803</v>
      </c>
      <c r="F85" s="33">
        <f>251803+50000</f>
        <v>301803</v>
      </c>
      <c r="G85" s="33"/>
      <c r="H85" s="33"/>
      <c r="I85" s="33"/>
      <c r="J85" s="33"/>
      <c r="K85" s="33"/>
      <c r="L85" s="33"/>
      <c r="M85" s="33"/>
      <c r="N85" s="33"/>
      <c r="O85" s="33"/>
      <c r="P85" s="33">
        <f t="shared" si="15"/>
        <v>301803</v>
      </c>
    </row>
    <row r="86" spans="1:16" ht="46.8" x14ac:dyDescent="0.3">
      <c r="A86" s="15" t="s">
        <v>143</v>
      </c>
      <c r="B86" s="15" t="s">
        <v>144</v>
      </c>
      <c r="C86" s="15" t="s">
        <v>135</v>
      </c>
      <c r="D86" s="16" t="s">
        <v>145</v>
      </c>
      <c r="E86" s="33">
        <f t="shared" si="14"/>
        <v>204050</v>
      </c>
      <c r="F86" s="33">
        <v>204050</v>
      </c>
      <c r="G86" s="33"/>
      <c r="H86" s="33"/>
      <c r="I86" s="33"/>
      <c r="J86" s="33"/>
      <c r="K86" s="33"/>
      <c r="L86" s="33"/>
      <c r="M86" s="33"/>
      <c r="N86" s="33"/>
      <c r="O86" s="33"/>
      <c r="P86" s="33">
        <f t="shared" si="15"/>
        <v>204050</v>
      </c>
    </row>
    <row r="87" spans="1:16" ht="93.6" x14ac:dyDescent="0.3">
      <c r="A87" s="15" t="s">
        <v>146</v>
      </c>
      <c r="B87" s="15" t="s">
        <v>147</v>
      </c>
      <c r="C87" s="15" t="s">
        <v>148</v>
      </c>
      <c r="D87" s="16" t="s">
        <v>149</v>
      </c>
      <c r="E87" s="33">
        <f t="shared" si="14"/>
        <v>14835500</v>
      </c>
      <c r="F87" s="33">
        <f>15197500-427000+65000</f>
        <v>14835500</v>
      </c>
      <c r="G87" s="33">
        <f>14727300-408300</f>
        <v>14319000</v>
      </c>
      <c r="H87" s="33">
        <v>158900</v>
      </c>
      <c r="I87" s="33"/>
      <c r="J87" s="33">
        <f t="shared" ref="J87" si="16">L87+O87</f>
        <v>68000</v>
      </c>
      <c r="K87" s="33"/>
      <c r="L87" s="33"/>
      <c r="M87" s="33"/>
      <c r="N87" s="33"/>
      <c r="O87" s="33">
        <v>68000</v>
      </c>
      <c r="P87" s="33">
        <f t="shared" si="15"/>
        <v>14903500</v>
      </c>
    </row>
    <row r="88" spans="1:16" ht="51" customHeight="1" x14ac:dyDescent="0.3">
      <c r="A88" s="15" t="s">
        <v>150</v>
      </c>
      <c r="B88" s="15" t="s">
        <v>151</v>
      </c>
      <c r="C88" s="15" t="s">
        <v>47</v>
      </c>
      <c r="D88" s="16" t="s">
        <v>152</v>
      </c>
      <c r="E88" s="33">
        <f t="shared" si="14"/>
        <v>6816100</v>
      </c>
      <c r="F88" s="33">
        <f>6935900-54800-65000</f>
        <v>6816100</v>
      </c>
      <c r="G88" s="33">
        <v>5472200</v>
      </c>
      <c r="H88" s="33">
        <f>253200-54800</f>
        <v>198400</v>
      </c>
      <c r="I88" s="33"/>
      <c r="J88" s="33"/>
      <c r="K88" s="33"/>
      <c r="L88" s="33"/>
      <c r="M88" s="33"/>
      <c r="N88" s="33"/>
      <c r="O88" s="33"/>
      <c r="P88" s="33">
        <f t="shared" si="15"/>
        <v>6816100</v>
      </c>
    </row>
    <row r="89" spans="1:16" ht="31.2" x14ac:dyDescent="0.3">
      <c r="A89" s="15" t="s">
        <v>153</v>
      </c>
      <c r="B89" s="15" t="s">
        <v>154</v>
      </c>
      <c r="C89" s="15" t="s">
        <v>47</v>
      </c>
      <c r="D89" s="16" t="s">
        <v>155</v>
      </c>
      <c r="E89" s="33">
        <f t="shared" si="14"/>
        <v>640000</v>
      </c>
      <c r="F89" s="33">
        <v>640000</v>
      </c>
      <c r="G89" s="33"/>
      <c r="H89" s="33"/>
      <c r="I89" s="33"/>
      <c r="J89" s="33"/>
      <c r="K89" s="33"/>
      <c r="L89" s="33"/>
      <c r="M89" s="33"/>
      <c r="N89" s="33"/>
      <c r="O89" s="33"/>
      <c r="P89" s="33">
        <f t="shared" si="15"/>
        <v>640000</v>
      </c>
    </row>
    <row r="90" spans="1:16" ht="141" customHeight="1" x14ac:dyDescent="0.3">
      <c r="A90" s="15" t="s">
        <v>156</v>
      </c>
      <c r="B90" s="15" t="s">
        <v>157</v>
      </c>
      <c r="C90" s="15" t="s">
        <v>84</v>
      </c>
      <c r="D90" s="16" t="s">
        <v>158</v>
      </c>
      <c r="E90" s="33">
        <f t="shared" si="14"/>
        <v>1710000</v>
      </c>
      <c r="F90" s="33">
        <f>900000+500000+310000</f>
        <v>1710000</v>
      </c>
      <c r="G90" s="33"/>
      <c r="H90" s="33"/>
      <c r="I90" s="33"/>
      <c r="J90" s="33"/>
      <c r="K90" s="33"/>
      <c r="L90" s="33"/>
      <c r="M90" s="33"/>
      <c r="N90" s="33"/>
      <c r="O90" s="33"/>
      <c r="P90" s="33">
        <f t="shared" si="15"/>
        <v>1710000</v>
      </c>
    </row>
    <row r="91" spans="1:16" ht="90" customHeight="1" x14ac:dyDescent="0.3">
      <c r="A91" s="15" t="s">
        <v>159</v>
      </c>
      <c r="B91" s="15" t="s">
        <v>160</v>
      </c>
      <c r="C91" s="15" t="s">
        <v>84</v>
      </c>
      <c r="D91" s="16" t="s">
        <v>161</v>
      </c>
      <c r="E91" s="33">
        <f t="shared" si="14"/>
        <v>27110</v>
      </c>
      <c r="F91" s="33">
        <v>27110</v>
      </c>
      <c r="G91" s="33"/>
      <c r="H91" s="33"/>
      <c r="I91" s="33"/>
      <c r="J91" s="33"/>
      <c r="K91" s="33"/>
      <c r="L91" s="33"/>
      <c r="M91" s="33"/>
      <c r="N91" s="33"/>
      <c r="O91" s="33"/>
      <c r="P91" s="33">
        <f t="shared" si="15"/>
        <v>27110</v>
      </c>
    </row>
    <row r="92" spans="1:16" ht="115.5" customHeight="1" x14ac:dyDescent="0.3">
      <c r="A92" s="15" t="s">
        <v>162</v>
      </c>
      <c r="B92" s="15" t="s">
        <v>163</v>
      </c>
      <c r="C92" s="15" t="s">
        <v>164</v>
      </c>
      <c r="D92" s="16" t="s">
        <v>165</v>
      </c>
      <c r="E92" s="33">
        <f t="shared" si="14"/>
        <v>1500000</v>
      </c>
      <c r="F92" s="33">
        <v>1500000</v>
      </c>
      <c r="G92" s="33"/>
      <c r="H92" s="33"/>
      <c r="I92" s="33"/>
      <c r="J92" s="33"/>
      <c r="K92" s="33"/>
      <c r="L92" s="33"/>
      <c r="M92" s="33"/>
      <c r="N92" s="33"/>
      <c r="O92" s="33"/>
      <c r="P92" s="33">
        <f t="shared" si="15"/>
        <v>1500000</v>
      </c>
    </row>
    <row r="93" spans="1:16" ht="76.5" customHeight="1" x14ac:dyDescent="0.3">
      <c r="A93" s="15" t="s">
        <v>166</v>
      </c>
      <c r="B93" s="15" t="s">
        <v>167</v>
      </c>
      <c r="C93" s="15" t="s">
        <v>135</v>
      </c>
      <c r="D93" s="16" t="s">
        <v>168</v>
      </c>
      <c r="E93" s="33">
        <f t="shared" si="14"/>
        <v>100000</v>
      </c>
      <c r="F93" s="33">
        <v>100000</v>
      </c>
      <c r="G93" s="33"/>
      <c r="H93" s="33"/>
      <c r="I93" s="33"/>
      <c r="J93" s="33"/>
      <c r="K93" s="33"/>
      <c r="L93" s="33"/>
      <c r="M93" s="33"/>
      <c r="N93" s="33"/>
      <c r="O93" s="33"/>
      <c r="P93" s="33">
        <f t="shared" si="15"/>
        <v>100000</v>
      </c>
    </row>
    <row r="94" spans="1:16" ht="70.5" customHeight="1" x14ac:dyDescent="0.3">
      <c r="A94" s="24" t="s">
        <v>358</v>
      </c>
      <c r="B94" s="22">
        <v>3230</v>
      </c>
      <c r="C94" s="22">
        <v>1070</v>
      </c>
      <c r="D94" s="16" t="s">
        <v>359</v>
      </c>
      <c r="E94" s="33">
        <f t="shared" ref="E94" si="17">F94+I94</f>
        <v>722840</v>
      </c>
      <c r="F94" s="33">
        <f>297600+116160+58080+44000+38000+109000+60000</f>
        <v>722840</v>
      </c>
      <c r="G94" s="33"/>
      <c r="H94" s="33"/>
      <c r="I94" s="33"/>
      <c r="J94" s="33"/>
      <c r="K94" s="33"/>
      <c r="L94" s="33"/>
      <c r="M94" s="33"/>
      <c r="N94" s="33"/>
      <c r="O94" s="33"/>
      <c r="P94" s="33">
        <f t="shared" ref="P94" si="18">E94+J94</f>
        <v>722840</v>
      </c>
    </row>
    <row r="95" spans="1:16" ht="46.5" customHeight="1" x14ac:dyDescent="0.3">
      <c r="A95" s="15" t="s">
        <v>169</v>
      </c>
      <c r="B95" s="15" t="s">
        <v>50</v>
      </c>
      <c r="C95" s="15" t="s">
        <v>51</v>
      </c>
      <c r="D95" s="16" t="s">
        <v>52</v>
      </c>
      <c r="E95" s="33">
        <f t="shared" si="14"/>
        <v>30666720</v>
      </c>
      <c r="F95" s="33">
        <f>27661000+200000-200000+400000+250000+1700000+348480-297600-116160+537700+553300-370000</f>
        <v>30666720</v>
      </c>
      <c r="G95" s="33"/>
      <c r="H95" s="33"/>
      <c r="I95" s="33"/>
      <c r="J95" s="33"/>
      <c r="K95" s="33"/>
      <c r="L95" s="33"/>
      <c r="M95" s="33"/>
      <c r="N95" s="33"/>
      <c r="O95" s="33"/>
      <c r="P95" s="33">
        <f t="shared" si="15"/>
        <v>30666720</v>
      </c>
    </row>
    <row r="96" spans="1:16" ht="62.25" customHeight="1" x14ac:dyDescent="0.3">
      <c r="A96" s="13" t="s">
        <v>170</v>
      </c>
      <c r="B96" s="13" t="s">
        <v>18</v>
      </c>
      <c r="C96" s="13" t="s">
        <v>18</v>
      </c>
      <c r="D96" s="14" t="s">
        <v>171</v>
      </c>
      <c r="E96" s="37">
        <f>F96+I96</f>
        <v>48608859</v>
      </c>
      <c r="F96" s="37">
        <f>F97</f>
        <v>48608859</v>
      </c>
      <c r="G96" s="37">
        <f>G97</f>
        <v>42270300</v>
      </c>
      <c r="H96" s="37">
        <f>H97</f>
        <v>2968300</v>
      </c>
      <c r="I96" s="37"/>
      <c r="J96" s="37">
        <f>L96+O96</f>
        <v>1372500</v>
      </c>
      <c r="K96" s="37">
        <f>K97</f>
        <v>49000</v>
      </c>
      <c r="L96" s="37">
        <f>L97</f>
        <v>1096500</v>
      </c>
      <c r="M96" s="37">
        <f>M97</f>
        <v>415000</v>
      </c>
      <c r="N96" s="37"/>
      <c r="O96" s="37">
        <f>O97</f>
        <v>276000</v>
      </c>
      <c r="P96" s="37">
        <f>E96+J96</f>
        <v>49981359</v>
      </c>
    </row>
    <row r="97" spans="1:16" ht="60" customHeight="1" x14ac:dyDescent="0.3">
      <c r="A97" s="13" t="s">
        <v>172</v>
      </c>
      <c r="B97" s="13" t="s">
        <v>18</v>
      </c>
      <c r="C97" s="13" t="s">
        <v>18</v>
      </c>
      <c r="D97" s="14" t="s">
        <v>171</v>
      </c>
      <c r="E97" s="37">
        <f>F97+I97</f>
        <v>48608859</v>
      </c>
      <c r="F97" s="37">
        <f>F98+F99+F100+F101+F102+F103+F104+F105+F106</f>
        <v>48608859</v>
      </c>
      <c r="G97" s="37">
        <f t="shared" ref="G97:H97" si="19">G98+G99+G100+G101+G102+G103+G104+G105+G106</f>
        <v>42270300</v>
      </c>
      <c r="H97" s="37">
        <f t="shared" si="19"/>
        <v>2968300</v>
      </c>
      <c r="I97" s="37"/>
      <c r="J97" s="37">
        <f>L97+O97</f>
        <v>1372500</v>
      </c>
      <c r="K97" s="37">
        <f>K98+K99+K100+K101+K102+K103+K104+K105+K106</f>
        <v>49000</v>
      </c>
      <c r="L97" s="37">
        <f t="shared" ref="L97:O97" si="20">L98+L99+L100+L101+L102+L103+L104+L105+L106</f>
        <v>1096500</v>
      </c>
      <c r="M97" s="37">
        <f t="shared" si="20"/>
        <v>415000</v>
      </c>
      <c r="N97" s="37"/>
      <c r="O97" s="37">
        <f t="shared" si="20"/>
        <v>276000</v>
      </c>
      <c r="P97" s="37">
        <f>E97+J97</f>
        <v>49981359</v>
      </c>
    </row>
    <row r="98" spans="1:16" ht="64.2" customHeight="1" x14ac:dyDescent="0.3">
      <c r="A98" s="15" t="s">
        <v>173</v>
      </c>
      <c r="B98" s="15" t="s">
        <v>80</v>
      </c>
      <c r="C98" s="15" t="s">
        <v>23</v>
      </c>
      <c r="D98" s="16" t="s">
        <v>81</v>
      </c>
      <c r="E98" s="33">
        <f>F98+I98</f>
        <v>710300</v>
      </c>
      <c r="F98" s="33">
        <f>621400+46000+19000+22800+1100</f>
        <v>710300</v>
      </c>
      <c r="G98" s="33">
        <f>489600+107700+46000+19000+22800+1100</f>
        <v>686200</v>
      </c>
      <c r="H98" s="33"/>
      <c r="I98" s="33"/>
      <c r="J98" s="33"/>
      <c r="K98" s="33"/>
      <c r="L98" s="33"/>
      <c r="M98" s="33"/>
      <c r="N98" s="33"/>
      <c r="O98" s="33"/>
      <c r="P98" s="33">
        <f>E98+J98</f>
        <v>710300</v>
      </c>
    </row>
    <row r="99" spans="1:16" ht="31.2" x14ac:dyDescent="0.3">
      <c r="A99" s="15" t="s">
        <v>174</v>
      </c>
      <c r="B99" s="15" t="s">
        <v>30</v>
      </c>
      <c r="C99" s="15" t="s">
        <v>31</v>
      </c>
      <c r="D99" s="16" t="s">
        <v>32</v>
      </c>
      <c r="E99" s="33">
        <f t="shared" ref="E99:E106" si="21">F99+I99</f>
        <v>319000</v>
      </c>
      <c r="F99" s="33">
        <v>319000</v>
      </c>
      <c r="G99" s="33"/>
      <c r="H99" s="33"/>
      <c r="I99" s="33"/>
      <c r="J99" s="33"/>
      <c r="K99" s="33"/>
      <c r="L99" s="33"/>
      <c r="M99" s="33"/>
      <c r="N99" s="33"/>
      <c r="O99" s="33"/>
      <c r="P99" s="33">
        <f t="shared" ref="P99:P106" si="22">E99+J99</f>
        <v>319000</v>
      </c>
    </row>
    <row r="100" spans="1:16" ht="45" customHeight="1" x14ac:dyDescent="0.3">
      <c r="A100" s="15" t="s">
        <v>175</v>
      </c>
      <c r="B100" s="15" t="s">
        <v>176</v>
      </c>
      <c r="C100" s="15" t="s">
        <v>101</v>
      </c>
      <c r="D100" s="16" t="s">
        <v>177</v>
      </c>
      <c r="E100" s="33">
        <f t="shared" si="21"/>
        <v>22283300</v>
      </c>
      <c r="F100" s="33">
        <f>22309300-26000</f>
        <v>22283300</v>
      </c>
      <c r="G100" s="33">
        <f>21723400-26000</f>
        <v>21697400</v>
      </c>
      <c r="H100" s="33">
        <v>547200</v>
      </c>
      <c r="I100" s="33"/>
      <c r="J100" s="33">
        <f t="shared" ref="J100:J103" si="23">L100+O100</f>
        <v>1001500</v>
      </c>
      <c r="K100" s="33"/>
      <c r="L100" s="33">
        <v>801500</v>
      </c>
      <c r="M100" s="33">
        <v>385000</v>
      </c>
      <c r="N100" s="33"/>
      <c r="O100" s="33">
        <v>200000</v>
      </c>
      <c r="P100" s="33">
        <f t="shared" si="22"/>
        <v>23284800</v>
      </c>
    </row>
    <row r="101" spans="1:16" ht="20.25" customHeight="1" x14ac:dyDescent="0.3">
      <c r="A101" s="15" t="s">
        <v>178</v>
      </c>
      <c r="B101" s="15" t="s">
        <v>179</v>
      </c>
      <c r="C101" s="15" t="s">
        <v>180</v>
      </c>
      <c r="D101" s="16" t="s">
        <v>181</v>
      </c>
      <c r="E101" s="33">
        <f t="shared" si="21"/>
        <v>7835400</v>
      </c>
      <c r="F101" s="33">
        <v>7835400</v>
      </c>
      <c r="G101" s="33">
        <v>6552100</v>
      </c>
      <c r="H101" s="33">
        <v>984300</v>
      </c>
      <c r="I101" s="33"/>
      <c r="J101" s="33">
        <f t="shared" si="23"/>
        <v>97000</v>
      </c>
      <c r="K101" s="33"/>
      <c r="L101" s="33">
        <v>97000</v>
      </c>
      <c r="M101" s="33"/>
      <c r="N101" s="33"/>
      <c r="O101" s="33"/>
      <c r="P101" s="33">
        <f t="shared" si="22"/>
        <v>7932400</v>
      </c>
    </row>
    <row r="102" spans="1:16" ht="38.25" customHeight="1" x14ac:dyDescent="0.3">
      <c r="A102" s="15" t="s">
        <v>182</v>
      </c>
      <c r="B102" s="15" t="s">
        <v>183</v>
      </c>
      <c r="C102" s="15" t="s">
        <v>180</v>
      </c>
      <c r="D102" s="16" t="s">
        <v>184</v>
      </c>
      <c r="E102" s="33">
        <f t="shared" si="21"/>
        <v>2827900</v>
      </c>
      <c r="F102" s="33">
        <v>2827900</v>
      </c>
      <c r="G102" s="33">
        <f>2220400-70000</f>
        <v>2150400</v>
      </c>
      <c r="H102" s="33">
        <v>403300</v>
      </c>
      <c r="I102" s="33"/>
      <c r="J102" s="33">
        <f t="shared" si="23"/>
        <v>40000</v>
      </c>
      <c r="K102" s="33"/>
      <c r="L102" s="33">
        <v>40000</v>
      </c>
      <c r="M102" s="33"/>
      <c r="N102" s="33"/>
      <c r="O102" s="33"/>
      <c r="P102" s="33">
        <f t="shared" si="22"/>
        <v>2867900</v>
      </c>
    </row>
    <row r="103" spans="1:16" ht="56.25" customHeight="1" x14ac:dyDescent="0.3">
      <c r="A103" s="15" t="s">
        <v>185</v>
      </c>
      <c r="B103" s="15" t="s">
        <v>186</v>
      </c>
      <c r="C103" s="15" t="s">
        <v>187</v>
      </c>
      <c r="D103" s="16" t="s">
        <v>188</v>
      </c>
      <c r="E103" s="33">
        <f t="shared" si="21"/>
        <v>10653300</v>
      </c>
      <c r="F103" s="33">
        <f>10656600-3300</f>
        <v>10653300</v>
      </c>
      <c r="G103" s="33">
        <f>9255000-3300</f>
        <v>9251700</v>
      </c>
      <c r="H103" s="33">
        <v>950700</v>
      </c>
      <c r="I103" s="33"/>
      <c r="J103" s="33">
        <f t="shared" si="23"/>
        <v>185000</v>
      </c>
      <c r="K103" s="33"/>
      <c r="L103" s="33">
        <v>158000</v>
      </c>
      <c r="M103" s="33">
        <v>30000</v>
      </c>
      <c r="N103" s="33"/>
      <c r="O103" s="33">
        <v>27000</v>
      </c>
      <c r="P103" s="33">
        <f t="shared" si="22"/>
        <v>10838300</v>
      </c>
    </row>
    <row r="104" spans="1:16" ht="45" customHeight="1" x14ac:dyDescent="0.3">
      <c r="A104" s="15" t="s">
        <v>189</v>
      </c>
      <c r="B104" s="15" t="s">
        <v>190</v>
      </c>
      <c r="C104" s="15" t="s">
        <v>191</v>
      </c>
      <c r="D104" s="16" t="s">
        <v>192</v>
      </c>
      <c r="E104" s="33">
        <f t="shared" si="21"/>
        <v>2096900</v>
      </c>
      <c r="F104" s="33">
        <f>2067600+3300+26000</f>
        <v>2096900</v>
      </c>
      <c r="G104" s="33">
        <f>1903200+3300+26000</f>
        <v>1932500</v>
      </c>
      <c r="H104" s="33">
        <v>82800</v>
      </c>
      <c r="I104" s="33"/>
      <c r="J104" s="33"/>
      <c r="K104" s="33"/>
      <c r="L104" s="33"/>
      <c r="M104" s="33"/>
      <c r="N104" s="33"/>
      <c r="O104" s="33"/>
      <c r="P104" s="33">
        <f t="shared" si="22"/>
        <v>2096900</v>
      </c>
    </row>
    <row r="105" spans="1:16" ht="33" customHeight="1" x14ac:dyDescent="0.3">
      <c r="A105" s="15" t="s">
        <v>193</v>
      </c>
      <c r="B105" s="15" t="s">
        <v>194</v>
      </c>
      <c r="C105" s="15" t="s">
        <v>191</v>
      </c>
      <c r="D105" s="16" t="s">
        <v>195</v>
      </c>
      <c r="E105" s="33">
        <f t="shared" si="21"/>
        <v>1771459</v>
      </c>
      <c r="F105" s="33">
        <f>2132700-19000-110300-181941-50000</f>
        <v>1771459</v>
      </c>
      <c r="G105" s="33"/>
      <c r="H105" s="33"/>
      <c r="I105" s="33"/>
      <c r="J105" s="33"/>
      <c r="K105" s="33"/>
      <c r="L105" s="33"/>
      <c r="M105" s="33"/>
      <c r="N105" s="33"/>
      <c r="O105" s="33"/>
      <c r="P105" s="33">
        <f t="shared" si="22"/>
        <v>1771459</v>
      </c>
    </row>
    <row r="106" spans="1:16" ht="46.8" x14ac:dyDescent="0.3">
      <c r="A106" s="22">
        <v>1018110</v>
      </c>
      <c r="B106" s="22">
        <v>8110</v>
      </c>
      <c r="C106" s="23" t="s">
        <v>349</v>
      </c>
      <c r="D106" s="16" t="s">
        <v>347</v>
      </c>
      <c r="E106" s="33">
        <f t="shared" si="21"/>
        <v>111300</v>
      </c>
      <c r="F106" s="33">
        <f>50250+11050+50000</f>
        <v>111300</v>
      </c>
      <c r="G106" s="33"/>
      <c r="H106" s="33"/>
      <c r="I106" s="33"/>
      <c r="J106" s="33">
        <f>L106+O106</f>
        <v>49000</v>
      </c>
      <c r="K106" s="33">
        <v>49000</v>
      </c>
      <c r="L106" s="33"/>
      <c r="M106" s="33"/>
      <c r="N106" s="33"/>
      <c r="O106" s="33">
        <v>49000</v>
      </c>
      <c r="P106" s="33">
        <f t="shared" si="22"/>
        <v>160300</v>
      </c>
    </row>
    <row r="107" spans="1:16" ht="66.75" customHeight="1" x14ac:dyDescent="0.3">
      <c r="A107" s="13" t="s">
        <v>196</v>
      </c>
      <c r="B107" s="13" t="s">
        <v>18</v>
      </c>
      <c r="C107" s="13" t="s">
        <v>18</v>
      </c>
      <c r="D107" s="14" t="s">
        <v>321</v>
      </c>
      <c r="E107" s="37">
        <f t="shared" ref="E107:E117" si="24">F107+I107</f>
        <v>5696100</v>
      </c>
      <c r="F107" s="37">
        <f>F108</f>
        <v>5696100</v>
      </c>
      <c r="G107" s="37">
        <f>G108</f>
        <v>1645900</v>
      </c>
      <c r="H107" s="37"/>
      <c r="I107" s="37"/>
      <c r="J107" s="37">
        <f>J108</f>
        <v>27000</v>
      </c>
      <c r="K107" s="37">
        <f t="shared" ref="K107:O107" si="25">K108</f>
        <v>27000</v>
      </c>
      <c r="L107" s="37"/>
      <c r="M107" s="37"/>
      <c r="N107" s="37"/>
      <c r="O107" s="37">
        <f t="shared" si="25"/>
        <v>27000</v>
      </c>
      <c r="P107" s="37">
        <f t="shared" ref="P107:P117" si="26">E107+J107</f>
        <v>5723100</v>
      </c>
    </row>
    <row r="108" spans="1:16" ht="62.4" x14ac:dyDescent="0.3">
      <c r="A108" s="13" t="s">
        <v>197</v>
      </c>
      <c r="B108" s="13" t="s">
        <v>18</v>
      </c>
      <c r="C108" s="13" t="s">
        <v>18</v>
      </c>
      <c r="D108" s="14" t="s">
        <v>321</v>
      </c>
      <c r="E108" s="37">
        <f t="shared" si="24"/>
        <v>5696100</v>
      </c>
      <c r="F108" s="37">
        <f>F109+F110+F111+F112+F113+F114</f>
        <v>5696100</v>
      </c>
      <c r="G108" s="37">
        <f t="shared" ref="G108" si="27">G109+G110+G111+G112+G113+G114</f>
        <v>1645900</v>
      </c>
      <c r="H108" s="37"/>
      <c r="I108" s="37"/>
      <c r="J108" s="37">
        <f>J109</f>
        <v>27000</v>
      </c>
      <c r="K108" s="37">
        <f t="shared" ref="K108:O108" si="28">K109</f>
        <v>27000</v>
      </c>
      <c r="L108" s="37"/>
      <c r="M108" s="37"/>
      <c r="N108" s="37"/>
      <c r="O108" s="37">
        <f t="shared" si="28"/>
        <v>27000</v>
      </c>
      <c r="P108" s="37">
        <f t="shared" si="26"/>
        <v>5723100</v>
      </c>
    </row>
    <row r="109" spans="1:16" ht="62.4" x14ac:dyDescent="0.3">
      <c r="A109" s="15" t="s">
        <v>198</v>
      </c>
      <c r="B109" s="15" t="s">
        <v>80</v>
      </c>
      <c r="C109" s="15" t="s">
        <v>23</v>
      </c>
      <c r="D109" s="16" t="s">
        <v>81</v>
      </c>
      <c r="E109" s="33">
        <f t="shared" si="24"/>
        <v>1702100</v>
      </c>
      <c r="F109" s="33">
        <f>1688100+113800-27000-22800-50000</f>
        <v>1702100</v>
      </c>
      <c r="G109" s="33">
        <f>1311976+292924+113800-22800-50000</f>
        <v>1645900</v>
      </c>
      <c r="H109" s="33"/>
      <c r="I109" s="33"/>
      <c r="J109" s="33">
        <f>L109+O109</f>
        <v>27000</v>
      </c>
      <c r="K109" s="33">
        <v>27000</v>
      </c>
      <c r="L109" s="33"/>
      <c r="M109" s="33"/>
      <c r="N109" s="33"/>
      <c r="O109" s="33">
        <v>27000</v>
      </c>
      <c r="P109" s="33">
        <f t="shared" si="26"/>
        <v>1729100</v>
      </c>
    </row>
    <row r="110" spans="1:16" ht="39" customHeight="1" x14ac:dyDescent="0.3">
      <c r="A110" s="15" t="s">
        <v>199</v>
      </c>
      <c r="B110" s="15" t="s">
        <v>30</v>
      </c>
      <c r="C110" s="15" t="s">
        <v>31</v>
      </c>
      <c r="D110" s="16" t="s">
        <v>32</v>
      </c>
      <c r="E110" s="33">
        <f t="shared" si="24"/>
        <v>319000</v>
      </c>
      <c r="F110" s="33">
        <v>319000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>
        <f t="shared" si="26"/>
        <v>319000</v>
      </c>
    </row>
    <row r="111" spans="1:16" ht="38.25" customHeight="1" x14ac:dyDescent="0.3">
      <c r="A111" s="15" t="s">
        <v>200</v>
      </c>
      <c r="B111" s="15" t="s">
        <v>201</v>
      </c>
      <c r="C111" s="15" t="s">
        <v>47</v>
      </c>
      <c r="D111" s="16" t="s">
        <v>202</v>
      </c>
      <c r="E111" s="33">
        <f t="shared" si="24"/>
        <v>1483700</v>
      </c>
      <c r="F111" s="33">
        <f>1629800-146100</f>
        <v>1483700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>
        <f t="shared" si="26"/>
        <v>1483700</v>
      </c>
    </row>
    <row r="112" spans="1:16" ht="54" customHeight="1" x14ac:dyDescent="0.3">
      <c r="A112" s="15" t="s">
        <v>203</v>
      </c>
      <c r="B112" s="15" t="s">
        <v>204</v>
      </c>
      <c r="C112" s="15" t="s">
        <v>126</v>
      </c>
      <c r="D112" s="16" t="s">
        <v>205</v>
      </c>
      <c r="E112" s="33">
        <f t="shared" si="24"/>
        <v>726100</v>
      </c>
      <c r="F112" s="33">
        <f>580000+146100</f>
        <v>726100</v>
      </c>
      <c r="G112" s="33"/>
      <c r="H112" s="33"/>
      <c r="I112" s="33"/>
      <c r="J112" s="33"/>
      <c r="K112" s="33"/>
      <c r="L112" s="33"/>
      <c r="M112" s="33"/>
      <c r="N112" s="33"/>
      <c r="O112" s="33"/>
      <c r="P112" s="33">
        <f t="shared" si="26"/>
        <v>726100</v>
      </c>
    </row>
    <row r="113" spans="1:16" ht="60" customHeight="1" x14ac:dyDescent="0.3">
      <c r="A113" s="15" t="s">
        <v>206</v>
      </c>
      <c r="B113" s="15" t="s">
        <v>207</v>
      </c>
      <c r="C113" s="15" t="s">
        <v>126</v>
      </c>
      <c r="D113" s="16" t="s">
        <v>208</v>
      </c>
      <c r="E113" s="33">
        <f t="shared" si="24"/>
        <v>260000</v>
      </c>
      <c r="F113" s="33">
        <v>260000</v>
      </c>
      <c r="G113" s="33"/>
      <c r="H113" s="33"/>
      <c r="I113" s="33"/>
      <c r="J113" s="33"/>
      <c r="K113" s="33"/>
      <c r="L113" s="33"/>
      <c r="M113" s="33"/>
      <c r="N113" s="33"/>
      <c r="O113" s="33"/>
      <c r="P113" s="33">
        <f t="shared" si="26"/>
        <v>260000</v>
      </c>
    </row>
    <row r="114" spans="1:16" ht="78" x14ac:dyDescent="0.3">
      <c r="A114" s="15" t="s">
        <v>209</v>
      </c>
      <c r="B114" s="15" t="s">
        <v>210</v>
      </c>
      <c r="C114" s="15" t="s">
        <v>126</v>
      </c>
      <c r="D114" s="16" t="s">
        <v>211</v>
      </c>
      <c r="E114" s="33">
        <f t="shared" si="24"/>
        <v>1205200</v>
      </c>
      <c r="F114" s="33">
        <v>1205200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>
        <f t="shared" si="26"/>
        <v>1205200</v>
      </c>
    </row>
    <row r="115" spans="1:16" ht="88.5" customHeight="1" x14ac:dyDescent="0.3">
      <c r="A115" s="13" t="s">
        <v>212</v>
      </c>
      <c r="B115" s="13" t="s">
        <v>18</v>
      </c>
      <c r="C115" s="13" t="s">
        <v>18</v>
      </c>
      <c r="D115" s="14" t="s">
        <v>213</v>
      </c>
      <c r="E115" s="37">
        <f t="shared" si="24"/>
        <v>145866667</v>
      </c>
      <c r="F115" s="37">
        <f>F116</f>
        <v>53276140</v>
      </c>
      <c r="G115" s="37">
        <f>G116</f>
        <v>3260000</v>
      </c>
      <c r="H115" s="37"/>
      <c r="I115" s="37">
        <f>I116</f>
        <v>92590527</v>
      </c>
      <c r="J115" s="37">
        <f t="shared" ref="J115" si="29">L115+O115</f>
        <v>15810021.92</v>
      </c>
      <c r="K115" s="37">
        <f>K116</f>
        <v>14970701.699999999</v>
      </c>
      <c r="L115" s="37">
        <f>L116</f>
        <v>0</v>
      </c>
      <c r="M115" s="37"/>
      <c r="N115" s="37"/>
      <c r="O115" s="37">
        <f>O116</f>
        <v>15810021.92</v>
      </c>
      <c r="P115" s="37">
        <f t="shared" si="26"/>
        <v>161676688.91999999</v>
      </c>
    </row>
    <row r="116" spans="1:16" ht="85.5" customHeight="1" x14ac:dyDescent="0.3">
      <c r="A116" s="13" t="s">
        <v>214</v>
      </c>
      <c r="B116" s="13" t="s">
        <v>18</v>
      </c>
      <c r="C116" s="13" t="s">
        <v>18</v>
      </c>
      <c r="D116" s="14" t="s">
        <v>213</v>
      </c>
      <c r="E116" s="37">
        <f t="shared" si="24"/>
        <v>145866667</v>
      </c>
      <c r="F116" s="37">
        <f>F117+F118+F119+F120+F121+F122+F123+F124+F125+F126+F127+F128+F129+F130+F131+F132+F133+F134+F135</f>
        <v>53276140</v>
      </c>
      <c r="G116" s="37">
        <f t="shared" ref="G116:I116" si="30">G117+G118+G119+G120+G121+G122+G123+G124+G125+G126+G127+G128+G129+G130+G131+G132+G133+G134+G135</f>
        <v>3260000</v>
      </c>
      <c r="H116" s="37">
        <f t="shared" si="30"/>
        <v>0</v>
      </c>
      <c r="I116" s="37">
        <f t="shared" si="30"/>
        <v>92590527</v>
      </c>
      <c r="J116" s="37">
        <f t="shared" ref="J116" si="31">J117+J118+J119+J120+J121+J122+J123+J124+J125+J126+J127+J128+J129+J130+J131+J132+J133+J134+J135</f>
        <v>15810021.92</v>
      </c>
      <c r="K116" s="37">
        <f t="shared" ref="K116" si="32">K117+K118+K119+K120+K121+K122+K123+K124+K125+K126+K127+K128+K129+K130+K131+K132+K133+K134+K135</f>
        <v>14970701.699999999</v>
      </c>
      <c r="L116" s="37">
        <f t="shared" ref="L116" si="33">L117+L118+L119+L120+L121+L122+L123+L124+L125+L126+L127+L128+L129+L130+L131+L132+L133+L134+L135</f>
        <v>0</v>
      </c>
      <c r="M116" s="37">
        <f t="shared" ref="M116" si="34">M117+M118+M119+M120+M121+M122+M123+M124+M125+M126+M127+M128+M129+M130+M131+M132+M133+M134+M135</f>
        <v>0</v>
      </c>
      <c r="N116" s="37">
        <f t="shared" ref="N116" si="35">N117+N118+N119+N120+N121+N122+N123+N124+N125+N126+N127+N128+N129+N130+N131+N132+N133+N134+N135</f>
        <v>0</v>
      </c>
      <c r="O116" s="37">
        <f t="shared" ref="O116" si="36">O117+O118+O119+O120+O121+O122+O123+O124+O125+O126+O127+O128+O129+O130+O131+O132+O133+O134+O135</f>
        <v>15810021.92</v>
      </c>
      <c r="P116" s="37">
        <f t="shared" si="26"/>
        <v>161676688.91999999</v>
      </c>
    </row>
    <row r="117" spans="1:16" ht="63" customHeight="1" x14ac:dyDescent="0.3">
      <c r="A117" s="15" t="s">
        <v>215</v>
      </c>
      <c r="B117" s="15" t="s">
        <v>80</v>
      </c>
      <c r="C117" s="15" t="s">
        <v>23</v>
      </c>
      <c r="D117" s="16" t="s">
        <v>81</v>
      </c>
      <c r="E117" s="33">
        <f t="shared" si="24"/>
        <v>3483800</v>
      </c>
      <c r="F117" s="33">
        <f>3682600-420000+116000+72000+33200</f>
        <v>3483800</v>
      </c>
      <c r="G117" s="33">
        <f>2835000+623800-420000+116000+72000+33200</f>
        <v>3260000</v>
      </c>
      <c r="H117" s="33"/>
      <c r="I117" s="33"/>
      <c r="J117" s="33"/>
      <c r="K117" s="33"/>
      <c r="L117" s="33"/>
      <c r="M117" s="33"/>
      <c r="N117" s="33"/>
      <c r="O117" s="33"/>
      <c r="P117" s="33">
        <f t="shared" si="26"/>
        <v>3483800</v>
      </c>
    </row>
    <row r="118" spans="1:16" ht="59.25" customHeight="1" x14ac:dyDescent="0.3">
      <c r="A118" s="15" t="s">
        <v>216</v>
      </c>
      <c r="B118" s="15" t="s">
        <v>26</v>
      </c>
      <c r="C118" s="15" t="s">
        <v>27</v>
      </c>
      <c r="D118" s="16" t="s">
        <v>28</v>
      </c>
      <c r="E118" s="33">
        <f t="shared" ref="E118:E167" si="37">F118+I118</f>
        <v>27600</v>
      </c>
      <c r="F118" s="33">
        <v>27600</v>
      </c>
      <c r="G118" s="33"/>
      <c r="H118" s="33"/>
      <c r="I118" s="33"/>
      <c r="J118" s="33"/>
      <c r="K118" s="33"/>
      <c r="L118" s="33"/>
      <c r="M118" s="33"/>
      <c r="N118" s="33"/>
      <c r="O118" s="33"/>
      <c r="P118" s="33">
        <f t="shared" ref="P118:P167" si="38">E118+J118</f>
        <v>27600</v>
      </c>
    </row>
    <row r="119" spans="1:16" ht="46.5" customHeight="1" x14ac:dyDescent="0.3">
      <c r="A119" s="15" t="s">
        <v>217</v>
      </c>
      <c r="B119" s="15" t="s">
        <v>30</v>
      </c>
      <c r="C119" s="15" t="s">
        <v>31</v>
      </c>
      <c r="D119" s="16" t="s">
        <v>32</v>
      </c>
      <c r="E119" s="33">
        <f t="shared" si="37"/>
        <v>248000</v>
      </c>
      <c r="F119" s="33">
        <v>248000</v>
      </c>
      <c r="G119" s="33"/>
      <c r="H119" s="33"/>
      <c r="I119" s="33"/>
      <c r="J119" s="33"/>
      <c r="K119" s="33"/>
      <c r="L119" s="33"/>
      <c r="M119" s="33"/>
      <c r="N119" s="33"/>
      <c r="O119" s="33"/>
      <c r="P119" s="33">
        <f t="shared" si="38"/>
        <v>248000</v>
      </c>
    </row>
    <row r="120" spans="1:16" ht="31.2" x14ac:dyDescent="0.3">
      <c r="A120" s="15" t="s">
        <v>218</v>
      </c>
      <c r="B120" s="15" t="s">
        <v>219</v>
      </c>
      <c r="C120" s="15" t="s">
        <v>220</v>
      </c>
      <c r="D120" s="16" t="s">
        <v>221</v>
      </c>
      <c r="E120" s="33">
        <f t="shared" si="37"/>
        <v>21600</v>
      </c>
      <c r="F120" s="33">
        <v>21600</v>
      </c>
      <c r="G120" s="33"/>
      <c r="H120" s="33"/>
      <c r="I120" s="33"/>
      <c r="J120" s="33"/>
      <c r="K120" s="33"/>
      <c r="L120" s="33"/>
      <c r="M120" s="33"/>
      <c r="N120" s="33"/>
      <c r="O120" s="33"/>
      <c r="P120" s="33">
        <f t="shared" si="38"/>
        <v>21600</v>
      </c>
    </row>
    <row r="121" spans="1:16" s="31" customFormat="1" ht="31.2" x14ac:dyDescent="0.3">
      <c r="A121" s="32">
        <v>1216011</v>
      </c>
      <c r="B121" s="32">
        <v>6011</v>
      </c>
      <c r="C121" s="23" t="s">
        <v>362</v>
      </c>
      <c r="D121" s="30" t="s">
        <v>303</v>
      </c>
      <c r="E121" s="33">
        <f t="shared" si="37"/>
        <v>300000</v>
      </c>
      <c r="F121" s="33"/>
      <c r="G121" s="33"/>
      <c r="H121" s="33"/>
      <c r="I121" s="33">
        <f>200000+100000</f>
        <v>300000</v>
      </c>
      <c r="J121" s="33">
        <f t="shared" ref="J121:J136" si="39">L121+O121</f>
        <v>2770266.17</v>
      </c>
      <c r="K121" s="33">
        <v>2770266.17</v>
      </c>
      <c r="L121" s="33"/>
      <c r="M121" s="33"/>
      <c r="N121" s="33"/>
      <c r="O121" s="33">
        <v>2770266.17</v>
      </c>
      <c r="P121" s="33">
        <f t="shared" si="38"/>
        <v>3070266.17</v>
      </c>
    </row>
    <row r="122" spans="1:16" s="31" customFormat="1" ht="46.8" x14ac:dyDescent="0.3">
      <c r="A122" s="29" t="s">
        <v>222</v>
      </c>
      <c r="B122" s="29" t="s">
        <v>223</v>
      </c>
      <c r="C122" s="29" t="s">
        <v>55</v>
      </c>
      <c r="D122" s="30" t="s">
        <v>224</v>
      </c>
      <c r="E122" s="33">
        <f t="shared" si="37"/>
        <v>26700000</v>
      </c>
      <c r="F122" s="33"/>
      <c r="G122" s="33"/>
      <c r="H122" s="33"/>
      <c r="I122" s="33">
        <f>21700000+5000000</f>
        <v>26700000</v>
      </c>
      <c r="J122" s="33"/>
      <c r="K122" s="33"/>
      <c r="L122" s="33"/>
      <c r="M122" s="33"/>
      <c r="N122" s="33"/>
      <c r="O122" s="33"/>
      <c r="P122" s="33">
        <f t="shared" si="38"/>
        <v>26700000</v>
      </c>
    </row>
    <row r="123" spans="1:16" s="31" customFormat="1" ht="43.5" customHeight="1" x14ac:dyDescent="0.3">
      <c r="A123" s="32">
        <v>1216013</v>
      </c>
      <c r="B123" s="32">
        <v>6013</v>
      </c>
      <c r="C123" s="29" t="s">
        <v>55</v>
      </c>
      <c r="D123" s="30" t="s">
        <v>304</v>
      </c>
      <c r="E123" s="33">
        <f>F123+I123</f>
        <v>3975300</v>
      </c>
      <c r="F123" s="33"/>
      <c r="G123" s="33"/>
      <c r="H123" s="33"/>
      <c r="I123" s="33">
        <v>3975300</v>
      </c>
      <c r="J123" s="33">
        <f t="shared" si="39"/>
        <v>299261</v>
      </c>
      <c r="K123" s="33">
        <f>233107.04+66153.96</f>
        <v>299261</v>
      </c>
      <c r="L123" s="33"/>
      <c r="M123" s="33"/>
      <c r="N123" s="33"/>
      <c r="O123" s="33">
        <f>233107.04+66153.96</f>
        <v>299261</v>
      </c>
      <c r="P123" s="33">
        <f t="shared" si="38"/>
        <v>4274561</v>
      </c>
    </row>
    <row r="124" spans="1:16" ht="31.2" x14ac:dyDescent="0.3">
      <c r="A124" s="15" t="s">
        <v>225</v>
      </c>
      <c r="B124" s="15" t="s">
        <v>226</v>
      </c>
      <c r="C124" s="15" t="s">
        <v>55</v>
      </c>
      <c r="D124" s="16" t="s">
        <v>227</v>
      </c>
      <c r="E124" s="33">
        <f t="shared" si="37"/>
        <v>150000</v>
      </c>
      <c r="F124" s="33"/>
      <c r="G124" s="33"/>
      <c r="H124" s="33"/>
      <c r="I124" s="33">
        <v>150000</v>
      </c>
      <c r="J124" s="33">
        <f t="shared" si="39"/>
        <v>760685.48</v>
      </c>
      <c r="K124" s="33">
        <f>760685.48</f>
        <v>760685.48</v>
      </c>
      <c r="L124" s="33"/>
      <c r="M124" s="33"/>
      <c r="N124" s="33"/>
      <c r="O124" s="33">
        <f>760685.48</f>
        <v>760685.48</v>
      </c>
      <c r="P124" s="33">
        <f t="shared" si="38"/>
        <v>910685.48</v>
      </c>
    </row>
    <row r="125" spans="1:16" ht="59.25" customHeight="1" x14ac:dyDescent="0.3">
      <c r="A125" s="15" t="s">
        <v>228</v>
      </c>
      <c r="B125" s="15" t="s">
        <v>229</v>
      </c>
      <c r="C125" s="15" t="s">
        <v>55</v>
      </c>
      <c r="D125" s="16" t="s">
        <v>230</v>
      </c>
      <c r="E125" s="33">
        <f t="shared" si="37"/>
        <v>840813</v>
      </c>
      <c r="F125" s="33"/>
      <c r="G125" s="33"/>
      <c r="H125" s="33"/>
      <c r="I125" s="33">
        <f>859600+200000-200000-27000+8213</f>
        <v>840813</v>
      </c>
      <c r="J125" s="33"/>
      <c r="K125" s="33"/>
      <c r="L125" s="33"/>
      <c r="M125" s="33"/>
      <c r="N125" s="33"/>
      <c r="O125" s="33"/>
      <c r="P125" s="33">
        <f t="shared" si="38"/>
        <v>840813</v>
      </c>
    </row>
    <row r="126" spans="1:16" ht="43.5" customHeight="1" x14ac:dyDescent="0.3">
      <c r="A126" s="15" t="s">
        <v>231</v>
      </c>
      <c r="B126" s="15" t="s">
        <v>54</v>
      </c>
      <c r="C126" s="15" t="s">
        <v>55</v>
      </c>
      <c r="D126" s="16" t="s">
        <v>56</v>
      </c>
      <c r="E126" s="33">
        <f>F126+I126</f>
        <v>59905187</v>
      </c>
      <c r="F126" s="33">
        <f>24180878+500000-500000-116000-4919100</f>
        <v>19145778</v>
      </c>
      <c r="G126" s="33"/>
      <c r="H126" s="33"/>
      <c r="I126" s="33">
        <f>42320622-200000+27000-100000-658213-230000-400000</f>
        <v>40759409</v>
      </c>
      <c r="J126" s="33">
        <f t="shared" si="39"/>
        <v>7455312.4300000006</v>
      </c>
      <c r="K126" s="33">
        <f>4200000+3015550.82+9761.61+230000</f>
        <v>7455312.4300000006</v>
      </c>
      <c r="L126" s="33"/>
      <c r="M126" s="33"/>
      <c r="N126" s="33"/>
      <c r="O126" s="33">
        <f>4200000+3015550.82+9761.61+230000</f>
        <v>7455312.4300000006</v>
      </c>
      <c r="P126" s="33">
        <f t="shared" si="38"/>
        <v>67360499.430000007</v>
      </c>
    </row>
    <row r="127" spans="1:16" ht="46.8" x14ac:dyDescent="0.3">
      <c r="A127" s="23">
        <v>1217370</v>
      </c>
      <c r="B127" s="23">
        <v>7370</v>
      </c>
      <c r="C127" s="23" t="s">
        <v>63</v>
      </c>
      <c r="D127" s="16" t="s">
        <v>305</v>
      </c>
      <c r="E127" s="33"/>
      <c r="F127" s="33"/>
      <c r="G127" s="33"/>
      <c r="H127" s="33"/>
      <c r="I127" s="33"/>
      <c r="J127" s="33">
        <f t="shared" si="39"/>
        <v>489000</v>
      </c>
      <c r="K127" s="33">
        <f>489000</f>
        <v>489000</v>
      </c>
      <c r="L127" s="33"/>
      <c r="M127" s="33"/>
      <c r="N127" s="33"/>
      <c r="O127" s="33">
        <f>489000</f>
        <v>489000</v>
      </c>
      <c r="P127" s="33">
        <f t="shared" si="38"/>
        <v>489000</v>
      </c>
    </row>
    <row r="128" spans="1:16" ht="67.5" customHeight="1" x14ac:dyDescent="0.3">
      <c r="A128" s="15" t="s">
        <v>232</v>
      </c>
      <c r="B128" s="15" t="s">
        <v>233</v>
      </c>
      <c r="C128" s="15" t="s">
        <v>234</v>
      </c>
      <c r="D128" s="16" t="s">
        <v>235</v>
      </c>
      <c r="E128" s="33">
        <f t="shared" si="37"/>
        <v>21042900</v>
      </c>
      <c r="F128" s="33">
        <f>13305000+2818800+4919100</f>
        <v>21042900</v>
      </c>
      <c r="G128" s="33"/>
      <c r="H128" s="33"/>
      <c r="I128" s="33"/>
      <c r="J128" s="33"/>
      <c r="K128" s="33"/>
      <c r="L128" s="33"/>
      <c r="M128" s="33"/>
      <c r="N128" s="33"/>
      <c r="O128" s="33"/>
      <c r="P128" s="33">
        <f t="shared" si="38"/>
        <v>21042900</v>
      </c>
    </row>
    <row r="129" spans="1:16" x14ac:dyDescent="0.3">
      <c r="A129" s="22">
        <v>1217640</v>
      </c>
      <c r="B129" s="22">
        <v>7640</v>
      </c>
      <c r="C129" s="23" t="s">
        <v>59</v>
      </c>
      <c r="D129" s="16" t="s">
        <v>60</v>
      </c>
      <c r="E129" s="33"/>
      <c r="F129" s="33"/>
      <c r="G129" s="33"/>
      <c r="H129" s="33"/>
      <c r="I129" s="33"/>
      <c r="J129" s="33">
        <f t="shared" si="39"/>
        <v>24079.62</v>
      </c>
      <c r="K129" s="33">
        <v>24079.62</v>
      </c>
      <c r="L129" s="33"/>
      <c r="M129" s="33"/>
      <c r="N129" s="33"/>
      <c r="O129" s="33">
        <v>24079.62</v>
      </c>
      <c r="P129" s="33">
        <f t="shared" si="38"/>
        <v>24079.62</v>
      </c>
    </row>
    <row r="130" spans="1:16" ht="202.5" customHeight="1" x14ac:dyDescent="0.3">
      <c r="A130" s="22">
        <v>1217691</v>
      </c>
      <c r="B130" s="22">
        <v>7691</v>
      </c>
      <c r="C130" s="23" t="s">
        <v>63</v>
      </c>
      <c r="D130" s="16" t="s">
        <v>311</v>
      </c>
      <c r="E130" s="33"/>
      <c r="F130" s="33"/>
      <c r="G130" s="33"/>
      <c r="H130" s="33"/>
      <c r="I130" s="33"/>
      <c r="J130" s="33">
        <f t="shared" si="39"/>
        <v>176969.75</v>
      </c>
      <c r="K130" s="33"/>
      <c r="L130" s="33"/>
      <c r="M130" s="33"/>
      <c r="N130" s="33"/>
      <c r="O130" s="33">
        <f>729312.91+2500000-3052343.16</f>
        <v>176969.75</v>
      </c>
      <c r="P130" s="33">
        <f t="shared" si="38"/>
        <v>176969.75</v>
      </c>
    </row>
    <row r="131" spans="1:16" ht="31.2" x14ac:dyDescent="0.3">
      <c r="A131" s="22">
        <v>1217693</v>
      </c>
      <c r="B131" s="15" t="s">
        <v>249</v>
      </c>
      <c r="C131" s="15" t="s">
        <v>63</v>
      </c>
      <c r="D131" s="16" t="s">
        <v>250</v>
      </c>
      <c r="E131" s="33">
        <f t="shared" ref="E131:E132" si="40">F131+I131</f>
        <v>19865005</v>
      </c>
      <c r="F131" s="33"/>
      <c r="G131" s="33"/>
      <c r="H131" s="33"/>
      <c r="I131" s="33">
        <f>3835500+5127600+596900+120000+342500+500000+1628000+665000+665205+6384300</f>
        <v>19865005</v>
      </c>
      <c r="J131" s="33"/>
      <c r="K131" s="33"/>
      <c r="L131" s="33"/>
      <c r="M131" s="33"/>
      <c r="N131" s="33"/>
      <c r="O131" s="33"/>
      <c r="P131" s="33">
        <f t="shared" ref="P131:P132" si="41">E131+J131</f>
        <v>19865005</v>
      </c>
    </row>
    <row r="132" spans="1:16" ht="54.75" customHeight="1" x14ac:dyDescent="0.3">
      <c r="A132" s="22">
        <v>1218110</v>
      </c>
      <c r="B132" s="22">
        <v>8110</v>
      </c>
      <c r="C132" s="23" t="s">
        <v>349</v>
      </c>
      <c r="D132" s="16" t="s">
        <v>347</v>
      </c>
      <c r="E132" s="33">
        <f t="shared" si="40"/>
        <v>8318558</v>
      </c>
      <c r="F132" s="33">
        <f>200000+360000+216118+2000000+50000+101000+100000+50000+1440000+100000+250000+100000+482242+1258173+1211025+400000</f>
        <v>8318558</v>
      </c>
      <c r="G132" s="33"/>
      <c r="H132" s="33"/>
      <c r="I132" s="33"/>
      <c r="J132" s="33">
        <f t="shared" si="39"/>
        <v>2760920</v>
      </c>
      <c r="K132" s="33">
        <f>600000+41400+2119520</f>
        <v>2760920</v>
      </c>
      <c r="L132" s="33"/>
      <c r="M132" s="33"/>
      <c r="N132" s="33"/>
      <c r="O132" s="33">
        <f>600000+41400+2119520</f>
        <v>2760920</v>
      </c>
      <c r="P132" s="33">
        <f t="shared" si="41"/>
        <v>11079478</v>
      </c>
    </row>
    <row r="133" spans="1:16" ht="37.5" customHeight="1" x14ac:dyDescent="0.3">
      <c r="A133" s="15" t="s">
        <v>236</v>
      </c>
      <c r="B133" s="15" t="s">
        <v>73</v>
      </c>
      <c r="C133" s="15" t="s">
        <v>74</v>
      </c>
      <c r="D133" s="16" t="s">
        <v>75</v>
      </c>
      <c r="E133" s="33"/>
      <c r="F133" s="33"/>
      <c r="G133" s="33"/>
      <c r="H133" s="33"/>
      <c r="I133" s="33"/>
      <c r="J133" s="33">
        <f t="shared" si="39"/>
        <v>662350.47</v>
      </c>
      <c r="K133" s="33"/>
      <c r="L133" s="33">
        <f>250000-250000</f>
        <v>0</v>
      </c>
      <c r="M133" s="33"/>
      <c r="N133" s="33"/>
      <c r="O133" s="33">
        <f>1000000+226750.47-250000-400000+85600</f>
        <v>662350.47</v>
      </c>
      <c r="P133" s="33">
        <f t="shared" si="38"/>
        <v>662350.47</v>
      </c>
    </row>
    <row r="134" spans="1:16" ht="93.6" x14ac:dyDescent="0.3">
      <c r="A134" s="22">
        <v>1218745</v>
      </c>
      <c r="B134" s="22">
        <v>8745</v>
      </c>
      <c r="C134" s="23" t="s">
        <v>364</v>
      </c>
      <c r="D134" s="16" t="s">
        <v>363</v>
      </c>
      <c r="E134" s="33">
        <f>F134+I134</f>
        <v>208000</v>
      </c>
      <c r="F134" s="33">
        <v>208000</v>
      </c>
      <c r="G134" s="33"/>
      <c r="H134" s="33"/>
      <c r="I134" s="33"/>
      <c r="J134" s="33"/>
      <c r="K134" s="33"/>
      <c r="L134" s="33"/>
      <c r="M134" s="33"/>
      <c r="N134" s="33"/>
      <c r="O134" s="33"/>
      <c r="P134" s="33">
        <f t="shared" si="38"/>
        <v>208000</v>
      </c>
    </row>
    <row r="135" spans="1:16" ht="46.8" x14ac:dyDescent="0.3">
      <c r="A135" s="22">
        <v>1218775</v>
      </c>
      <c r="B135" s="22">
        <v>8775</v>
      </c>
      <c r="C135" s="23" t="s">
        <v>31</v>
      </c>
      <c r="D135" s="16" t="s">
        <v>365</v>
      </c>
      <c r="E135" s="33">
        <f>F135</f>
        <v>779904</v>
      </c>
      <c r="F135" s="33">
        <v>779904</v>
      </c>
      <c r="G135" s="33"/>
      <c r="H135" s="33"/>
      <c r="I135" s="33"/>
      <c r="J135" s="33">
        <f>L135+O135</f>
        <v>411177</v>
      </c>
      <c r="K135" s="33">
        <v>411177</v>
      </c>
      <c r="L135" s="33"/>
      <c r="M135" s="33"/>
      <c r="N135" s="33"/>
      <c r="O135" s="33">
        <v>411177</v>
      </c>
      <c r="P135" s="33">
        <f t="shared" si="38"/>
        <v>1191081</v>
      </c>
    </row>
    <row r="136" spans="1:16" ht="62.4" x14ac:dyDescent="0.3">
      <c r="A136" s="13" t="s">
        <v>237</v>
      </c>
      <c r="B136" s="13" t="s">
        <v>18</v>
      </c>
      <c r="C136" s="13" t="s">
        <v>18</v>
      </c>
      <c r="D136" s="14" t="s">
        <v>238</v>
      </c>
      <c r="E136" s="37">
        <f t="shared" si="37"/>
        <v>7891009</v>
      </c>
      <c r="F136" s="37">
        <f>F137</f>
        <v>5621009</v>
      </c>
      <c r="G136" s="37">
        <f>G137</f>
        <v>2930100</v>
      </c>
      <c r="H136" s="37">
        <f t="shared" ref="H136:I136" si="42">H137</f>
        <v>0</v>
      </c>
      <c r="I136" s="37">
        <f t="shared" si="42"/>
        <v>2270000</v>
      </c>
      <c r="J136" s="37">
        <f t="shared" si="39"/>
        <v>118429456.94999999</v>
      </c>
      <c r="K136" s="37">
        <f>K137</f>
        <v>70264496.269999996</v>
      </c>
      <c r="L136" s="37">
        <f t="shared" ref="L136:O136" si="43">L137</f>
        <v>0</v>
      </c>
      <c r="M136" s="37">
        <f t="shared" si="43"/>
        <v>0</v>
      </c>
      <c r="N136" s="37">
        <f t="shared" si="43"/>
        <v>0</v>
      </c>
      <c r="O136" s="37">
        <f t="shared" si="43"/>
        <v>118429456.94999999</v>
      </c>
      <c r="P136" s="37">
        <f t="shared" si="38"/>
        <v>126320465.94999999</v>
      </c>
    </row>
    <row r="137" spans="1:16" ht="62.4" x14ac:dyDescent="0.3">
      <c r="A137" s="13" t="s">
        <v>239</v>
      </c>
      <c r="B137" s="13" t="s">
        <v>18</v>
      </c>
      <c r="C137" s="13" t="s">
        <v>18</v>
      </c>
      <c r="D137" s="14" t="s">
        <v>238</v>
      </c>
      <c r="E137" s="37">
        <f t="shared" si="37"/>
        <v>7891009</v>
      </c>
      <c r="F137" s="37">
        <f t="shared" ref="F137:H137" si="44">F138+F139+F140+F141+F142+F143+F144+F145+F146+F147+F148+F149+F150+F151+F152+F153+F154+F155+F156+F157+F158+F159</f>
        <v>5621009</v>
      </c>
      <c r="G137" s="37">
        <f t="shared" si="44"/>
        <v>2930100</v>
      </c>
      <c r="H137" s="37">
        <f t="shared" si="44"/>
        <v>0</v>
      </c>
      <c r="I137" s="37">
        <f>I138+I139+I140+I141+I142+I143+I144+I145+I146+I147+I148+I149+I150+I151+I152+I153+I154+I155+I156+I157+I158+I159</f>
        <v>2270000</v>
      </c>
      <c r="J137" s="37">
        <f>L137+O137</f>
        <v>118429456.94999999</v>
      </c>
      <c r="K137" s="37">
        <f>K138+K139+K140+K141+K142+K143+K144+K145+K146+K147+K148+K149+K150+K151+K152+K153+K154+K155+K156+K157+K158+K159</f>
        <v>70264496.269999996</v>
      </c>
      <c r="L137" s="37">
        <f t="shared" ref="L137:O137" si="45">L138+L139+L140+L141+L142+L143+L144+L145+L146+L147+L148+L149+L150+L151+L152+L153+L154+L155+L156+L157+L158+L159</f>
        <v>0</v>
      </c>
      <c r="M137" s="37">
        <f t="shared" si="45"/>
        <v>0</v>
      </c>
      <c r="N137" s="37">
        <f t="shared" si="45"/>
        <v>0</v>
      </c>
      <c r="O137" s="37">
        <f t="shared" si="45"/>
        <v>118429456.94999999</v>
      </c>
      <c r="P137" s="37">
        <f t="shared" ref="P137" si="46">P138+P139+P140+P141+P142+P143+P144+P145+P146+P147+P148+P149+P150+P153+P154+P157</f>
        <v>69220885.949999988</v>
      </c>
    </row>
    <row r="138" spans="1:16" ht="93.6" x14ac:dyDescent="0.3">
      <c r="A138" s="26" t="s">
        <v>320</v>
      </c>
      <c r="B138" s="26" t="s">
        <v>22</v>
      </c>
      <c r="C138" s="26" t="s">
        <v>23</v>
      </c>
      <c r="D138" s="27" t="s">
        <v>24</v>
      </c>
      <c r="E138" s="37"/>
      <c r="F138" s="37"/>
      <c r="G138" s="37"/>
      <c r="H138" s="37"/>
      <c r="I138" s="37"/>
      <c r="J138" s="33">
        <f>L138+O138</f>
        <v>550229.42000000004</v>
      </c>
      <c r="K138" s="33">
        <f>9368.42+540861</f>
        <v>550229.42000000004</v>
      </c>
      <c r="L138" s="33"/>
      <c r="M138" s="33"/>
      <c r="N138" s="33"/>
      <c r="O138" s="33">
        <f>9368.42+540861</f>
        <v>550229.42000000004</v>
      </c>
      <c r="P138" s="33">
        <f>E138+J138</f>
        <v>550229.42000000004</v>
      </c>
    </row>
    <row r="139" spans="1:16" ht="62.4" x14ac:dyDescent="0.3">
      <c r="A139" s="15" t="s">
        <v>240</v>
      </c>
      <c r="B139" s="15" t="s">
        <v>80</v>
      </c>
      <c r="C139" s="15" t="s">
        <v>23</v>
      </c>
      <c r="D139" s="16" t="s">
        <v>81</v>
      </c>
      <c r="E139" s="33">
        <f t="shared" si="37"/>
        <v>3032500</v>
      </c>
      <c r="F139" s="33">
        <f>2719000+572000-88500-170000</f>
        <v>3032500</v>
      </c>
      <c r="G139" s="33">
        <f>2144700+471900+572000-88500-170000</f>
        <v>2930100</v>
      </c>
      <c r="H139" s="33"/>
      <c r="I139" s="33"/>
      <c r="J139" s="33"/>
      <c r="K139" s="33"/>
      <c r="L139" s="33"/>
      <c r="M139" s="33"/>
      <c r="N139" s="33"/>
      <c r="O139" s="33"/>
      <c r="P139" s="33">
        <f t="shared" si="38"/>
        <v>3032500</v>
      </c>
    </row>
    <row r="140" spans="1:16" ht="31.2" x14ac:dyDescent="0.3">
      <c r="A140" s="15" t="s">
        <v>241</v>
      </c>
      <c r="B140" s="15" t="s">
        <v>30</v>
      </c>
      <c r="C140" s="15" t="s">
        <v>31</v>
      </c>
      <c r="D140" s="16" t="s">
        <v>32</v>
      </c>
      <c r="E140" s="33">
        <f t="shared" si="37"/>
        <v>219000</v>
      </c>
      <c r="F140" s="33">
        <v>219000</v>
      </c>
      <c r="G140" s="33"/>
      <c r="H140" s="33"/>
      <c r="I140" s="33"/>
      <c r="J140" s="33"/>
      <c r="K140" s="33"/>
      <c r="L140" s="33"/>
      <c r="M140" s="33"/>
      <c r="N140" s="33"/>
      <c r="O140" s="33"/>
      <c r="P140" s="33">
        <f t="shared" si="38"/>
        <v>219000</v>
      </c>
    </row>
    <row r="141" spans="1:16" ht="36.75" customHeight="1" x14ac:dyDescent="0.3">
      <c r="A141" s="22">
        <v>1512010</v>
      </c>
      <c r="B141" s="22">
        <v>2010</v>
      </c>
      <c r="C141" s="23" t="s">
        <v>35</v>
      </c>
      <c r="D141" s="16" t="s">
        <v>36</v>
      </c>
      <c r="E141" s="37"/>
      <c r="F141" s="37"/>
      <c r="G141" s="37"/>
      <c r="H141" s="37"/>
      <c r="I141" s="37"/>
      <c r="J141" s="33">
        <f>L141+O141</f>
        <v>9641134.9100000001</v>
      </c>
      <c r="K141" s="33">
        <f>8834321.16+806813.75</f>
        <v>9641134.9100000001</v>
      </c>
      <c r="L141" s="33"/>
      <c r="M141" s="33"/>
      <c r="N141" s="33"/>
      <c r="O141" s="33">
        <f>8834321.16+806813.75</f>
        <v>9641134.9100000001</v>
      </c>
      <c r="P141" s="33">
        <f>E141+J141</f>
        <v>9641134.9100000001</v>
      </c>
    </row>
    <row r="142" spans="1:16" ht="31.2" x14ac:dyDescent="0.3">
      <c r="A142" s="22">
        <v>1516011</v>
      </c>
      <c r="B142" s="22">
        <v>6011</v>
      </c>
      <c r="C142" s="23" t="s">
        <v>362</v>
      </c>
      <c r="D142" s="16" t="s">
        <v>303</v>
      </c>
      <c r="E142" s="33"/>
      <c r="F142" s="33"/>
      <c r="G142" s="33"/>
      <c r="H142" s="33"/>
      <c r="I142" s="33"/>
      <c r="J142" s="33">
        <f t="shared" ref="J142:J157" si="47">L142+O142</f>
        <v>8450377.8000000007</v>
      </c>
      <c r="K142" s="33">
        <f>7024171.8+26206+1400000</f>
        <v>8450377.8000000007</v>
      </c>
      <c r="L142" s="33"/>
      <c r="M142" s="33"/>
      <c r="N142" s="33"/>
      <c r="O142" s="33">
        <f>7024171.8+26206+1400000</f>
        <v>8450377.8000000007</v>
      </c>
      <c r="P142" s="33">
        <f t="shared" ref="P142:P159" si="48">E142+J142</f>
        <v>8450377.8000000007</v>
      </c>
    </row>
    <row r="143" spans="1:16" ht="46.8" x14ac:dyDescent="0.3">
      <c r="A143" s="22">
        <v>1516013</v>
      </c>
      <c r="B143" s="22">
        <v>6013</v>
      </c>
      <c r="C143" s="24" t="s">
        <v>55</v>
      </c>
      <c r="D143" s="16" t="s">
        <v>304</v>
      </c>
      <c r="E143" s="33"/>
      <c r="F143" s="33"/>
      <c r="G143" s="33"/>
      <c r="H143" s="33"/>
      <c r="I143" s="33"/>
      <c r="J143" s="33">
        <f t="shared" si="47"/>
        <v>50000</v>
      </c>
      <c r="K143" s="33">
        <v>50000</v>
      </c>
      <c r="L143" s="33"/>
      <c r="M143" s="33"/>
      <c r="N143" s="33"/>
      <c r="O143" s="33">
        <v>50000</v>
      </c>
      <c r="P143" s="33">
        <f t="shared" si="48"/>
        <v>50000</v>
      </c>
    </row>
    <row r="144" spans="1:16" ht="31.2" x14ac:dyDescent="0.3">
      <c r="A144" s="22">
        <v>1516015</v>
      </c>
      <c r="B144" s="15" t="s">
        <v>226</v>
      </c>
      <c r="C144" s="15" t="s">
        <v>55</v>
      </c>
      <c r="D144" s="16" t="s">
        <v>227</v>
      </c>
      <c r="E144" s="33"/>
      <c r="F144" s="33"/>
      <c r="G144" s="33"/>
      <c r="H144" s="33"/>
      <c r="I144" s="33"/>
      <c r="J144" s="33">
        <f t="shared" si="47"/>
        <v>2200038.56</v>
      </c>
      <c r="K144" s="33">
        <f>1100019.28+1100019.28</f>
        <v>2200038.56</v>
      </c>
      <c r="L144" s="33"/>
      <c r="M144" s="33"/>
      <c r="N144" s="33"/>
      <c r="O144" s="33">
        <v>2200038.56</v>
      </c>
      <c r="P144" s="33">
        <f t="shared" si="48"/>
        <v>2200038.56</v>
      </c>
    </row>
    <row r="145" spans="1:16" ht="31.2" x14ac:dyDescent="0.3">
      <c r="A145" s="22">
        <v>1516030</v>
      </c>
      <c r="B145" s="22">
        <v>6030</v>
      </c>
      <c r="C145" s="15" t="s">
        <v>55</v>
      </c>
      <c r="D145" s="16" t="s">
        <v>56</v>
      </c>
      <c r="E145" s="33"/>
      <c r="F145" s="33"/>
      <c r="G145" s="33"/>
      <c r="H145" s="33"/>
      <c r="I145" s="33"/>
      <c r="J145" s="33">
        <f t="shared" si="47"/>
        <v>6061951.1600000001</v>
      </c>
      <c r="K145" s="33">
        <f>5817662.94+179068.22+65220</f>
        <v>6061951.1600000001</v>
      </c>
      <c r="L145" s="33"/>
      <c r="M145" s="33"/>
      <c r="N145" s="33"/>
      <c r="O145" s="33">
        <f>5817662.94+179068.22+65220</f>
        <v>6061951.1600000001</v>
      </c>
      <c r="P145" s="33">
        <f t="shared" si="48"/>
        <v>6061951.1600000001</v>
      </c>
    </row>
    <row r="146" spans="1:16" ht="31.2" x14ac:dyDescent="0.3">
      <c r="A146" s="22">
        <v>1517310</v>
      </c>
      <c r="B146" s="22">
        <v>7310</v>
      </c>
      <c r="C146" s="24" t="s">
        <v>306</v>
      </c>
      <c r="D146" s="16" t="s">
        <v>307</v>
      </c>
      <c r="E146" s="33"/>
      <c r="F146" s="33"/>
      <c r="G146" s="33"/>
      <c r="H146" s="33"/>
      <c r="I146" s="33"/>
      <c r="J146" s="33">
        <f t="shared" si="47"/>
        <v>350000</v>
      </c>
      <c r="K146" s="33">
        <v>350000</v>
      </c>
      <c r="L146" s="33"/>
      <c r="M146" s="33"/>
      <c r="N146" s="33"/>
      <c r="O146" s="33">
        <v>350000</v>
      </c>
      <c r="P146" s="33">
        <f t="shared" si="48"/>
        <v>350000</v>
      </c>
    </row>
    <row r="147" spans="1:16" ht="31.2" x14ac:dyDescent="0.3">
      <c r="A147" s="22">
        <v>1517321</v>
      </c>
      <c r="B147" s="22">
        <v>7321</v>
      </c>
      <c r="C147" s="24" t="s">
        <v>306</v>
      </c>
      <c r="D147" s="16" t="s">
        <v>309</v>
      </c>
      <c r="E147" s="33"/>
      <c r="F147" s="33"/>
      <c r="G147" s="33"/>
      <c r="H147" s="33"/>
      <c r="I147" s="33"/>
      <c r="J147" s="33">
        <f t="shared" si="47"/>
        <v>7177841.5800000001</v>
      </c>
      <c r="K147" s="33">
        <f>77841.58+7100000</f>
        <v>7177841.5800000001</v>
      </c>
      <c r="L147" s="33"/>
      <c r="M147" s="33"/>
      <c r="N147" s="33"/>
      <c r="O147" s="33">
        <f>77841.58+7100000</f>
        <v>7177841.5800000001</v>
      </c>
      <c r="P147" s="33">
        <f t="shared" si="48"/>
        <v>7177841.5800000001</v>
      </c>
    </row>
    <row r="148" spans="1:16" ht="31.2" x14ac:dyDescent="0.3">
      <c r="A148" s="22">
        <v>1517330</v>
      </c>
      <c r="B148" s="22">
        <v>7330</v>
      </c>
      <c r="C148" s="24" t="s">
        <v>306</v>
      </c>
      <c r="D148" s="16" t="s">
        <v>308</v>
      </c>
      <c r="E148" s="33"/>
      <c r="F148" s="33"/>
      <c r="G148" s="33"/>
      <c r="H148" s="33"/>
      <c r="I148" s="33"/>
      <c r="J148" s="33">
        <f t="shared" si="47"/>
        <v>2310376.9300000002</v>
      </c>
      <c r="K148" s="33">
        <v>2310376.9300000002</v>
      </c>
      <c r="L148" s="33"/>
      <c r="M148" s="33"/>
      <c r="N148" s="33"/>
      <c r="O148" s="33">
        <v>2310376.9300000002</v>
      </c>
      <c r="P148" s="33">
        <f t="shared" si="48"/>
        <v>2310376.9300000002</v>
      </c>
    </row>
    <row r="149" spans="1:16" ht="46.8" x14ac:dyDescent="0.3">
      <c r="A149" s="22">
        <v>1517370</v>
      </c>
      <c r="B149" s="22">
        <v>7370</v>
      </c>
      <c r="C149" s="24" t="s">
        <v>63</v>
      </c>
      <c r="D149" s="16" t="s">
        <v>305</v>
      </c>
      <c r="E149" s="33">
        <f t="shared" ref="E149" si="49">F149+I149</f>
        <v>2220000</v>
      </c>
      <c r="F149" s="33"/>
      <c r="G149" s="33"/>
      <c r="H149" s="33"/>
      <c r="I149" s="33">
        <v>2220000</v>
      </c>
      <c r="J149" s="33">
        <f t="shared" si="47"/>
        <v>10330058.050000001</v>
      </c>
      <c r="K149" s="33">
        <f>10495058.05-165000</f>
        <v>10330058.050000001</v>
      </c>
      <c r="L149" s="33"/>
      <c r="M149" s="33"/>
      <c r="N149" s="33"/>
      <c r="O149" s="33">
        <f>10495058.05-165000</f>
        <v>10330058.050000001</v>
      </c>
      <c r="P149" s="33">
        <f t="shared" si="48"/>
        <v>12550058.050000001</v>
      </c>
    </row>
    <row r="150" spans="1:16" ht="31.2" x14ac:dyDescent="0.3">
      <c r="A150" s="22">
        <v>1517390</v>
      </c>
      <c r="B150" s="22">
        <v>7390</v>
      </c>
      <c r="C150" s="24" t="s">
        <v>63</v>
      </c>
      <c r="D150" s="16" t="s">
        <v>310</v>
      </c>
      <c r="E150" s="33"/>
      <c r="F150" s="33"/>
      <c r="G150" s="33"/>
      <c r="H150" s="33"/>
      <c r="I150" s="33"/>
      <c r="J150" s="33">
        <f t="shared" si="47"/>
        <v>1189432</v>
      </c>
      <c r="K150" s="33">
        <v>1189432</v>
      </c>
      <c r="L150" s="33"/>
      <c r="M150" s="33"/>
      <c r="N150" s="33"/>
      <c r="O150" s="33">
        <v>1189432</v>
      </c>
      <c r="P150" s="33">
        <f t="shared" si="48"/>
        <v>1189432</v>
      </c>
    </row>
    <row r="151" spans="1:16" ht="62.4" x14ac:dyDescent="0.3">
      <c r="A151" s="22">
        <v>1517461</v>
      </c>
      <c r="B151" s="15" t="s">
        <v>233</v>
      </c>
      <c r="C151" s="15" t="s">
        <v>234</v>
      </c>
      <c r="D151" s="16" t="s">
        <v>235</v>
      </c>
      <c r="E151" s="33"/>
      <c r="F151" s="33"/>
      <c r="G151" s="33"/>
      <c r="H151" s="33"/>
      <c r="I151" s="33"/>
      <c r="J151" s="33">
        <f t="shared" si="47"/>
        <v>165000</v>
      </c>
      <c r="K151" s="33">
        <v>165000</v>
      </c>
      <c r="L151" s="33"/>
      <c r="M151" s="33"/>
      <c r="N151" s="33"/>
      <c r="O151" s="33">
        <v>165000</v>
      </c>
      <c r="P151" s="33">
        <f t="shared" si="48"/>
        <v>165000</v>
      </c>
    </row>
    <row r="152" spans="1:16" ht="62.4" x14ac:dyDescent="0.3">
      <c r="A152" s="22">
        <v>1517462</v>
      </c>
      <c r="B152" s="22">
        <v>7462</v>
      </c>
      <c r="C152" s="24" t="s">
        <v>234</v>
      </c>
      <c r="D152" s="16" t="s">
        <v>360</v>
      </c>
      <c r="E152" s="33"/>
      <c r="F152" s="33"/>
      <c r="G152" s="33"/>
      <c r="H152" s="33"/>
      <c r="I152" s="33"/>
      <c r="J152" s="33">
        <f t="shared" si="47"/>
        <v>34620000</v>
      </c>
      <c r="K152" s="33"/>
      <c r="L152" s="33"/>
      <c r="M152" s="33"/>
      <c r="N152" s="33"/>
      <c r="O152" s="33">
        <v>34620000</v>
      </c>
      <c r="P152" s="33">
        <f t="shared" si="48"/>
        <v>34620000</v>
      </c>
    </row>
    <row r="153" spans="1:16" x14ac:dyDescent="0.3">
      <c r="A153" s="22">
        <v>1517640</v>
      </c>
      <c r="B153" s="22">
        <v>7640</v>
      </c>
      <c r="C153" s="24" t="s">
        <v>59</v>
      </c>
      <c r="D153" s="16" t="s">
        <v>60</v>
      </c>
      <c r="E153" s="33"/>
      <c r="F153" s="33"/>
      <c r="G153" s="33"/>
      <c r="H153" s="33"/>
      <c r="I153" s="33"/>
      <c r="J153" s="33">
        <f t="shared" si="47"/>
        <v>1892984.86</v>
      </c>
      <c r="K153" s="33">
        <v>1892984.86</v>
      </c>
      <c r="L153" s="33"/>
      <c r="M153" s="33"/>
      <c r="N153" s="33"/>
      <c r="O153" s="33">
        <v>1892984.86</v>
      </c>
      <c r="P153" s="33">
        <f t="shared" si="48"/>
        <v>1892984.86</v>
      </c>
    </row>
    <row r="154" spans="1:16" ht="203.25" customHeight="1" x14ac:dyDescent="0.3">
      <c r="A154" s="22">
        <v>1517691</v>
      </c>
      <c r="B154" s="22">
        <v>7691</v>
      </c>
      <c r="C154" s="23" t="s">
        <v>63</v>
      </c>
      <c r="D154" s="16" t="s">
        <v>311</v>
      </c>
      <c r="E154" s="33"/>
      <c r="F154" s="33"/>
      <c r="G154" s="33"/>
      <c r="H154" s="33"/>
      <c r="I154" s="33"/>
      <c r="J154" s="33">
        <f t="shared" si="47"/>
        <v>13342373.939999999</v>
      </c>
      <c r="K154" s="33"/>
      <c r="L154" s="33"/>
      <c r="M154" s="33"/>
      <c r="N154" s="33"/>
      <c r="O154" s="33">
        <f>4358135+8984238.94</f>
        <v>13342373.939999999</v>
      </c>
      <c r="P154" s="33">
        <f t="shared" si="48"/>
        <v>13342373.939999999</v>
      </c>
    </row>
    <row r="155" spans="1:16" ht="51.75" customHeight="1" x14ac:dyDescent="0.3">
      <c r="A155" s="23" t="s">
        <v>357</v>
      </c>
      <c r="B155" s="22">
        <v>8110</v>
      </c>
      <c r="C155" s="24" t="s">
        <v>349</v>
      </c>
      <c r="D155" s="16" t="s">
        <v>347</v>
      </c>
      <c r="E155" s="33">
        <f t="shared" ref="E155" si="50">F155+I155</f>
        <v>100000</v>
      </c>
      <c r="F155" s="33">
        <v>50000</v>
      </c>
      <c r="G155" s="33"/>
      <c r="H155" s="33"/>
      <c r="I155" s="33">
        <v>50000</v>
      </c>
      <c r="J155" s="33">
        <f>L155+O155</f>
        <v>19184726</v>
      </c>
      <c r="K155" s="33">
        <f>1000000-650000+3200000+1745640+2249210+94108+1169000+300000+950000+2020195+96600+957500+6052473</f>
        <v>19184726</v>
      </c>
      <c r="L155" s="33"/>
      <c r="M155" s="33"/>
      <c r="N155" s="33"/>
      <c r="O155" s="33">
        <f>1000000-650000+3200000+1745640+2249210+94108+1169000+300000+950000+2020195+96600+957500+6052473</f>
        <v>19184726</v>
      </c>
      <c r="P155" s="33">
        <f t="shared" si="48"/>
        <v>19284726</v>
      </c>
    </row>
    <row r="156" spans="1:16" ht="51.75" customHeight="1" x14ac:dyDescent="0.3">
      <c r="A156" s="23" t="s">
        <v>367</v>
      </c>
      <c r="B156" s="22">
        <v>8311</v>
      </c>
      <c r="C156" s="24" t="s">
        <v>369</v>
      </c>
      <c r="D156" s="16" t="s">
        <v>368</v>
      </c>
      <c r="E156" s="33"/>
      <c r="F156" s="33"/>
      <c r="G156" s="33"/>
      <c r="H156" s="33"/>
      <c r="I156" s="33"/>
      <c r="J156" s="33">
        <f>L156+O156</f>
        <v>615345</v>
      </c>
      <c r="K156" s="33">
        <v>615345</v>
      </c>
      <c r="L156" s="33"/>
      <c r="M156" s="33"/>
      <c r="N156" s="33"/>
      <c r="O156" s="33">
        <v>615345</v>
      </c>
      <c r="P156" s="33">
        <f t="shared" si="48"/>
        <v>615345</v>
      </c>
    </row>
    <row r="157" spans="1:16" ht="31.2" x14ac:dyDescent="0.3">
      <c r="A157" s="22">
        <v>1518340</v>
      </c>
      <c r="B157" s="15" t="s">
        <v>73</v>
      </c>
      <c r="C157" s="15" t="s">
        <v>74</v>
      </c>
      <c r="D157" s="16" t="s">
        <v>75</v>
      </c>
      <c r="E157" s="33"/>
      <c r="F157" s="33"/>
      <c r="G157" s="33"/>
      <c r="H157" s="33"/>
      <c r="I157" s="33"/>
      <c r="J157" s="33">
        <f t="shared" si="47"/>
        <v>202586.74</v>
      </c>
      <c r="K157" s="33"/>
      <c r="L157" s="33"/>
      <c r="M157" s="33"/>
      <c r="N157" s="33"/>
      <c r="O157" s="33">
        <v>202586.74</v>
      </c>
      <c r="P157" s="33">
        <f t="shared" si="48"/>
        <v>202586.74</v>
      </c>
    </row>
    <row r="158" spans="1:16" ht="78" x14ac:dyDescent="0.3">
      <c r="A158" s="22">
        <v>1518742</v>
      </c>
      <c r="B158" s="22">
        <v>8742</v>
      </c>
      <c r="C158" s="23" t="s">
        <v>55</v>
      </c>
      <c r="D158" s="16" t="s">
        <v>371</v>
      </c>
      <c r="E158" s="33">
        <f>F158</f>
        <v>2291129</v>
      </c>
      <c r="F158" s="33">
        <v>2291129</v>
      </c>
      <c r="G158" s="33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1:16" ht="46.8" x14ac:dyDescent="0.3">
      <c r="A159" s="22">
        <v>1518775</v>
      </c>
      <c r="B159" s="22">
        <v>8775</v>
      </c>
      <c r="C159" s="23" t="s">
        <v>31</v>
      </c>
      <c r="D159" s="16" t="s">
        <v>365</v>
      </c>
      <c r="E159" s="33">
        <f>F159</f>
        <v>28380</v>
      </c>
      <c r="F159" s="33">
        <f>123380-95000</f>
        <v>28380</v>
      </c>
      <c r="G159" s="33"/>
      <c r="H159" s="33"/>
      <c r="I159" s="33"/>
      <c r="J159" s="33">
        <f>L159+O159</f>
        <v>95000</v>
      </c>
      <c r="K159" s="33">
        <v>95000</v>
      </c>
      <c r="L159" s="33"/>
      <c r="M159" s="33"/>
      <c r="N159" s="33"/>
      <c r="O159" s="33">
        <v>95000</v>
      </c>
      <c r="P159" s="33">
        <f t="shared" si="48"/>
        <v>123380</v>
      </c>
    </row>
    <row r="160" spans="1:16" ht="78" x14ac:dyDescent="0.3">
      <c r="A160" s="13" t="s">
        <v>242</v>
      </c>
      <c r="B160" s="13" t="s">
        <v>18</v>
      </c>
      <c r="C160" s="13" t="s">
        <v>18</v>
      </c>
      <c r="D160" s="14" t="s">
        <v>243</v>
      </c>
      <c r="E160" s="37">
        <f t="shared" si="37"/>
        <v>16787467.539999999</v>
      </c>
      <c r="F160" s="37">
        <f>F161</f>
        <v>3309800</v>
      </c>
      <c r="G160" s="37">
        <f>G161</f>
        <v>2602600</v>
      </c>
      <c r="H160" s="37"/>
      <c r="I160" s="37">
        <f>I161</f>
        <v>13477667.539999999</v>
      </c>
      <c r="J160" s="37"/>
      <c r="K160" s="37"/>
      <c r="L160" s="37"/>
      <c r="M160" s="37"/>
      <c r="N160" s="37"/>
      <c r="O160" s="37"/>
      <c r="P160" s="37">
        <f t="shared" si="38"/>
        <v>16787467.539999999</v>
      </c>
    </row>
    <row r="161" spans="1:16" ht="78" x14ac:dyDescent="0.3">
      <c r="A161" s="13" t="s">
        <v>244</v>
      </c>
      <c r="B161" s="13" t="s">
        <v>18</v>
      </c>
      <c r="C161" s="13" t="s">
        <v>18</v>
      </c>
      <c r="D161" s="14" t="s">
        <v>243</v>
      </c>
      <c r="E161" s="37">
        <f t="shared" si="37"/>
        <v>16787467.539999999</v>
      </c>
      <c r="F161" s="37">
        <f>F162+F163+F164+F165+F166+F167</f>
        <v>3309800</v>
      </c>
      <c r="G161" s="37">
        <f t="shared" ref="G161:I161" si="51">G162+G163+G164+G165+G166+G167</f>
        <v>2602600</v>
      </c>
      <c r="H161" s="37">
        <f t="shared" si="51"/>
        <v>0</v>
      </c>
      <c r="I161" s="37">
        <f t="shared" si="51"/>
        <v>13477667.539999999</v>
      </c>
      <c r="J161" s="37"/>
      <c r="K161" s="37"/>
      <c r="L161" s="37"/>
      <c r="M161" s="37"/>
      <c r="N161" s="37"/>
      <c r="O161" s="37"/>
      <c r="P161" s="37">
        <f t="shared" si="38"/>
        <v>16787467.539999999</v>
      </c>
    </row>
    <row r="162" spans="1:16" ht="64.95" customHeight="1" x14ac:dyDescent="0.3">
      <c r="A162" s="15" t="s">
        <v>245</v>
      </c>
      <c r="B162" s="15" t="s">
        <v>80</v>
      </c>
      <c r="C162" s="15" t="s">
        <v>23</v>
      </c>
      <c r="D162" s="16" t="s">
        <v>81</v>
      </c>
      <c r="E162" s="33">
        <f t="shared" si="37"/>
        <v>2682800</v>
      </c>
      <c r="F162" s="33">
        <f>2998300+224500-400000-140000</f>
        <v>2682800</v>
      </c>
      <c r="G162" s="33">
        <f>2391900+526200+224500-400000-140000</f>
        <v>2602600</v>
      </c>
      <c r="H162" s="33"/>
      <c r="I162" s="33"/>
      <c r="J162" s="33"/>
      <c r="K162" s="33"/>
      <c r="L162" s="33"/>
      <c r="M162" s="33"/>
      <c r="N162" s="33"/>
      <c r="O162" s="33"/>
      <c r="P162" s="33">
        <f t="shared" si="38"/>
        <v>2682800</v>
      </c>
    </row>
    <row r="163" spans="1:16" ht="31.2" x14ac:dyDescent="0.3">
      <c r="A163" s="15" t="s">
        <v>246</v>
      </c>
      <c r="B163" s="15" t="s">
        <v>30</v>
      </c>
      <c r="C163" s="15" t="s">
        <v>31</v>
      </c>
      <c r="D163" s="16" t="s">
        <v>32</v>
      </c>
      <c r="E163" s="33">
        <f t="shared" si="37"/>
        <v>269000</v>
      </c>
      <c r="F163" s="33">
        <v>269000</v>
      </c>
      <c r="G163" s="33"/>
      <c r="H163" s="33"/>
      <c r="I163" s="33"/>
      <c r="J163" s="33"/>
      <c r="K163" s="33"/>
      <c r="L163" s="33"/>
      <c r="M163" s="33"/>
      <c r="N163" s="33"/>
      <c r="O163" s="33"/>
      <c r="P163" s="33">
        <f t="shared" si="38"/>
        <v>269000</v>
      </c>
    </row>
    <row r="164" spans="1:16" ht="46.8" x14ac:dyDescent="0.3">
      <c r="A164" s="15" t="s">
        <v>247</v>
      </c>
      <c r="B164" s="15" t="s">
        <v>229</v>
      </c>
      <c r="C164" s="15" t="s">
        <v>55</v>
      </c>
      <c r="D164" s="16" t="s">
        <v>230</v>
      </c>
      <c r="E164" s="33">
        <f t="shared" si="37"/>
        <v>60000</v>
      </c>
      <c r="F164" s="33">
        <v>60000</v>
      </c>
      <c r="G164" s="33"/>
      <c r="H164" s="33"/>
      <c r="I164" s="33"/>
      <c r="J164" s="33"/>
      <c r="K164" s="33"/>
      <c r="L164" s="33"/>
      <c r="M164" s="33"/>
      <c r="N164" s="33"/>
      <c r="O164" s="33"/>
      <c r="P164" s="33">
        <f t="shared" si="38"/>
        <v>60000</v>
      </c>
    </row>
    <row r="165" spans="1:16" ht="31.2" x14ac:dyDescent="0.3">
      <c r="A165" s="15" t="s">
        <v>248</v>
      </c>
      <c r="B165" s="15" t="s">
        <v>249</v>
      </c>
      <c r="C165" s="15" t="s">
        <v>63</v>
      </c>
      <c r="D165" s="16" t="s">
        <v>250</v>
      </c>
      <c r="E165" s="33">
        <f t="shared" si="37"/>
        <v>13477667.539999999</v>
      </c>
      <c r="F165" s="33"/>
      <c r="G165" s="33"/>
      <c r="H165" s="33"/>
      <c r="I165" s="33">
        <f>13067700+548978+328000-645700-4979.46+183669</f>
        <v>13477667.539999999</v>
      </c>
      <c r="J165" s="33"/>
      <c r="K165" s="33"/>
      <c r="L165" s="33"/>
      <c r="M165" s="33"/>
      <c r="N165" s="33"/>
      <c r="O165" s="33"/>
      <c r="P165" s="33">
        <f t="shared" si="38"/>
        <v>13477667.539999999</v>
      </c>
    </row>
    <row r="166" spans="1:16" ht="51.75" customHeight="1" x14ac:dyDescent="0.3">
      <c r="A166" s="23" t="s">
        <v>375</v>
      </c>
      <c r="B166" s="22">
        <v>8110</v>
      </c>
      <c r="C166" s="24" t="s">
        <v>349</v>
      </c>
      <c r="D166" s="16" t="s">
        <v>347</v>
      </c>
      <c r="E166" s="33">
        <f t="shared" si="37"/>
        <v>198000</v>
      </c>
      <c r="F166" s="33">
        <v>198000</v>
      </c>
      <c r="G166" s="33"/>
      <c r="H166" s="33"/>
      <c r="I166" s="33"/>
      <c r="J166" s="33">
        <f>L166+O166</f>
        <v>0</v>
      </c>
      <c r="K166" s="33"/>
      <c r="L166" s="33"/>
      <c r="M166" s="33"/>
      <c r="N166" s="33"/>
      <c r="O166" s="33"/>
      <c r="P166" s="33">
        <f t="shared" si="38"/>
        <v>198000</v>
      </c>
    </row>
    <row r="167" spans="1:16" ht="31.2" x14ac:dyDescent="0.3">
      <c r="A167" s="24" t="s">
        <v>353</v>
      </c>
      <c r="B167" s="24" t="s">
        <v>339</v>
      </c>
      <c r="C167" s="24" t="s">
        <v>67</v>
      </c>
      <c r="D167" s="43" t="s">
        <v>340</v>
      </c>
      <c r="E167" s="33">
        <f t="shared" si="37"/>
        <v>100000</v>
      </c>
      <c r="F167" s="33">
        <v>100000</v>
      </c>
      <c r="G167" s="33"/>
      <c r="H167" s="33"/>
      <c r="I167" s="33"/>
      <c r="J167" s="33"/>
      <c r="K167" s="33"/>
      <c r="L167" s="33"/>
      <c r="M167" s="33"/>
      <c r="N167" s="33"/>
      <c r="O167" s="33"/>
      <c r="P167" s="33">
        <f t="shared" si="38"/>
        <v>100000</v>
      </c>
    </row>
    <row r="168" spans="1:16" ht="62.4" x14ac:dyDescent="0.3">
      <c r="A168" s="13" t="s">
        <v>251</v>
      </c>
      <c r="B168" s="13" t="s">
        <v>18</v>
      </c>
      <c r="C168" s="13" t="s">
        <v>18</v>
      </c>
      <c r="D168" s="14" t="s">
        <v>252</v>
      </c>
      <c r="E168" s="37">
        <f>E169</f>
        <v>67172519.400000006</v>
      </c>
      <c r="F168" s="37">
        <f>F169</f>
        <v>63463648.400000006</v>
      </c>
      <c r="G168" s="37">
        <f>G169</f>
        <v>4377100</v>
      </c>
      <c r="H168" s="37"/>
      <c r="I168" s="37"/>
      <c r="J168" s="37">
        <f>L168+O168</f>
        <v>4721358</v>
      </c>
      <c r="K168" s="37">
        <f>K169</f>
        <v>4721358</v>
      </c>
      <c r="L168" s="37">
        <f>L169</f>
        <v>0</v>
      </c>
      <c r="M168" s="37"/>
      <c r="N168" s="37"/>
      <c r="O168" s="37">
        <f t="shared" ref="O168" si="52">O169</f>
        <v>4721358</v>
      </c>
      <c r="P168" s="37">
        <f>E168+J168</f>
        <v>71893877.400000006</v>
      </c>
    </row>
    <row r="169" spans="1:16" ht="62.4" x14ac:dyDescent="0.3">
      <c r="A169" s="13" t="s">
        <v>253</v>
      </c>
      <c r="B169" s="13" t="s">
        <v>18</v>
      </c>
      <c r="C169" s="13" t="s">
        <v>18</v>
      </c>
      <c r="D169" s="14" t="s">
        <v>252</v>
      </c>
      <c r="E169" s="37">
        <f>E170+E171+E173+E174+E175+E178</f>
        <v>67172519.400000006</v>
      </c>
      <c r="F169" s="37">
        <f>F170+F171+F173+F174+F175+F178</f>
        <v>63463648.400000006</v>
      </c>
      <c r="G169" s="37">
        <f>G170+G171+G173+G174</f>
        <v>4377100</v>
      </c>
      <c r="H169" s="37"/>
      <c r="I169" s="37"/>
      <c r="J169" s="37">
        <f>L169+O169</f>
        <v>4721358</v>
      </c>
      <c r="K169" s="37">
        <f>K170+K171+K173+K174+K178</f>
        <v>4721358</v>
      </c>
      <c r="L169" s="37">
        <f>L172</f>
        <v>0</v>
      </c>
      <c r="M169" s="37"/>
      <c r="N169" s="37"/>
      <c r="O169" s="37">
        <f>O170+O171+O173+O174+O178</f>
        <v>4721358</v>
      </c>
      <c r="P169" s="37">
        <f>E169+J169</f>
        <v>71893877.400000006</v>
      </c>
    </row>
    <row r="170" spans="1:16" ht="64.2" customHeight="1" x14ac:dyDescent="0.3">
      <c r="A170" s="15" t="s">
        <v>254</v>
      </c>
      <c r="B170" s="15" t="s">
        <v>80</v>
      </c>
      <c r="C170" s="15" t="s">
        <v>23</v>
      </c>
      <c r="D170" s="16" t="s">
        <v>81</v>
      </c>
      <c r="E170" s="33">
        <f>F170+I170</f>
        <v>4543700</v>
      </c>
      <c r="F170" s="33">
        <f>4143300+288900+111500</f>
        <v>4543700</v>
      </c>
      <c r="G170" s="33">
        <f>3163500+696000+288900+93000+111500+24200</f>
        <v>4377100</v>
      </c>
      <c r="H170" s="33"/>
      <c r="I170" s="33"/>
      <c r="J170" s="33"/>
      <c r="K170" s="33"/>
      <c r="L170" s="33"/>
      <c r="M170" s="33"/>
      <c r="N170" s="33"/>
      <c r="O170" s="33"/>
      <c r="P170" s="33">
        <f>E170+J170</f>
        <v>4543700</v>
      </c>
    </row>
    <row r="171" spans="1:16" ht="36" customHeight="1" x14ac:dyDescent="0.3">
      <c r="A171" s="15" t="s">
        <v>255</v>
      </c>
      <c r="B171" s="15" t="s">
        <v>30</v>
      </c>
      <c r="C171" s="15" t="s">
        <v>31</v>
      </c>
      <c r="D171" s="16" t="s">
        <v>32</v>
      </c>
      <c r="E171" s="33">
        <f>F171+I171</f>
        <v>3500927.4000000022</v>
      </c>
      <c r="F171" s="33">
        <f>63000+34465700+15355000+4000000-2818800-1372460-4158373.75-100000-3200000-300000-15100972+1994515.69+46600-300000-2265000-550000-2814679-7765565.54-600000-138000-7532038-2208000-1200000</f>
        <v>3500927.4000000022</v>
      </c>
      <c r="G171" s="33"/>
      <c r="H171" s="33"/>
      <c r="I171" s="33"/>
      <c r="J171" s="33"/>
      <c r="K171" s="33"/>
      <c r="L171" s="33"/>
      <c r="M171" s="33"/>
      <c r="N171" s="33"/>
      <c r="O171" s="33"/>
      <c r="P171" s="33">
        <f t="shared" ref="P171:P177" si="53">E171+J171</f>
        <v>3500927.4000000022</v>
      </c>
    </row>
    <row r="172" spans="1:16" ht="147.6" hidden="1" customHeight="1" x14ac:dyDescent="0.3">
      <c r="A172" s="22">
        <v>3717691</v>
      </c>
      <c r="B172" s="22">
        <v>7691</v>
      </c>
      <c r="C172" s="23" t="s">
        <v>63</v>
      </c>
      <c r="D172" s="16" t="s">
        <v>311</v>
      </c>
      <c r="E172" s="33"/>
      <c r="F172" s="33"/>
      <c r="G172" s="33"/>
      <c r="H172" s="33"/>
      <c r="I172" s="33"/>
      <c r="J172" s="33">
        <f>L172+O172</f>
        <v>0</v>
      </c>
      <c r="K172" s="33"/>
      <c r="L172" s="33">
        <f>200000-200000</f>
        <v>0</v>
      </c>
      <c r="M172" s="33"/>
      <c r="N172" s="33"/>
      <c r="O172" s="33"/>
      <c r="P172" s="33">
        <f>E172+J172</f>
        <v>0</v>
      </c>
    </row>
    <row r="173" spans="1:16" x14ac:dyDescent="0.3">
      <c r="A173" s="15" t="s">
        <v>256</v>
      </c>
      <c r="B173" s="15" t="s">
        <v>257</v>
      </c>
      <c r="C173" s="15" t="s">
        <v>31</v>
      </c>
      <c r="D173" s="16" t="s">
        <v>258</v>
      </c>
      <c r="E173" s="33">
        <f>4795000-208000+1727461-1314461+1000000-2291129</f>
        <v>3708871</v>
      </c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>
        <f t="shared" si="53"/>
        <v>3708871</v>
      </c>
    </row>
    <row r="174" spans="1:16" x14ac:dyDescent="0.3">
      <c r="A174" s="15" t="s">
        <v>259</v>
      </c>
      <c r="B174" s="15" t="s">
        <v>260</v>
      </c>
      <c r="C174" s="15" t="s">
        <v>30</v>
      </c>
      <c r="D174" s="16" t="s">
        <v>261</v>
      </c>
      <c r="E174" s="33">
        <f>F174+I174</f>
        <v>46217700</v>
      </c>
      <c r="F174" s="33">
        <v>46217700</v>
      </c>
      <c r="G174" s="33"/>
      <c r="H174" s="33"/>
      <c r="I174" s="33"/>
      <c r="J174" s="33"/>
      <c r="K174" s="33"/>
      <c r="L174" s="33"/>
      <c r="M174" s="33"/>
      <c r="N174" s="33"/>
      <c r="O174" s="33"/>
      <c r="P174" s="33">
        <f t="shared" si="53"/>
        <v>46217700</v>
      </c>
    </row>
    <row r="175" spans="1:16" x14ac:dyDescent="0.3">
      <c r="A175" s="22">
        <v>3719770</v>
      </c>
      <c r="B175" s="35">
        <v>9770</v>
      </c>
      <c r="C175" s="24" t="s">
        <v>30</v>
      </c>
      <c r="D175" s="34" t="s">
        <v>333</v>
      </c>
      <c r="E175" s="33">
        <f>F175</f>
        <v>2240000</v>
      </c>
      <c r="F175" s="33">
        <f>990000+500000+200000+550000</f>
        <v>2240000</v>
      </c>
      <c r="G175" s="33"/>
      <c r="H175" s="33"/>
      <c r="I175" s="33"/>
      <c r="J175" s="33"/>
      <c r="K175" s="33"/>
      <c r="L175" s="33"/>
      <c r="M175" s="33"/>
      <c r="N175" s="33"/>
      <c r="O175" s="33"/>
      <c r="P175" s="33">
        <f t="shared" si="53"/>
        <v>2240000</v>
      </c>
    </row>
    <row r="176" spans="1:16" x14ac:dyDescent="0.3">
      <c r="A176" s="15"/>
      <c r="B176" s="35"/>
      <c r="C176" s="24"/>
      <c r="D176" s="16" t="s">
        <v>329</v>
      </c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</row>
    <row r="177" spans="1:16" ht="156" x14ac:dyDescent="0.3">
      <c r="A177" s="17"/>
      <c r="B177" s="17"/>
      <c r="C177" s="25"/>
      <c r="D177" s="51" t="s">
        <v>334</v>
      </c>
      <c r="E177" s="36">
        <f>F177</f>
        <v>1540000</v>
      </c>
      <c r="F177" s="36">
        <f>990000+550000</f>
        <v>1540000</v>
      </c>
      <c r="G177" s="36"/>
      <c r="H177" s="36"/>
      <c r="I177" s="36"/>
      <c r="J177" s="36"/>
      <c r="K177" s="36"/>
      <c r="L177" s="36"/>
      <c r="M177" s="36"/>
      <c r="N177" s="36"/>
      <c r="O177" s="36"/>
      <c r="P177" s="36">
        <f t="shared" si="53"/>
        <v>1540000</v>
      </c>
    </row>
    <row r="178" spans="1:16" ht="62.4" x14ac:dyDescent="0.3">
      <c r="A178" s="22">
        <v>3719800</v>
      </c>
      <c r="B178" s="22">
        <v>9800</v>
      </c>
      <c r="C178" s="24" t="s">
        <v>30</v>
      </c>
      <c r="D178" s="16" t="s">
        <v>312</v>
      </c>
      <c r="E178" s="33">
        <f>F178</f>
        <v>6961321</v>
      </c>
      <c r="F178" s="33">
        <f>F180+F181+F182+F183</f>
        <v>6961321</v>
      </c>
      <c r="G178" s="33"/>
      <c r="H178" s="33"/>
      <c r="I178" s="33"/>
      <c r="J178" s="33">
        <f>L178+O178</f>
        <v>4721358</v>
      </c>
      <c r="K178" s="33">
        <f>K180+K181+K182</f>
        <v>4721358</v>
      </c>
      <c r="L178" s="33"/>
      <c r="M178" s="33"/>
      <c r="N178" s="33"/>
      <c r="O178" s="33">
        <f>O180+O181+O182</f>
        <v>4721358</v>
      </c>
      <c r="P178" s="33">
        <f>E178+J178</f>
        <v>11682679</v>
      </c>
    </row>
    <row r="179" spans="1:16" x14ac:dyDescent="0.3">
      <c r="A179" s="22"/>
      <c r="B179" s="22"/>
      <c r="C179" s="24"/>
      <c r="D179" s="16" t="s">
        <v>329</v>
      </c>
      <c r="E179" s="38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</row>
    <row r="180" spans="1:16" ht="78" x14ac:dyDescent="0.3">
      <c r="A180" s="22"/>
      <c r="B180" s="22"/>
      <c r="C180" s="24"/>
      <c r="D180" s="28" t="s">
        <v>328</v>
      </c>
      <c r="E180" s="36">
        <f>F180</f>
        <v>772000</v>
      </c>
      <c r="F180" s="36">
        <f>1000000-228000</f>
        <v>772000</v>
      </c>
      <c r="G180" s="36"/>
      <c r="H180" s="36"/>
      <c r="I180" s="36"/>
      <c r="J180" s="36">
        <f>L180+O180</f>
        <v>2436000</v>
      </c>
      <c r="K180" s="36">
        <f>228000+2208000</f>
        <v>2436000</v>
      </c>
      <c r="L180" s="36"/>
      <c r="M180" s="36"/>
      <c r="N180" s="36"/>
      <c r="O180" s="36">
        <f>228000+2208000</f>
        <v>2436000</v>
      </c>
      <c r="P180" s="36">
        <f>E180+J180</f>
        <v>3208000</v>
      </c>
    </row>
    <row r="181" spans="1:16" ht="78" x14ac:dyDescent="0.3">
      <c r="A181" s="22"/>
      <c r="B181" s="22"/>
      <c r="C181" s="24"/>
      <c r="D181" s="50" t="s">
        <v>350</v>
      </c>
      <c r="E181" s="36">
        <f>F181</f>
        <v>600000</v>
      </c>
      <c r="F181" s="36">
        <f>200000+200000+200000</f>
        <v>600000</v>
      </c>
      <c r="G181" s="36"/>
      <c r="H181" s="36"/>
      <c r="I181" s="36"/>
      <c r="J181" s="36"/>
      <c r="K181" s="36"/>
      <c r="L181" s="36"/>
      <c r="M181" s="36"/>
      <c r="N181" s="36"/>
      <c r="O181" s="36"/>
      <c r="P181" s="36">
        <f>E181+J181</f>
        <v>600000</v>
      </c>
    </row>
    <row r="182" spans="1:16" s="19" customFormat="1" ht="109.2" x14ac:dyDescent="0.3">
      <c r="A182" s="52"/>
      <c r="B182" s="52"/>
      <c r="C182" s="25"/>
      <c r="D182" s="50" t="s">
        <v>354</v>
      </c>
      <c r="E182" s="36">
        <f>F182+I182</f>
        <v>3589321</v>
      </c>
      <c r="F182" s="36">
        <f>187321+910000+92000+1400000+1000000</f>
        <v>3589321</v>
      </c>
      <c r="G182" s="36"/>
      <c r="H182" s="36"/>
      <c r="I182" s="36"/>
      <c r="J182" s="36">
        <f>L182+O182</f>
        <v>2285358</v>
      </c>
      <c r="K182" s="36">
        <f>O182</f>
        <v>2285358</v>
      </c>
      <c r="L182" s="36"/>
      <c r="M182" s="36"/>
      <c r="N182" s="36"/>
      <c r="O182" s="36">
        <f>1312679+250000+722679</f>
        <v>2285358</v>
      </c>
      <c r="P182" s="36">
        <f>E182+J182</f>
        <v>5874679</v>
      </c>
    </row>
    <row r="183" spans="1:16" s="19" customFormat="1" ht="140.4" x14ac:dyDescent="0.3">
      <c r="A183" s="52"/>
      <c r="B183" s="52"/>
      <c r="C183" s="25"/>
      <c r="D183" s="53" t="s">
        <v>366</v>
      </c>
      <c r="E183" s="36">
        <f>F183</f>
        <v>2000000</v>
      </c>
      <c r="F183" s="36">
        <v>2000000</v>
      </c>
      <c r="G183" s="36"/>
      <c r="H183" s="36"/>
      <c r="I183" s="36"/>
      <c r="J183" s="36"/>
      <c r="K183" s="36"/>
      <c r="L183" s="36"/>
      <c r="M183" s="36"/>
      <c r="N183" s="36"/>
      <c r="O183" s="36"/>
      <c r="P183" s="36">
        <f>E183+J183</f>
        <v>2000000</v>
      </c>
    </row>
    <row r="184" spans="1:16" x14ac:dyDescent="0.3">
      <c r="A184" s="20" t="s">
        <v>263</v>
      </c>
      <c r="B184" s="13" t="s">
        <v>263</v>
      </c>
      <c r="C184" s="13" t="s">
        <v>263</v>
      </c>
      <c r="D184" s="13" t="s">
        <v>262</v>
      </c>
      <c r="E184" s="37">
        <f t="shared" ref="E184:M184" si="54">E20+E51+E79+E96+E107+E115+E136+E160+E169</f>
        <v>936724906.18999994</v>
      </c>
      <c r="F184" s="37">
        <f t="shared" si="54"/>
        <v>824677840.64999998</v>
      </c>
      <c r="G184" s="37">
        <f t="shared" si="54"/>
        <v>496874005.25</v>
      </c>
      <c r="H184" s="37">
        <f t="shared" si="54"/>
        <v>51041442</v>
      </c>
      <c r="I184" s="37">
        <f t="shared" si="54"/>
        <v>108338194.53999999</v>
      </c>
      <c r="J184" s="37">
        <f t="shared" si="54"/>
        <v>153310434.34999999</v>
      </c>
      <c r="K184" s="37">
        <f t="shared" si="54"/>
        <v>95000653.449999988</v>
      </c>
      <c r="L184" s="37">
        <f t="shared" si="54"/>
        <v>8950500</v>
      </c>
      <c r="M184" s="37">
        <f t="shared" si="54"/>
        <v>415000</v>
      </c>
      <c r="N184" s="37"/>
      <c r="O184" s="37">
        <f>O20+O51+O79+O96+O107+O115+O136+O160+O169</f>
        <v>144359934.34999999</v>
      </c>
      <c r="P184" s="37">
        <f>E184+J184</f>
        <v>1090035340.54</v>
      </c>
    </row>
    <row r="185" spans="1:16" x14ac:dyDescent="0.3"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</row>
    <row r="186" spans="1:16" s="2" customFormat="1" ht="18" x14ac:dyDescent="0.35">
      <c r="A186" s="6"/>
      <c r="B186" s="6"/>
      <c r="C186" s="1" t="s">
        <v>269</v>
      </c>
      <c r="D186" s="3" t="s">
        <v>270</v>
      </c>
      <c r="E186" s="38">
        <f>E22+E27+E28+E53+E54+E81+E82+E98+E99+E109+E110+E117+E118+E119+E138+E139+E140+E162+E163+E170+E171</f>
        <v>95950155.400000006</v>
      </c>
      <c r="F186" s="38">
        <f>F22+F27+F28+F53+F54+F81+F82+F98+F99+F109+F110+F117+F118+F119+F138+F139+F140+F162+F163+F170+F171</f>
        <v>95950155.400000006</v>
      </c>
      <c r="G186" s="38">
        <f>G22+G27+G28+G53+G54+G81+G82+G98+G99+G109+G110+G117+G118+G119+G138+G139+G140+G162+G163+G170+G171</f>
        <v>76922400</v>
      </c>
      <c r="H186" s="38">
        <f>H22+H27+H28+H53+H54+H81+H82+H98+H99+H109+H110+H117+H118+H119+H138+H139+H140+H162+H163+H170+H171</f>
        <v>5539300</v>
      </c>
      <c r="I186" s="38"/>
      <c r="J186" s="38">
        <f>J22+J27+J28+J53+J54+J81+J82+J98+J99+J109+J110+J117+J118+J119+J138+J139+J140+J162+J163+J170+J171</f>
        <v>1040688.9</v>
      </c>
      <c r="K186" s="38">
        <f>K22+K27+K28+K53+K54+K81+K82+K98+K99+K109+K110+K117+K118+K119+K138+K139+K140+K162+K163+K170+K171</f>
        <v>902188.9</v>
      </c>
      <c r="L186" s="38">
        <f>L22+L27+L28+L53+L54+L81+L82+L98+L99+L109+L110+L117+L118+L119+L138+L139+L140+L162+L163+L170+L171</f>
        <v>138500</v>
      </c>
      <c r="M186" s="38"/>
      <c r="N186" s="38"/>
      <c r="O186" s="38">
        <f>O22+O27+O28+O53+O54+O81+O82+O98+O99+O109+O110+O117+O118+O119+O138+O139+O140+O162+O163+O170+O171</f>
        <v>902188.9</v>
      </c>
      <c r="P186" s="38">
        <f>P22+P27+P28+P53+P54+P81+P82+P98+P99+P109+P110+P117+P118+P119+P138+P139+P140+P162+P163+P170+P171</f>
        <v>96990844.299999997</v>
      </c>
    </row>
    <row r="187" spans="1:16" s="2" customFormat="1" ht="18" x14ac:dyDescent="0.35">
      <c r="A187" s="6"/>
      <c r="B187" s="6"/>
      <c r="C187" s="1" t="s">
        <v>271</v>
      </c>
      <c r="D187" s="3" t="s">
        <v>272</v>
      </c>
      <c r="E187" s="38">
        <f>E55+E56+E57+E58+E59+E60+E61+E62+E63+E64+E65+E66+E67+E68+E69+E70+E73+E100</f>
        <v>417298470.25</v>
      </c>
      <c r="F187" s="38">
        <f>F55+F56+F57+F58+F59+F60+F61+F62+F63+F64+F65+F66+F67+F68+F69+F70+F73+F100</f>
        <v>417298470.25</v>
      </c>
      <c r="G187" s="38">
        <f>G55+G56+G57+G58+G59+G60+G61+G62+G63+G64+G65+G66+G67+G68+G69+G70+G73+G100</f>
        <v>355363075.25</v>
      </c>
      <c r="H187" s="38">
        <f>H55+H56+H57+H58+H59+H60+H61+H62+H63+H64+H65+H66+H67+H68+H69+H70+H73+H100</f>
        <v>41554202</v>
      </c>
      <c r="I187" s="38"/>
      <c r="J187" s="38">
        <f>J55+J56+J57+J58+J59+J60+J61+J62+J63+J64+J65+J66+J67+J68+J69+J70+J73+J100</f>
        <v>11547218</v>
      </c>
      <c r="K187" s="38">
        <f>K55+K56+K57+K58+K59+K60+K61+K62+K63+K64+K65+K66+K67+K68+K69+K70+K73+K100</f>
        <v>3075718</v>
      </c>
      <c r="L187" s="38">
        <f>L55+L56+L57+L58+L59+L60+L61+L62+L63+L64+L65+L66+L67+L68+L69+L70+L73+L100</f>
        <v>8211500</v>
      </c>
      <c r="M187" s="38">
        <f>M55+M56+M57+M58+M59+M60+M61+M62+M63+M64+M65+M66+M67+M68+M69+M70+M73+M100</f>
        <v>385000</v>
      </c>
      <c r="N187" s="38"/>
      <c r="O187" s="38">
        <f>O55+O56+O57+O58+O59+O60+O61+O62+O63+O64+O65+O66+O67+O68+O69+O70+O73+O100</f>
        <v>3335718</v>
      </c>
      <c r="P187" s="38">
        <f>P55+P56+P57+P58+P59+P60+P61+P62+P63+P64+P65+P66+P67+P68+P69+P70+P73+P100</f>
        <v>428845688.25</v>
      </c>
    </row>
    <row r="188" spans="1:16" s="2" customFormat="1" ht="18" x14ac:dyDescent="0.35">
      <c r="A188" s="6"/>
      <c r="B188" s="6"/>
      <c r="C188" s="1" t="s">
        <v>273</v>
      </c>
      <c r="D188" s="3" t="s">
        <v>274</v>
      </c>
      <c r="E188" s="38">
        <f>E29+E30+E31+E32+E141</f>
        <v>41219911.32</v>
      </c>
      <c r="F188" s="38">
        <f>F29+F30+F31+F32+F141</f>
        <v>41219911.32</v>
      </c>
      <c r="G188" s="38"/>
      <c r="H188" s="38"/>
      <c r="I188" s="38"/>
      <c r="J188" s="38">
        <f>J29+J30+J32+J141</f>
        <v>9870254.9100000001</v>
      </c>
      <c r="K188" s="38">
        <f>K29+K30+K32+K141</f>
        <v>9870254.9100000001</v>
      </c>
      <c r="L188" s="38"/>
      <c r="M188" s="38"/>
      <c r="N188" s="38"/>
      <c r="O188" s="38">
        <f>O29+O30+O32+O141</f>
        <v>9870254.9100000001</v>
      </c>
      <c r="P188" s="38">
        <f>E188+J188</f>
        <v>51090166.230000004</v>
      </c>
    </row>
    <row r="189" spans="1:16" s="2" customFormat="1" ht="31.8" x14ac:dyDescent="0.35">
      <c r="A189" s="6"/>
      <c r="B189" s="6"/>
      <c r="C189" s="1" t="s">
        <v>275</v>
      </c>
      <c r="D189" s="3" t="s">
        <v>276</v>
      </c>
      <c r="E189" s="38">
        <f>E33+E34+E76+E83+E84+E85+E86+E87+E88+E89+E90+E91+E92+E93+E94+E95+E111+E120</f>
        <v>71513523</v>
      </c>
      <c r="F189" s="38">
        <f>F33+F34+F76+F83+F84+F85+F86+F87+F88+F89+F90+F91+F92+F93+F94+F95+F111+F120</f>
        <v>71513523</v>
      </c>
      <c r="G189" s="38">
        <f>G33+G34+G76+G83+G84+G85+G86+G87+G88+G89+G90+G91+G92+G93+G94+G95+G111+G120</f>
        <v>19791200</v>
      </c>
      <c r="H189" s="38">
        <f>H33+H34+H76+H83+H84+H85+H86+H87+H88+H89+H90+H91+H92+H93+H94+H95+H111+H120</f>
        <v>357300</v>
      </c>
      <c r="I189" s="38"/>
      <c r="J189" s="38">
        <f>J33+J34+J76+J83+J84+J85+J86+J87+J88+J89+J90+J91+J92+J93+J94+J95+J111+J120</f>
        <v>68000</v>
      </c>
      <c r="K189" s="38"/>
      <c r="L189" s="38"/>
      <c r="M189" s="38"/>
      <c r="N189" s="38"/>
      <c r="O189" s="38">
        <f>O33+O34+O76+O83+O84+O85+O86+O87+O88+O89+O90+O91+O92+O93+O94+O95+O111+O120</f>
        <v>68000</v>
      </c>
      <c r="P189" s="38">
        <f t="shared" ref="P189:P204" si="55">E189+J189</f>
        <v>71581523</v>
      </c>
    </row>
    <row r="190" spans="1:16" s="2" customFormat="1" ht="18" x14ac:dyDescent="0.35">
      <c r="A190" s="6"/>
      <c r="B190" s="6"/>
      <c r="C190" s="1" t="s">
        <v>277</v>
      </c>
      <c r="D190" s="3" t="s">
        <v>278</v>
      </c>
      <c r="E190" s="38">
        <f>E101+E102+E103+E104+E105</f>
        <v>25184959</v>
      </c>
      <c r="F190" s="40">
        <f>F101+F102+F103+F104+F105</f>
        <v>25184959</v>
      </c>
      <c r="G190" s="40">
        <f>G101+G102+G103+G104+G105</f>
        <v>19886700</v>
      </c>
      <c r="H190" s="40">
        <f>H101+H102+H103+H104+H105</f>
        <v>2421100</v>
      </c>
      <c r="I190" s="40"/>
      <c r="J190" s="38">
        <f>J101+J102+J103+J104+J105</f>
        <v>322000</v>
      </c>
      <c r="K190" s="40"/>
      <c r="L190" s="40">
        <f>L101+L102+L103+L104+L105</f>
        <v>295000</v>
      </c>
      <c r="M190" s="40">
        <f>M101+M102+M103+M104+M105</f>
        <v>30000</v>
      </c>
      <c r="N190" s="40"/>
      <c r="O190" s="40">
        <f>O101+O102+O103+O104+O105</f>
        <v>27000</v>
      </c>
      <c r="P190" s="38">
        <f t="shared" si="55"/>
        <v>25506959</v>
      </c>
    </row>
    <row r="191" spans="1:16" s="2" customFormat="1" ht="18" x14ac:dyDescent="0.35">
      <c r="A191" s="6"/>
      <c r="B191" s="6"/>
      <c r="C191" s="1" t="s">
        <v>279</v>
      </c>
      <c r="D191" s="3" t="s">
        <v>280</v>
      </c>
      <c r="E191" s="38">
        <f>E77+E112+E113+E114</f>
        <v>12606620</v>
      </c>
      <c r="F191" s="40">
        <f>F77+F112+F113+F114</f>
        <v>12606620</v>
      </c>
      <c r="G191" s="40">
        <f>G77+G112+G113+G114</f>
        <v>8435600</v>
      </c>
      <c r="H191" s="40">
        <f>H77+H112+H113+H114</f>
        <v>835000</v>
      </c>
      <c r="I191" s="40"/>
      <c r="J191" s="38"/>
      <c r="K191" s="40"/>
      <c r="L191" s="40"/>
      <c r="M191" s="40"/>
      <c r="N191" s="40"/>
      <c r="O191" s="40"/>
      <c r="P191" s="38">
        <f t="shared" si="55"/>
        <v>12606620</v>
      </c>
    </row>
    <row r="192" spans="1:16" s="2" customFormat="1" ht="18" x14ac:dyDescent="0.35">
      <c r="A192" s="6"/>
      <c r="B192" s="6"/>
      <c r="C192" s="1" t="s">
        <v>281</v>
      </c>
      <c r="D192" s="3" t="s">
        <v>282</v>
      </c>
      <c r="E192" s="38">
        <f>E35+E121+E122+E123+E124+E125+E126+E142+E143+E144+E145+E164</f>
        <v>97490999</v>
      </c>
      <c r="F192" s="38">
        <f>F35+F121+F122+F123+F124+F125+F126+F142+F143+F144+F145+F164</f>
        <v>24765477</v>
      </c>
      <c r="G192" s="38"/>
      <c r="H192" s="38"/>
      <c r="I192" s="38">
        <f>I35+I121+I122+I123+I124+I125+I126+I142+I143+I144+I145+I164</f>
        <v>72725522</v>
      </c>
      <c r="J192" s="38">
        <f>J35+J121+J122+J123+J124+J125+J126+J142+J143+J144+J145+J164</f>
        <v>28047892.600000001</v>
      </c>
      <c r="K192" s="38">
        <f>K35+K121+K122+K123+K124+K125+K126+K142+K143+K144+K145+K164</f>
        <v>28047892.600000001</v>
      </c>
      <c r="L192" s="38"/>
      <c r="M192" s="38"/>
      <c r="N192" s="38"/>
      <c r="O192" s="38">
        <f>O35+O121+O122+O123+O124+O125+O126+O142+O143+O144+O145+O164</f>
        <v>28047892.600000001</v>
      </c>
      <c r="P192" s="38">
        <f>P35+P121+P122+P123+P124+P125+P126+P142+P143+P144+P145+P164</f>
        <v>125538891.60000001</v>
      </c>
    </row>
    <row r="193" spans="1:16" s="2" customFormat="1" ht="31.8" x14ac:dyDescent="0.35">
      <c r="A193" s="6"/>
      <c r="B193" s="6"/>
      <c r="C193" s="1" t="s">
        <v>283</v>
      </c>
      <c r="D193" s="3" t="s">
        <v>284</v>
      </c>
      <c r="E193" s="38"/>
      <c r="F193" s="40"/>
      <c r="G193" s="40"/>
      <c r="H193" s="40"/>
      <c r="I193" s="40"/>
      <c r="J193" s="38"/>
      <c r="K193" s="40"/>
      <c r="L193" s="40"/>
      <c r="M193" s="40"/>
      <c r="N193" s="40"/>
      <c r="O193" s="40"/>
      <c r="P193" s="38">
        <f t="shared" si="55"/>
        <v>0</v>
      </c>
    </row>
    <row r="194" spans="1:16" s="2" customFormat="1" ht="31.8" x14ac:dyDescent="0.35">
      <c r="A194" s="6"/>
      <c r="B194" s="6"/>
      <c r="C194" s="1" t="s">
        <v>285</v>
      </c>
      <c r="D194" s="3" t="s">
        <v>286</v>
      </c>
      <c r="E194" s="38">
        <f>E127+E146+E147+E148+E149+E150</f>
        <v>2220000</v>
      </c>
      <c r="F194" s="38"/>
      <c r="G194" s="38"/>
      <c r="H194" s="38"/>
      <c r="I194" s="38">
        <f>I127+I146+I147+I148+I149+I150</f>
        <v>2220000</v>
      </c>
      <c r="J194" s="38">
        <f>J127+J146+J147+J148+J149+J150</f>
        <v>21846708.560000002</v>
      </c>
      <c r="K194" s="38">
        <f>K127+K146+K147+K148+K149+K150</f>
        <v>21846708.560000002</v>
      </c>
      <c r="L194" s="38"/>
      <c r="M194" s="38"/>
      <c r="N194" s="38"/>
      <c r="O194" s="38">
        <f>O127+O146+O147+O148+O149+O150</f>
        <v>21846708.560000002</v>
      </c>
      <c r="P194" s="38">
        <f>P127+P146+P147+P148+P149+P150</f>
        <v>24066708.560000002</v>
      </c>
    </row>
    <row r="195" spans="1:16" s="2" customFormat="1" ht="47.4" x14ac:dyDescent="0.35">
      <c r="A195" s="6"/>
      <c r="B195" s="6"/>
      <c r="C195" s="1" t="s">
        <v>287</v>
      </c>
      <c r="D195" s="3" t="s">
        <v>288</v>
      </c>
      <c r="E195" s="38">
        <f>E128+E151+E152</f>
        <v>21042900</v>
      </c>
      <c r="F195" s="38">
        <f>F128+F151+F152</f>
        <v>21042900</v>
      </c>
      <c r="G195" s="38"/>
      <c r="H195" s="38"/>
      <c r="I195" s="38"/>
      <c r="J195" s="38">
        <f>J128+J151+J152</f>
        <v>34785000</v>
      </c>
      <c r="K195" s="38">
        <f>K128+K151+K152</f>
        <v>165000</v>
      </c>
      <c r="L195" s="38"/>
      <c r="M195" s="38"/>
      <c r="N195" s="38"/>
      <c r="O195" s="38">
        <f>O128+O151+O152</f>
        <v>34785000</v>
      </c>
      <c r="P195" s="38">
        <f>P128+P151+P152</f>
        <v>55827900</v>
      </c>
    </row>
    <row r="196" spans="1:16" s="2" customFormat="1" ht="31.8" x14ac:dyDescent="0.35">
      <c r="A196" s="6"/>
      <c r="B196" s="6"/>
      <c r="C196" s="1" t="s">
        <v>289</v>
      </c>
      <c r="D196" s="3" t="s">
        <v>290</v>
      </c>
      <c r="E196" s="38">
        <f>E39+E40+E129+E130+E131+E153+E154+E165+E172</f>
        <v>33414072.539999999</v>
      </c>
      <c r="F196" s="38">
        <f t="shared" ref="F196:P196" si="56">F39+F40+F129+F130+F131+F153+F154+F165+F172</f>
        <v>71400</v>
      </c>
      <c r="G196" s="38">
        <f t="shared" si="56"/>
        <v>0</v>
      </c>
      <c r="H196" s="38">
        <f t="shared" si="56"/>
        <v>0</v>
      </c>
      <c r="I196" s="38">
        <f t="shared" si="56"/>
        <v>33342672.539999999</v>
      </c>
      <c r="J196" s="38">
        <f t="shared" si="56"/>
        <v>15436408.17</v>
      </c>
      <c r="K196" s="38">
        <f t="shared" si="56"/>
        <v>1917064.4800000002</v>
      </c>
      <c r="L196" s="38">
        <f t="shared" si="56"/>
        <v>0</v>
      </c>
      <c r="M196" s="38">
        <f t="shared" si="56"/>
        <v>0</v>
      </c>
      <c r="N196" s="38">
        <f t="shared" si="56"/>
        <v>0</v>
      </c>
      <c r="O196" s="38">
        <f t="shared" si="56"/>
        <v>15436408.17</v>
      </c>
      <c r="P196" s="38">
        <f t="shared" si="56"/>
        <v>48850480.710000001</v>
      </c>
    </row>
    <row r="197" spans="1:16" s="2" customFormat="1" ht="47.4" x14ac:dyDescent="0.35">
      <c r="A197" s="6"/>
      <c r="B197" s="6"/>
      <c r="C197" s="1" t="s">
        <v>351</v>
      </c>
      <c r="D197" s="3" t="s">
        <v>352</v>
      </c>
      <c r="E197" s="38">
        <f>E41+E78+E106+E132+E155+E166</f>
        <v>26541596.68</v>
      </c>
      <c r="F197" s="38">
        <f t="shared" ref="F197:P197" si="57">F41+F78+F106+F132+F155+F166</f>
        <v>26491596.68</v>
      </c>
      <c r="G197" s="38">
        <f t="shared" si="57"/>
        <v>0</v>
      </c>
      <c r="H197" s="38">
        <f t="shared" si="57"/>
        <v>0</v>
      </c>
      <c r="I197" s="38">
        <f t="shared" si="57"/>
        <v>50000</v>
      </c>
      <c r="J197" s="38">
        <f t="shared" si="57"/>
        <v>22532946</v>
      </c>
      <c r="K197" s="38">
        <f t="shared" si="57"/>
        <v>22532946</v>
      </c>
      <c r="L197" s="38">
        <f t="shared" si="57"/>
        <v>0</v>
      </c>
      <c r="M197" s="38">
        <f t="shared" si="57"/>
        <v>0</v>
      </c>
      <c r="N197" s="38">
        <f t="shared" si="57"/>
        <v>0</v>
      </c>
      <c r="O197" s="38">
        <f t="shared" si="57"/>
        <v>22532946</v>
      </c>
      <c r="P197" s="38">
        <f t="shared" si="57"/>
        <v>49074542.68</v>
      </c>
    </row>
    <row r="198" spans="1:16" s="2" customFormat="1" ht="18" x14ac:dyDescent="0.35">
      <c r="A198" s="6"/>
      <c r="B198" s="6"/>
      <c r="C198" s="1" t="s">
        <v>291</v>
      </c>
      <c r="D198" s="3" t="s">
        <v>292</v>
      </c>
      <c r="E198" s="38">
        <f t="shared" ref="E198:P198" si="58">E46+E47+E48+E49+E167</f>
        <v>29806394</v>
      </c>
      <c r="F198" s="38">
        <f t="shared" si="58"/>
        <v>29806394</v>
      </c>
      <c r="G198" s="38">
        <f t="shared" si="58"/>
        <v>16475030</v>
      </c>
      <c r="H198" s="38">
        <f t="shared" si="58"/>
        <v>334540</v>
      </c>
      <c r="I198" s="38">
        <f t="shared" si="58"/>
        <v>0</v>
      </c>
      <c r="J198" s="38">
        <f t="shared" si="58"/>
        <v>800000</v>
      </c>
      <c r="K198" s="38">
        <f t="shared" si="58"/>
        <v>800000</v>
      </c>
      <c r="L198" s="38">
        <f t="shared" si="58"/>
        <v>0</v>
      </c>
      <c r="M198" s="38">
        <f t="shared" si="58"/>
        <v>0</v>
      </c>
      <c r="N198" s="38">
        <f t="shared" si="58"/>
        <v>0</v>
      </c>
      <c r="O198" s="38">
        <f t="shared" si="58"/>
        <v>800000</v>
      </c>
      <c r="P198" s="38">
        <f t="shared" si="58"/>
        <v>30606394</v>
      </c>
    </row>
    <row r="199" spans="1:16" s="2" customFormat="1" ht="31.8" x14ac:dyDescent="0.35">
      <c r="A199" s="6"/>
      <c r="B199" s="6"/>
      <c r="C199" s="1" t="s">
        <v>73</v>
      </c>
      <c r="D199" s="4" t="s">
        <v>75</v>
      </c>
      <c r="E199" s="38"/>
      <c r="F199" s="38"/>
      <c r="G199" s="38"/>
      <c r="H199" s="38"/>
      <c r="I199" s="38"/>
      <c r="J199" s="38">
        <f t="shared" ref="J199:O199" si="59">J50+J133+J156+J157</f>
        <v>1785782.21</v>
      </c>
      <c r="K199" s="38">
        <f t="shared" si="59"/>
        <v>615345</v>
      </c>
      <c r="L199" s="38">
        <f t="shared" si="59"/>
        <v>305500</v>
      </c>
      <c r="M199" s="38">
        <f t="shared" si="59"/>
        <v>0</v>
      </c>
      <c r="N199" s="38">
        <f t="shared" si="59"/>
        <v>0</v>
      </c>
      <c r="O199" s="38">
        <f t="shared" si="59"/>
        <v>1480282.21</v>
      </c>
      <c r="P199" s="38">
        <f t="shared" si="55"/>
        <v>1785782.21</v>
      </c>
    </row>
    <row r="200" spans="1:16" s="2" customFormat="1" ht="37.950000000000003" customHeight="1" x14ac:dyDescent="0.35">
      <c r="A200" s="7"/>
      <c r="B200" s="7"/>
      <c r="C200" s="1" t="s">
        <v>293</v>
      </c>
      <c r="D200" s="4" t="s">
        <v>294</v>
      </c>
      <c r="E200" s="38">
        <f>E134+E135+E158+E159+E173</f>
        <v>7016284</v>
      </c>
      <c r="F200" s="38">
        <f>F134+F135+F158+F159+F173</f>
        <v>3307413</v>
      </c>
      <c r="G200" s="38">
        <f t="shared" ref="G200:O200" si="60">G134+G135+G158+G159+G173</f>
        <v>0</v>
      </c>
      <c r="H200" s="38">
        <f t="shared" si="60"/>
        <v>0</v>
      </c>
      <c r="I200" s="38">
        <f t="shared" si="60"/>
        <v>0</v>
      </c>
      <c r="J200" s="38">
        <f t="shared" si="60"/>
        <v>506177</v>
      </c>
      <c r="K200" s="38">
        <f t="shared" si="60"/>
        <v>506177</v>
      </c>
      <c r="L200" s="38">
        <f t="shared" si="60"/>
        <v>0</v>
      </c>
      <c r="M200" s="38">
        <f t="shared" si="60"/>
        <v>0</v>
      </c>
      <c r="N200" s="38">
        <f t="shared" si="60"/>
        <v>0</v>
      </c>
      <c r="O200" s="38">
        <f t="shared" si="60"/>
        <v>506177</v>
      </c>
      <c r="P200" s="38">
        <f>E200+J200</f>
        <v>7522461</v>
      </c>
    </row>
    <row r="201" spans="1:16" s="2" customFormat="1" ht="31.8" x14ac:dyDescent="0.35">
      <c r="A201" s="7"/>
      <c r="B201" s="7"/>
      <c r="C201" s="1" t="s">
        <v>295</v>
      </c>
      <c r="D201" s="4" t="s">
        <v>296</v>
      </c>
      <c r="E201" s="38">
        <f>E174</f>
        <v>46217700</v>
      </c>
      <c r="F201" s="41">
        <f>F174</f>
        <v>46217700</v>
      </c>
      <c r="G201" s="41"/>
      <c r="H201" s="41"/>
      <c r="I201" s="41"/>
      <c r="J201" s="38"/>
      <c r="K201" s="41"/>
      <c r="L201" s="41"/>
      <c r="M201" s="41"/>
      <c r="N201" s="41"/>
      <c r="O201" s="41"/>
      <c r="P201" s="38">
        <f t="shared" si="55"/>
        <v>46217700</v>
      </c>
    </row>
    <row r="202" spans="1:16" s="2" customFormat="1" ht="63" x14ac:dyDescent="0.35">
      <c r="A202" s="7"/>
      <c r="B202" s="7"/>
      <c r="C202" s="1" t="s">
        <v>335</v>
      </c>
      <c r="D202" s="4" t="s">
        <v>336</v>
      </c>
      <c r="E202" s="38">
        <f>E175</f>
        <v>2240000</v>
      </c>
      <c r="F202" s="38">
        <f>F175</f>
        <v>2240000</v>
      </c>
      <c r="G202" s="41"/>
      <c r="H202" s="41"/>
      <c r="I202" s="41"/>
      <c r="J202" s="38"/>
      <c r="K202" s="41"/>
      <c r="L202" s="41"/>
      <c r="M202" s="41"/>
      <c r="N202" s="41"/>
      <c r="O202" s="41"/>
      <c r="P202" s="38">
        <f t="shared" si="55"/>
        <v>2240000</v>
      </c>
    </row>
    <row r="203" spans="1:16" s="2" customFormat="1" ht="62.4" customHeight="1" x14ac:dyDescent="0.35">
      <c r="A203" s="7"/>
      <c r="B203" s="7"/>
      <c r="C203" s="1" t="s">
        <v>313</v>
      </c>
      <c r="D203" s="16" t="s">
        <v>312</v>
      </c>
      <c r="E203" s="38">
        <f>E178</f>
        <v>6961321</v>
      </c>
      <c r="F203" s="41">
        <f>F178</f>
        <v>6961321</v>
      </c>
      <c r="G203" s="41"/>
      <c r="H203" s="41"/>
      <c r="I203" s="41"/>
      <c r="J203" s="38">
        <f>L203+O203</f>
        <v>4721358</v>
      </c>
      <c r="K203" s="41">
        <f>K178</f>
        <v>4721358</v>
      </c>
      <c r="L203" s="41"/>
      <c r="M203" s="41"/>
      <c r="N203" s="41"/>
      <c r="O203" s="41">
        <f>O178</f>
        <v>4721358</v>
      </c>
      <c r="P203" s="38">
        <f t="shared" si="55"/>
        <v>11682679</v>
      </c>
    </row>
    <row r="204" spans="1:16" s="5" customFormat="1" x14ac:dyDescent="0.3">
      <c r="A204" s="21"/>
      <c r="B204" s="21"/>
      <c r="C204" s="21"/>
      <c r="D204" s="21" t="s">
        <v>16</v>
      </c>
      <c r="E204" s="42">
        <f t="shared" ref="E204:O204" si="61">SUM(E186:E203)</f>
        <v>936724906.18999994</v>
      </c>
      <c r="F204" s="42">
        <f t="shared" si="61"/>
        <v>824677840.64999998</v>
      </c>
      <c r="G204" s="42">
        <f t="shared" si="61"/>
        <v>496874005.25</v>
      </c>
      <c r="H204" s="42">
        <f t="shared" si="61"/>
        <v>51041442</v>
      </c>
      <c r="I204" s="42">
        <f t="shared" si="61"/>
        <v>108338194.53999999</v>
      </c>
      <c r="J204" s="42">
        <f t="shared" si="61"/>
        <v>153310434.34999999</v>
      </c>
      <c r="K204" s="42">
        <f t="shared" si="61"/>
        <v>95000653.450000003</v>
      </c>
      <c r="L204" s="42">
        <f t="shared" si="61"/>
        <v>8950500</v>
      </c>
      <c r="M204" s="42">
        <f t="shared" si="61"/>
        <v>415000</v>
      </c>
      <c r="N204" s="42">
        <f t="shared" si="61"/>
        <v>0</v>
      </c>
      <c r="O204" s="42">
        <f t="shared" si="61"/>
        <v>144359934.34999999</v>
      </c>
      <c r="P204" s="42">
        <f t="shared" si="55"/>
        <v>1090035340.54</v>
      </c>
    </row>
    <row r="205" spans="1:16" x14ac:dyDescent="0.3"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</row>
    <row r="206" spans="1:16" x14ac:dyDescent="0.3">
      <c r="D206" s="8" t="s">
        <v>373</v>
      </c>
      <c r="E206" s="44"/>
      <c r="F206" s="44"/>
      <c r="G206" s="44"/>
      <c r="H206" s="44"/>
      <c r="I206" s="44" t="s">
        <v>374</v>
      </c>
      <c r="J206" s="44"/>
      <c r="K206" s="44"/>
      <c r="L206" s="44"/>
      <c r="M206" s="44"/>
      <c r="N206" s="44"/>
      <c r="O206" s="44"/>
      <c r="P206" s="44"/>
    </row>
    <row r="207" spans="1:16" x14ac:dyDescent="0.3"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</row>
    <row r="208" spans="1:16" x14ac:dyDescent="0.3"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</row>
    <row r="209" spans="4:16" x14ac:dyDescent="0.3"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</row>
    <row r="210" spans="4:16" x14ac:dyDescent="0.3">
      <c r="D210" s="8" t="s">
        <v>297</v>
      </c>
      <c r="E210" s="44">
        <f t="shared" ref="E210:P210" si="62">E184-E204</f>
        <v>0</v>
      </c>
      <c r="F210" s="44">
        <f t="shared" si="62"/>
        <v>0</v>
      </c>
      <c r="G210" s="44">
        <f t="shared" si="62"/>
        <v>0</v>
      </c>
      <c r="H210" s="44">
        <f t="shared" si="62"/>
        <v>0</v>
      </c>
      <c r="I210" s="44">
        <f t="shared" si="62"/>
        <v>0</v>
      </c>
      <c r="J210" s="44">
        <f t="shared" si="62"/>
        <v>0</v>
      </c>
      <c r="K210" s="44">
        <f t="shared" si="62"/>
        <v>0</v>
      </c>
      <c r="L210" s="44">
        <f t="shared" si="62"/>
        <v>0</v>
      </c>
      <c r="M210" s="44">
        <f t="shared" si="62"/>
        <v>0</v>
      </c>
      <c r="N210" s="44">
        <f t="shared" si="62"/>
        <v>0</v>
      </c>
      <c r="O210" s="44">
        <f t="shared" si="62"/>
        <v>0</v>
      </c>
      <c r="P210" s="44">
        <f t="shared" si="62"/>
        <v>0</v>
      </c>
    </row>
    <row r="211" spans="4:16" x14ac:dyDescent="0.3">
      <c r="D211" s="8" t="s">
        <v>355</v>
      </c>
      <c r="E211" s="44">
        <v>938872426.19000006</v>
      </c>
      <c r="F211" s="44">
        <v>826425360.64999998</v>
      </c>
      <c r="G211" s="44">
        <v>505121015.25</v>
      </c>
      <c r="H211" s="44">
        <v>51041442</v>
      </c>
      <c r="I211" s="44">
        <v>108738194.54000001</v>
      </c>
      <c r="J211" s="44">
        <v>154129657.50999999</v>
      </c>
      <c r="K211" s="44">
        <v>92853133.450000003</v>
      </c>
      <c r="L211" s="44">
        <v>8950500</v>
      </c>
      <c r="M211" s="44">
        <v>415000</v>
      </c>
      <c r="N211" s="44">
        <v>0</v>
      </c>
      <c r="O211" s="44">
        <v>145179157.50999999</v>
      </c>
      <c r="P211" s="44">
        <v>1093002083.7</v>
      </c>
    </row>
    <row r="212" spans="4:16" x14ac:dyDescent="0.3">
      <c r="D212" s="8" t="s">
        <v>356</v>
      </c>
      <c r="E212" s="44">
        <f>E204-E211</f>
        <v>-2147520.0000001192</v>
      </c>
      <c r="F212" s="44">
        <f t="shared" ref="F212:P212" si="63">F204-F211</f>
        <v>-1747520</v>
      </c>
      <c r="G212" s="44">
        <f t="shared" si="63"/>
        <v>-8247010</v>
      </c>
      <c r="H212" s="44">
        <f t="shared" si="63"/>
        <v>0</v>
      </c>
      <c r="I212" s="44">
        <f t="shared" si="63"/>
        <v>-400000.0000000149</v>
      </c>
      <c r="J212" s="44">
        <f t="shared" si="63"/>
        <v>-819223.15999999642</v>
      </c>
      <c r="K212" s="44">
        <f t="shared" si="63"/>
        <v>2147520</v>
      </c>
      <c r="L212" s="44">
        <f t="shared" si="63"/>
        <v>0</v>
      </c>
      <c r="M212" s="44">
        <f t="shared" si="63"/>
        <v>0</v>
      </c>
      <c r="N212" s="44">
        <f t="shared" si="63"/>
        <v>0</v>
      </c>
      <c r="O212" s="44">
        <f t="shared" si="63"/>
        <v>-819223.15999999642</v>
      </c>
      <c r="P212" s="44">
        <f t="shared" si="63"/>
        <v>-2966743.1600000858</v>
      </c>
    </row>
    <row r="213" spans="4:16" x14ac:dyDescent="0.3">
      <c r="P213" s="44"/>
    </row>
    <row r="214" spans="4:16" x14ac:dyDescent="0.3"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</row>
  </sheetData>
  <mergeCells count="22">
    <mergeCell ref="O16:O18"/>
    <mergeCell ref="G17:G18"/>
    <mergeCell ref="H17:H18"/>
    <mergeCell ref="M17:M18"/>
    <mergeCell ref="N17:N18"/>
    <mergeCell ref="L16:L18"/>
    <mergeCell ref="A11:P11"/>
    <mergeCell ref="A12:P12"/>
    <mergeCell ref="A15:A18"/>
    <mergeCell ref="B15:B18"/>
    <mergeCell ref="C15:C18"/>
    <mergeCell ref="D15:D18"/>
    <mergeCell ref="E15:I15"/>
    <mergeCell ref="J15:O15"/>
    <mergeCell ref="P15:P18"/>
    <mergeCell ref="E16:E18"/>
    <mergeCell ref="F16:F18"/>
    <mergeCell ref="G16:H16"/>
    <mergeCell ref="I16:I18"/>
    <mergeCell ref="J16:J18"/>
    <mergeCell ref="K16:K18"/>
    <mergeCell ref="M16:N16"/>
  </mergeCells>
  <pageMargins left="0.19685039370078741" right="0.19685039370078741" top="0.23622047244094491" bottom="0.15748031496062992" header="0.31496062992125984" footer="0.19685039370078741"/>
  <pageSetup paperSize="9" scale="54" fitToWidth="12" fitToHeight="12" orientation="landscape" r:id="rId1"/>
  <rowBreaks count="5" manualBreakCount="5">
    <brk id="30" max="15" man="1"/>
    <brk id="49" max="15" man="1"/>
    <brk id="90" max="15" man="1"/>
    <brk id="106" max="15" man="1"/>
    <brk id="18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із змінами грудень</vt:lpstr>
      <vt:lpstr>'із змінами грудень'!Заголовки_для_друку</vt:lpstr>
      <vt:lpstr>'із змінами грудень'!Область_друку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ilya</cp:lastModifiedBy>
  <cp:lastPrinted>2022-11-30T07:23:17Z</cp:lastPrinted>
  <dcterms:created xsi:type="dcterms:W3CDTF">2021-12-07T06:52:40Z</dcterms:created>
  <dcterms:modified xsi:type="dcterms:W3CDTF">2022-12-02T06:40:43Z</dcterms:modified>
</cp:coreProperties>
</file>